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120" yWindow="75" windowWidth="20370" windowHeight="6255" tabRatio="691"/>
  </bookViews>
  <sheets>
    <sheet name="Voorblad" sheetId="40" r:id="rId1"/>
    <sheet name="Parameters ULL" sheetId="33" r:id="rId2"/>
    <sheet name="collocatie" sheetId="34" r:id="rId3"/>
    <sheet name="Inkoop tarief elementen" sheetId="35" r:id="rId4"/>
    <sheet name="EDC minus lijst ULL" sheetId="32" r:id="rId5"/>
    <sheet name="inkoop ULL tbv EVPN" sheetId="36" r:id="rId6"/>
    <sheet name="inkoop EoK" sheetId="37" r:id="rId7"/>
    <sheet name="Parameters" sheetId="2" r:id="rId8"/>
    <sheet name="Distributievergoedingen" sheetId="38" r:id="rId9"/>
    <sheet name="Mapping" sheetId="3" r:id="rId10"/>
    <sheet name="hulpblad" sheetId="15" r:id="rId11"/>
    <sheet name="Tarieven ZM" sheetId="4" r:id="rId12"/>
    <sheet name="Tarieven W&amp;O" sheetId="5" r:id="rId13"/>
    <sheet name="EDC Minus" sheetId="8" r:id="rId14"/>
    <sheet name="Rekenblad access" sheetId="6" r:id="rId15"/>
    <sheet name="Rekenblad transport" sheetId="7" r:id="rId16"/>
    <sheet name="Rekenblad 2e PVC" sheetId="16" r:id="rId17"/>
    <sheet name="KWTtransfersheetOud" sheetId="24" state="hidden" r:id="rId18"/>
  </sheets>
  <externalReferences>
    <externalReference r:id="rId19"/>
  </externalReferences>
  <definedNames>
    <definedName name="_b1" localSheetId="8" hidden="1">{#N/A,"Hoge Q Lage P",FALSE,"Tarieven"}</definedName>
    <definedName name="_b1" localSheetId="0" hidden="1">{#N/A,"Hoge Q Lage P",FALSE,"Tarieven"}</definedName>
    <definedName name="_b1" hidden="1">{#N/A,"Hoge Q Lage P",FALSE,"Tarieven"}</definedName>
    <definedName name="_b11" localSheetId="8" hidden="1">{#N/A,"Hoge Q Lage P",FALSE,"Tarieven"}</definedName>
    <definedName name="_b11" localSheetId="0" hidden="1">{#N/A,"Hoge Q Lage P",FALSE,"Tarieven"}</definedName>
    <definedName name="_b11" hidden="1">{#N/A,"Hoge Q Lage P",FALSE,"Tarieven"}</definedName>
    <definedName name="_b111" localSheetId="8" hidden="1">{#N/A,"Hoge Q Lage P",FALSE,"Tarieven"}</definedName>
    <definedName name="_b111" localSheetId="0" hidden="1">{#N/A,"Hoge Q Lage P",FALSE,"Tarieven"}</definedName>
    <definedName name="_b111" hidden="1">{#N/A,"Hoge Q Lage P",FALSE,"Tarieven"}</definedName>
    <definedName name="_bbb1" localSheetId="8" hidden="1">{#N/A,"Hoge Q Lage P",FALSE,"Tarieven"}</definedName>
    <definedName name="_bbb1" localSheetId="0" hidden="1">{#N/A,"Hoge Q Lage P",FALSE,"Tarieven"}</definedName>
    <definedName name="_bbb1" hidden="1">{#N/A,"Hoge Q Lage P",FALSE,"Tarieven"}</definedName>
    <definedName name="_xlnm._FilterDatabase" localSheetId="8" hidden="1">#REF!</definedName>
    <definedName name="_xlnm._FilterDatabase" localSheetId="6" hidden="1">'inkoop EoK'!$C$10:$AC$36</definedName>
    <definedName name="_xlnm._FilterDatabase" localSheetId="5" hidden="1">'inkoop ULL tbv EVPN'!$B$4:$D$17</definedName>
    <definedName name="_xlnm._FilterDatabase" localSheetId="16" hidden="1">'Rekenblad 2e PVC'!$A$3:$CA$3</definedName>
    <definedName name="_xlnm._FilterDatabase" localSheetId="14" hidden="1">'Rekenblad access'!$A$3:$CA$228</definedName>
    <definedName name="_xlnm._FilterDatabase" localSheetId="15" hidden="1">'Rekenblad transport'!$A$3:$CA$3</definedName>
    <definedName name="_xlnm._FilterDatabase" localSheetId="11" hidden="1">'Tarieven ZM'!$B$136:$J$187</definedName>
    <definedName name="_xlnm._FilterDatabase" localSheetId="0" hidden="1">#REF!</definedName>
    <definedName name="_xlnm._FilterDatabase" hidden="1">#REF!</definedName>
    <definedName name="_FilterDatabase1" localSheetId="8" hidden="1">#REF!</definedName>
    <definedName name="_FilterDatabase1" localSheetId="16" hidden="1">#REF!</definedName>
    <definedName name="_FilterDatabase1" localSheetId="0" hidden="1">#REF!</definedName>
    <definedName name="_FilterDatabase1" hidden="1">#REF!</definedName>
    <definedName name="_K2__CVPARAMS__" hidden="1">"Any by Any!$C$14:$D$35;"</definedName>
    <definedName name="_K2__LOCKEDCVW__" hidden="1">#VALUE!</definedName>
    <definedName name="_K2__LOCKSTATUS__" hidden="1">1</definedName>
    <definedName name="_K2__MAXEXPCOLS__" hidden="1">100</definedName>
    <definedName name="_K2__MAXEXPROWS__" hidden="1">1000</definedName>
    <definedName name="_K2__WBEVMODE__" hidden="1">1</definedName>
    <definedName name="_K2__WBREFOPTIONS__" hidden="1">134217772</definedName>
    <definedName name="_K2__WSINFO__" hidden="1">"osoft"</definedName>
    <definedName name="_K2_WBEVMODE" hidden="1">0</definedName>
    <definedName name="_xx1" localSheetId="8" hidden="1">{#N/A,"Hoge Q Lage P",FALSE,"Tarieven"}</definedName>
    <definedName name="_xx1" localSheetId="0" hidden="1">{#N/A,"Hoge Q Lage P",FALSE,"Tarieven"}</definedName>
    <definedName name="_xx1" hidden="1">{#N/A,"Hoge Q Lage P",FALSE,"Tarieven"}</definedName>
    <definedName name="_z1" localSheetId="8" hidden="1">{#N/A,"Hoge Q Gelijke P",FALSE,"Tarieven"}</definedName>
    <definedName name="_z1" localSheetId="0" hidden="1">{#N/A,"Hoge Q Gelijke P",FALSE,"Tarieven"}</definedName>
    <definedName name="_z1" hidden="1">{#N/A,"Hoge Q Gelijke P",FALSE,"Tarieven"}</definedName>
    <definedName name="_z11" localSheetId="8" hidden="1">{#N/A,"Hoge Q Gelijke P",FALSE,"Tarieven"}</definedName>
    <definedName name="_z11" localSheetId="0" hidden="1">{#N/A,"Hoge Q Gelijke P",FALSE,"Tarieven"}</definedName>
    <definedName name="_z11" hidden="1">{#N/A,"Hoge Q Gelijke P",FALSE,"Tarieven"}</definedName>
    <definedName name="AccessDatabase" hidden="1">"D:\AA\Klanten\Wanadoo\zelfbouw vs WADSL 2.5.mdb"</definedName>
    <definedName name="b" localSheetId="8" hidden="1">{#N/A,"Hoge Q Lage P",FALSE,"Tarieven"}</definedName>
    <definedName name="b" localSheetId="0" hidden="1">{#N/A,"Hoge Q Lage P",FALSE,"Tarieven"}</definedName>
    <definedName name="b" hidden="1">{#N/A,"Hoge Q Lage P",FALSE,"Tarieven"}</definedName>
    <definedName name="bbb" localSheetId="8" hidden="1">{#N/A,"Hoge Q Lage P",FALSE,"Tarieven"}</definedName>
    <definedName name="bbb" localSheetId="0" hidden="1">{#N/A,"Hoge Q Lage P",FALSE,"Tarieven"}</definedName>
    <definedName name="bbb" hidden="1">{#N/A,"Hoge Q Lage P",FALSE,"Tarieven"}</definedName>
    <definedName name="CellWatch01Descn" hidden="1">""</definedName>
    <definedName name="CellWatch01Name" hidden="1">"FA OROS"</definedName>
    <definedName name="een" localSheetId="8" hidden="1">{#N/A,"Hoge Q Gelijke P",FALSE,"Tarieven"}</definedName>
    <definedName name="een" localSheetId="0" hidden="1">{#N/A,"Hoge Q Gelijke P",FALSE,"Tarieven"}</definedName>
    <definedName name="een" hidden="1">{#N/A,"Hoge Q Gelijke P",FALSE,"Tarieven"}</definedName>
    <definedName name="EV__LASTREFTIME__" hidden="1">39456.4930671296</definedName>
    <definedName name="EV__LOCKEDCVW__" hidden="1">#VALUE!</definedName>
    <definedName name="EV__MAXEXPCOLS__" hidden="1">100</definedName>
    <definedName name="EV__MAXEXPROWS__" hidden="1">1000</definedName>
    <definedName name="EV__WBEVMODE__" hidden="1">0</definedName>
    <definedName name="EV__WBREFOPTIONS__" hidden="1">134217783</definedName>
    <definedName name="EV__WBVERSION__" hidden="1">0</definedName>
    <definedName name="EV__WSINFO__" hidden="1">"osoft"</definedName>
    <definedName name="f" localSheetId="8" hidden="1">{#N/A,#N/A,TRUE,"test_graf";#N/A,#N/A,TRUE,"test1_graf";#N/A,#N/A,TRUE,"test7_graf";#N/A,#N/A,TRUE,"test3_graf";#N/A,#N/A,TRUE,"test5_graf";#N/A,#N/A,TRUE,"test6_graf";#N/A,#N/A,TRUE,"test8_graf";#N/A,#N/A,TRUE,"test11_graf";#N/A,#N/A,TRUE,"test10_graf";#N/A,#N/A,TRUE,"test9_graf"}</definedName>
    <definedName name="f" localSheetId="0" hidden="1">{#N/A,#N/A,TRUE,"test_graf";#N/A,#N/A,TRUE,"test1_graf";#N/A,#N/A,TRUE,"test7_graf";#N/A,#N/A,TRUE,"test3_graf";#N/A,#N/A,TRUE,"test5_graf";#N/A,#N/A,TRUE,"test6_graf";#N/A,#N/A,TRUE,"test8_graf";#N/A,#N/A,TRUE,"test11_graf";#N/A,#N/A,TRUE,"test10_graf";#N/A,#N/A,TRUE,"test9_graf"}</definedName>
    <definedName name="f" hidden="1">{#N/A,#N/A,TRUE,"test_graf";#N/A,#N/A,TRUE,"test1_graf";#N/A,#N/A,TRUE,"test7_graf";#N/A,#N/A,TRUE,"test3_graf";#N/A,#N/A,TRUE,"test5_graf";#N/A,#N/A,TRUE,"test6_graf";#N/A,#N/A,TRUE,"test8_graf";#N/A,#N/A,TRUE,"test11_graf";#N/A,#N/A,TRUE,"test10_graf";#N/A,#N/A,TRUE,"test9_graf"}</definedName>
    <definedName name="iii" localSheetId="8" hidden="1">{#N/A,"Hoge Q Lage P",FALSE,"Tarieven"}</definedName>
    <definedName name="iii" localSheetId="0" hidden="1">{#N/A,"Hoge Q Lage P",FALSE,"Tarieven"}</definedName>
    <definedName name="iii" hidden="1">{#N/A,"Hoge Q Lage P",FALSE,"Tarieven"}</definedName>
    <definedName name="inter" localSheetId="8" hidden="1">{#N/A,"Hoge Q Gelijke P",FALSE,"Tarieven"}</definedName>
    <definedName name="inter" localSheetId="0" hidden="1">{#N/A,"Hoge Q Gelijke P",FALSE,"Tarieven"}</definedName>
    <definedName name="inter" hidden="1">{#N/A,"Hoge Q Gelijke P",FALSE,"Tarieven"}</definedName>
    <definedName name="internatio" localSheetId="8" hidden="1">{#N/A,"Hoge Q Lage P",FALSE,"Tarieven"}</definedName>
    <definedName name="internatio" localSheetId="0" hidden="1">{#N/A,"Hoge Q Lage P",FALSE,"Tarieven"}</definedName>
    <definedName name="internatio" hidden="1">{#N/A,"Hoge Q Lage P",FALSE,"Tarieven"}</definedName>
    <definedName name="Kabels1" localSheetId="8" hidden="1">{#N/A,#N/A,TRUE,"test_graf";#N/A,#N/A,TRUE,"test1_graf";#N/A,#N/A,TRUE,"test7_graf";#N/A,#N/A,TRUE,"test3_graf";#N/A,#N/A,TRUE,"test5_graf";#N/A,#N/A,TRUE,"test6_graf";#N/A,#N/A,TRUE,"test8_graf";#N/A,#N/A,TRUE,"test11_graf";#N/A,#N/A,TRUE,"test10_graf";#N/A,#N/A,TRUE,"test9_graf"}</definedName>
    <definedName name="Kabels1" localSheetId="0" hidden="1">{#N/A,#N/A,TRUE,"test_graf";#N/A,#N/A,TRUE,"test1_graf";#N/A,#N/A,TRUE,"test7_graf";#N/A,#N/A,TRUE,"test3_graf";#N/A,#N/A,TRUE,"test5_graf";#N/A,#N/A,TRUE,"test6_graf";#N/A,#N/A,TRUE,"test8_graf";#N/A,#N/A,TRUE,"test11_graf";#N/A,#N/A,TRUE,"test10_graf";#N/A,#N/A,TRUE,"test9_graf"}</definedName>
    <definedName name="Kabels1" hidden="1">{#N/A,#N/A,TRUE,"test_graf";#N/A,#N/A,TRUE,"test1_graf";#N/A,#N/A,TRUE,"test7_graf";#N/A,#N/A,TRUE,"test3_graf";#N/A,#N/A,TRUE,"test5_graf";#N/A,#N/A,TRUE,"test6_graf";#N/A,#N/A,TRUE,"test8_graf";#N/A,#N/A,TRUE,"test11_graf";#N/A,#N/A,TRUE,"test10_graf";#N/A,#N/A,TRUE,"test9_graf"}</definedName>
    <definedName name="Kabels2" localSheetId="8" hidden="1">{#N/A,#N/A,TRUE,"test_graf";#N/A,#N/A,TRUE,"test1_graf";#N/A,#N/A,TRUE,"test7_graf";#N/A,#N/A,TRUE,"test3_graf";#N/A,#N/A,TRUE,"test5_graf";#N/A,#N/A,TRUE,"test6_graf";#N/A,#N/A,TRUE,"test8_graf";#N/A,#N/A,TRUE,"test11_graf";#N/A,#N/A,TRUE,"test10_graf";#N/A,#N/A,TRUE,"test9_graf"}</definedName>
    <definedName name="Kabels2" localSheetId="0" hidden="1">{#N/A,#N/A,TRUE,"test_graf";#N/A,#N/A,TRUE,"test1_graf";#N/A,#N/A,TRUE,"test7_graf";#N/A,#N/A,TRUE,"test3_graf";#N/A,#N/A,TRUE,"test5_graf";#N/A,#N/A,TRUE,"test6_graf";#N/A,#N/A,TRUE,"test8_graf";#N/A,#N/A,TRUE,"test11_graf";#N/A,#N/A,TRUE,"test10_graf";#N/A,#N/A,TRUE,"test9_graf"}</definedName>
    <definedName name="Kabels2" hidden="1">{#N/A,#N/A,TRUE,"test_graf";#N/A,#N/A,TRUE,"test1_graf";#N/A,#N/A,TRUE,"test7_graf";#N/A,#N/A,TRUE,"test3_graf";#N/A,#N/A,TRUE,"test5_graf";#N/A,#N/A,TRUE,"test6_graf";#N/A,#N/A,TRUE,"test8_graf";#N/A,#N/A,TRUE,"test11_graf";#N/A,#N/A,TRUE,"test10_graf";#N/A,#N/A,TRUE,"test9_graf"}</definedName>
    <definedName name="ld" localSheetId="8" hidden="1">{#N/A,"Hoge Q Lage P",FALSE,"Tarieven"}</definedName>
    <definedName name="ld" localSheetId="0" hidden="1">{#N/A,"Hoge Q Lage P",FALSE,"Tarieven"}</definedName>
    <definedName name="ld" hidden="1">{#N/A,"Hoge Q Lage P",FALSE,"Tarieven"}</definedName>
    <definedName name="lk" localSheetId="8" hidden="1">{#N/A,"Hoge Q Gelijke P",FALSE,"Tarieven"}</definedName>
    <definedName name="lk" localSheetId="0" hidden="1">{#N/A,"Hoge Q Gelijke P",FALSE,"Tarieven"}</definedName>
    <definedName name="lk" hidden="1">{#N/A,"Hoge Q Gelijke P",FALSE,"Tarieven"}</definedName>
    <definedName name="ll" localSheetId="8" hidden="1">{#N/A,"Hoge Q Lage P",FALSE,"Tarieven"}</definedName>
    <definedName name="ll" localSheetId="0" hidden="1">{#N/A,"Hoge Q Lage P",FALSE,"Tarieven"}</definedName>
    <definedName name="ll" hidden="1">{#N/A,"Hoge Q Lage P",FALSE,"Tarieven"}</definedName>
    <definedName name="lls" localSheetId="8" hidden="1">{#N/A,"Hoge Q Gelijke P",FALSE,"Tarieven"}</definedName>
    <definedName name="lls" localSheetId="0" hidden="1">{#N/A,"Hoge Q Gelijke P",FALSE,"Tarieven"}</definedName>
    <definedName name="lls" hidden="1">{#N/A,"Hoge Q Gelijke P",FALSE,"Tarieven"}</definedName>
    <definedName name="lsdkfj" localSheetId="8" hidden="1">{#N/A,#N/A,TRUE,"test_graf";#N/A,#N/A,TRUE,"test1_graf";#N/A,#N/A,TRUE,"test7_graf";#N/A,#N/A,TRUE,"test3_graf";#N/A,#N/A,TRUE,"test5_graf";#N/A,#N/A,TRUE,"test6_graf";#N/A,#N/A,TRUE,"test8_graf";#N/A,#N/A,TRUE,"test11_graf";#N/A,#N/A,TRUE,"test10_graf";#N/A,#N/A,TRUE,"test9_graf"}</definedName>
    <definedName name="lsdkfj" localSheetId="0" hidden="1">{#N/A,#N/A,TRUE,"test_graf";#N/A,#N/A,TRUE,"test1_graf";#N/A,#N/A,TRUE,"test7_graf";#N/A,#N/A,TRUE,"test3_graf";#N/A,#N/A,TRUE,"test5_graf";#N/A,#N/A,TRUE,"test6_graf";#N/A,#N/A,TRUE,"test8_graf";#N/A,#N/A,TRUE,"test11_graf";#N/A,#N/A,TRUE,"test10_graf";#N/A,#N/A,TRUE,"test9_graf"}</definedName>
    <definedName name="lsdkfj" hidden="1">{#N/A,#N/A,TRUE,"test_graf";#N/A,#N/A,TRUE,"test1_graf";#N/A,#N/A,TRUE,"test7_graf";#N/A,#N/A,TRUE,"test3_graf";#N/A,#N/A,TRUE,"test5_graf";#N/A,#N/A,TRUE,"test6_graf";#N/A,#N/A,TRUE,"test8_graf";#N/A,#N/A,TRUE,"test11_graf";#N/A,#N/A,TRUE,"test10_graf";#N/A,#N/A,TRUE,"test9_graf"}</definedName>
    <definedName name="lsdkfk" localSheetId="8" hidden="1">{#N/A,#N/A,TRUE,"test_graf";#N/A,#N/A,TRUE,"test1_graf";#N/A,#N/A,TRUE,"test7_graf";#N/A,#N/A,TRUE,"test3_graf";#N/A,#N/A,TRUE,"test5_graf";#N/A,#N/A,TRUE,"test6_graf";#N/A,#N/A,TRUE,"test8_graf";#N/A,#N/A,TRUE,"test11_graf";#N/A,#N/A,TRUE,"test10_graf";#N/A,#N/A,TRUE,"test9_graf"}</definedName>
    <definedName name="lsdkfk" localSheetId="0" hidden="1">{#N/A,#N/A,TRUE,"test_graf";#N/A,#N/A,TRUE,"test1_graf";#N/A,#N/A,TRUE,"test7_graf";#N/A,#N/A,TRUE,"test3_graf";#N/A,#N/A,TRUE,"test5_graf";#N/A,#N/A,TRUE,"test6_graf";#N/A,#N/A,TRUE,"test8_graf";#N/A,#N/A,TRUE,"test11_graf";#N/A,#N/A,TRUE,"test10_graf";#N/A,#N/A,TRUE,"test9_graf"}</definedName>
    <definedName name="lsdkfk" hidden="1">{#N/A,#N/A,TRUE,"test_graf";#N/A,#N/A,TRUE,"test1_graf";#N/A,#N/A,TRUE,"test7_graf";#N/A,#N/A,TRUE,"test3_graf";#N/A,#N/A,TRUE,"test5_graf";#N/A,#N/A,TRUE,"test6_graf";#N/A,#N/A,TRUE,"test8_graf";#N/A,#N/A,TRUE,"test11_graf";#N/A,#N/A,TRUE,"test10_graf";#N/A,#N/A,TRUE,"test9_graf"}</definedName>
    <definedName name="naamconflict" localSheetId="8" hidden="1">#REF!</definedName>
    <definedName name="naamconflict" localSheetId="16" hidden="1">#REF!</definedName>
    <definedName name="naamconflict" localSheetId="0" hidden="1">#REF!</definedName>
    <definedName name="naamconflict" hidden="1">#REF!</definedName>
    <definedName name="nationaal" localSheetId="8" hidden="1">{#N/A,"Hoge Q Gelijke P",FALSE,"Tarieven"}</definedName>
    <definedName name="nationaal" localSheetId="0" hidden="1">{#N/A,"Hoge Q Gelijke P",FALSE,"Tarieven"}</definedName>
    <definedName name="nationaal" hidden="1">{#N/A,"Hoge Q Gelijke P",FALSE,"Tarieven"}</definedName>
    <definedName name="nieuw" localSheetId="8" hidden="1">{#N/A,"Hoge Q Lage P",FALSE,"Tarieven"}</definedName>
    <definedName name="nieuw" localSheetId="0" hidden="1">{#N/A,"Hoge Q Lage P",FALSE,"Tarieven"}</definedName>
    <definedName name="nieuw" hidden="1">{#N/A,"Hoge Q Lage P",FALSE,"Tarieven"}</definedName>
    <definedName name="OffnetToetsen">[1]Parameters!$B$6</definedName>
    <definedName name="Onzin" localSheetId="8" hidden="1">{#N/A,"Hoge Q Lage P",FALSE,"Tarieven"}</definedName>
    <definedName name="Onzin" localSheetId="0" hidden="1">{#N/A,"Hoge Q Lage P",FALSE,"Tarieven"}</definedName>
    <definedName name="Onzin" hidden="1">{#N/A,"Hoge Q Lage P",FALSE,"Tarieven"}</definedName>
    <definedName name="oooo" localSheetId="8" hidden="1">{#N/A,"Hoge Q Lage P",FALSE,"Tarieven"}</definedName>
    <definedName name="oooo" localSheetId="0" hidden="1">{#N/A,"Hoge Q Lage P",FALSE,"Tarieven"}</definedName>
    <definedName name="oooo" hidden="1">{#N/A,"Hoge Q Lage P",FALSE,"Tarieven"}</definedName>
    <definedName name="oooo1" localSheetId="8" hidden="1">{#N/A,"Hoge Q Lage P",FALSE,"Tarieven"}</definedName>
    <definedName name="oooo1" localSheetId="0" hidden="1">{#N/A,"Hoge Q Lage P",FALSE,"Tarieven"}</definedName>
    <definedName name="oooo1" hidden="1">{#N/A,"Hoge Q Lage P",FALSE,"Tarieven"}</definedName>
    <definedName name="qwe" localSheetId="8" hidden="1">{#N/A,"Hoge Q Lage P",FALSE,"Tarieven"}</definedName>
    <definedName name="qwe" localSheetId="0" hidden="1">{#N/A,"Hoge Q Lage P",FALSE,"Tarieven"}</definedName>
    <definedName name="qwe" hidden="1">{#N/A,"Hoge Q Lage P",FALSE,"Tarieven"}</definedName>
    <definedName name="Retailopslag">[1]Parameters!$B$2</definedName>
    <definedName name="RichtingscoefficientWOformule">[1]Parameters!$B$69</definedName>
    <definedName name="s" localSheetId="8" hidden="1">{#N/A,"Hoge Q Gelijke P",FALSE,"Tarieven"}</definedName>
    <definedName name="s" localSheetId="0" hidden="1">{#N/A,"Hoge Q Gelijke P",FALSE,"Tarieven"}</definedName>
    <definedName name="s" hidden="1">{#N/A,"Hoge Q Gelijke P",FALSE,"Tarieven"}</definedName>
    <definedName name="SalesMandaatAccessVVA">[1]Parameters!$B$23</definedName>
    <definedName name="SalesmandaatAccessVVE">[1]Parameters!$B$24</definedName>
    <definedName name="SalesmandaatVPNVVA">[1]Parameters!$B$25</definedName>
    <definedName name="SalesmandaatVPNVVE">[1]Parameters!$B$26</definedName>
    <definedName name="test" localSheetId="8" hidden="1">{#N/A,"Hoge Q Lage P",FALSE,"Tarieven"}</definedName>
    <definedName name="test" localSheetId="0" hidden="1">{#N/A,"Hoge Q Lage P",FALSE,"Tarieven"}</definedName>
    <definedName name="test" hidden="1">{#N/A,"Hoge Q Lage P",FALSE,"Tarieven"}</definedName>
    <definedName name="test2" localSheetId="8" hidden="1">{#N/A,"Hoge Q Lage P",FALSE,"Tarieven"}</definedName>
    <definedName name="test2" localSheetId="0" hidden="1">{#N/A,"Hoge Q Lage P",FALSE,"Tarieven"}</definedName>
    <definedName name="test2" hidden="1">{#N/A,"Hoge Q Lage P",FALSE,"Tarieven"}</definedName>
    <definedName name="ts" localSheetId="8" hidden="1">{#N/A,"Hoge Q Gelijke P",FALSE,"Tarieven"}</definedName>
    <definedName name="ts" localSheetId="0" hidden="1">{#N/A,"Hoge Q Gelijke P",FALSE,"Tarieven"}</definedName>
    <definedName name="ts" hidden="1">{#N/A,"Hoge Q Gelijke P",FALSE,"Tarieven"}</definedName>
    <definedName name="uiteo1" localSheetId="8" hidden="1">{#N/A,"Hoge Q Lage P",FALSE,"Tarieven"}</definedName>
    <definedName name="uiteo1" localSheetId="0" hidden="1">{#N/A,"Hoge Q Lage P",FALSE,"Tarieven"}</definedName>
    <definedName name="uiteo1" hidden="1">{#N/A,"Hoge Q Lage P",FALSE,"Tarieven"}</definedName>
    <definedName name="uitheo" localSheetId="8" hidden="1">{#N/A,"Hoge Q Lage P",FALSE,"Tarieven"}</definedName>
    <definedName name="uitheo" localSheetId="0" hidden="1">{#N/A,"Hoge Q Lage P",FALSE,"Tarieven"}</definedName>
    <definedName name="uitheo" hidden="1">{#N/A,"Hoge Q Lage P",FALSE,"Tarieven"}</definedName>
    <definedName name="VPNBackboneCitymetro_regionaal">[1]Parameters!$B$61</definedName>
    <definedName name="VPNBackboneCityregionaal_nationaal">[1]Parameters!$B$64</definedName>
    <definedName name="VPNBackboneNationaalmetro_regionaal">[1]Parameters!$B$63</definedName>
    <definedName name="VPNBackboneNationaalregionaal_nationaal">[1]Parameters!$B$66</definedName>
    <definedName name="VPNBackboneRegionaalmetro_regionaal">[1]Parameters!$B$62</definedName>
    <definedName name="VPNBackboneRegionaalregionaal_nationaal">[1]Parameters!$B$65</definedName>
    <definedName name="WOkortingVPNVVA">[1]Parameters!$B$38</definedName>
    <definedName name="WOkortingVPNVVE">[1]Parameters!$B$37</definedName>
    <definedName name="WOtermijnkorting1jaar">[1]Parameters!$B$41</definedName>
    <definedName name="WOtermijnkorting3jaar">[1]Parameters!$B$42</definedName>
    <definedName name="WOtermijnkorting5jaar">[1]Parameters!$B$43</definedName>
    <definedName name="wrn.Q._.met._.dalend._.P." localSheetId="8" hidden="1">{#N/A,"Hoge Q Lage P",FALSE,"Tarieven"}</definedName>
    <definedName name="wrn.Q._.met._.dalend._.P." localSheetId="0" hidden="1">{#N/A,"Hoge Q Lage P",FALSE,"Tarieven"}</definedName>
    <definedName name="wrn.Q._.met._.dalend._.P." hidden="1">{#N/A,"Hoge Q Lage P",FALSE,"Tarieven"}</definedName>
    <definedName name="wrn.Q._.met._.gelijke._.P." localSheetId="8" hidden="1">{#N/A,"Hoge Q Gelijke P",FALSE,"Tarieven"}</definedName>
    <definedName name="wrn.Q._.met._.gelijke._.P." localSheetId="0" hidden="1">{#N/A,"Hoge Q Gelijke P",FALSE,"Tarieven"}</definedName>
    <definedName name="wrn.Q._.met._.gelijke._.P." hidden="1">{#N/A,"Hoge Q Gelijke P",FALSE,"Tarieven"}</definedName>
    <definedName name="wrn.q._.met.dalen.p1" localSheetId="8" hidden="1">{#N/A,"Hoge Q Lage P",FALSE,"Tarieven"}</definedName>
    <definedName name="wrn.q._.met.dalen.p1" localSheetId="0" hidden="1">{#N/A,"Hoge Q Lage P",FALSE,"Tarieven"}</definedName>
    <definedName name="wrn.q._.met.dalen.p1" hidden="1">{#N/A,"Hoge Q Lage P",FALSE,"Tarieven"}</definedName>
    <definedName name="wrn.q.met.gelijke.p1" localSheetId="8" hidden="1">{#N/A,"Hoge Q Gelijke P",FALSE,"Tarieven"}</definedName>
    <definedName name="wrn.q.met.gelijke.p1" localSheetId="0" hidden="1">{#N/A,"Hoge Q Gelijke P",FALSE,"Tarieven"}</definedName>
    <definedName name="wrn.q.met.gelijke.p1" hidden="1">{#N/A,"Hoge Q Gelijke P",FALSE,"Tarieven"}</definedName>
    <definedName name="wrn.Week._.rapportage." localSheetId="8" hidden="1">{#N/A,#N/A,TRUE,"test_graf";#N/A,#N/A,TRUE,"test1_graf";#N/A,#N/A,TRUE,"test7_graf";#N/A,#N/A,TRUE,"test3_graf";#N/A,#N/A,TRUE,"test5_graf";#N/A,#N/A,TRUE,"test6_graf";#N/A,#N/A,TRUE,"test8_graf";#N/A,#N/A,TRUE,"test11_graf";#N/A,#N/A,TRUE,"test10_graf";#N/A,#N/A,TRUE,"test9_graf"}</definedName>
    <definedName name="wrn.Week._.rapportage." localSheetId="0" hidden="1">{#N/A,#N/A,TRUE,"test_graf";#N/A,#N/A,TRUE,"test1_graf";#N/A,#N/A,TRUE,"test7_graf";#N/A,#N/A,TRUE,"test3_graf";#N/A,#N/A,TRUE,"test5_graf";#N/A,#N/A,TRUE,"test6_graf";#N/A,#N/A,TRUE,"test8_graf";#N/A,#N/A,TRUE,"test11_graf";#N/A,#N/A,TRUE,"test10_graf";#N/A,#N/A,TRUE,"test9_graf"}</definedName>
    <definedName name="wrn.Week._.rapportage." hidden="1">{#N/A,#N/A,TRUE,"test_graf";#N/A,#N/A,TRUE,"test1_graf";#N/A,#N/A,TRUE,"test7_graf";#N/A,#N/A,TRUE,"test3_graf";#N/A,#N/A,TRUE,"test5_graf";#N/A,#N/A,TRUE,"test6_graf";#N/A,#N/A,TRUE,"test8_graf";#N/A,#N/A,TRUE,"test11_graf";#N/A,#N/A,TRUE,"test10_graf";#N/A,#N/A,TRUE,"test9_graf"}</definedName>
    <definedName name="xx" localSheetId="8" hidden="1">{#N/A,"Hoge Q Lage P",FALSE,"Tarieven"}</definedName>
    <definedName name="xx" localSheetId="0" hidden="1">{#N/A,"Hoge Q Lage P",FALSE,"Tarieven"}</definedName>
    <definedName name="xx" hidden="1">{#N/A,"Hoge Q Lage P",FALSE,"Tarieven"}</definedName>
  </definedNames>
  <calcPr calcId="145621"/>
</workbook>
</file>

<file path=xl/calcChain.xml><?xml version="1.0" encoding="utf-8"?>
<calcChain xmlns="http://schemas.openxmlformats.org/spreadsheetml/2006/main">
  <c r="B109" i="5" l="1"/>
  <c r="C3" i="40" l="1"/>
  <c r="C2" i="40"/>
  <c r="H27" i="5" l="1"/>
  <c r="H26" i="5"/>
  <c r="H25" i="5"/>
  <c r="H24" i="5"/>
  <c r="H23" i="5"/>
  <c r="H22" i="5"/>
  <c r="I22" i="5" l="1"/>
  <c r="I15" i="5"/>
  <c r="B12" i="2" l="1"/>
  <c r="H23" i="36" l="1"/>
  <c r="H21" i="36"/>
  <c r="J151" i="3" l="1"/>
  <c r="J150" i="3"/>
  <c r="J149" i="3"/>
  <c r="J148" i="3"/>
  <c r="J147" i="3"/>
  <c r="J146" i="3"/>
  <c r="J145" i="3"/>
  <c r="J144" i="3"/>
  <c r="J143" i="3"/>
  <c r="J142" i="3"/>
  <c r="J141" i="3"/>
  <c r="J140" i="3"/>
  <c r="J139" i="3"/>
  <c r="J138" i="3"/>
  <c r="J137" i="3"/>
  <c r="J228" i="6" l="1"/>
  <c r="J227" i="6"/>
  <c r="J226" i="6"/>
  <c r="J225" i="6"/>
  <c r="J224" i="6"/>
  <c r="J223" i="6"/>
  <c r="J222" i="6"/>
  <c r="J221" i="6"/>
  <c r="J220" i="6"/>
  <c r="J219" i="6"/>
  <c r="J218" i="6"/>
  <c r="J217" i="6"/>
  <c r="J216" i="6"/>
  <c r="J215" i="6"/>
  <c r="J214" i="6"/>
  <c r="J213" i="6"/>
  <c r="J212" i="6"/>
  <c r="J211" i="6"/>
  <c r="J210" i="6"/>
  <c r="J209" i="6"/>
  <c r="J208" i="6"/>
  <c r="J207" i="6"/>
  <c r="J206" i="6"/>
  <c r="J205" i="6"/>
  <c r="J204" i="6"/>
  <c r="J203" i="6"/>
  <c r="J202" i="6"/>
  <c r="J201" i="6"/>
  <c r="J200" i="6"/>
  <c r="J199" i="6"/>
  <c r="J198" i="6"/>
  <c r="J197" i="6"/>
  <c r="J196" i="6"/>
  <c r="J195" i="6"/>
  <c r="J194" i="6"/>
  <c r="J193" i="6"/>
  <c r="J192" i="6"/>
  <c r="J191" i="6"/>
  <c r="J190" i="6"/>
  <c r="J189" i="6"/>
  <c r="J188" i="6"/>
  <c r="J187" i="6"/>
  <c r="J186" i="6"/>
  <c r="J185" i="6"/>
  <c r="J184" i="6"/>
  <c r="J183" i="6"/>
  <c r="J182" i="6"/>
  <c r="J181" i="6"/>
  <c r="J180" i="6"/>
  <c r="A228" i="6"/>
  <c r="B228" i="6" s="1"/>
  <c r="A227" i="6"/>
  <c r="B227" i="6" s="1"/>
  <c r="A226" i="6"/>
  <c r="B226" i="6" s="1"/>
  <c r="A225" i="6"/>
  <c r="B225" i="6" s="1"/>
  <c r="A224" i="6"/>
  <c r="B224" i="6" s="1"/>
  <c r="A223" i="6"/>
  <c r="B223" i="6" s="1"/>
  <c r="A222" i="6"/>
  <c r="B222" i="6" s="1"/>
  <c r="A221" i="6"/>
  <c r="B221" i="6" s="1"/>
  <c r="A220" i="6"/>
  <c r="B220" i="6" s="1"/>
  <c r="A219" i="6"/>
  <c r="B219" i="6" s="1"/>
  <c r="A218" i="6"/>
  <c r="B218" i="6" s="1"/>
  <c r="A217" i="6"/>
  <c r="B217" i="6" s="1"/>
  <c r="A216" i="6"/>
  <c r="B216" i="6" s="1"/>
  <c r="A215" i="6"/>
  <c r="B215" i="6" s="1"/>
  <c r="A214" i="6"/>
  <c r="B214" i="6" s="1"/>
  <c r="A213" i="6"/>
  <c r="B213" i="6" s="1"/>
  <c r="A212" i="6"/>
  <c r="B212" i="6" s="1"/>
  <c r="A211" i="6"/>
  <c r="B211" i="6" s="1"/>
  <c r="A210" i="6"/>
  <c r="B210" i="6" s="1"/>
  <c r="A209" i="6"/>
  <c r="B209" i="6" s="1"/>
  <c r="A208" i="6"/>
  <c r="B208" i="6" s="1"/>
  <c r="A207" i="6"/>
  <c r="B207" i="6" s="1"/>
  <c r="A206" i="6"/>
  <c r="B206" i="6" s="1"/>
  <c r="A205" i="6"/>
  <c r="B205" i="6" s="1"/>
  <c r="A204" i="6"/>
  <c r="B204" i="6" s="1"/>
  <c r="A203" i="6"/>
  <c r="B203" i="6" s="1"/>
  <c r="A202" i="6"/>
  <c r="B202" i="6" s="1"/>
  <c r="A201" i="6"/>
  <c r="B201" i="6" s="1"/>
  <c r="A200" i="6"/>
  <c r="B200" i="6" s="1"/>
  <c r="A199" i="6"/>
  <c r="B199" i="6" s="1"/>
  <c r="A198" i="6"/>
  <c r="B198" i="6" s="1"/>
  <c r="A197" i="6"/>
  <c r="B197" i="6" s="1"/>
  <c r="A196" i="6"/>
  <c r="B196" i="6" s="1"/>
  <c r="A195" i="6"/>
  <c r="B195" i="6" s="1"/>
  <c r="A194" i="6"/>
  <c r="B194" i="6" s="1"/>
  <c r="A193" i="6"/>
  <c r="B193" i="6" s="1"/>
  <c r="A192" i="6"/>
  <c r="B192" i="6" s="1"/>
  <c r="A191" i="6"/>
  <c r="B191" i="6" s="1"/>
  <c r="A190" i="6"/>
  <c r="B190" i="6" s="1"/>
  <c r="A189" i="6"/>
  <c r="B189" i="6" s="1"/>
  <c r="A188" i="6"/>
  <c r="B188" i="6" s="1"/>
  <c r="A187" i="6"/>
  <c r="B187" i="6" s="1"/>
  <c r="A186" i="6"/>
  <c r="B186" i="6" s="1"/>
  <c r="A185" i="6"/>
  <c r="B185" i="6" s="1"/>
  <c r="A184" i="6"/>
  <c r="B184" i="6" s="1"/>
  <c r="A183" i="6"/>
  <c r="B183" i="6" s="1"/>
  <c r="A182" i="6"/>
  <c r="B182" i="6" s="1"/>
  <c r="A181" i="6"/>
  <c r="B181" i="6" s="1"/>
  <c r="A180" i="6"/>
  <c r="B180" i="6" s="1"/>
  <c r="J18" i="6"/>
  <c r="A18" i="6"/>
  <c r="B18" i="6" s="1"/>
  <c r="J17" i="6"/>
  <c r="A17" i="6"/>
  <c r="B17" i="6" s="1"/>
  <c r="J16" i="6"/>
  <c r="A16" i="6"/>
  <c r="B16" i="6" s="1"/>
  <c r="J15" i="6"/>
  <c r="A15" i="6"/>
  <c r="B15" i="6" s="1"/>
  <c r="J14" i="6"/>
  <c r="A14" i="6"/>
  <c r="B14" i="6" s="1"/>
  <c r="G27" i="5" l="1"/>
  <c r="B27" i="5"/>
  <c r="G26" i="5"/>
  <c r="B26" i="5"/>
  <c r="G25" i="5"/>
  <c r="B25" i="5"/>
  <c r="G24" i="5"/>
  <c r="B24" i="5"/>
  <c r="G23" i="5"/>
  <c r="B23" i="5"/>
  <c r="G22" i="5"/>
  <c r="B22" i="5"/>
  <c r="G187" i="4"/>
  <c r="B187" i="4"/>
  <c r="G186" i="4"/>
  <c r="B186" i="4"/>
  <c r="G185" i="4"/>
  <c r="B185" i="4"/>
  <c r="G184" i="4"/>
  <c r="B184" i="4"/>
  <c r="G183" i="4"/>
  <c r="B183" i="4"/>
  <c r="G170" i="4"/>
  <c r="B170" i="4"/>
  <c r="G169" i="4"/>
  <c r="B169" i="4"/>
  <c r="G168" i="4"/>
  <c r="B168" i="4"/>
  <c r="G167" i="4"/>
  <c r="B167" i="4"/>
  <c r="G166" i="4"/>
  <c r="B166" i="4"/>
  <c r="G153" i="4"/>
  <c r="B153" i="4"/>
  <c r="G152" i="4"/>
  <c r="B152" i="4"/>
  <c r="G151" i="4"/>
  <c r="B151" i="4"/>
  <c r="G150" i="4"/>
  <c r="B150" i="4"/>
  <c r="G149" i="4"/>
  <c r="B149" i="4"/>
  <c r="H150" i="4"/>
  <c r="H184" i="4" s="1"/>
  <c r="H149" i="4"/>
  <c r="H183" i="4" s="1"/>
  <c r="B169" i="3"/>
  <c r="B168" i="3"/>
  <c r="B167" i="3"/>
  <c r="B166" i="3"/>
  <c r="B165" i="3"/>
  <c r="B151" i="3"/>
  <c r="B150" i="3"/>
  <c r="B149" i="3"/>
  <c r="B148" i="3"/>
  <c r="B147" i="3"/>
  <c r="H166" i="4" l="1"/>
  <c r="H167" i="4"/>
  <c r="U36" i="37" l="1"/>
  <c r="G16" i="36" l="1"/>
  <c r="G15" i="36"/>
  <c r="G14" i="36"/>
  <c r="G13" i="36"/>
  <c r="G12" i="36"/>
  <c r="G11" i="36"/>
  <c r="G10" i="36"/>
  <c r="G9" i="36"/>
  <c r="G8" i="36"/>
  <c r="G7" i="36"/>
  <c r="G6" i="36"/>
  <c r="G5" i="36"/>
  <c r="U35" i="37"/>
  <c r="U34" i="37"/>
  <c r="U33" i="37"/>
  <c r="U32" i="37"/>
  <c r="U31" i="37"/>
  <c r="U30" i="37"/>
  <c r="U29" i="37"/>
  <c r="U28" i="37"/>
  <c r="U27" i="37"/>
  <c r="U26" i="37"/>
  <c r="U25" i="37"/>
  <c r="U24" i="37"/>
  <c r="U23" i="37"/>
  <c r="U22" i="37"/>
  <c r="U21" i="37"/>
  <c r="U20" i="37"/>
  <c r="U19" i="37"/>
  <c r="U18" i="37"/>
  <c r="U17" i="37"/>
  <c r="U16" i="37"/>
  <c r="U15" i="37"/>
  <c r="U14" i="37"/>
  <c r="U13" i="37"/>
  <c r="Q36" i="37" l="1"/>
  <c r="Q35" i="37"/>
  <c r="Q34" i="37"/>
  <c r="Q33" i="37"/>
  <c r="Q32" i="37"/>
  <c r="Q31" i="37"/>
  <c r="Q30" i="37"/>
  <c r="Q29" i="37"/>
  <c r="Q28" i="37"/>
  <c r="Q27" i="37"/>
  <c r="Q26" i="37"/>
  <c r="Q25" i="37"/>
  <c r="Q24" i="37"/>
  <c r="Q23" i="37"/>
  <c r="Q22" i="37"/>
  <c r="Q21" i="37"/>
  <c r="Q20" i="37"/>
  <c r="Q19" i="37"/>
  <c r="Q18" i="37"/>
  <c r="Q17" i="37"/>
  <c r="Q16" i="37"/>
  <c r="Q15" i="37"/>
  <c r="Q14" i="37"/>
  <c r="Q13" i="37"/>
  <c r="BN48" i="16" l="1"/>
  <c r="BN47" i="16"/>
  <c r="BN46" i="16"/>
  <c r="BN45" i="16"/>
  <c r="BN44" i="16"/>
  <c r="BN43" i="16"/>
  <c r="BN42" i="16"/>
  <c r="BN41" i="16"/>
  <c r="BN40" i="16"/>
  <c r="BN39" i="16"/>
  <c r="BN38" i="16"/>
  <c r="BN37" i="16"/>
  <c r="BN36" i="16"/>
  <c r="BN35" i="16"/>
  <c r="BN34" i="16"/>
  <c r="BN33" i="16"/>
  <c r="BN32" i="16"/>
  <c r="BN31" i="16"/>
  <c r="BN30" i="16"/>
  <c r="BN29" i="16"/>
  <c r="BN28" i="16"/>
  <c r="BN27" i="16"/>
  <c r="BN26" i="16"/>
  <c r="BN25" i="16"/>
  <c r="BN24" i="16"/>
  <c r="BN23" i="16"/>
  <c r="BN22" i="16"/>
  <c r="BN21" i="16"/>
  <c r="BN20" i="16"/>
  <c r="BN19" i="16"/>
  <c r="BN18" i="16"/>
  <c r="BN17" i="16"/>
  <c r="BN16" i="16"/>
  <c r="BN15" i="16"/>
  <c r="BN14" i="16"/>
  <c r="BN13" i="16"/>
  <c r="BN12" i="16"/>
  <c r="BN11" i="16"/>
  <c r="BN10" i="16"/>
  <c r="BN9" i="16"/>
  <c r="BN8" i="16"/>
  <c r="BN7" i="16"/>
  <c r="BN6" i="16"/>
  <c r="BN5" i="16"/>
  <c r="BN4" i="16"/>
  <c r="BN573" i="7"/>
  <c r="BN572" i="7"/>
  <c r="BN571" i="7"/>
  <c r="BN570" i="7"/>
  <c r="BN569" i="7"/>
  <c r="BN568" i="7"/>
  <c r="BN567" i="7"/>
  <c r="BN566" i="7"/>
  <c r="BN565" i="7"/>
  <c r="BN564" i="7"/>
  <c r="BN563" i="7"/>
  <c r="BN562" i="7"/>
  <c r="BN561" i="7"/>
  <c r="BN560" i="7"/>
  <c r="BN559" i="7"/>
  <c r="BN558" i="7"/>
  <c r="BN557" i="7"/>
  <c r="BN556" i="7"/>
  <c r="BN555" i="7"/>
  <c r="BN554" i="7"/>
  <c r="BN553" i="7"/>
  <c r="BN552" i="7"/>
  <c r="BN551" i="7"/>
  <c r="BN550" i="7"/>
  <c r="BN549" i="7"/>
  <c r="BN548" i="7"/>
  <c r="BN547" i="7"/>
  <c r="BN546" i="7"/>
  <c r="BN545" i="7"/>
  <c r="BN544" i="7"/>
  <c r="BN543" i="7"/>
  <c r="BN542" i="7"/>
  <c r="BN541" i="7"/>
  <c r="BN540" i="7"/>
  <c r="BN539" i="7"/>
  <c r="BN538" i="7"/>
  <c r="BN537" i="7"/>
  <c r="BN536" i="7"/>
  <c r="BN535" i="7"/>
  <c r="BN534" i="7"/>
  <c r="BN533" i="7"/>
  <c r="BN532" i="7"/>
  <c r="BN531" i="7"/>
  <c r="BN530" i="7"/>
  <c r="BN529" i="7"/>
  <c r="BN528" i="7"/>
  <c r="BN527" i="7"/>
  <c r="BN526" i="7"/>
  <c r="BN525" i="7"/>
  <c r="BN524" i="7"/>
  <c r="BN523" i="7"/>
  <c r="BN522" i="7"/>
  <c r="BN521" i="7"/>
  <c r="BN520" i="7"/>
  <c r="BN519" i="7"/>
  <c r="BN518" i="7"/>
  <c r="BN517" i="7"/>
  <c r="BN516" i="7"/>
  <c r="BN515" i="7"/>
  <c r="BN514" i="7"/>
  <c r="BN513" i="7"/>
  <c r="BN512" i="7"/>
  <c r="BN511" i="7"/>
  <c r="BN510" i="7"/>
  <c r="BN509" i="7"/>
  <c r="BN508" i="7"/>
  <c r="BN507" i="7"/>
  <c r="BN506" i="7"/>
  <c r="BN505" i="7"/>
  <c r="BN504" i="7"/>
  <c r="BN503" i="7"/>
  <c r="BN502" i="7"/>
  <c r="BN501" i="7"/>
  <c r="BN500" i="7"/>
  <c r="BN499" i="7"/>
  <c r="BN498" i="7"/>
  <c r="BN497" i="7"/>
  <c r="BN496" i="7"/>
  <c r="BN495" i="7"/>
  <c r="BN494" i="7"/>
  <c r="BN493" i="7"/>
  <c r="BN492" i="7"/>
  <c r="BN491" i="7"/>
  <c r="BN490" i="7"/>
  <c r="BN489" i="7"/>
  <c r="BN488" i="7"/>
  <c r="BN487" i="7"/>
  <c r="BN486" i="7"/>
  <c r="BN485" i="7"/>
  <c r="BN484" i="7"/>
  <c r="BN483" i="7"/>
  <c r="BN482" i="7"/>
  <c r="BN481" i="7"/>
  <c r="BN480" i="7"/>
  <c r="BN479" i="7"/>
  <c r="BN478" i="7"/>
  <c r="BN477" i="7"/>
  <c r="BN476" i="7"/>
  <c r="BN475" i="7"/>
  <c r="BN474" i="7"/>
  <c r="BN473" i="7"/>
  <c r="BN472" i="7"/>
  <c r="BN471" i="7"/>
  <c r="BN470" i="7"/>
  <c r="BN469" i="7"/>
  <c r="BN468" i="7"/>
  <c r="BN467" i="7"/>
  <c r="BN466" i="7"/>
  <c r="BN465" i="7"/>
  <c r="BN464" i="7"/>
  <c r="BN463" i="7"/>
  <c r="BN462" i="7"/>
  <c r="BN461" i="7"/>
  <c r="BN460" i="7"/>
  <c r="BN459" i="7"/>
  <c r="BN458" i="7"/>
  <c r="BN457" i="7"/>
  <c r="BN456" i="7"/>
  <c r="BN455" i="7"/>
  <c r="BN454" i="7"/>
  <c r="BN453" i="7"/>
  <c r="BN452" i="7"/>
  <c r="BN451" i="7"/>
  <c r="BN450" i="7"/>
  <c r="BN449" i="7"/>
  <c r="BN448" i="7"/>
  <c r="BN447" i="7"/>
  <c r="BN446" i="7"/>
  <c r="BN445" i="7"/>
  <c r="BN444" i="7"/>
  <c r="BN443" i="7"/>
  <c r="BN442" i="7"/>
  <c r="BN441" i="7"/>
  <c r="BN440" i="7"/>
  <c r="BN439" i="7"/>
  <c r="BN438" i="7"/>
  <c r="BN437" i="7"/>
  <c r="BN436" i="7"/>
  <c r="BN435" i="7"/>
  <c r="BN434" i="7"/>
  <c r="BN433" i="7"/>
  <c r="BN432" i="7"/>
  <c r="BN431" i="7"/>
  <c r="BN430" i="7"/>
  <c r="BN429" i="7"/>
  <c r="BN428" i="7"/>
  <c r="BN427" i="7"/>
  <c r="BN426" i="7"/>
  <c r="BN425" i="7"/>
  <c r="BN424" i="7"/>
  <c r="BN423" i="7"/>
  <c r="BN422" i="7"/>
  <c r="BN421" i="7"/>
  <c r="BN420" i="7"/>
  <c r="BN419" i="7"/>
  <c r="BN418" i="7"/>
  <c r="BN417" i="7"/>
  <c r="BN416" i="7"/>
  <c r="BN415" i="7"/>
  <c r="BN414" i="7"/>
  <c r="BN413" i="7"/>
  <c r="BN412" i="7"/>
  <c r="BN411" i="7"/>
  <c r="BN410" i="7"/>
  <c r="BN409" i="7"/>
  <c r="BN408" i="7"/>
  <c r="BN407" i="7"/>
  <c r="BN406" i="7"/>
  <c r="BN405" i="7"/>
  <c r="BN404" i="7"/>
  <c r="BN403" i="7"/>
  <c r="BN402" i="7"/>
  <c r="BN401" i="7"/>
  <c r="BN400" i="7"/>
  <c r="BN399" i="7"/>
  <c r="BN398" i="7"/>
  <c r="BN397" i="7"/>
  <c r="BN396" i="7"/>
  <c r="BN395" i="7"/>
  <c r="BN394" i="7"/>
  <c r="BN393" i="7"/>
  <c r="BN392" i="7"/>
  <c r="BN391" i="7"/>
  <c r="BN390" i="7"/>
  <c r="BN389" i="7"/>
  <c r="BN388" i="7"/>
  <c r="BN387" i="7"/>
  <c r="BN386" i="7"/>
  <c r="BN385" i="7"/>
  <c r="BN384" i="7"/>
  <c r="BN383" i="7"/>
  <c r="BN382" i="7"/>
  <c r="BN381" i="7"/>
  <c r="BN380" i="7"/>
  <c r="BN379" i="7"/>
  <c r="BN378" i="7"/>
  <c r="BN377" i="7"/>
  <c r="BN376" i="7"/>
  <c r="BN375" i="7"/>
  <c r="BN374" i="7"/>
  <c r="BN373" i="7"/>
  <c r="BN372" i="7"/>
  <c r="BN371" i="7"/>
  <c r="BN370" i="7"/>
  <c r="BN369" i="7"/>
  <c r="BN368" i="7"/>
  <c r="BN367" i="7"/>
  <c r="BN366" i="7"/>
  <c r="BN365" i="7"/>
  <c r="BN364" i="7"/>
  <c r="BN363" i="7"/>
  <c r="BN362" i="7"/>
  <c r="BN361" i="7"/>
  <c r="BN360" i="7"/>
  <c r="BN359" i="7"/>
  <c r="BN358" i="7"/>
  <c r="BN357" i="7"/>
  <c r="BN356" i="7"/>
  <c r="BN355" i="7"/>
  <c r="BN354" i="7"/>
  <c r="BN353" i="7"/>
  <c r="BN352" i="7"/>
  <c r="BN351" i="7"/>
  <c r="BN350" i="7"/>
  <c r="BN349" i="7"/>
  <c r="BN348" i="7"/>
  <c r="BN347" i="7"/>
  <c r="BN346" i="7"/>
  <c r="BN345" i="7"/>
  <c r="BN344" i="7"/>
  <c r="BN343" i="7"/>
  <c r="BN342" i="7"/>
  <c r="BN341" i="7"/>
  <c r="BN340" i="7"/>
  <c r="BN339" i="7"/>
  <c r="BN338" i="7"/>
  <c r="BN337" i="7"/>
  <c r="BN336" i="7"/>
  <c r="BN335" i="7"/>
  <c r="BN334" i="7"/>
  <c r="BN333" i="7"/>
  <c r="BN332" i="7"/>
  <c r="BN331" i="7"/>
  <c r="BN330" i="7"/>
  <c r="BN329" i="7"/>
  <c r="BN328" i="7"/>
  <c r="BN327" i="7"/>
  <c r="BN326" i="7"/>
  <c r="BN325" i="7"/>
  <c r="BN324" i="7"/>
  <c r="BN323" i="7"/>
  <c r="BN322" i="7"/>
  <c r="BN321" i="7"/>
  <c r="BN320" i="7"/>
  <c r="BN319" i="7"/>
  <c r="BN318" i="7"/>
  <c r="BN317" i="7"/>
  <c r="BN316" i="7"/>
  <c r="BN315" i="7"/>
  <c r="BN314" i="7"/>
  <c r="BN313" i="7"/>
  <c r="BN312" i="7"/>
  <c r="BN311" i="7"/>
  <c r="BN310" i="7"/>
  <c r="BN309" i="7"/>
  <c r="BN308" i="7"/>
  <c r="BN307" i="7"/>
  <c r="BN306" i="7"/>
  <c r="BN305" i="7"/>
  <c r="BN304" i="7"/>
  <c r="BN303" i="7"/>
  <c r="BN302" i="7"/>
  <c r="BN301" i="7"/>
  <c r="BN300" i="7"/>
  <c r="BN299" i="7"/>
  <c r="BN298" i="7"/>
  <c r="BN297" i="7"/>
  <c r="BN296" i="7"/>
  <c r="BN295" i="7"/>
  <c r="BN294" i="7"/>
  <c r="BN293" i="7"/>
  <c r="BN292" i="7"/>
  <c r="BN291" i="7"/>
  <c r="BN290" i="7"/>
  <c r="BN289" i="7"/>
  <c r="BN288" i="7"/>
  <c r="BN287" i="7"/>
  <c r="BN286" i="7"/>
  <c r="BN285" i="7"/>
  <c r="BN284" i="7"/>
  <c r="BN283" i="7"/>
  <c r="BN282" i="7"/>
  <c r="BN281" i="7"/>
  <c r="BN280" i="7"/>
  <c r="BN279" i="7"/>
  <c r="BN278" i="7"/>
  <c r="BN277" i="7"/>
  <c r="BN276" i="7"/>
  <c r="BN275" i="7"/>
  <c r="BN274" i="7"/>
  <c r="BN273" i="7"/>
  <c r="BN272" i="7"/>
  <c r="BN271" i="7"/>
  <c r="BN270" i="7"/>
  <c r="BN269" i="7"/>
  <c r="BN268" i="7"/>
  <c r="BN267" i="7"/>
  <c r="BN266" i="7"/>
  <c r="BN265" i="7"/>
  <c r="BN264" i="7"/>
  <c r="BN263" i="7"/>
  <c r="BN262" i="7"/>
  <c r="BN261" i="7"/>
  <c r="BN260" i="7"/>
  <c r="BN259" i="7"/>
  <c r="BN258" i="7"/>
  <c r="BN257" i="7"/>
  <c r="BN256" i="7"/>
  <c r="BN255" i="7"/>
  <c r="BN254" i="7"/>
  <c r="BN253" i="7"/>
  <c r="BN252" i="7"/>
  <c r="BN251" i="7"/>
  <c r="BN250" i="7"/>
  <c r="BN249" i="7"/>
  <c r="BN248" i="7"/>
  <c r="BN247" i="7"/>
  <c r="BN246" i="7"/>
  <c r="BN245" i="7"/>
  <c r="BN244" i="7"/>
  <c r="BN243" i="7"/>
  <c r="BN242" i="7"/>
  <c r="BN241" i="7"/>
  <c r="BN240" i="7"/>
  <c r="BN239" i="7"/>
  <c r="BN238" i="7"/>
  <c r="BN237" i="7"/>
  <c r="BN236" i="7"/>
  <c r="BN235" i="7"/>
  <c r="BN234" i="7"/>
  <c r="BN233" i="7"/>
  <c r="BN232" i="7"/>
  <c r="BN231" i="7"/>
  <c r="BN230" i="7"/>
  <c r="BN229" i="7"/>
  <c r="BN228" i="7"/>
  <c r="BN227" i="7"/>
  <c r="BN226" i="7"/>
  <c r="BN225" i="7"/>
  <c r="BN224" i="7"/>
  <c r="BN223" i="7"/>
  <c r="BN222" i="7"/>
  <c r="BN221" i="7"/>
  <c r="BN220" i="7"/>
  <c r="BN219" i="7"/>
  <c r="BN218" i="7"/>
  <c r="BN217" i="7"/>
  <c r="BN216" i="7"/>
  <c r="BN215" i="7"/>
  <c r="BN214" i="7"/>
  <c r="BN213" i="7"/>
  <c r="BN212" i="7"/>
  <c r="BN211" i="7"/>
  <c r="BN210" i="7"/>
  <c r="BN209" i="7"/>
  <c r="BN208" i="7"/>
  <c r="BN207" i="7"/>
  <c r="BN206" i="7"/>
  <c r="BN205" i="7"/>
  <c r="BN204" i="7"/>
  <c r="BN203" i="7"/>
  <c r="BN202" i="7"/>
  <c r="BN201" i="7"/>
  <c r="BN200" i="7"/>
  <c r="BN199" i="7"/>
  <c r="BN198" i="7"/>
  <c r="BN197" i="7"/>
  <c r="BN196" i="7"/>
  <c r="BN195" i="7"/>
  <c r="BN194" i="7"/>
  <c r="BN193" i="7"/>
  <c r="BN192" i="7"/>
  <c r="BN191" i="7"/>
  <c r="BN190" i="7"/>
  <c r="BN189" i="7"/>
  <c r="BN188" i="7"/>
  <c r="BN187" i="7"/>
  <c r="BN186" i="7"/>
  <c r="BN185" i="7"/>
  <c r="BN184" i="7"/>
  <c r="BN183" i="7"/>
  <c r="BN182" i="7"/>
  <c r="BN181" i="7"/>
  <c r="BN180" i="7"/>
  <c r="BN179" i="7"/>
  <c r="BN178" i="7"/>
  <c r="BN177" i="7"/>
  <c r="BN176" i="7"/>
  <c r="BN175" i="7"/>
  <c r="BN174" i="7"/>
  <c r="BN173" i="7"/>
  <c r="BN172" i="7"/>
  <c r="BN171" i="7"/>
  <c r="BN170" i="7"/>
  <c r="BN169" i="7"/>
  <c r="BN168" i="7"/>
  <c r="BN167" i="7"/>
  <c r="BN166" i="7"/>
  <c r="BN165" i="7"/>
  <c r="BN164" i="7"/>
  <c r="BN163" i="7"/>
  <c r="BN162" i="7"/>
  <c r="BN161" i="7"/>
  <c r="BN160" i="7"/>
  <c r="BN159" i="7"/>
  <c r="BN158" i="7"/>
  <c r="BN157" i="7"/>
  <c r="BN156" i="7"/>
  <c r="BN155" i="7"/>
  <c r="BN154" i="7"/>
  <c r="BN153" i="7"/>
  <c r="BN152" i="7"/>
  <c r="BN151" i="7"/>
  <c r="BN150" i="7"/>
  <c r="BN149" i="7"/>
  <c r="BN148" i="7"/>
  <c r="BN147" i="7"/>
  <c r="BN146" i="7"/>
  <c r="BN145" i="7"/>
  <c r="BN144" i="7"/>
  <c r="BN143" i="7"/>
  <c r="BN142" i="7"/>
  <c r="BN141" i="7"/>
  <c r="BN140" i="7"/>
  <c r="BN139" i="7"/>
  <c r="BN138" i="7"/>
  <c r="BN137" i="7"/>
  <c r="BN136" i="7"/>
  <c r="BN135" i="7"/>
  <c r="BN134" i="7"/>
  <c r="BN133" i="7"/>
  <c r="BN132" i="7"/>
  <c r="BN131" i="7"/>
  <c r="BN130" i="7"/>
  <c r="BN129" i="7"/>
  <c r="BN128" i="7"/>
  <c r="BN127" i="7"/>
  <c r="BN126" i="7"/>
  <c r="BN125" i="7"/>
  <c r="BN124" i="7"/>
  <c r="BN123" i="7"/>
  <c r="BN122" i="7"/>
  <c r="BN121" i="7"/>
  <c r="BN120" i="7"/>
  <c r="BN119" i="7"/>
  <c r="BN118" i="7"/>
  <c r="BN117" i="7"/>
  <c r="BN116" i="7"/>
  <c r="BN115" i="7"/>
  <c r="BN114" i="7"/>
  <c r="BN113" i="7"/>
  <c r="BN112" i="7"/>
  <c r="BN111" i="7"/>
  <c r="BN110" i="7"/>
  <c r="BN109" i="7"/>
  <c r="BN108" i="7"/>
  <c r="BN107" i="7"/>
  <c r="BN106" i="7"/>
  <c r="BN105" i="7"/>
  <c r="BN104" i="7"/>
  <c r="BN103" i="7"/>
  <c r="BN102" i="7"/>
  <c r="BN101" i="7"/>
  <c r="BN100" i="7"/>
  <c r="BN99" i="7"/>
  <c r="BN98" i="7"/>
  <c r="BN97" i="7"/>
  <c r="BN96" i="7"/>
  <c r="BN95" i="7"/>
  <c r="BN94" i="7"/>
  <c r="BN93" i="7"/>
  <c r="BN92" i="7"/>
  <c r="BN91" i="7"/>
  <c r="BN90" i="7"/>
  <c r="BN89" i="7"/>
  <c r="BN88" i="7"/>
  <c r="BN87" i="7"/>
  <c r="BN86" i="7"/>
  <c r="BN85" i="7"/>
  <c r="BN84" i="7"/>
  <c r="BN83" i="7"/>
  <c r="BN82" i="7"/>
  <c r="BN81" i="7"/>
  <c r="BN80" i="7"/>
  <c r="BN79" i="7"/>
  <c r="BN78" i="7"/>
  <c r="BN77" i="7"/>
  <c r="BN76" i="7"/>
  <c r="BN75" i="7"/>
  <c r="BN74" i="7"/>
  <c r="BN73" i="7"/>
  <c r="BN72" i="7"/>
  <c r="BN71" i="7"/>
  <c r="BN70" i="7"/>
  <c r="BN69" i="7"/>
  <c r="BN68" i="7"/>
  <c r="BN67" i="7"/>
  <c r="BN66" i="7"/>
  <c r="BN65" i="7"/>
  <c r="BN64" i="7"/>
  <c r="BN63" i="7"/>
  <c r="BN62" i="7"/>
  <c r="BN61" i="7"/>
  <c r="BN60" i="7"/>
  <c r="BN59" i="7"/>
  <c r="BN58" i="7"/>
  <c r="BN57" i="7"/>
  <c r="BN56" i="7"/>
  <c r="BN55" i="7"/>
  <c r="BN54" i="7"/>
  <c r="BN53" i="7"/>
  <c r="BN52" i="7"/>
  <c r="BN51" i="7"/>
  <c r="BN50" i="7"/>
  <c r="BN49" i="7"/>
  <c r="BN48" i="7"/>
  <c r="BN47" i="7"/>
  <c r="BN46" i="7"/>
  <c r="BN45" i="7"/>
  <c r="BN44" i="7"/>
  <c r="BN43" i="7"/>
  <c r="BN42" i="7"/>
  <c r="BN41" i="7"/>
  <c r="BN40" i="7"/>
  <c r="BN39" i="7"/>
  <c r="BN38" i="7"/>
  <c r="BN37" i="7"/>
  <c r="BN36" i="7"/>
  <c r="BN35" i="7"/>
  <c r="BN34" i="7"/>
  <c r="BN33" i="7"/>
  <c r="BN32" i="7"/>
  <c r="BN31" i="7"/>
  <c r="BN30" i="7"/>
  <c r="BN29" i="7"/>
  <c r="BN28" i="7"/>
  <c r="BN27" i="7"/>
  <c r="BN26" i="7"/>
  <c r="BN25" i="7"/>
  <c r="BN24" i="7"/>
  <c r="BN23" i="7"/>
  <c r="BN22" i="7"/>
  <c r="BN21" i="7"/>
  <c r="BN20" i="7"/>
  <c r="BN19" i="7"/>
  <c r="BN18" i="7"/>
  <c r="BN17" i="7"/>
  <c r="BN16" i="7"/>
  <c r="BN15" i="7"/>
  <c r="BN14" i="7"/>
  <c r="BN13" i="7"/>
  <c r="BN12" i="7"/>
  <c r="BN11" i="7"/>
  <c r="BN10" i="7"/>
  <c r="BN9" i="7"/>
  <c r="BN8" i="7"/>
  <c r="BN7" i="7"/>
  <c r="BN6" i="7"/>
  <c r="BN5" i="7"/>
  <c r="BN4" i="7"/>
  <c r="E28" i="33"/>
  <c r="C2" i="37" l="1"/>
  <c r="C3" i="37"/>
  <c r="F7" i="37"/>
  <c r="H13" i="37"/>
  <c r="P13" i="37"/>
  <c r="Y13" i="37"/>
  <c r="H14" i="37"/>
  <c r="I14" i="37" s="1"/>
  <c r="P14" i="37"/>
  <c r="Y14" i="37"/>
  <c r="H15" i="37"/>
  <c r="I15" i="37" s="1"/>
  <c r="P15" i="37"/>
  <c r="Y15" i="37"/>
  <c r="H16" i="37"/>
  <c r="I16" i="37" s="1"/>
  <c r="P16" i="37"/>
  <c r="Y16" i="37"/>
  <c r="H17" i="37"/>
  <c r="I17" i="37" s="1"/>
  <c r="P17" i="37"/>
  <c r="Y17" i="37"/>
  <c r="H18" i="37"/>
  <c r="I18" i="37" s="1"/>
  <c r="P18" i="37"/>
  <c r="Y18" i="37"/>
  <c r="H19" i="37"/>
  <c r="I19" i="37" s="1"/>
  <c r="P19" i="37"/>
  <c r="Y19" i="37"/>
  <c r="H20" i="37"/>
  <c r="I20" i="37" s="1"/>
  <c r="P20" i="37"/>
  <c r="Y20" i="37"/>
  <c r="H21" i="37"/>
  <c r="I21" i="37" s="1"/>
  <c r="P21" i="37"/>
  <c r="Y21" i="37"/>
  <c r="H22" i="37"/>
  <c r="I22" i="37" s="1"/>
  <c r="P22" i="37"/>
  <c r="Y22" i="37"/>
  <c r="H23" i="37"/>
  <c r="I23" i="37" s="1"/>
  <c r="P23" i="37"/>
  <c r="Y23" i="37"/>
  <c r="H24" i="37"/>
  <c r="I24" i="37" s="1"/>
  <c r="P24" i="37"/>
  <c r="Y24" i="37"/>
  <c r="H25" i="37"/>
  <c r="I25" i="37" s="1"/>
  <c r="P25" i="37"/>
  <c r="Y25" i="37"/>
  <c r="H26" i="37"/>
  <c r="I26" i="37" s="1"/>
  <c r="P26" i="37"/>
  <c r="Y26" i="37"/>
  <c r="H27" i="37"/>
  <c r="I27" i="37" s="1"/>
  <c r="P27" i="37"/>
  <c r="Y27" i="37"/>
  <c r="H28" i="37"/>
  <c r="I28" i="37" s="1"/>
  <c r="P28" i="37"/>
  <c r="Y28" i="37"/>
  <c r="H29" i="37"/>
  <c r="I29" i="37" s="1"/>
  <c r="P29" i="37"/>
  <c r="Y29" i="37"/>
  <c r="H30" i="37"/>
  <c r="I30" i="37" s="1"/>
  <c r="P30" i="37"/>
  <c r="Y30" i="37"/>
  <c r="H31" i="37"/>
  <c r="I31" i="37" s="1"/>
  <c r="P31" i="37"/>
  <c r="Y31" i="37"/>
  <c r="H32" i="37"/>
  <c r="I32" i="37" s="1"/>
  <c r="P32" i="37"/>
  <c r="Y32" i="37"/>
  <c r="H33" i="37"/>
  <c r="I33" i="37" s="1"/>
  <c r="P33" i="37"/>
  <c r="Y33" i="37"/>
  <c r="H34" i="37"/>
  <c r="I34" i="37" s="1"/>
  <c r="P34" i="37"/>
  <c r="Y34" i="37"/>
  <c r="H35" i="37"/>
  <c r="I35" i="37" s="1"/>
  <c r="P35" i="37"/>
  <c r="Y35" i="37"/>
  <c r="H36" i="37"/>
  <c r="I36" i="37" s="1"/>
  <c r="P36" i="37"/>
  <c r="Y36" i="37"/>
  <c r="C2" i="35"/>
  <c r="C3" i="35"/>
  <c r="E2" i="34"/>
  <c r="E3" i="34"/>
  <c r="E34" i="34"/>
  <c r="E35" i="34"/>
  <c r="E36" i="34"/>
  <c r="E38" i="34"/>
  <c r="E39" i="34"/>
  <c r="E49" i="34"/>
  <c r="E104" i="34" s="1"/>
  <c r="E58" i="34"/>
  <c r="F58" i="34"/>
  <c r="G58" i="34"/>
  <c r="I58" i="34"/>
  <c r="G59" i="34"/>
  <c r="J59" i="34" s="1"/>
  <c r="G60" i="34"/>
  <c r="J60" i="34"/>
  <c r="E61" i="34"/>
  <c r="F61" i="34"/>
  <c r="I61" i="34"/>
  <c r="E62" i="34"/>
  <c r="F62" i="34"/>
  <c r="I62" i="34"/>
  <c r="E63" i="34"/>
  <c r="F63" i="34"/>
  <c r="I63" i="34"/>
  <c r="E64" i="34"/>
  <c r="J64" i="34" s="1"/>
  <c r="F64" i="34"/>
  <c r="I64" i="34"/>
  <c r="E65" i="34"/>
  <c r="F65" i="34"/>
  <c r="I65" i="34"/>
  <c r="E73" i="34"/>
  <c r="F73" i="34"/>
  <c r="G73" i="34"/>
  <c r="I73" i="34"/>
  <c r="G74" i="34"/>
  <c r="J74" i="34"/>
  <c r="G75" i="34"/>
  <c r="J75" i="34" s="1"/>
  <c r="E76" i="34"/>
  <c r="F76" i="34"/>
  <c r="I76" i="34"/>
  <c r="E77" i="34"/>
  <c r="F77" i="34"/>
  <c r="I77" i="34"/>
  <c r="E78" i="34"/>
  <c r="F78" i="34"/>
  <c r="I78" i="34"/>
  <c r="E79" i="34"/>
  <c r="F79" i="34"/>
  <c r="I79" i="34"/>
  <c r="E80" i="34"/>
  <c r="F80" i="34"/>
  <c r="I80" i="34"/>
  <c r="E88" i="34"/>
  <c r="F88" i="34"/>
  <c r="G88" i="34"/>
  <c r="I88" i="34"/>
  <c r="G89" i="34"/>
  <c r="J89" i="34" s="1"/>
  <c r="G90" i="34"/>
  <c r="J90" i="34"/>
  <c r="E91" i="34"/>
  <c r="F91" i="34"/>
  <c r="I91" i="34"/>
  <c r="E92" i="34"/>
  <c r="F92" i="34"/>
  <c r="I92" i="34"/>
  <c r="E93" i="34"/>
  <c r="F93" i="34"/>
  <c r="I93" i="34"/>
  <c r="E94" i="34"/>
  <c r="J94" i="34" s="1"/>
  <c r="F94" i="34"/>
  <c r="I94" i="34"/>
  <c r="E95" i="34"/>
  <c r="F95" i="34"/>
  <c r="I95" i="34"/>
  <c r="F103" i="34"/>
  <c r="G103" i="34"/>
  <c r="I103" i="34"/>
  <c r="F104" i="34"/>
  <c r="I104" i="34"/>
  <c r="F105" i="34"/>
  <c r="I105" i="34"/>
  <c r="F106" i="34"/>
  <c r="I106" i="34"/>
  <c r="F107" i="34"/>
  <c r="G107" i="34"/>
  <c r="I107" i="34"/>
  <c r="H108" i="34"/>
  <c r="I108" i="34"/>
  <c r="H109" i="34"/>
  <c r="I109" i="34"/>
  <c r="E117" i="34"/>
  <c r="F117" i="34"/>
  <c r="G117" i="34"/>
  <c r="I117" i="34"/>
  <c r="G123" i="34"/>
  <c r="J123" i="34" s="1"/>
  <c r="G124" i="34"/>
  <c r="J124" i="34"/>
  <c r="E125" i="34"/>
  <c r="F125" i="34"/>
  <c r="I125" i="34"/>
  <c r="E126" i="34"/>
  <c r="F126" i="34"/>
  <c r="I126" i="34"/>
  <c r="E127" i="34"/>
  <c r="F127" i="34"/>
  <c r="I127" i="34"/>
  <c r="E128" i="34"/>
  <c r="F128" i="34"/>
  <c r="I128" i="34"/>
  <c r="E129" i="34"/>
  <c r="F129" i="34"/>
  <c r="I129" i="34"/>
  <c r="E137" i="34"/>
  <c r="F137" i="34"/>
  <c r="G137" i="34"/>
  <c r="I137" i="34"/>
  <c r="G138" i="34"/>
  <c r="J138" i="34" s="1"/>
  <c r="G139" i="34"/>
  <c r="J139" i="34" s="1"/>
  <c r="E140" i="34"/>
  <c r="F140" i="34"/>
  <c r="I140" i="34"/>
  <c r="E141" i="34"/>
  <c r="F141" i="34"/>
  <c r="I141" i="34"/>
  <c r="E142" i="34"/>
  <c r="F142" i="34"/>
  <c r="I142" i="34"/>
  <c r="E143" i="34"/>
  <c r="F143" i="34"/>
  <c r="I143" i="34"/>
  <c r="E144" i="34"/>
  <c r="F144" i="34"/>
  <c r="I144" i="34"/>
  <c r="E152" i="34"/>
  <c r="F152" i="34"/>
  <c r="J152" i="34" s="1"/>
  <c r="G152" i="34"/>
  <c r="I152" i="34"/>
  <c r="G153" i="34"/>
  <c r="J153" i="34" s="1"/>
  <c r="G154" i="34"/>
  <c r="J154" i="34"/>
  <c r="E155" i="34"/>
  <c r="F155" i="34"/>
  <c r="I155" i="34"/>
  <c r="J155" i="34" s="1"/>
  <c r="E156" i="34"/>
  <c r="F156" i="34"/>
  <c r="I156" i="34"/>
  <c r="E157" i="34"/>
  <c r="F157" i="34"/>
  <c r="I157" i="34"/>
  <c r="E158" i="34"/>
  <c r="F158" i="34"/>
  <c r="I158" i="34"/>
  <c r="E159" i="34"/>
  <c r="F159" i="34"/>
  <c r="I159" i="34"/>
  <c r="E167" i="34"/>
  <c r="F167" i="34"/>
  <c r="G167" i="34"/>
  <c r="I167" i="34"/>
  <c r="G168" i="34"/>
  <c r="J168" i="34" s="1"/>
  <c r="G169" i="34"/>
  <c r="J169" i="34" s="1"/>
  <c r="E170" i="34"/>
  <c r="F170" i="34"/>
  <c r="I170" i="34"/>
  <c r="E171" i="34"/>
  <c r="F171" i="34"/>
  <c r="I171" i="34"/>
  <c r="E172" i="34"/>
  <c r="F172" i="34"/>
  <c r="I172" i="34"/>
  <c r="E173" i="34"/>
  <c r="F173" i="34"/>
  <c r="I173" i="34"/>
  <c r="E174" i="34"/>
  <c r="F174" i="34"/>
  <c r="I174" i="34"/>
  <c r="E183" i="34"/>
  <c r="F183" i="34"/>
  <c r="G183" i="34"/>
  <c r="I183" i="34"/>
  <c r="G184" i="34"/>
  <c r="J184" i="34" s="1"/>
  <c r="G185" i="34"/>
  <c r="J185" i="34" s="1"/>
  <c r="E186" i="34"/>
  <c r="F186" i="34"/>
  <c r="I186" i="34"/>
  <c r="E187" i="34"/>
  <c r="F187" i="34"/>
  <c r="I187" i="34"/>
  <c r="E188" i="34"/>
  <c r="F188" i="34"/>
  <c r="I188" i="34"/>
  <c r="J188" i="34" s="1"/>
  <c r="E189" i="34"/>
  <c r="F189" i="34"/>
  <c r="I189" i="34"/>
  <c r="J189" i="34" s="1"/>
  <c r="E190" i="34"/>
  <c r="F190" i="34"/>
  <c r="I190" i="34"/>
  <c r="E2" i="33"/>
  <c r="E3" i="33"/>
  <c r="E29" i="33"/>
  <c r="E56" i="33"/>
  <c r="J143" i="34" l="1"/>
  <c r="J95" i="34"/>
  <c r="J158" i="34"/>
  <c r="J117" i="34"/>
  <c r="J157" i="34"/>
  <c r="J127" i="34"/>
  <c r="J128" i="34"/>
  <c r="J187" i="34"/>
  <c r="J159" i="34"/>
  <c r="J129" i="34"/>
  <c r="J93" i="34"/>
  <c r="J91" i="34"/>
  <c r="J63" i="34"/>
  <c r="J167" i="34"/>
  <c r="J190" i="34"/>
  <c r="J126" i="34"/>
  <c r="J156" i="34"/>
  <c r="J92" i="34"/>
  <c r="J186" i="34"/>
  <c r="J125" i="34"/>
  <c r="J79" i="34"/>
  <c r="J65" i="34"/>
  <c r="J172" i="34"/>
  <c r="J61" i="34"/>
  <c r="J62" i="34"/>
  <c r="J183" i="34"/>
  <c r="J192" i="34" s="1"/>
  <c r="I13" i="37"/>
  <c r="J13" i="37"/>
  <c r="J88" i="34"/>
  <c r="J97" i="34" s="1"/>
  <c r="J58" i="34"/>
  <c r="O36" i="37"/>
  <c r="O32" i="37"/>
  <c r="O28" i="37"/>
  <c r="O24" i="37"/>
  <c r="O20" i="37"/>
  <c r="O16" i="37"/>
  <c r="O35" i="37"/>
  <c r="O31" i="37"/>
  <c r="O27" i="37"/>
  <c r="O23" i="37"/>
  <c r="O19" i="37"/>
  <c r="O15" i="37"/>
  <c r="O34" i="37"/>
  <c r="O30" i="37"/>
  <c r="O26" i="37"/>
  <c r="O22" i="37"/>
  <c r="O18" i="37"/>
  <c r="O14" i="37"/>
  <c r="O33" i="37"/>
  <c r="O29" i="37"/>
  <c r="O25" i="37"/>
  <c r="O21" i="37"/>
  <c r="O17" i="37"/>
  <c r="O13" i="37"/>
  <c r="E106" i="34"/>
  <c r="J106" i="34" s="1"/>
  <c r="E105" i="34"/>
  <c r="J105" i="34" s="1"/>
  <c r="M13" i="37"/>
  <c r="N14" i="37"/>
  <c r="E109" i="34"/>
  <c r="J109" i="34" s="1"/>
  <c r="E103" i="34"/>
  <c r="J103" i="34" s="1"/>
  <c r="N15" i="37"/>
  <c r="E107" i="34"/>
  <c r="J107" i="34" s="1"/>
  <c r="E108" i="34"/>
  <c r="J108" i="34" s="1"/>
  <c r="J73" i="34"/>
  <c r="AA34" i="37"/>
  <c r="AA30" i="37"/>
  <c r="AA26" i="37"/>
  <c r="AA22" i="37"/>
  <c r="AA18" i="37"/>
  <c r="AA14" i="37"/>
  <c r="AA35" i="37"/>
  <c r="AA31" i="37"/>
  <c r="AA27" i="37"/>
  <c r="AA23" i="37"/>
  <c r="AA19" i="37"/>
  <c r="AA15" i="37"/>
  <c r="AA32" i="37"/>
  <c r="AA25" i="37"/>
  <c r="AA21" i="37"/>
  <c r="AA36" i="37"/>
  <c r="AA28" i="37"/>
  <c r="AA24" i="37"/>
  <c r="AA20" i="37"/>
  <c r="AA16" i="37"/>
  <c r="M15" i="37"/>
  <c r="J33" i="37"/>
  <c r="K32" i="37"/>
  <c r="K21" i="37"/>
  <c r="J15" i="37"/>
  <c r="M14" i="37"/>
  <c r="K13" i="37"/>
  <c r="J20" i="37"/>
  <c r="K16" i="37"/>
  <c r="N13" i="37"/>
  <c r="J28" i="37"/>
  <c r="N27" i="37"/>
  <c r="N26" i="37"/>
  <c r="M25" i="37"/>
  <c r="M24" i="37"/>
  <c r="M23" i="37"/>
  <c r="M22" i="37"/>
  <c r="N22" i="37"/>
  <c r="K22" i="37"/>
  <c r="K18" i="37"/>
  <c r="M17" i="37"/>
  <c r="K14" i="37"/>
  <c r="J36" i="37"/>
  <c r="N35" i="37"/>
  <c r="N34" i="37"/>
  <c r="K33" i="37"/>
  <c r="J22" i="37"/>
  <c r="N21" i="37"/>
  <c r="N20" i="37"/>
  <c r="K17" i="37"/>
  <c r="J16" i="37"/>
  <c r="K24" i="37"/>
  <c r="K23" i="37"/>
  <c r="N16" i="37"/>
  <c r="J32" i="37"/>
  <c r="L32" i="37" s="1"/>
  <c r="W32" i="37" s="1"/>
  <c r="J14" i="36" s="1"/>
  <c r="N31" i="37"/>
  <c r="N30" i="37"/>
  <c r="K29" i="37"/>
  <c r="K26" i="37"/>
  <c r="J25" i="37"/>
  <c r="J24" i="37"/>
  <c r="J23" i="37"/>
  <c r="M20" i="37"/>
  <c r="M19" i="37"/>
  <c r="M16" i="37"/>
  <c r="K15" i="37"/>
  <c r="J14" i="37"/>
  <c r="M26" i="37"/>
  <c r="K25" i="37"/>
  <c r="K36" i="37"/>
  <c r="J29" i="37"/>
  <c r="K28" i="37"/>
  <c r="J26" i="37"/>
  <c r="N25" i="37"/>
  <c r="N24" i="37"/>
  <c r="N23" i="37"/>
  <c r="K19" i="37"/>
  <c r="M18" i="37"/>
  <c r="J21" i="37"/>
  <c r="K35" i="37"/>
  <c r="K34" i="37"/>
  <c r="K31" i="37"/>
  <c r="K30" i="37"/>
  <c r="K27" i="37"/>
  <c r="M21" i="37"/>
  <c r="K20" i="37"/>
  <c r="J19" i="37"/>
  <c r="J18" i="37"/>
  <c r="J17" i="37"/>
  <c r="N36" i="37"/>
  <c r="J35" i="37"/>
  <c r="J34" i="37"/>
  <c r="N33" i="37"/>
  <c r="N32" i="37"/>
  <c r="J31" i="37"/>
  <c r="J30" i="37"/>
  <c r="N29" i="37"/>
  <c r="N28" i="37"/>
  <c r="J27" i="37"/>
  <c r="N19" i="37"/>
  <c r="N18" i="37"/>
  <c r="N17" i="37"/>
  <c r="J174" i="34"/>
  <c r="J170" i="34"/>
  <c r="J141" i="34"/>
  <c r="J77" i="34"/>
  <c r="J171" i="34"/>
  <c r="J142" i="34"/>
  <c r="J137" i="34"/>
  <c r="J131" i="34"/>
  <c r="J78" i="34"/>
  <c r="J173" i="34"/>
  <c r="J161" i="34"/>
  <c r="J144" i="34"/>
  <c r="J140" i="34"/>
  <c r="J104" i="34"/>
  <c r="J80" i="34"/>
  <c r="J76" i="34"/>
  <c r="M36" i="37"/>
  <c r="M35" i="37"/>
  <c r="M34" i="37"/>
  <c r="M33" i="37"/>
  <c r="M32" i="37"/>
  <c r="M31" i="37"/>
  <c r="M30" i="37"/>
  <c r="M29" i="37"/>
  <c r="M28" i="37"/>
  <c r="M27" i="37"/>
  <c r="J67" i="34" l="1"/>
  <c r="J176" i="34"/>
  <c r="J82" i="34"/>
  <c r="AA29" i="37"/>
  <c r="AA17" i="37"/>
  <c r="AA33" i="37"/>
  <c r="AA13" i="37"/>
  <c r="I21" i="36"/>
  <c r="L29" i="37"/>
  <c r="W29" i="37" s="1"/>
  <c r="L14" i="37"/>
  <c r="W14" i="37" s="1"/>
  <c r="L36" i="37"/>
  <c r="W36" i="37" s="1"/>
  <c r="J16" i="36" s="1"/>
  <c r="L13" i="37"/>
  <c r="W13" i="37" s="1"/>
  <c r="L15" i="37"/>
  <c r="W15" i="37" s="1"/>
  <c r="J5" i="36" s="1"/>
  <c r="L33" i="37"/>
  <c r="W33" i="37" s="1"/>
  <c r="L20" i="37"/>
  <c r="W20" i="37" s="1"/>
  <c r="L17" i="37"/>
  <c r="W17" i="37" s="1"/>
  <c r="L19" i="37"/>
  <c r="W19" i="37" s="1"/>
  <c r="L27" i="37"/>
  <c r="W27" i="37" s="1"/>
  <c r="J11" i="36" s="1"/>
  <c r="L28" i="37"/>
  <c r="W28" i="37" s="1"/>
  <c r="J12" i="36" s="1"/>
  <c r="L25" i="37"/>
  <c r="W25" i="37" s="1"/>
  <c r="J9" i="36" s="1"/>
  <c r="L22" i="37"/>
  <c r="W22" i="37" s="1"/>
  <c r="L21" i="37"/>
  <c r="W21" i="37" s="1"/>
  <c r="L16" i="37"/>
  <c r="W16" i="37" s="1"/>
  <c r="J6" i="36" s="1"/>
  <c r="R22" i="37"/>
  <c r="V22" i="37" s="1"/>
  <c r="L31" i="37"/>
  <c r="W31" i="37" s="1"/>
  <c r="J13" i="36" s="1"/>
  <c r="L24" i="37"/>
  <c r="W24" i="37" s="1"/>
  <c r="J8" i="36" s="1"/>
  <c r="R14" i="37"/>
  <c r="V14" i="37" s="1"/>
  <c r="L30" i="37"/>
  <c r="W30" i="37" s="1"/>
  <c r="L18" i="37"/>
  <c r="W18" i="37" s="1"/>
  <c r="L26" i="37"/>
  <c r="W26" i="37" s="1"/>
  <c r="J10" i="36" s="1"/>
  <c r="L34" i="37"/>
  <c r="W34" i="37" s="1"/>
  <c r="L23" i="37"/>
  <c r="W23" i="37" s="1"/>
  <c r="J7" i="36" s="1"/>
  <c r="L35" i="37"/>
  <c r="W35" i="37" s="1"/>
  <c r="J15" i="36" s="1"/>
  <c r="R17" i="37"/>
  <c r="V17" i="37" s="1"/>
  <c r="R30" i="37"/>
  <c r="V30" i="37" s="1"/>
  <c r="R35" i="37"/>
  <c r="V35" i="37" s="1"/>
  <c r="I15" i="36" s="1"/>
  <c r="J111" i="34"/>
  <c r="R32" i="37"/>
  <c r="R19" i="37"/>
  <c r="V19" i="37" s="1"/>
  <c r="R24" i="37"/>
  <c r="V24" i="37" s="1"/>
  <c r="I8" i="36" s="1"/>
  <c r="R31" i="37"/>
  <c r="R26" i="37"/>
  <c r="V26" i="37" s="1"/>
  <c r="I10" i="36" s="1"/>
  <c r="R36" i="37"/>
  <c r="V36" i="37" s="1"/>
  <c r="I16" i="36" s="1"/>
  <c r="R29" i="37"/>
  <c r="V29" i="37" s="1"/>
  <c r="R21" i="37"/>
  <c r="V21" i="37" s="1"/>
  <c r="R13" i="37"/>
  <c r="V13" i="37" s="1"/>
  <c r="R20" i="37"/>
  <c r="V20" i="37" s="1"/>
  <c r="R25" i="37"/>
  <c r="V25" i="37" s="1"/>
  <c r="I9" i="36" s="1"/>
  <c r="R15" i="37"/>
  <c r="J146" i="34"/>
  <c r="R28" i="37"/>
  <c r="V28" i="37" s="1"/>
  <c r="I12" i="36" s="1"/>
  <c r="R16" i="37"/>
  <c r="V16" i="37" s="1"/>
  <c r="I6" i="36" s="1"/>
  <c r="R18" i="37"/>
  <c r="V18" i="37" s="1"/>
  <c r="R34" i="37"/>
  <c r="V34" i="37" s="1"/>
  <c r="R33" i="37"/>
  <c r="V33" i="37" s="1"/>
  <c r="R27" i="37"/>
  <c r="V27" i="37" s="1"/>
  <c r="I11" i="36" s="1"/>
  <c r="R23" i="37"/>
  <c r="V23" i="37" s="1"/>
  <c r="I7" i="36" s="1"/>
  <c r="S32" i="37" l="1"/>
  <c r="V32" i="37"/>
  <c r="I14" i="36" s="1"/>
  <c r="S15" i="37"/>
  <c r="V15" i="37"/>
  <c r="I5" i="36" s="1"/>
  <c r="S31" i="37"/>
  <c r="V31" i="37"/>
  <c r="I13" i="36" s="1"/>
  <c r="I23" i="36"/>
  <c r="S29" i="37"/>
  <c r="S14" i="37"/>
  <c r="S21" i="37"/>
  <c r="S36" i="37"/>
  <c r="S13" i="37"/>
  <c r="S25" i="37"/>
  <c r="S17" i="37"/>
  <c r="S16" i="37"/>
  <c r="S33" i="37"/>
  <c r="S28" i="37"/>
  <c r="S20" i="37"/>
  <c r="S27" i="37"/>
  <c r="S24" i="37"/>
  <c r="S19" i="37"/>
  <c r="S35" i="37"/>
  <c r="S22" i="37"/>
  <c r="S18" i="37"/>
  <c r="S30" i="37"/>
  <c r="S34" i="37"/>
  <c r="S26" i="37"/>
  <c r="S23" i="37"/>
  <c r="G15" i="5" l="1"/>
  <c r="H145" i="4" l="1"/>
  <c r="H144" i="4"/>
  <c r="C110" i="2" l="1"/>
  <c r="C109" i="2"/>
  <c r="C108" i="2"/>
  <c r="C111" i="2" l="1"/>
  <c r="C114" i="2" s="1"/>
  <c r="D114" i="2" l="1"/>
  <c r="J179" i="6" l="1"/>
  <c r="A179" i="6"/>
  <c r="B179" i="6" s="1"/>
  <c r="J178" i="6"/>
  <c r="A178" i="6"/>
  <c r="B178" i="6" s="1"/>
  <c r="J177" i="6"/>
  <c r="A177" i="6"/>
  <c r="B177" i="6" s="1"/>
  <c r="J176" i="6"/>
  <c r="A176" i="6"/>
  <c r="B176" i="6" s="1"/>
  <c r="J175" i="6"/>
  <c r="A175" i="6"/>
  <c r="B175" i="6" s="1"/>
  <c r="J174" i="6"/>
  <c r="A174" i="6"/>
  <c r="B174" i="6" s="1"/>
  <c r="J173" i="6"/>
  <c r="A173" i="6"/>
  <c r="B173" i="6" s="1"/>
  <c r="J172" i="6"/>
  <c r="A172" i="6"/>
  <c r="B172" i="6" s="1"/>
  <c r="J171" i="6"/>
  <c r="A171" i="6"/>
  <c r="B171" i="6" s="1"/>
  <c r="J170" i="6"/>
  <c r="A170" i="6"/>
  <c r="B170" i="6" s="1"/>
  <c r="J169" i="6"/>
  <c r="A169" i="6"/>
  <c r="B169" i="6" s="1"/>
  <c r="J168" i="6"/>
  <c r="A168" i="6"/>
  <c r="B168" i="6" s="1"/>
  <c r="J167" i="6"/>
  <c r="A167" i="6"/>
  <c r="B167" i="6" s="1"/>
  <c r="J166" i="6"/>
  <c r="A166" i="6"/>
  <c r="B166" i="6" s="1"/>
  <c r="J165" i="6"/>
  <c r="A165" i="6"/>
  <c r="B165" i="6" s="1"/>
  <c r="J164" i="6"/>
  <c r="A164" i="6"/>
  <c r="B164" i="6" s="1"/>
  <c r="J163" i="6"/>
  <c r="A163" i="6"/>
  <c r="B163" i="6" s="1"/>
  <c r="J162" i="6"/>
  <c r="A162" i="6"/>
  <c r="B162" i="6" s="1"/>
  <c r="J161" i="6"/>
  <c r="A161" i="6"/>
  <c r="B161" i="6" s="1"/>
  <c r="J160" i="6"/>
  <c r="A160" i="6"/>
  <c r="B160" i="6" s="1"/>
  <c r="J159" i="6"/>
  <c r="A159" i="6"/>
  <c r="B159" i="6" s="1"/>
  <c r="J158" i="6"/>
  <c r="A158" i="6"/>
  <c r="B158" i="6" s="1"/>
  <c r="J157" i="6"/>
  <c r="A157" i="6"/>
  <c r="B157" i="6" s="1"/>
  <c r="J156" i="6"/>
  <c r="A156" i="6"/>
  <c r="B156" i="6" s="1"/>
  <c r="J155" i="6"/>
  <c r="A155" i="6"/>
  <c r="B155" i="6" s="1"/>
  <c r="J154" i="6"/>
  <c r="A154" i="6"/>
  <c r="B154" i="6" s="1"/>
  <c r="J153" i="6"/>
  <c r="A153" i="6"/>
  <c r="B153" i="6" s="1"/>
  <c r="J152" i="6"/>
  <c r="A152" i="6"/>
  <c r="B152" i="6" s="1"/>
  <c r="J151" i="6"/>
  <c r="A151" i="6"/>
  <c r="B151" i="6" s="1"/>
  <c r="J150" i="6"/>
  <c r="A150" i="6"/>
  <c r="B150" i="6" s="1"/>
  <c r="J149" i="6"/>
  <c r="A149" i="6"/>
  <c r="B149" i="6" s="1"/>
  <c r="J148" i="6"/>
  <c r="A148" i="6"/>
  <c r="B148" i="6" s="1"/>
  <c r="J147" i="6"/>
  <c r="A147" i="6"/>
  <c r="B147" i="6" s="1"/>
  <c r="J146" i="6"/>
  <c r="A146" i="6"/>
  <c r="B146" i="6" s="1"/>
  <c r="J145" i="6"/>
  <c r="A145" i="6"/>
  <c r="B145" i="6" s="1"/>
  <c r="J144" i="6"/>
  <c r="A144" i="6"/>
  <c r="B144" i="6" s="1"/>
  <c r="J143" i="6"/>
  <c r="A143" i="6"/>
  <c r="B143" i="6" s="1"/>
  <c r="J142" i="6"/>
  <c r="A142" i="6"/>
  <c r="B142" i="6" s="1"/>
  <c r="J141" i="6"/>
  <c r="A141" i="6"/>
  <c r="B141" i="6" s="1"/>
  <c r="J140" i="6"/>
  <c r="A140" i="6"/>
  <c r="B140" i="6" s="1"/>
  <c r="J139" i="6"/>
  <c r="A139" i="6"/>
  <c r="B139" i="6" s="1"/>
  <c r="J138" i="6"/>
  <c r="A138" i="6"/>
  <c r="B138" i="6" s="1"/>
  <c r="J137" i="6"/>
  <c r="A137" i="6"/>
  <c r="B137" i="6" s="1"/>
  <c r="J136" i="6"/>
  <c r="A136" i="6"/>
  <c r="B136" i="6" s="1"/>
  <c r="J135" i="6"/>
  <c r="A135" i="6"/>
  <c r="B135" i="6" s="1"/>
  <c r="J134" i="6"/>
  <c r="A134" i="6"/>
  <c r="B134" i="6" s="1"/>
  <c r="J133" i="6"/>
  <c r="A133" i="6"/>
  <c r="B133" i="6" s="1"/>
  <c r="J132" i="6"/>
  <c r="A132" i="6"/>
  <c r="B132" i="6" s="1"/>
  <c r="J131" i="6"/>
  <c r="A131" i="6"/>
  <c r="B131" i="6" s="1"/>
  <c r="J130" i="6"/>
  <c r="A130" i="6"/>
  <c r="B130" i="6" s="1"/>
  <c r="J129" i="6"/>
  <c r="A129" i="6"/>
  <c r="B129" i="6" s="1"/>
  <c r="J128" i="6"/>
  <c r="A128" i="6"/>
  <c r="B128" i="6" s="1"/>
  <c r="J127" i="6"/>
  <c r="A127" i="6"/>
  <c r="B127" i="6" s="1"/>
  <c r="J126" i="6"/>
  <c r="A126" i="6"/>
  <c r="B126" i="6" s="1"/>
  <c r="J125" i="6"/>
  <c r="A125" i="6"/>
  <c r="B125" i="6" s="1"/>
  <c r="J124" i="6"/>
  <c r="A124" i="6"/>
  <c r="B124" i="6" s="1"/>
  <c r="J123" i="6"/>
  <c r="A123" i="6"/>
  <c r="B123" i="6" s="1"/>
  <c r="J122" i="6"/>
  <c r="A122" i="6"/>
  <c r="B122" i="6" s="1"/>
  <c r="J121" i="6"/>
  <c r="A121" i="6"/>
  <c r="B121" i="6" s="1"/>
  <c r="J120" i="6"/>
  <c r="A120" i="6"/>
  <c r="B120" i="6" s="1"/>
  <c r="J119" i="6"/>
  <c r="A119" i="6"/>
  <c r="B119" i="6" s="1"/>
  <c r="J118" i="6"/>
  <c r="A118" i="6"/>
  <c r="B118" i="6" s="1"/>
  <c r="J117" i="6"/>
  <c r="A117" i="6"/>
  <c r="B117" i="6" s="1"/>
  <c r="J116" i="6"/>
  <c r="A116" i="6"/>
  <c r="B116" i="6" s="1"/>
  <c r="J115" i="6"/>
  <c r="A115" i="6"/>
  <c r="B115" i="6" s="1"/>
  <c r="J114" i="6"/>
  <c r="A114" i="6"/>
  <c r="B114" i="6" s="1"/>
  <c r="J113" i="6"/>
  <c r="A113" i="6"/>
  <c r="B113" i="6" s="1"/>
  <c r="J112" i="6"/>
  <c r="A112" i="6"/>
  <c r="B112" i="6" s="1"/>
  <c r="J111" i="6"/>
  <c r="A111" i="6"/>
  <c r="B111" i="6" s="1"/>
  <c r="J110" i="6"/>
  <c r="A110" i="6"/>
  <c r="B110" i="6" s="1"/>
  <c r="J109" i="6"/>
  <c r="A109" i="6"/>
  <c r="B109" i="6" s="1"/>
  <c r="J108" i="6"/>
  <c r="A108" i="6"/>
  <c r="B108" i="6" s="1"/>
  <c r="J107" i="6"/>
  <c r="A107" i="6"/>
  <c r="B107" i="6" s="1"/>
  <c r="J106" i="6"/>
  <c r="A106" i="6"/>
  <c r="B106" i="6" s="1"/>
  <c r="J105" i="6"/>
  <c r="A105" i="6"/>
  <c r="B105" i="6" s="1"/>
  <c r="J104" i="6"/>
  <c r="A104" i="6"/>
  <c r="B104" i="6" s="1"/>
  <c r="J103" i="6"/>
  <c r="A103" i="6"/>
  <c r="B103" i="6" s="1"/>
  <c r="J102" i="6"/>
  <c r="A102" i="6"/>
  <c r="B102" i="6" s="1"/>
  <c r="J101" i="6"/>
  <c r="A101" i="6"/>
  <c r="B101" i="6" s="1"/>
  <c r="J100" i="6"/>
  <c r="A100" i="6"/>
  <c r="B100" i="6" s="1"/>
  <c r="J99" i="6"/>
  <c r="A99" i="6"/>
  <c r="B99" i="6" s="1"/>
  <c r="J98" i="6"/>
  <c r="A98" i="6"/>
  <c r="B98" i="6" s="1"/>
  <c r="J97" i="6"/>
  <c r="A97" i="6"/>
  <c r="B97" i="6" s="1"/>
  <c r="J96" i="6"/>
  <c r="A96" i="6"/>
  <c r="B96" i="6" s="1"/>
  <c r="J95" i="6"/>
  <c r="A95" i="6"/>
  <c r="B95" i="6" s="1"/>
  <c r="J94" i="6"/>
  <c r="A94" i="6"/>
  <c r="B94" i="6" s="1"/>
  <c r="J93" i="6"/>
  <c r="A93" i="6"/>
  <c r="B93" i="6" s="1"/>
  <c r="J92" i="6"/>
  <c r="A92" i="6"/>
  <c r="B92" i="6" s="1"/>
  <c r="J91" i="6"/>
  <c r="A91" i="6"/>
  <c r="B91" i="6" s="1"/>
  <c r="J90" i="6"/>
  <c r="A90" i="6"/>
  <c r="B90" i="6" s="1"/>
  <c r="J89" i="6"/>
  <c r="A89" i="6"/>
  <c r="B89" i="6" s="1"/>
  <c r="J88" i="6"/>
  <c r="A88" i="6"/>
  <c r="B88" i="6" s="1"/>
  <c r="J87" i="6"/>
  <c r="A87" i="6"/>
  <c r="B87" i="6" s="1"/>
  <c r="J86" i="6"/>
  <c r="A86" i="6"/>
  <c r="B86" i="6" s="1"/>
  <c r="J85" i="6"/>
  <c r="A85" i="6"/>
  <c r="B85" i="6" s="1"/>
  <c r="J84" i="6"/>
  <c r="A84" i="6"/>
  <c r="B84" i="6" s="1"/>
  <c r="J83" i="6"/>
  <c r="A83" i="6"/>
  <c r="B83" i="6" s="1"/>
  <c r="J82" i="6"/>
  <c r="A82" i="6"/>
  <c r="B82" i="6" s="1"/>
  <c r="J81" i="6"/>
  <c r="A81" i="6"/>
  <c r="B81" i="6" s="1"/>
  <c r="J80" i="6"/>
  <c r="A80" i="6"/>
  <c r="B80" i="6" s="1"/>
  <c r="J79" i="6"/>
  <c r="A79" i="6"/>
  <c r="B79" i="6" s="1"/>
  <c r="J78" i="6"/>
  <c r="A78" i="6"/>
  <c r="B78" i="6" s="1"/>
  <c r="J77" i="6"/>
  <c r="A77" i="6"/>
  <c r="B77" i="6" s="1"/>
  <c r="J76" i="6"/>
  <c r="A76" i="6"/>
  <c r="B76" i="6" s="1"/>
  <c r="J75" i="6"/>
  <c r="A75" i="6"/>
  <c r="B75" i="6" s="1"/>
  <c r="J74" i="6"/>
  <c r="A74" i="6"/>
  <c r="B74" i="6" s="1"/>
  <c r="J73" i="6"/>
  <c r="A73" i="6"/>
  <c r="B73" i="6" s="1"/>
  <c r="J72" i="6"/>
  <c r="A72" i="6"/>
  <c r="B72" i="6" s="1"/>
  <c r="J71" i="6"/>
  <c r="A71" i="6"/>
  <c r="B71" i="6" s="1"/>
  <c r="J70" i="6"/>
  <c r="A70" i="6"/>
  <c r="B70" i="6" s="1"/>
  <c r="J69" i="6"/>
  <c r="A69" i="6"/>
  <c r="B69" i="6" s="1"/>
  <c r="J68" i="6"/>
  <c r="A68" i="6"/>
  <c r="B68" i="6" s="1"/>
  <c r="J67" i="6"/>
  <c r="A67" i="6"/>
  <c r="B67" i="6" s="1"/>
  <c r="J66" i="6"/>
  <c r="A66" i="6"/>
  <c r="B66" i="6" s="1"/>
  <c r="J65" i="6"/>
  <c r="A65" i="6"/>
  <c r="B65" i="6" s="1"/>
  <c r="J64" i="6"/>
  <c r="A64" i="6"/>
  <c r="B64" i="6" s="1"/>
  <c r="J63" i="6"/>
  <c r="A63" i="6"/>
  <c r="B63" i="6" s="1"/>
  <c r="J62" i="6"/>
  <c r="A62" i="6"/>
  <c r="B62" i="6" s="1"/>
  <c r="J61" i="6"/>
  <c r="A61" i="6"/>
  <c r="B61" i="6" s="1"/>
  <c r="J60" i="6"/>
  <c r="A60" i="6"/>
  <c r="B60" i="6" s="1"/>
  <c r="J59" i="6"/>
  <c r="A59" i="6"/>
  <c r="B59" i="6" s="1"/>
  <c r="J58" i="6"/>
  <c r="A58" i="6"/>
  <c r="B58" i="6" s="1"/>
  <c r="J57" i="6"/>
  <c r="A57" i="6"/>
  <c r="B57" i="6" s="1"/>
  <c r="J56" i="6"/>
  <c r="A56" i="6"/>
  <c r="B56" i="6" s="1"/>
  <c r="J55" i="6"/>
  <c r="A55" i="6"/>
  <c r="B55" i="6" s="1"/>
  <c r="J54" i="6"/>
  <c r="A54" i="6"/>
  <c r="B54" i="6" s="1"/>
  <c r="J53" i="6"/>
  <c r="A53" i="6"/>
  <c r="B53" i="6" s="1"/>
  <c r="J52" i="6"/>
  <c r="A52" i="6"/>
  <c r="B52" i="6" s="1"/>
  <c r="J51" i="6"/>
  <c r="A51" i="6"/>
  <c r="B51" i="6" s="1"/>
  <c r="J50" i="6"/>
  <c r="A50" i="6"/>
  <c r="B50" i="6" s="1"/>
  <c r="J49" i="6"/>
  <c r="A49" i="6"/>
  <c r="B49" i="6" s="1"/>
  <c r="J48" i="6"/>
  <c r="A48" i="6"/>
  <c r="B48" i="6" s="1"/>
  <c r="J47" i="6"/>
  <c r="A47" i="6"/>
  <c r="B47" i="6" s="1"/>
  <c r="J46" i="6"/>
  <c r="A46" i="6"/>
  <c r="B46" i="6" s="1"/>
  <c r="J45" i="6"/>
  <c r="A45" i="6"/>
  <c r="B45" i="6" s="1"/>
  <c r="J44" i="6"/>
  <c r="A44" i="6"/>
  <c r="B44" i="6" s="1"/>
  <c r="B15" i="5" l="1"/>
  <c r="I10" i="5"/>
  <c r="I11" i="5"/>
  <c r="I12" i="5"/>
  <c r="I13" i="5"/>
  <c r="I9" i="5"/>
  <c r="B8" i="5"/>
  <c r="I78" i="5"/>
  <c r="H78" i="5"/>
  <c r="B78" i="5"/>
  <c r="I77" i="5"/>
  <c r="H77" i="5"/>
  <c r="B77" i="5"/>
  <c r="H55" i="5"/>
  <c r="I55" i="5"/>
  <c r="H56" i="5"/>
  <c r="I56" i="5"/>
  <c r="B56" i="5"/>
  <c r="B55" i="5"/>
  <c r="B34" i="5"/>
  <c r="B35" i="5"/>
  <c r="H35" i="5"/>
  <c r="I35" i="5"/>
  <c r="H36" i="5"/>
  <c r="I36" i="5"/>
  <c r="I23" i="5" l="1"/>
  <c r="I16" i="5"/>
  <c r="I17" i="5"/>
  <c r="I24" i="5"/>
  <c r="I27" i="5"/>
  <c r="I20" i="5"/>
  <c r="I18" i="5"/>
  <c r="I25" i="5"/>
  <c r="I26" i="5"/>
  <c r="I19" i="5"/>
  <c r="B117" i="3"/>
  <c r="B116" i="3"/>
  <c r="B115" i="3"/>
  <c r="B114" i="3"/>
  <c r="B113" i="3"/>
  <c r="B48" i="16"/>
  <c r="B47" i="16"/>
  <c r="B46" i="16"/>
  <c r="B45" i="16"/>
  <c r="B44" i="16"/>
  <c r="B43" i="16"/>
  <c r="B42" i="16"/>
  <c r="B41" i="16"/>
  <c r="B40" i="16"/>
  <c r="B39" i="16"/>
  <c r="B38" i="16"/>
  <c r="B37" i="16"/>
  <c r="B36" i="16"/>
  <c r="B35" i="16"/>
  <c r="B34" i="16"/>
  <c r="B33" i="16"/>
  <c r="B32" i="16"/>
  <c r="B31" i="16"/>
  <c r="B30" i="16"/>
  <c r="B29" i="16"/>
  <c r="B28" i="16"/>
  <c r="B27" i="16"/>
  <c r="B26" i="16"/>
  <c r="B25" i="16"/>
  <c r="B24" i="16"/>
  <c r="B23" i="16"/>
  <c r="B22" i="16"/>
  <c r="B21" i="16"/>
  <c r="B20" i="16"/>
  <c r="B19" i="16"/>
  <c r="B18" i="16"/>
  <c r="B17" i="16"/>
  <c r="B16" i="16"/>
  <c r="B15" i="16"/>
  <c r="B14" i="16"/>
  <c r="B13" i="16"/>
  <c r="B12" i="16"/>
  <c r="B11" i="16"/>
  <c r="B10" i="16"/>
  <c r="B9" i="16"/>
  <c r="B8" i="16"/>
  <c r="B7" i="16"/>
  <c r="B6" i="16"/>
  <c r="B5" i="16"/>
  <c r="B4" i="16"/>
  <c r="A573" i="7"/>
  <c r="B573" i="7" s="1"/>
  <c r="A572" i="7"/>
  <c r="B572" i="7" s="1"/>
  <c r="A571" i="7"/>
  <c r="B571" i="7" s="1"/>
  <c r="A570" i="7"/>
  <c r="B570" i="7" s="1"/>
  <c r="A569" i="7"/>
  <c r="B569" i="7" s="1"/>
  <c r="A568" i="7"/>
  <c r="B568" i="7" s="1"/>
  <c r="A567" i="7"/>
  <c r="B567" i="7" s="1"/>
  <c r="A566" i="7"/>
  <c r="A565" i="7"/>
  <c r="B565" i="7" s="1"/>
  <c r="A564" i="7"/>
  <c r="B564" i="7" s="1"/>
  <c r="A563" i="7"/>
  <c r="B563" i="7" s="1"/>
  <c r="A562" i="7"/>
  <c r="B562" i="7" s="1"/>
  <c r="A561" i="7"/>
  <c r="B561" i="7" s="1"/>
  <c r="A560" i="7"/>
  <c r="B560" i="7" s="1"/>
  <c r="A559" i="7"/>
  <c r="A558" i="7"/>
  <c r="B558" i="7" s="1"/>
  <c r="A557" i="7"/>
  <c r="B557" i="7" s="1"/>
  <c r="A556" i="7"/>
  <c r="B556" i="7" s="1"/>
  <c r="A555" i="7"/>
  <c r="B555" i="7" s="1"/>
  <c r="A554" i="7"/>
  <c r="A553" i="7"/>
  <c r="B553" i="7" s="1"/>
  <c r="A552" i="7"/>
  <c r="B552" i="7" s="1"/>
  <c r="A551" i="7"/>
  <c r="B551" i="7" s="1"/>
  <c r="A550" i="7"/>
  <c r="B550" i="7" s="1"/>
  <c r="A549" i="7"/>
  <c r="B549" i="7" s="1"/>
  <c r="A548" i="7"/>
  <c r="B548" i="7" s="1"/>
  <c r="A547" i="7"/>
  <c r="B547" i="7" s="1"/>
  <c r="A546" i="7"/>
  <c r="B546" i="7" s="1"/>
  <c r="A545" i="7"/>
  <c r="B545" i="7" s="1"/>
  <c r="A544" i="7"/>
  <c r="B544" i="7" s="1"/>
  <c r="A543" i="7"/>
  <c r="A542" i="7"/>
  <c r="A541" i="7"/>
  <c r="B541" i="7" s="1"/>
  <c r="A540" i="7"/>
  <c r="B540" i="7" s="1"/>
  <c r="A539" i="7"/>
  <c r="B539" i="7" s="1"/>
  <c r="A538" i="7"/>
  <c r="A537" i="7"/>
  <c r="B537" i="7" s="1"/>
  <c r="A536" i="7"/>
  <c r="B536" i="7" s="1"/>
  <c r="A535" i="7"/>
  <c r="B535" i="7" s="1"/>
  <c r="A534" i="7"/>
  <c r="B534" i="7" s="1"/>
  <c r="A533" i="7"/>
  <c r="B533" i="7" s="1"/>
  <c r="A532" i="7"/>
  <c r="B532" i="7" s="1"/>
  <c r="A531" i="7"/>
  <c r="A530" i="7"/>
  <c r="A529" i="7"/>
  <c r="B529" i="7" s="1"/>
  <c r="A528" i="7"/>
  <c r="B528" i="7" s="1"/>
  <c r="A527" i="7"/>
  <c r="B527" i="7" s="1"/>
  <c r="A526" i="7"/>
  <c r="A525" i="7"/>
  <c r="B525" i="7" s="1"/>
  <c r="A524" i="7"/>
  <c r="B524" i="7" s="1"/>
  <c r="A523" i="7"/>
  <c r="A522" i="7"/>
  <c r="B522" i="7" s="1"/>
  <c r="A521" i="7"/>
  <c r="B521" i="7" s="1"/>
  <c r="A520" i="7"/>
  <c r="B520" i="7" s="1"/>
  <c r="A519" i="7"/>
  <c r="B519" i="7" s="1"/>
  <c r="A518" i="7"/>
  <c r="A517" i="7"/>
  <c r="B517" i="7" s="1"/>
  <c r="A516" i="7"/>
  <c r="B516" i="7" s="1"/>
  <c r="A515" i="7"/>
  <c r="B515" i="7" s="1"/>
  <c r="A514" i="7"/>
  <c r="B514" i="7" s="1"/>
  <c r="A513" i="7"/>
  <c r="B513" i="7" s="1"/>
  <c r="A512" i="7"/>
  <c r="B512" i="7" s="1"/>
  <c r="A511" i="7"/>
  <c r="B511" i="7" s="1"/>
  <c r="A510" i="7"/>
  <c r="B510" i="7" s="1"/>
  <c r="A509" i="7"/>
  <c r="B509" i="7" s="1"/>
  <c r="A508" i="7"/>
  <c r="B508" i="7" s="1"/>
  <c r="A507" i="7"/>
  <c r="B507" i="7" s="1"/>
  <c r="A506" i="7"/>
  <c r="B506" i="7" s="1"/>
  <c r="A505" i="7"/>
  <c r="B505" i="7" s="1"/>
  <c r="A504" i="7"/>
  <c r="B504" i="7" s="1"/>
  <c r="A503" i="7"/>
  <c r="A502" i="7"/>
  <c r="A501" i="7"/>
  <c r="B501" i="7" s="1"/>
  <c r="A500" i="7"/>
  <c r="B500" i="7" s="1"/>
  <c r="A499" i="7"/>
  <c r="B499" i="7" s="1"/>
  <c r="A498" i="7"/>
  <c r="B498" i="7" s="1"/>
  <c r="A497" i="7"/>
  <c r="B497" i="7" s="1"/>
  <c r="A496" i="7"/>
  <c r="B496" i="7" s="1"/>
  <c r="A495" i="7"/>
  <c r="B495" i="7" s="1"/>
  <c r="A494" i="7"/>
  <c r="B494" i="7" s="1"/>
  <c r="A493" i="7"/>
  <c r="B493" i="7" s="1"/>
  <c r="A492" i="7"/>
  <c r="B492" i="7" s="1"/>
  <c r="A491" i="7"/>
  <c r="B491" i="7" s="1"/>
  <c r="A490" i="7"/>
  <c r="A489" i="7"/>
  <c r="B489" i="7" s="1"/>
  <c r="A488" i="7"/>
  <c r="B488" i="7" s="1"/>
  <c r="A487" i="7"/>
  <c r="B487" i="7" s="1"/>
  <c r="A486" i="7"/>
  <c r="B486" i="7" s="1"/>
  <c r="A485" i="7"/>
  <c r="B485" i="7" s="1"/>
  <c r="A484" i="7"/>
  <c r="B484" i="7" s="1"/>
  <c r="A483" i="7"/>
  <c r="B483" i="7" s="1"/>
  <c r="A482" i="7"/>
  <c r="B482" i="7" s="1"/>
  <c r="A481" i="7"/>
  <c r="B481" i="7" s="1"/>
  <c r="A480" i="7"/>
  <c r="B480" i="7" s="1"/>
  <c r="A479" i="7"/>
  <c r="B479" i="7" s="1"/>
  <c r="A478" i="7"/>
  <c r="A477" i="7"/>
  <c r="B477" i="7" s="1"/>
  <c r="A476" i="7"/>
  <c r="B476" i="7" s="1"/>
  <c r="A475" i="7"/>
  <c r="A474" i="7"/>
  <c r="A473" i="7"/>
  <c r="B473" i="7" s="1"/>
  <c r="A472" i="7"/>
  <c r="B472" i="7" s="1"/>
  <c r="A471" i="7"/>
  <c r="B471" i="7" s="1"/>
  <c r="A470" i="7"/>
  <c r="B470" i="7" s="1"/>
  <c r="A469" i="7"/>
  <c r="B469" i="7" s="1"/>
  <c r="A468" i="7"/>
  <c r="B468" i="7" s="1"/>
  <c r="A467" i="7"/>
  <c r="B467" i="7" s="1"/>
  <c r="A466" i="7"/>
  <c r="A465" i="7"/>
  <c r="B465" i="7" s="1"/>
  <c r="A464" i="7"/>
  <c r="B464" i="7" s="1"/>
  <c r="A463" i="7"/>
  <c r="B463" i="7" s="1"/>
  <c r="A462" i="7"/>
  <c r="A461" i="7"/>
  <c r="B461" i="7" s="1"/>
  <c r="A460" i="7"/>
  <c r="B460" i="7" s="1"/>
  <c r="A459" i="7"/>
  <c r="B459" i="7" s="1"/>
  <c r="A458" i="7"/>
  <c r="B458" i="7" s="1"/>
  <c r="A457" i="7"/>
  <c r="B457" i="7" s="1"/>
  <c r="A456" i="7"/>
  <c r="B456" i="7" s="1"/>
  <c r="A455" i="7"/>
  <c r="B455" i="7" s="1"/>
  <c r="A454" i="7"/>
  <c r="B454" i="7" s="1"/>
  <c r="A453" i="7"/>
  <c r="B453" i="7" s="1"/>
  <c r="A452" i="7"/>
  <c r="B452" i="7" s="1"/>
  <c r="A451" i="7"/>
  <c r="B451" i="7" s="1"/>
  <c r="A450" i="7"/>
  <c r="A449" i="7"/>
  <c r="B449" i="7" s="1"/>
  <c r="A448" i="7"/>
  <c r="B448" i="7" s="1"/>
  <c r="A447" i="7"/>
  <c r="B447" i="7" s="1"/>
  <c r="A446" i="7"/>
  <c r="A445" i="7"/>
  <c r="B445" i="7" s="1"/>
  <c r="A444" i="7"/>
  <c r="B444" i="7" s="1"/>
  <c r="A443" i="7"/>
  <c r="B443" i="7" s="1"/>
  <c r="A442" i="7"/>
  <c r="B442" i="7" s="1"/>
  <c r="A441" i="7"/>
  <c r="B441" i="7" s="1"/>
  <c r="A440" i="7"/>
  <c r="B440" i="7" s="1"/>
  <c r="A439" i="7"/>
  <c r="B439" i="7" s="1"/>
  <c r="A438" i="7"/>
  <c r="A437" i="7"/>
  <c r="B437" i="7" s="1"/>
  <c r="A436" i="7"/>
  <c r="B436" i="7" s="1"/>
  <c r="A435" i="7"/>
  <c r="B435" i="7" s="1"/>
  <c r="A434" i="7"/>
  <c r="A433" i="7"/>
  <c r="B433" i="7" s="1"/>
  <c r="A432" i="7"/>
  <c r="B432" i="7" s="1"/>
  <c r="A431" i="7"/>
  <c r="B431" i="7" s="1"/>
  <c r="A430" i="7"/>
  <c r="B430" i="7" s="1"/>
  <c r="A429" i="7"/>
  <c r="B429" i="7" s="1"/>
  <c r="A428" i="7"/>
  <c r="B428" i="7" s="1"/>
  <c r="A427" i="7"/>
  <c r="B427" i="7" s="1"/>
  <c r="A426" i="7"/>
  <c r="A425" i="7"/>
  <c r="B425" i="7" s="1"/>
  <c r="A424" i="7"/>
  <c r="B424" i="7" s="1"/>
  <c r="A423" i="7"/>
  <c r="B423" i="7" s="1"/>
  <c r="A422" i="7"/>
  <c r="B422" i="7" s="1"/>
  <c r="A421" i="7"/>
  <c r="B421" i="7" s="1"/>
  <c r="A420" i="7"/>
  <c r="B420" i="7" s="1"/>
  <c r="A419" i="7"/>
  <c r="B419" i="7" s="1"/>
  <c r="A418" i="7"/>
  <c r="B418" i="7" s="1"/>
  <c r="A417" i="7"/>
  <c r="B417" i="7" s="1"/>
  <c r="A416" i="7"/>
  <c r="B416" i="7" s="1"/>
  <c r="A415" i="7"/>
  <c r="B415" i="7" s="1"/>
  <c r="A414" i="7"/>
  <c r="B414" i="7" s="1"/>
  <c r="A413" i="7"/>
  <c r="B413" i="7" s="1"/>
  <c r="A412" i="7"/>
  <c r="B412" i="7" s="1"/>
  <c r="A411" i="7"/>
  <c r="B411" i="7" s="1"/>
  <c r="A410" i="7"/>
  <c r="A409" i="7"/>
  <c r="B409" i="7" s="1"/>
  <c r="A408" i="7"/>
  <c r="B408" i="7" s="1"/>
  <c r="A407" i="7"/>
  <c r="B407" i="7" s="1"/>
  <c r="A406" i="7"/>
  <c r="B406" i="7" s="1"/>
  <c r="A405" i="7"/>
  <c r="B405" i="7" s="1"/>
  <c r="A404" i="7"/>
  <c r="B404" i="7" s="1"/>
  <c r="A403" i="7"/>
  <c r="B403" i="7" s="1"/>
  <c r="A402" i="7"/>
  <c r="B402" i="7" s="1"/>
  <c r="A401" i="7"/>
  <c r="B401" i="7" s="1"/>
  <c r="A400" i="7"/>
  <c r="B400" i="7" s="1"/>
  <c r="A399" i="7"/>
  <c r="B399" i="7" s="1"/>
  <c r="A398" i="7"/>
  <c r="A397" i="7"/>
  <c r="B397" i="7" s="1"/>
  <c r="A396" i="7"/>
  <c r="B396" i="7" s="1"/>
  <c r="A395" i="7"/>
  <c r="A394" i="7"/>
  <c r="B394" i="7" s="1"/>
  <c r="A393" i="7"/>
  <c r="B393" i="7" s="1"/>
  <c r="A392" i="7"/>
  <c r="B392" i="7" s="1"/>
  <c r="A391" i="7"/>
  <c r="B391" i="7" s="1"/>
  <c r="A390" i="7"/>
  <c r="B390" i="7" s="1"/>
  <c r="A389" i="7"/>
  <c r="B389" i="7" s="1"/>
  <c r="A388" i="7"/>
  <c r="B388" i="7" s="1"/>
  <c r="A387" i="7"/>
  <c r="B387" i="7" s="1"/>
  <c r="A386" i="7"/>
  <c r="A385" i="7"/>
  <c r="B385" i="7" s="1"/>
  <c r="A384" i="7"/>
  <c r="B384" i="7" s="1"/>
  <c r="A383" i="7"/>
  <c r="B383" i="7" s="1"/>
  <c r="A382" i="7"/>
  <c r="A381" i="7"/>
  <c r="B381" i="7" s="1"/>
  <c r="A380" i="7"/>
  <c r="B380" i="7" s="1"/>
  <c r="A379" i="7"/>
  <c r="B379" i="7" s="1"/>
  <c r="A378" i="7"/>
  <c r="B378" i="7" s="1"/>
  <c r="A377" i="7"/>
  <c r="B377" i="7" s="1"/>
  <c r="A376" i="7"/>
  <c r="B376" i="7" s="1"/>
  <c r="A375" i="7"/>
  <c r="B375" i="7" s="1"/>
  <c r="A374" i="7"/>
  <c r="A373" i="7"/>
  <c r="B373" i="7" s="1"/>
  <c r="A372" i="7"/>
  <c r="B372" i="7" s="1"/>
  <c r="A371" i="7"/>
  <c r="B371" i="7" s="1"/>
  <c r="A370" i="7"/>
  <c r="A369" i="7"/>
  <c r="B369" i="7" s="1"/>
  <c r="A368" i="7"/>
  <c r="B368" i="7" s="1"/>
  <c r="A367" i="7"/>
  <c r="B367" i="7" s="1"/>
  <c r="A366" i="7"/>
  <c r="B366" i="7" s="1"/>
  <c r="A365" i="7"/>
  <c r="B365" i="7" s="1"/>
  <c r="A364" i="7"/>
  <c r="B364" i="7" s="1"/>
  <c r="A363" i="7"/>
  <c r="B363" i="7" s="1"/>
  <c r="A362" i="7"/>
  <c r="A361" i="7"/>
  <c r="B361" i="7" s="1"/>
  <c r="A360" i="7"/>
  <c r="B360" i="7" s="1"/>
  <c r="A359" i="7"/>
  <c r="A358" i="7"/>
  <c r="B358" i="7" s="1"/>
  <c r="A357" i="7"/>
  <c r="B357" i="7" s="1"/>
  <c r="A356" i="7"/>
  <c r="B356" i="7" s="1"/>
  <c r="A355" i="7"/>
  <c r="B355" i="7" s="1"/>
  <c r="A354" i="7"/>
  <c r="B354" i="7" s="1"/>
  <c r="A353" i="7"/>
  <c r="B353" i="7" s="1"/>
  <c r="A352" i="7"/>
  <c r="B352" i="7" s="1"/>
  <c r="A351" i="7"/>
  <c r="B351" i="7" s="1"/>
  <c r="A350" i="7"/>
  <c r="B350" i="7" s="1"/>
  <c r="A349" i="7"/>
  <c r="B349" i="7" s="1"/>
  <c r="A348" i="7"/>
  <c r="B348" i="7" s="1"/>
  <c r="A347" i="7"/>
  <c r="B347" i="7" s="1"/>
  <c r="A346" i="7"/>
  <c r="A345" i="7"/>
  <c r="B345" i="7" s="1"/>
  <c r="A344" i="7"/>
  <c r="B344" i="7" s="1"/>
  <c r="A343" i="7"/>
  <c r="A342" i="7"/>
  <c r="A341" i="7"/>
  <c r="B341" i="7" s="1"/>
  <c r="A340" i="7"/>
  <c r="B340" i="7" s="1"/>
  <c r="A339" i="7"/>
  <c r="B339" i="7" s="1"/>
  <c r="A338" i="7"/>
  <c r="B338" i="7" s="1"/>
  <c r="A337" i="7"/>
  <c r="B337" i="7" s="1"/>
  <c r="A336" i="7"/>
  <c r="B336" i="7" s="1"/>
  <c r="A335" i="7"/>
  <c r="B335" i="7" s="1"/>
  <c r="A334" i="7"/>
  <c r="A333" i="7"/>
  <c r="B333" i="7" s="1"/>
  <c r="A332" i="7"/>
  <c r="B332" i="7" s="1"/>
  <c r="A331" i="7"/>
  <c r="A330" i="7"/>
  <c r="B330" i="7" s="1"/>
  <c r="A329" i="7"/>
  <c r="B329" i="7" s="1"/>
  <c r="A328" i="7"/>
  <c r="B328" i="7" s="1"/>
  <c r="A327" i="7"/>
  <c r="B327" i="7" s="1"/>
  <c r="A326" i="7"/>
  <c r="B326" i="7" s="1"/>
  <c r="A325" i="7"/>
  <c r="B325" i="7" s="1"/>
  <c r="A324" i="7"/>
  <c r="B324" i="7" s="1"/>
  <c r="A323" i="7"/>
  <c r="B323" i="7" s="1"/>
  <c r="A322" i="7"/>
  <c r="B322" i="7" s="1"/>
  <c r="A321" i="7"/>
  <c r="B321" i="7" s="1"/>
  <c r="A320" i="7"/>
  <c r="B320" i="7" s="1"/>
  <c r="A319" i="7"/>
  <c r="B319" i="7" s="1"/>
  <c r="A318" i="7"/>
  <c r="A317" i="7"/>
  <c r="B317" i="7" s="1"/>
  <c r="A316" i="7"/>
  <c r="B316" i="7" s="1"/>
  <c r="A315" i="7"/>
  <c r="B315" i="7" s="1"/>
  <c r="A314" i="7"/>
  <c r="B314" i="7" s="1"/>
  <c r="A313" i="7"/>
  <c r="B313" i="7" s="1"/>
  <c r="A312" i="7"/>
  <c r="B312" i="7" s="1"/>
  <c r="A311" i="7"/>
  <c r="A310" i="7"/>
  <c r="B310" i="7" s="1"/>
  <c r="A309" i="7"/>
  <c r="B309" i="7" s="1"/>
  <c r="A308" i="7"/>
  <c r="B308" i="7" s="1"/>
  <c r="A307" i="7"/>
  <c r="B307" i="7" s="1"/>
  <c r="A306" i="7"/>
  <c r="A305" i="7"/>
  <c r="B305" i="7" s="1"/>
  <c r="A304" i="7"/>
  <c r="B304" i="7" s="1"/>
  <c r="A303" i="7"/>
  <c r="B303" i="7" s="1"/>
  <c r="A302" i="7"/>
  <c r="B302" i="7" s="1"/>
  <c r="A301" i="7"/>
  <c r="B301" i="7" s="1"/>
  <c r="A300" i="7"/>
  <c r="B300" i="7" s="1"/>
  <c r="A299" i="7"/>
  <c r="B299" i="7" s="1"/>
  <c r="A298" i="7"/>
  <c r="B298" i="7" s="1"/>
  <c r="A297" i="7"/>
  <c r="B297" i="7" s="1"/>
  <c r="A296" i="7"/>
  <c r="B296" i="7" s="1"/>
  <c r="A295" i="7"/>
  <c r="A294" i="7"/>
  <c r="B294" i="7" s="1"/>
  <c r="A293" i="7"/>
  <c r="B293" i="7" s="1"/>
  <c r="A292" i="7"/>
  <c r="B292" i="7" s="1"/>
  <c r="A291" i="7"/>
  <c r="B291" i="7" s="1"/>
  <c r="A290" i="7"/>
  <c r="A289" i="7"/>
  <c r="B289" i="7" s="1"/>
  <c r="A288" i="7"/>
  <c r="B288" i="7" s="1"/>
  <c r="A287" i="7"/>
  <c r="B287" i="7" s="1"/>
  <c r="A286" i="7"/>
  <c r="B286" i="7" s="1"/>
  <c r="A285" i="7"/>
  <c r="B285" i="7" s="1"/>
  <c r="A284" i="7"/>
  <c r="B284" i="7" s="1"/>
  <c r="A283" i="7"/>
  <c r="A282" i="7"/>
  <c r="A281" i="7"/>
  <c r="B281" i="7" s="1"/>
  <c r="A280" i="7"/>
  <c r="B280" i="7" s="1"/>
  <c r="A279" i="7"/>
  <c r="B279" i="7" s="1"/>
  <c r="A278" i="7"/>
  <c r="B278" i="7" s="1"/>
  <c r="A277" i="7"/>
  <c r="B277" i="7" s="1"/>
  <c r="A276" i="7"/>
  <c r="B276" i="7" s="1"/>
  <c r="A275" i="7"/>
  <c r="B275" i="7" s="1"/>
  <c r="A274" i="7"/>
  <c r="B274" i="7" s="1"/>
  <c r="A273" i="7"/>
  <c r="B273" i="7" s="1"/>
  <c r="A272" i="7"/>
  <c r="B272" i="7" s="1"/>
  <c r="A271" i="7"/>
  <c r="B271" i="7" s="1"/>
  <c r="A270" i="7"/>
  <c r="B270" i="7" s="1"/>
  <c r="A269" i="7"/>
  <c r="B269" i="7" s="1"/>
  <c r="A268" i="7"/>
  <c r="B268" i="7" s="1"/>
  <c r="A267" i="7"/>
  <c r="A266" i="7"/>
  <c r="B266" i="7" s="1"/>
  <c r="A265" i="7"/>
  <c r="B265" i="7" s="1"/>
  <c r="A264" i="7"/>
  <c r="B264" i="7" s="1"/>
  <c r="A263" i="7"/>
  <c r="B263" i="7" s="1"/>
  <c r="A262" i="7"/>
  <c r="B262" i="7" s="1"/>
  <c r="A261" i="7"/>
  <c r="B261" i="7" s="1"/>
  <c r="A260" i="7"/>
  <c r="B260" i="7" s="1"/>
  <c r="A259" i="7"/>
  <c r="B259" i="7" s="1"/>
  <c r="A258" i="7"/>
  <c r="B258" i="7" s="1"/>
  <c r="A257" i="7"/>
  <c r="B257" i="7" s="1"/>
  <c r="A256" i="7"/>
  <c r="B256" i="7" s="1"/>
  <c r="A255" i="7"/>
  <c r="B255" i="7" s="1"/>
  <c r="A254" i="7"/>
  <c r="B254" i="7" s="1"/>
  <c r="A253" i="7"/>
  <c r="B253" i="7" s="1"/>
  <c r="A252" i="7"/>
  <c r="B252" i="7" s="1"/>
  <c r="A251" i="7"/>
  <c r="B251" i="7" s="1"/>
  <c r="A250" i="7"/>
  <c r="B250" i="7" s="1"/>
  <c r="A249" i="7"/>
  <c r="B249" i="7" s="1"/>
  <c r="A248" i="7"/>
  <c r="B248" i="7" s="1"/>
  <c r="A247" i="7"/>
  <c r="B247" i="7" s="1"/>
  <c r="A246" i="7"/>
  <c r="B246" i="7" s="1"/>
  <c r="A245" i="7"/>
  <c r="B245" i="7" s="1"/>
  <c r="A244" i="7"/>
  <c r="B244" i="7" s="1"/>
  <c r="A243" i="7"/>
  <c r="A242" i="7"/>
  <c r="A241" i="7"/>
  <c r="B241" i="7" s="1"/>
  <c r="A240" i="7"/>
  <c r="B240" i="7" s="1"/>
  <c r="A239" i="7"/>
  <c r="B239" i="7" s="1"/>
  <c r="A238" i="7"/>
  <c r="B238" i="7" s="1"/>
  <c r="A237" i="7"/>
  <c r="B237" i="7" s="1"/>
  <c r="A236" i="7"/>
  <c r="B236" i="7" s="1"/>
  <c r="A235" i="7"/>
  <c r="B235" i="7" s="1"/>
  <c r="A234" i="7"/>
  <c r="B234" i="7" s="1"/>
  <c r="A233" i="7"/>
  <c r="B233" i="7" s="1"/>
  <c r="A232" i="7"/>
  <c r="B232" i="7" s="1"/>
  <c r="A231" i="7"/>
  <c r="B231" i="7" s="1"/>
  <c r="A230" i="7"/>
  <c r="B230" i="7" s="1"/>
  <c r="A229" i="7"/>
  <c r="B229" i="7" s="1"/>
  <c r="A228" i="7"/>
  <c r="B228" i="7" s="1"/>
  <c r="A227" i="7"/>
  <c r="B227" i="7" s="1"/>
  <c r="A226" i="7"/>
  <c r="A225" i="7"/>
  <c r="B225" i="7" s="1"/>
  <c r="A224" i="7"/>
  <c r="B224" i="7" s="1"/>
  <c r="A223" i="7"/>
  <c r="B223" i="7" s="1"/>
  <c r="A222" i="7"/>
  <c r="B222" i="7" s="1"/>
  <c r="A221" i="7"/>
  <c r="B221" i="7" s="1"/>
  <c r="A220" i="7"/>
  <c r="B220" i="7" s="1"/>
  <c r="A219" i="7"/>
  <c r="B219" i="7" s="1"/>
  <c r="A218" i="7"/>
  <c r="B218" i="7" s="1"/>
  <c r="A217" i="7"/>
  <c r="B217" i="7" s="1"/>
  <c r="A216" i="7"/>
  <c r="B216" i="7" s="1"/>
  <c r="A215" i="7"/>
  <c r="B215" i="7" s="1"/>
  <c r="A214" i="7"/>
  <c r="B214" i="7" s="1"/>
  <c r="A213" i="7"/>
  <c r="B213" i="7" s="1"/>
  <c r="A212" i="7"/>
  <c r="B212" i="7" s="1"/>
  <c r="A211" i="7"/>
  <c r="B211" i="7" s="1"/>
  <c r="A210" i="7"/>
  <c r="B210" i="7" s="1"/>
  <c r="A209" i="7"/>
  <c r="B209" i="7" s="1"/>
  <c r="A208" i="7"/>
  <c r="B208" i="7" s="1"/>
  <c r="A207" i="7"/>
  <c r="B207" i="7" s="1"/>
  <c r="A206" i="7"/>
  <c r="B206" i="7" s="1"/>
  <c r="A205" i="7"/>
  <c r="B205" i="7" s="1"/>
  <c r="A204" i="7"/>
  <c r="B204" i="7" s="1"/>
  <c r="A203" i="7"/>
  <c r="B203" i="7" s="1"/>
  <c r="A202" i="7"/>
  <c r="B202" i="7" s="1"/>
  <c r="A201" i="7"/>
  <c r="B201" i="7" s="1"/>
  <c r="A200" i="7"/>
  <c r="B200" i="7" s="1"/>
  <c r="A199" i="7"/>
  <c r="A198" i="7"/>
  <c r="B198" i="7" s="1"/>
  <c r="A197" i="7"/>
  <c r="B197" i="7" s="1"/>
  <c r="A196" i="7"/>
  <c r="B196" i="7" s="1"/>
  <c r="A195" i="7"/>
  <c r="B195" i="7" s="1"/>
  <c r="A194" i="7"/>
  <c r="B194" i="7" s="1"/>
  <c r="A193" i="7"/>
  <c r="B193" i="7" s="1"/>
  <c r="A192" i="7"/>
  <c r="B192" i="7" s="1"/>
  <c r="A191" i="7"/>
  <c r="B191" i="7" s="1"/>
  <c r="A190" i="7"/>
  <c r="A189" i="7"/>
  <c r="B189" i="7" s="1"/>
  <c r="A188" i="7"/>
  <c r="B188" i="7" s="1"/>
  <c r="A187" i="7"/>
  <c r="B187" i="7" s="1"/>
  <c r="A186" i="7"/>
  <c r="B186" i="7" s="1"/>
  <c r="A185" i="7"/>
  <c r="B185" i="7" s="1"/>
  <c r="A184" i="7"/>
  <c r="B184" i="7" s="1"/>
  <c r="A183" i="7"/>
  <c r="B183" i="7" s="1"/>
  <c r="A182" i="7"/>
  <c r="B182" i="7" s="1"/>
  <c r="A181" i="7"/>
  <c r="B181" i="7" s="1"/>
  <c r="A180" i="7"/>
  <c r="B180" i="7" s="1"/>
  <c r="A179" i="7"/>
  <c r="B179" i="7" s="1"/>
  <c r="A178" i="7"/>
  <c r="B178" i="7" s="1"/>
  <c r="A177" i="7"/>
  <c r="B177" i="7" s="1"/>
  <c r="A176" i="7"/>
  <c r="B176" i="7" s="1"/>
  <c r="A175" i="7"/>
  <c r="B175" i="7" s="1"/>
  <c r="A174" i="7"/>
  <c r="B174" i="7" s="1"/>
  <c r="A173" i="7"/>
  <c r="B173" i="7" s="1"/>
  <c r="A172" i="7"/>
  <c r="B172" i="7" s="1"/>
  <c r="A171" i="7"/>
  <c r="A170" i="7"/>
  <c r="B170" i="7" s="1"/>
  <c r="A169" i="7"/>
  <c r="B169" i="7" s="1"/>
  <c r="A168" i="7"/>
  <c r="B168" i="7" s="1"/>
  <c r="A167" i="7"/>
  <c r="B167" i="7" s="1"/>
  <c r="A166" i="7"/>
  <c r="B166" i="7" s="1"/>
  <c r="A165" i="7"/>
  <c r="B165" i="7" s="1"/>
  <c r="A164" i="7"/>
  <c r="B164" i="7" s="1"/>
  <c r="A163" i="7"/>
  <c r="B163" i="7" s="1"/>
  <c r="A162" i="7"/>
  <c r="B162" i="7" s="1"/>
  <c r="A161" i="7"/>
  <c r="B161" i="7" s="1"/>
  <c r="A160" i="7"/>
  <c r="B160" i="7" s="1"/>
  <c r="A159" i="7"/>
  <c r="B159" i="7" s="1"/>
  <c r="A158" i="7"/>
  <c r="B158" i="7" s="1"/>
  <c r="A157" i="7"/>
  <c r="B157" i="7" s="1"/>
  <c r="A156" i="7"/>
  <c r="B156" i="7" s="1"/>
  <c r="A155" i="7"/>
  <c r="B155" i="7" s="1"/>
  <c r="A154" i="7"/>
  <c r="B154" i="7" s="1"/>
  <c r="A153" i="7"/>
  <c r="B153" i="7" s="1"/>
  <c r="A152" i="7"/>
  <c r="B152" i="7" s="1"/>
  <c r="A151" i="7"/>
  <c r="B151" i="7" s="1"/>
  <c r="A150" i="7"/>
  <c r="B150" i="7" s="1"/>
  <c r="A149" i="7"/>
  <c r="B149" i="7" s="1"/>
  <c r="A148" i="7"/>
  <c r="B148" i="7" s="1"/>
  <c r="A147" i="7"/>
  <c r="B147" i="7" s="1"/>
  <c r="A146" i="7"/>
  <c r="B146" i="7" s="1"/>
  <c r="A145" i="7"/>
  <c r="B145" i="7" s="1"/>
  <c r="A144" i="7"/>
  <c r="B144" i="7" s="1"/>
  <c r="A143" i="7"/>
  <c r="A142" i="7"/>
  <c r="B142" i="7" s="1"/>
  <c r="A141" i="7"/>
  <c r="B141" i="7" s="1"/>
  <c r="A140" i="7"/>
  <c r="B140" i="7" s="1"/>
  <c r="A139" i="7"/>
  <c r="B139" i="7" s="1"/>
  <c r="A138" i="7"/>
  <c r="A137" i="7"/>
  <c r="B137" i="7" s="1"/>
  <c r="A136" i="7"/>
  <c r="B136" i="7" s="1"/>
  <c r="A135" i="7"/>
  <c r="B135" i="7" s="1"/>
  <c r="A134" i="7"/>
  <c r="B134" i="7" s="1"/>
  <c r="A133" i="7"/>
  <c r="B133" i="7" s="1"/>
  <c r="A132" i="7"/>
  <c r="B132" i="7" s="1"/>
  <c r="A131" i="7"/>
  <c r="B131" i="7" s="1"/>
  <c r="A130" i="7"/>
  <c r="B130" i="7" s="1"/>
  <c r="A129" i="7"/>
  <c r="B129" i="7" s="1"/>
  <c r="A128" i="7"/>
  <c r="B128" i="7" s="1"/>
  <c r="A127" i="7"/>
  <c r="A126" i="7"/>
  <c r="B126" i="7" s="1"/>
  <c r="A125" i="7"/>
  <c r="B125" i="7" s="1"/>
  <c r="A124" i="7"/>
  <c r="B124" i="7" s="1"/>
  <c r="A123" i="7"/>
  <c r="B123" i="7" s="1"/>
  <c r="A122" i="7"/>
  <c r="B122" i="7" s="1"/>
  <c r="A121" i="7"/>
  <c r="B121" i="7" s="1"/>
  <c r="A120" i="7"/>
  <c r="B120" i="7" s="1"/>
  <c r="A119" i="7"/>
  <c r="B119" i="7" s="1"/>
  <c r="A118" i="7"/>
  <c r="B118" i="7" s="1"/>
  <c r="A117" i="7"/>
  <c r="B117" i="7" s="1"/>
  <c r="A116" i="7"/>
  <c r="B116" i="7" s="1"/>
  <c r="A115" i="7"/>
  <c r="B115" i="7" s="1"/>
  <c r="A114" i="7"/>
  <c r="B114" i="7" s="1"/>
  <c r="A113" i="7"/>
  <c r="B113" i="7" s="1"/>
  <c r="A112" i="7"/>
  <c r="B112" i="7" s="1"/>
  <c r="A111" i="7"/>
  <c r="B111" i="7" s="1"/>
  <c r="A110" i="7"/>
  <c r="B110" i="7" s="1"/>
  <c r="A109" i="7"/>
  <c r="B109" i="7" s="1"/>
  <c r="A108" i="7"/>
  <c r="B108" i="7" s="1"/>
  <c r="A107" i="7"/>
  <c r="A106" i="7"/>
  <c r="B106" i="7" s="1"/>
  <c r="A105" i="7"/>
  <c r="B105" i="7" s="1"/>
  <c r="A104" i="7"/>
  <c r="B104" i="7" s="1"/>
  <c r="A103" i="7"/>
  <c r="B103" i="7" s="1"/>
  <c r="A102" i="7"/>
  <c r="B102" i="7" s="1"/>
  <c r="A101" i="7"/>
  <c r="B101" i="7" s="1"/>
  <c r="A100" i="7"/>
  <c r="B100" i="7" s="1"/>
  <c r="A99" i="7"/>
  <c r="B99" i="7" s="1"/>
  <c r="A98" i="7"/>
  <c r="B98" i="7" s="1"/>
  <c r="A97" i="7"/>
  <c r="B97" i="7" s="1"/>
  <c r="A96" i="7"/>
  <c r="B96" i="7" s="1"/>
  <c r="A95" i="7"/>
  <c r="B95" i="7" s="1"/>
  <c r="A94" i="7"/>
  <c r="B94" i="7" s="1"/>
  <c r="A93" i="7"/>
  <c r="B93" i="7" s="1"/>
  <c r="A92" i="7"/>
  <c r="B92" i="7" s="1"/>
  <c r="A91" i="7"/>
  <c r="B91" i="7" s="1"/>
  <c r="A90" i="7"/>
  <c r="B90" i="7" s="1"/>
  <c r="A89" i="7"/>
  <c r="B89" i="7" s="1"/>
  <c r="A88" i="7"/>
  <c r="B88" i="7" s="1"/>
  <c r="A87" i="7"/>
  <c r="B87" i="7" s="1"/>
  <c r="A86" i="7"/>
  <c r="B86" i="7" s="1"/>
  <c r="A85" i="7"/>
  <c r="B85" i="7" s="1"/>
  <c r="A84" i="7"/>
  <c r="B84" i="7" s="1"/>
  <c r="A83" i="7"/>
  <c r="A82" i="7"/>
  <c r="B82" i="7" s="1"/>
  <c r="A81" i="7"/>
  <c r="B81" i="7" s="1"/>
  <c r="A80" i="7"/>
  <c r="B80" i="7" s="1"/>
  <c r="A79" i="7"/>
  <c r="B79" i="7" s="1"/>
  <c r="A78" i="7"/>
  <c r="B78" i="7" s="1"/>
  <c r="A77" i="7"/>
  <c r="B77" i="7" s="1"/>
  <c r="A76" i="7"/>
  <c r="B76" i="7" s="1"/>
  <c r="A75" i="7"/>
  <c r="B75" i="7" s="1"/>
  <c r="A74" i="7"/>
  <c r="B74" i="7" s="1"/>
  <c r="A73" i="7"/>
  <c r="B73" i="7" s="1"/>
  <c r="A72" i="7"/>
  <c r="B72" i="7" s="1"/>
  <c r="A71" i="7"/>
  <c r="B71" i="7" s="1"/>
  <c r="A70" i="7"/>
  <c r="B70" i="7" s="1"/>
  <c r="A69" i="7"/>
  <c r="B69" i="7" s="1"/>
  <c r="A68" i="7"/>
  <c r="B68" i="7" s="1"/>
  <c r="A67" i="7"/>
  <c r="B67" i="7" s="1"/>
  <c r="A66" i="7"/>
  <c r="B66" i="7" s="1"/>
  <c r="A65" i="7"/>
  <c r="B65" i="7" s="1"/>
  <c r="A64" i="7"/>
  <c r="B64" i="7" s="1"/>
  <c r="A63" i="7"/>
  <c r="A62" i="7"/>
  <c r="B62" i="7" s="1"/>
  <c r="A61" i="7"/>
  <c r="B61" i="7" s="1"/>
  <c r="A60" i="7"/>
  <c r="B60" i="7" s="1"/>
  <c r="A59" i="7"/>
  <c r="B59" i="7" s="1"/>
  <c r="A58" i="7"/>
  <c r="B58" i="7" s="1"/>
  <c r="A57" i="7"/>
  <c r="B57" i="7" s="1"/>
  <c r="A56" i="7"/>
  <c r="B56" i="7" s="1"/>
  <c r="A55" i="7"/>
  <c r="B55" i="7" s="1"/>
  <c r="A54" i="7"/>
  <c r="B54" i="7" s="1"/>
  <c r="A53" i="7"/>
  <c r="B53" i="7" s="1"/>
  <c r="A52" i="7"/>
  <c r="B52" i="7" s="1"/>
  <c r="A51" i="7"/>
  <c r="B51" i="7" s="1"/>
  <c r="A50" i="7"/>
  <c r="B50" i="7" s="1"/>
  <c r="A49" i="7"/>
  <c r="B49" i="7" s="1"/>
  <c r="A48" i="7"/>
  <c r="B48" i="7" s="1"/>
  <c r="A47" i="7"/>
  <c r="B47" i="7" s="1"/>
  <c r="A46" i="7"/>
  <c r="B46" i="7" s="1"/>
  <c r="A45" i="7"/>
  <c r="B45" i="7" s="1"/>
  <c r="A44" i="7"/>
  <c r="B44" i="7" s="1"/>
  <c r="A43" i="7"/>
  <c r="A42" i="7"/>
  <c r="B42" i="7" s="1"/>
  <c r="A41" i="7"/>
  <c r="B41" i="7" s="1"/>
  <c r="A40" i="7"/>
  <c r="B40" i="7" s="1"/>
  <c r="A39" i="7"/>
  <c r="B39" i="7" s="1"/>
  <c r="A38" i="7"/>
  <c r="B38" i="7" s="1"/>
  <c r="A37" i="7"/>
  <c r="B37" i="7" s="1"/>
  <c r="A36" i="7"/>
  <c r="B36" i="7" s="1"/>
  <c r="A35" i="7"/>
  <c r="B35" i="7" s="1"/>
  <c r="A34" i="7"/>
  <c r="B34" i="7" s="1"/>
  <c r="A33" i="7"/>
  <c r="B33" i="7" s="1"/>
  <c r="A32" i="7"/>
  <c r="B32" i="7" s="1"/>
  <c r="A31" i="7"/>
  <c r="B31" i="7" s="1"/>
  <c r="A30" i="7"/>
  <c r="B30" i="7" s="1"/>
  <c r="A29" i="7"/>
  <c r="B29" i="7" s="1"/>
  <c r="A28" i="7"/>
  <c r="B28" i="7" s="1"/>
  <c r="A27" i="7"/>
  <c r="B27" i="7" s="1"/>
  <c r="A26" i="7"/>
  <c r="B26" i="7" s="1"/>
  <c r="A25" i="7"/>
  <c r="B25" i="7" s="1"/>
  <c r="A24" i="7"/>
  <c r="B24" i="7" s="1"/>
  <c r="A23" i="7"/>
  <c r="B23" i="7" s="1"/>
  <c r="A22" i="7"/>
  <c r="B22" i="7" s="1"/>
  <c r="A21" i="7"/>
  <c r="B21" i="7" s="1"/>
  <c r="A20" i="7"/>
  <c r="B20" i="7" s="1"/>
  <c r="A19" i="7"/>
  <c r="A18" i="7"/>
  <c r="B18" i="7" s="1"/>
  <c r="A17" i="7"/>
  <c r="B17" i="7" s="1"/>
  <c r="A16" i="7"/>
  <c r="B16" i="7" s="1"/>
  <c r="A15" i="7"/>
  <c r="B15" i="7" s="1"/>
  <c r="A14" i="7"/>
  <c r="B14" i="7" s="1"/>
  <c r="A13" i="7"/>
  <c r="B13" i="7" s="1"/>
  <c r="A12" i="7"/>
  <c r="B12" i="7" s="1"/>
  <c r="A11" i="7"/>
  <c r="B11" i="7" s="1"/>
  <c r="A10" i="7"/>
  <c r="B10" i="7" s="1"/>
  <c r="A9" i="7"/>
  <c r="B9" i="7" s="1"/>
  <c r="A8" i="7"/>
  <c r="B8" i="7" s="1"/>
  <c r="A7" i="7"/>
  <c r="B7" i="7" s="1"/>
  <c r="A6" i="7"/>
  <c r="B6" i="7" s="1"/>
  <c r="A5" i="7"/>
  <c r="B5" i="7" s="1"/>
  <c r="A4" i="7"/>
  <c r="B4" i="7" s="1"/>
  <c r="B44" i="3"/>
  <c r="J48" i="16"/>
  <c r="J47" i="16"/>
  <c r="J46" i="16"/>
  <c r="J45" i="16"/>
  <c r="J44" i="16"/>
  <c r="J43" i="16"/>
  <c r="J42" i="16"/>
  <c r="J41" i="16"/>
  <c r="J40" i="16"/>
  <c r="J39" i="16"/>
  <c r="J38" i="16"/>
  <c r="J37" i="16"/>
  <c r="J36" i="16"/>
  <c r="J35" i="16"/>
  <c r="J34" i="16"/>
  <c r="J33" i="16"/>
  <c r="J32" i="16"/>
  <c r="J31" i="16"/>
  <c r="J30" i="16"/>
  <c r="J29" i="16"/>
  <c r="J28" i="16"/>
  <c r="J27" i="16"/>
  <c r="J26" i="16"/>
  <c r="J25" i="16"/>
  <c r="J24" i="16"/>
  <c r="J23" i="16"/>
  <c r="J22" i="16"/>
  <c r="J21" i="16"/>
  <c r="J20" i="16"/>
  <c r="J19" i="16"/>
  <c r="J18" i="16"/>
  <c r="J17" i="16"/>
  <c r="J16" i="16"/>
  <c r="J15" i="16"/>
  <c r="J14" i="16"/>
  <c r="J13" i="16"/>
  <c r="J12" i="16"/>
  <c r="J11" i="16"/>
  <c r="J10" i="16"/>
  <c r="J9" i="16"/>
  <c r="J8" i="16"/>
  <c r="J7" i="16"/>
  <c r="J6" i="16"/>
  <c r="J5" i="16"/>
  <c r="J4" i="16"/>
  <c r="B29" i="3"/>
  <c r="B28" i="3"/>
  <c r="B27" i="3"/>
  <c r="B52" i="3"/>
  <c r="B51" i="3"/>
  <c r="B50" i="3"/>
  <c r="B49" i="3"/>
  <c r="A43" i="6"/>
  <c r="B43" i="6" s="1"/>
  <c r="A42" i="6"/>
  <c r="B42" i="6" s="1"/>
  <c r="A41" i="6"/>
  <c r="B41" i="6" s="1"/>
  <c r="A40" i="6"/>
  <c r="B40" i="6" s="1"/>
  <c r="A39" i="6"/>
  <c r="B39" i="6" s="1"/>
  <c r="A38" i="6"/>
  <c r="B38" i="6" s="1"/>
  <c r="A37" i="6"/>
  <c r="B37" i="6" s="1"/>
  <c r="A36" i="6"/>
  <c r="B36" i="6" s="1"/>
  <c r="A35" i="6"/>
  <c r="B35" i="6" s="1"/>
  <c r="A34" i="6"/>
  <c r="B34" i="6" s="1"/>
  <c r="A33" i="6"/>
  <c r="B33" i="6" s="1"/>
  <c r="A32" i="6"/>
  <c r="B32" i="6" s="1"/>
  <c r="A31" i="6"/>
  <c r="B31" i="6" s="1"/>
  <c r="A30" i="6"/>
  <c r="B30" i="6" s="1"/>
  <c r="A29" i="6"/>
  <c r="A28" i="6"/>
  <c r="B28" i="6" s="1"/>
  <c r="A27" i="6"/>
  <c r="B27" i="6" s="1"/>
  <c r="A26" i="6"/>
  <c r="B26" i="6" s="1"/>
  <c r="A25" i="6"/>
  <c r="B25" i="6" s="1"/>
  <c r="A24" i="6"/>
  <c r="B24" i="6" s="1"/>
  <c r="A23" i="6"/>
  <c r="B23" i="6" s="1"/>
  <c r="A22" i="6"/>
  <c r="B22" i="6" s="1"/>
  <c r="A21" i="6"/>
  <c r="B21" i="6" s="1"/>
  <c r="A20" i="6"/>
  <c r="B20" i="6" s="1"/>
  <c r="A19" i="6"/>
  <c r="B19" i="6" s="1"/>
  <c r="A13" i="6"/>
  <c r="B13" i="6" s="1"/>
  <c r="A12" i="6"/>
  <c r="B12" i="6" s="1"/>
  <c r="A11" i="6"/>
  <c r="B11" i="6" s="1"/>
  <c r="A10" i="6"/>
  <c r="B10" i="6" s="1"/>
  <c r="A9" i="6"/>
  <c r="B9" i="6" s="1"/>
  <c r="A8" i="6"/>
  <c r="B8" i="6" s="1"/>
  <c r="A7" i="6"/>
  <c r="B7" i="6" s="1"/>
  <c r="A6" i="6"/>
  <c r="B6" i="6" s="1"/>
  <c r="A5" i="6"/>
  <c r="B5" i="6" s="1"/>
  <c r="A4" i="6"/>
  <c r="B4" i="6" s="1"/>
  <c r="E5" i="15"/>
  <c r="E4" i="15"/>
  <c r="B6" i="15"/>
  <c r="B5" i="15"/>
  <c r="B4" i="15"/>
  <c r="J573" i="7"/>
  <c r="J572" i="7"/>
  <c r="J571" i="7"/>
  <c r="J570" i="7"/>
  <c r="J569" i="7"/>
  <c r="J568" i="7"/>
  <c r="J567" i="7"/>
  <c r="J566" i="7"/>
  <c r="J565" i="7"/>
  <c r="J564" i="7"/>
  <c r="J563" i="7"/>
  <c r="J562" i="7"/>
  <c r="J561" i="7"/>
  <c r="J560" i="7"/>
  <c r="J559" i="7"/>
  <c r="J558" i="7"/>
  <c r="J557" i="7"/>
  <c r="J556" i="7"/>
  <c r="J555" i="7"/>
  <c r="J554" i="7"/>
  <c r="J553" i="7"/>
  <c r="J552" i="7"/>
  <c r="J551" i="7"/>
  <c r="J550" i="7"/>
  <c r="J549" i="7"/>
  <c r="J548" i="7"/>
  <c r="J547" i="7"/>
  <c r="J546" i="7"/>
  <c r="J545" i="7"/>
  <c r="J544" i="7"/>
  <c r="J543" i="7"/>
  <c r="J542" i="7"/>
  <c r="J541" i="7"/>
  <c r="J540" i="7"/>
  <c r="J539" i="7"/>
  <c r="J538" i="7"/>
  <c r="J537" i="7"/>
  <c r="J536" i="7"/>
  <c r="J535" i="7"/>
  <c r="J534" i="7"/>
  <c r="J533" i="7"/>
  <c r="J532" i="7"/>
  <c r="J531" i="7"/>
  <c r="J530" i="7"/>
  <c r="J529" i="7"/>
  <c r="J528" i="7"/>
  <c r="J527" i="7"/>
  <c r="J526" i="7"/>
  <c r="J525" i="7"/>
  <c r="J524" i="7"/>
  <c r="J523" i="7"/>
  <c r="J522" i="7"/>
  <c r="J521" i="7"/>
  <c r="J520" i="7"/>
  <c r="J519" i="7"/>
  <c r="J518" i="7"/>
  <c r="J517" i="7"/>
  <c r="J516" i="7"/>
  <c r="J515" i="7"/>
  <c r="J514" i="7"/>
  <c r="J513" i="7"/>
  <c r="J512" i="7"/>
  <c r="J511" i="7"/>
  <c r="J510" i="7"/>
  <c r="J509" i="7"/>
  <c r="J508" i="7"/>
  <c r="J507" i="7"/>
  <c r="J506" i="7"/>
  <c r="J505" i="7"/>
  <c r="J504" i="7"/>
  <c r="J503" i="7"/>
  <c r="J502" i="7"/>
  <c r="J501" i="7"/>
  <c r="J500" i="7"/>
  <c r="J499" i="7"/>
  <c r="J498" i="7"/>
  <c r="J497" i="7"/>
  <c r="J496" i="7"/>
  <c r="J495" i="7"/>
  <c r="J494" i="7"/>
  <c r="J493" i="7"/>
  <c r="J492" i="7"/>
  <c r="J491" i="7"/>
  <c r="J490" i="7"/>
  <c r="J489" i="7"/>
  <c r="J488" i="7"/>
  <c r="J487" i="7"/>
  <c r="J486" i="7"/>
  <c r="J485" i="7"/>
  <c r="J484" i="7"/>
  <c r="J483" i="7"/>
  <c r="J482" i="7"/>
  <c r="J481" i="7"/>
  <c r="J480" i="7"/>
  <c r="J479" i="7"/>
  <c r="J478" i="7"/>
  <c r="J477" i="7"/>
  <c r="J476" i="7"/>
  <c r="J475" i="7"/>
  <c r="J474" i="7"/>
  <c r="J473" i="7"/>
  <c r="J472" i="7"/>
  <c r="J471" i="7"/>
  <c r="J470" i="7"/>
  <c r="J469" i="7"/>
  <c r="J468" i="7"/>
  <c r="J467" i="7"/>
  <c r="J466" i="7"/>
  <c r="J465" i="7"/>
  <c r="J464" i="7"/>
  <c r="J463" i="7"/>
  <c r="J462" i="7"/>
  <c r="J461" i="7"/>
  <c r="J460" i="7"/>
  <c r="J459" i="7"/>
  <c r="J458" i="7"/>
  <c r="J457" i="7"/>
  <c r="J456" i="7"/>
  <c r="J455" i="7"/>
  <c r="J454" i="7"/>
  <c r="J453" i="7"/>
  <c r="J452" i="7"/>
  <c r="J451" i="7"/>
  <c r="J450" i="7"/>
  <c r="J449" i="7"/>
  <c r="J448" i="7"/>
  <c r="J447" i="7"/>
  <c r="J446" i="7"/>
  <c r="J445" i="7"/>
  <c r="J444" i="7"/>
  <c r="J443" i="7"/>
  <c r="J442" i="7"/>
  <c r="J441" i="7"/>
  <c r="J440" i="7"/>
  <c r="J439" i="7"/>
  <c r="J438" i="7"/>
  <c r="J437" i="7"/>
  <c r="J436" i="7"/>
  <c r="J435" i="7"/>
  <c r="J434" i="7"/>
  <c r="J433" i="7"/>
  <c r="J432" i="7"/>
  <c r="J431" i="7"/>
  <c r="J430" i="7"/>
  <c r="J429" i="7"/>
  <c r="J428" i="7"/>
  <c r="J427" i="7"/>
  <c r="J426" i="7"/>
  <c r="J425" i="7"/>
  <c r="J424" i="7"/>
  <c r="J423" i="7"/>
  <c r="J422" i="7"/>
  <c r="J421" i="7"/>
  <c r="J420" i="7"/>
  <c r="J419" i="7"/>
  <c r="J418" i="7"/>
  <c r="J417" i="7"/>
  <c r="J416" i="7"/>
  <c r="J415" i="7"/>
  <c r="J414" i="7"/>
  <c r="J413" i="7"/>
  <c r="J412" i="7"/>
  <c r="J411" i="7"/>
  <c r="J410" i="7"/>
  <c r="J409" i="7"/>
  <c r="J408" i="7"/>
  <c r="J407" i="7"/>
  <c r="J406" i="7"/>
  <c r="J405" i="7"/>
  <c r="J404" i="7"/>
  <c r="J403" i="7"/>
  <c r="J402" i="7"/>
  <c r="J401" i="7"/>
  <c r="J400" i="7"/>
  <c r="J399" i="7"/>
  <c r="J398" i="7"/>
  <c r="J397" i="7"/>
  <c r="J396" i="7"/>
  <c r="J395" i="7"/>
  <c r="J394" i="7"/>
  <c r="J393" i="7"/>
  <c r="J392" i="7"/>
  <c r="J391" i="7"/>
  <c r="J390" i="7"/>
  <c r="J389" i="7"/>
  <c r="J388" i="7"/>
  <c r="J387" i="7"/>
  <c r="J386" i="7"/>
  <c r="J385" i="7"/>
  <c r="J384" i="7"/>
  <c r="J383" i="7"/>
  <c r="J382" i="7"/>
  <c r="J381" i="7"/>
  <c r="J380" i="7"/>
  <c r="J379" i="7"/>
  <c r="J378" i="7"/>
  <c r="J377" i="7"/>
  <c r="J376" i="7"/>
  <c r="J375" i="7"/>
  <c r="J374" i="7"/>
  <c r="J373" i="7"/>
  <c r="J372" i="7"/>
  <c r="J371" i="7"/>
  <c r="J370" i="7"/>
  <c r="J369" i="7"/>
  <c r="J368" i="7"/>
  <c r="J367" i="7"/>
  <c r="J366" i="7"/>
  <c r="J365" i="7"/>
  <c r="J364" i="7"/>
  <c r="J363" i="7"/>
  <c r="J362" i="7"/>
  <c r="J361" i="7"/>
  <c r="J360" i="7"/>
  <c r="J359" i="7"/>
  <c r="J358" i="7"/>
  <c r="J357" i="7"/>
  <c r="J356" i="7"/>
  <c r="J355" i="7"/>
  <c r="J354" i="7"/>
  <c r="J353" i="7"/>
  <c r="J352" i="7"/>
  <c r="J351" i="7"/>
  <c r="J350" i="7"/>
  <c r="J349" i="7"/>
  <c r="J348" i="7"/>
  <c r="J347" i="7"/>
  <c r="J346" i="7"/>
  <c r="J345" i="7"/>
  <c r="J344" i="7"/>
  <c r="J343" i="7"/>
  <c r="J342" i="7"/>
  <c r="J341" i="7"/>
  <c r="J340" i="7"/>
  <c r="J339" i="7"/>
  <c r="J338" i="7"/>
  <c r="J337" i="7"/>
  <c r="J336" i="7"/>
  <c r="J335" i="7"/>
  <c r="J334" i="7"/>
  <c r="J333" i="7"/>
  <c r="J332" i="7"/>
  <c r="J331" i="7"/>
  <c r="J330" i="7"/>
  <c r="J329" i="7"/>
  <c r="J328" i="7"/>
  <c r="J327" i="7"/>
  <c r="J326" i="7"/>
  <c r="J325" i="7"/>
  <c r="J324" i="7"/>
  <c r="J323" i="7"/>
  <c r="J322" i="7"/>
  <c r="J321" i="7"/>
  <c r="J320" i="7"/>
  <c r="J319" i="7"/>
  <c r="J318" i="7"/>
  <c r="J317" i="7"/>
  <c r="J316" i="7"/>
  <c r="J315" i="7"/>
  <c r="J314" i="7"/>
  <c r="J313" i="7"/>
  <c r="J312" i="7"/>
  <c r="J311" i="7"/>
  <c r="J310" i="7"/>
  <c r="J309" i="7"/>
  <c r="J308" i="7"/>
  <c r="J307" i="7"/>
  <c r="J306" i="7"/>
  <c r="J305" i="7"/>
  <c r="J304" i="7"/>
  <c r="J303" i="7"/>
  <c r="J302" i="7"/>
  <c r="J301" i="7"/>
  <c r="J300" i="7"/>
  <c r="J299" i="7"/>
  <c r="J298" i="7"/>
  <c r="J297" i="7"/>
  <c r="J296" i="7"/>
  <c r="J295" i="7"/>
  <c r="J294" i="7"/>
  <c r="J293" i="7"/>
  <c r="J292" i="7"/>
  <c r="J291" i="7"/>
  <c r="J290" i="7"/>
  <c r="J289" i="7"/>
  <c r="J288" i="7"/>
  <c r="J287" i="7"/>
  <c r="J286" i="7"/>
  <c r="J285" i="7"/>
  <c r="J284" i="7"/>
  <c r="J283" i="7"/>
  <c r="J282" i="7"/>
  <c r="J281" i="7"/>
  <c r="J280" i="7"/>
  <c r="J279" i="7"/>
  <c r="J278" i="7"/>
  <c r="J277" i="7"/>
  <c r="J276" i="7"/>
  <c r="J275" i="7"/>
  <c r="J274" i="7"/>
  <c r="J273" i="7"/>
  <c r="J272" i="7"/>
  <c r="J271" i="7"/>
  <c r="J270" i="7"/>
  <c r="J269" i="7"/>
  <c r="J268" i="7"/>
  <c r="J267" i="7"/>
  <c r="J266" i="7"/>
  <c r="J265" i="7"/>
  <c r="J264" i="7"/>
  <c r="J263" i="7"/>
  <c r="J262" i="7"/>
  <c r="J261" i="7"/>
  <c r="J260" i="7"/>
  <c r="J259" i="7"/>
  <c r="J258" i="7"/>
  <c r="J257" i="7"/>
  <c r="J256" i="7"/>
  <c r="J255" i="7"/>
  <c r="J254" i="7"/>
  <c r="J253" i="7"/>
  <c r="J252" i="7"/>
  <c r="J251" i="7"/>
  <c r="J250" i="7"/>
  <c r="J249" i="7"/>
  <c r="J248" i="7"/>
  <c r="J247" i="7"/>
  <c r="J246" i="7"/>
  <c r="J245" i="7"/>
  <c r="J244" i="7"/>
  <c r="J243" i="7"/>
  <c r="J242" i="7"/>
  <c r="J241" i="7"/>
  <c r="J240" i="7"/>
  <c r="J239" i="7"/>
  <c r="J238" i="7"/>
  <c r="J237" i="7"/>
  <c r="J236" i="7"/>
  <c r="J235" i="7"/>
  <c r="J234" i="7"/>
  <c r="J233" i="7"/>
  <c r="J232" i="7"/>
  <c r="J231" i="7"/>
  <c r="J230" i="7"/>
  <c r="J229" i="7"/>
  <c r="J228" i="7"/>
  <c r="J227" i="7"/>
  <c r="J226" i="7"/>
  <c r="J225" i="7"/>
  <c r="J224" i="7"/>
  <c r="J223" i="7"/>
  <c r="J222" i="7"/>
  <c r="J221" i="7"/>
  <c r="J220" i="7"/>
  <c r="J219" i="7"/>
  <c r="J218" i="7"/>
  <c r="J217" i="7"/>
  <c r="J216" i="7"/>
  <c r="J215" i="7"/>
  <c r="J214" i="7"/>
  <c r="J213" i="7"/>
  <c r="J212" i="7"/>
  <c r="J211" i="7"/>
  <c r="J210" i="7"/>
  <c r="J209" i="7"/>
  <c r="J208" i="7"/>
  <c r="J207" i="7"/>
  <c r="J206" i="7"/>
  <c r="J205" i="7"/>
  <c r="J204" i="7"/>
  <c r="J203" i="7"/>
  <c r="J202" i="7"/>
  <c r="J201" i="7"/>
  <c r="J200" i="7"/>
  <c r="J199" i="7"/>
  <c r="J198" i="7"/>
  <c r="J197" i="7"/>
  <c r="J196" i="7"/>
  <c r="J195" i="7"/>
  <c r="J194" i="7"/>
  <c r="J193" i="7"/>
  <c r="J192" i="7"/>
  <c r="J191" i="7"/>
  <c r="J190" i="7"/>
  <c r="J189" i="7"/>
  <c r="J188" i="7"/>
  <c r="J187" i="7"/>
  <c r="J186" i="7"/>
  <c r="J185" i="7"/>
  <c r="J184" i="7"/>
  <c r="J183" i="7"/>
  <c r="J182" i="7"/>
  <c r="J181" i="7"/>
  <c r="J180" i="7"/>
  <c r="J179" i="7"/>
  <c r="J178" i="7"/>
  <c r="J177" i="7"/>
  <c r="J176" i="7"/>
  <c r="J175" i="7"/>
  <c r="J174" i="7"/>
  <c r="J173" i="7"/>
  <c r="J172" i="7"/>
  <c r="J171" i="7"/>
  <c r="J170" i="7"/>
  <c r="J169" i="7"/>
  <c r="J168" i="7"/>
  <c r="J167" i="7"/>
  <c r="J166" i="7"/>
  <c r="J165" i="7"/>
  <c r="J164" i="7"/>
  <c r="J163" i="7"/>
  <c r="J162" i="7"/>
  <c r="J161" i="7"/>
  <c r="J160" i="7"/>
  <c r="J159" i="7"/>
  <c r="J158" i="7"/>
  <c r="J157" i="7"/>
  <c r="J156" i="7"/>
  <c r="J155" i="7"/>
  <c r="J154" i="7"/>
  <c r="J153" i="7"/>
  <c r="J152" i="7"/>
  <c r="J151" i="7"/>
  <c r="J150" i="7"/>
  <c r="J149" i="7"/>
  <c r="J148" i="7"/>
  <c r="J147" i="7"/>
  <c r="J146" i="7"/>
  <c r="J145" i="7"/>
  <c r="J144" i="7"/>
  <c r="J143" i="7"/>
  <c r="J142" i="7"/>
  <c r="J141" i="7"/>
  <c r="J140" i="7"/>
  <c r="J139" i="7"/>
  <c r="J138" i="7"/>
  <c r="J137" i="7"/>
  <c r="J136" i="7"/>
  <c r="J135" i="7"/>
  <c r="J134" i="7"/>
  <c r="J133" i="7"/>
  <c r="J132" i="7"/>
  <c r="J131" i="7"/>
  <c r="J130" i="7"/>
  <c r="J129" i="7"/>
  <c r="J128" i="7"/>
  <c r="J127" i="7"/>
  <c r="J126" i="7"/>
  <c r="J125" i="7"/>
  <c r="J124" i="7"/>
  <c r="J123" i="7"/>
  <c r="J122" i="7"/>
  <c r="J121" i="7"/>
  <c r="J120" i="7"/>
  <c r="J119" i="7"/>
  <c r="J118" i="7"/>
  <c r="J117" i="7"/>
  <c r="J116" i="7"/>
  <c r="J115" i="7"/>
  <c r="J114" i="7"/>
  <c r="J113" i="7"/>
  <c r="J112" i="7"/>
  <c r="J111" i="7"/>
  <c r="J110" i="7"/>
  <c r="J109" i="7"/>
  <c r="J108" i="7"/>
  <c r="J107" i="7"/>
  <c r="J106" i="7"/>
  <c r="J105" i="7"/>
  <c r="J104" i="7"/>
  <c r="J103" i="7"/>
  <c r="J102" i="7"/>
  <c r="J101" i="7"/>
  <c r="J100" i="7"/>
  <c r="J99" i="7"/>
  <c r="J98" i="7"/>
  <c r="J97" i="7"/>
  <c r="J96" i="7"/>
  <c r="J95" i="7"/>
  <c r="J94" i="7"/>
  <c r="J93" i="7"/>
  <c r="J92" i="7"/>
  <c r="J91" i="7"/>
  <c r="J90" i="7"/>
  <c r="J89" i="7"/>
  <c r="J88" i="7"/>
  <c r="J87" i="7"/>
  <c r="J86" i="7"/>
  <c r="J85" i="7"/>
  <c r="J84" i="7"/>
  <c r="J83" i="7"/>
  <c r="J82" i="7"/>
  <c r="J81" i="7"/>
  <c r="J80" i="7"/>
  <c r="J79" i="7"/>
  <c r="J78" i="7"/>
  <c r="J77" i="7"/>
  <c r="J76" i="7"/>
  <c r="J75" i="7"/>
  <c r="J74" i="7"/>
  <c r="J73" i="7"/>
  <c r="J72" i="7"/>
  <c r="J71" i="7"/>
  <c r="J70" i="7"/>
  <c r="J69" i="7"/>
  <c r="J68" i="7"/>
  <c r="J67" i="7"/>
  <c r="J66" i="7"/>
  <c r="J65" i="7"/>
  <c r="J64" i="7"/>
  <c r="J63" i="7"/>
  <c r="J62" i="7"/>
  <c r="J61" i="7"/>
  <c r="J60" i="7"/>
  <c r="J59" i="7"/>
  <c r="J58" i="7"/>
  <c r="J57" i="7"/>
  <c r="J56" i="7"/>
  <c r="J55" i="7"/>
  <c r="J54" i="7"/>
  <c r="J53" i="7"/>
  <c r="J52" i="7"/>
  <c r="J51" i="7"/>
  <c r="J50" i="7"/>
  <c r="J49" i="7"/>
  <c r="J48" i="7"/>
  <c r="J47" i="7"/>
  <c r="J46" i="7"/>
  <c r="J45" i="7"/>
  <c r="J44" i="7"/>
  <c r="J43" i="7"/>
  <c r="J42" i="7"/>
  <c r="J41" i="7"/>
  <c r="J40" i="7"/>
  <c r="J39" i="7"/>
  <c r="J38" i="7"/>
  <c r="J37" i="7"/>
  <c r="J36" i="7"/>
  <c r="J35" i="7"/>
  <c r="J34" i="7"/>
  <c r="J33" i="7"/>
  <c r="J32" i="7"/>
  <c r="J31" i="7"/>
  <c r="J30" i="7"/>
  <c r="J29" i="7"/>
  <c r="J28" i="7"/>
  <c r="J27" i="7"/>
  <c r="J26" i="7"/>
  <c r="J25" i="7"/>
  <c r="J24" i="7"/>
  <c r="J23" i="7"/>
  <c r="J22" i="7"/>
  <c r="J21" i="7"/>
  <c r="J20" i="7"/>
  <c r="J19" i="7"/>
  <c r="J18" i="7"/>
  <c r="J17" i="7"/>
  <c r="J16" i="7"/>
  <c r="J15" i="7"/>
  <c r="J14" i="7"/>
  <c r="J13" i="7"/>
  <c r="J12" i="7"/>
  <c r="J11" i="7"/>
  <c r="J10" i="7"/>
  <c r="J9" i="7"/>
  <c r="J8" i="7"/>
  <c r="J7" i="7"/>
  <c r="J6" i="7"/>
  <c r="J5" i="7"/>
  <c r="J4" i="7"/>
  <c r="B34" i="3"/>
  <c r="B33" i="3"/>
  <c r="B32" i="3"/>
  <c r="B10" i="3"/>
  <c r="B18" i="3"/>
  <c r="B6" i="3"/>
  <c r="B22" i="3"/>
  <c r="B21" i="3"/>
  <c r="B17" i="3"/>
  <c r="B14" i="3"/>
  <c r="B13" i="3"/>
  <c r="B9" i="3"/>
  <c r="B24" i="3"/>
  <c r="B23" i="3"/>
  <c r="B20" i="3"/>
  <c r="B19" i="3"/>
  <c r="B16" i="3"/>
  <c r="B15" i="3"/>
  <c r="B12" i="3"/>
  <c r="B11" i="3"/>
  <c r="B8" i="3"/>
  <c r="B7" i="3"/>
  <c r="B6" i="2"/>
  <c r="J43" i="6"/>
  <c r="J42" i="6"/>
  <c r="J41" i="6"/>
  <c r="J40" i="6"/>
  <c r="J39" i="6"/>
  <c r="J38" i="6"/>
  <c r="J37" i="6"/>
  <c r="J36" i="6"/>
  <c r="J35" i="6"/>
  <c r="J34" i="6"/>
  <c r="J33" i="6"/>
  <c r="J32" i="6"/>
  <c r="J31" i="6"/>
  <c r="J30" i="6"/>
  <c r="J29" i="6"/>
  <c r="J28" i="6"/>
  <c r="J27" i="6"/>
  <c r="J26" i="6"/>
  <c r="J25" i="6"/>
  <c r="J24" i="6"/>
  <c r="J23" i="6"/>
  <c r="J22" i="6"/>
  <c r="J21" i="6"/>
  <c r="J20" i="6"/>
  <c r="J19" i="6"/>
  <c r="J13" i="6"/>
  <c r="J12" i="6"/>
  <c r="J11" i="6"/>
  <c r="J10" i="6"/>
  <c r="J9" i="6"/>
  <c r="J8" i="6"/>
  <c r="J7" i="6"/>
  <c r="J6" i="6"/>
  <c r="J5" i="6"/>
  <c r="J4" i="6"/>
  <c r="B164" i="3"/>
  <c r="B163" i="3"/>
  <c r="B162" i="3"/>
  <c r="B161" i="3"/>
  <c r="B160" i="3"/>
  <c r="B159" i="3"/>
  <c r="B158" i="3"/>
  <c r="B157" i="3"/>
  <c r="B156" i="3"/>
  <c r="B155" i="3"/>
  <c r="B137" i="3"/>
  <c r="B138" i="3"/>
  <c r="B139" i="3"/>
  <c r="B140" i="3"/>
  <c r="B141" i="3"/>
  <c r="B142" i="3"/>
  <c r="B143" i="3"/>
  <c r="B144" i="3"/>
  <c r="B145" i="3"/>
  <c r="B146" i="3"/>
  <c r="B108" i="3"/>
  <c r="B107" i="3"/>
  <c r="B106" i="3"/>
  <c r="B105" i="3"/>
  <c r="B104" i="3"/>
  <c r="B130" i="3"/>
  <c r="B129" i="3"/>
  <c r="B128" i="3"/>
  <c r="B99" i="3"/>
  <c r="B98" i="3"/>
  <c r="B97" i="3"/>
  <c r="B96" i="3"/>
  <c r="B95" i="3"/>
  <c r="B84" i="3"/>
  <c r="B83" i="3"/>
  <c r="B82" i="3"/>
  <c r="B81" i="3"/>
  <c r="B80" i="3"/>
  <c r="B79" i="3"/>
  <c r="B78" i="3"/>
  <c r="B77" i="3"/>
  <c r="B76" i="3"/>
  <c r="B75" i="3"/>
  <c r="B74" i="3"/>
  <c r="B73" i="3"/>
  <c r="B72" i="3"/>
  <c r="B71" i="3"/>
  <c r="B70" i="3"/>
  <c r="B62" i="3"/>
  <c r="B61" i="3"/>
  <c r="B60" i="3"/>
  <c r="B566" i="7"/>
  <c r="B559" i="7"/>
  <c r="B554" i="7"/>
  <c r="B543" i="7"/>
  <c r="B542" i="7"/>
  <c r="B538" i="7"/>
  <c r="B531" i="7"/>
  <c r="B530" i="7"/>
  <c r="B526" i="7"/>
  <c r="B523" i="7"/>
  <c r="B518" i="7"/>
  <c r="B503" i="7"/>
  <c r="B502" i="7"/>
  <c r="B490" i="7"/>
  <c r="B478" i="7"/>
  <c r="B475" i="7"/>
  <c r="B474" i="7"/>
  <c r="B466" i="7"/>
  <c r="B462" i="7"/>
  <c r="B450" i="7"/>
  <c r="B446" i="7"/>
  <c r="B438" i="7"/>
  <c r="B434" i="7"/>
  <c r="B426" i="7"/>
  <c r="B410" i="7"/>
  <c r="B398" i="7"/>
  <c r="B395" i="7"/>
  <c r="B386" i="7"/>
  <c r="B382" i="7"/>
  <c r="B374" i="7"/>
  <c r="B370" i="7"/>
  <c r="B362" i="7"/>
  <c r="B359" i="7"/>
  <c r="B346" i="7"/>
  <c r="B343" i="7"/>
  <c r="B342" i="7"/>
  <c r="B334" i="7"/>
  <c r="B331" i="7"/>
  <c r="B318" i="7"/>
  <c r="B311" i="7"/>
  <c r="B306" i="7"/>
  <c r="B295" i="7"/>
  <c r="B290" i="7"/>
  <c r="B283" i="7"/>
  <c r="B282" i="7"/>
  <c r="B267" i="7"/>
  <c r="B243" i="7"/>
  <c r="B242" i="7"/>
  <c r="B226" i="7"/>
  <c r="B199" i="7"/>
  <c r="B190" i="7"/>
  <c r="B171" i="7"/>
  <c r="B143" i="7"/>
  <c r="B138" i="7"/>
  <c r="B127" i="7"/>
  <c r="B107" i="7"/>
  <c r="B83" i="7"/>
  <c r="B63" i="7"/>
  <c r="B43" i="7"/>
  <c r="B19" i="7"/>
  <c r="B29" i="6"/>
  <c r="B108" i="5"/>
  <c r="B117" i="5"/>
  <c r="B116" i="5"/>
  <c r="G20" i="5"/>
  <c r="G19" i="5"/>
  <c r="G18" i="5"/>
  <c r="G17" i="5"/>
  <c r="G16" i="5"/>
  <c r="B20" i="5"/>
  <c r="B19" i="5"/>
  <c r="B18" i="5"/>
  <c r="B17" i="5"/>
  <c r="B16" i="5"/>
  <c r="B14" i="5"/>
  <c r="B13" i="5"/>
  <c r="B12" i="5"/>
  <c r="B11" i="5"/>
  <c r="B10" i="5"/>
  <c r="B9" i="5"/>
  <c r="I101" i="5"/>
  <c r="H101" i="5"/>
  <c r="I100" i="5"/>
  <c r="H100" i="5"/>
  <c r="I99" i="5"/>
  <c r="H99" i="5"/>
  <c r="I97" i="5"/>
  <c r="H97" i="5"/>
  <c r="I96" i="5"/>
  <c r="H96" i="5"/>
  <c r="I95" i="5"/>
  <c r="H95" i="5"/>
  <c r="I94" i="5"/>
  <c r="H94" i="5"/>
  <c r="I93" i="5"/>
  <c r="H93" i="5"/>
  <c r="I92" i="5"/>
  <c r="H92" i="5"/>
  <c r="I91" i="5"/>
  <c r="H91" i="5"/>
  <c r="I90" i="5"/>
  <c r="H90" i="5"/>
  <c r="I89" i="5"/>
  <c r="H89" i="5"/>
  <c r="I88" i="5"/>
  <c r="H88" i="5"/>
  <c r="I87" i="5"/>
  <c r="H87" i="5"/>
  <c r="I86" i="5"/>
  <c r="H86" i="5"/>
  <c r="I85" i="5"/>
  <c r="H85" i="5"/>
  <c r="I84" i="5"/>
  <c r="H84" i="5"/>
  <c r="I83" i="5"/>
  <c r="H83" i="5"/>
  <c r="I82" i="5"/>
  <c r="H82" i="5"/>
  <c r="I81" i="5"/>
  <c r="H81" i="5"/>
  <c r="I80" i="5"/>
  <c r="H80" i="5"/>
  <c r="I79" i="5"/>
  <c r="H79" i="5"/>
  <c r="I75" i="5"/>
  <c r="H75" i="5"/>
  <c r="I74" i="5"/>
  <c r="H74" i="5"/>
  <c r="I73" i="5"/>
  <c r="H73" i="5"/>
  <c r="I72" i="5"/>
  <c r="H72" i="5"/>
  <c r="I71" i="5"/>
  <c r="H71" i="5"/>
  <c r="I70" i="5"/>
  <c r="H70" i="5"/>
  <c r="I69" i="5"/>
  <c r="H69" i="5"/>
  <c r="I68" i="5"/>
  <c r="H68" i="5"/>
  <c r="I67" i="5"/>
  <c r="H67" i="5"/>
  <c r="I66" i="5"/>
  <c r="H66" i="5"/>
  <c r="I65" i="5"/>
  <c r="H65" i="5"/>
  <c r="I64" i="5"/>
  <c r="H64" i="5"/>
  <c r="I63" i="5"/>
  <c r="H63" i="5"/>
  <c r="I62" i="5"/>
  <c r="H62" i="5"/>
  <c r="I61" i="5"/>
  <c r="H61" i="5"/>
  <c r="I60" i="5"/>
  <c r="H60" i="5"/>
  <c r="I59" i="5"/>
  <c r="H59" i="5"/>
  <c r="I58" i="5"/>
  <c r="H58" i="5"/>
  <c r="I57" i="5"/>
  <c r="H57" i="5"/>
  <c r="I54" i="5"/>
  <c r="H54" i="5"/>
  <c r="I53" i="5"/>
  <c r="H53" i="5"/>
  <c r="I52" i="5"/>
  <c r="H52" i="5"/>
  <c r="I51" i="5"/>
  <c r="H51" i="5"/>
  <c r="I50" i="5"/>
  <c r="H50" i="5"/>
  <c r="I49" i="5"/>
  <c r="H49" i="5"/>
  <c r="I48" i="5"/>
  <c r="H48" i="5"/>
  <c r="I47" i="5"/>
  <c r="H47" i="5"/>
  <c r="I46" i="5"/>
  <c r="H46" i="5"/>
  <c r="I45" i="5"/>
  <c r="H45" i="5"/>
  <c r="I44" i="5"/>
  <c r="H44" i="5"/>
  <c r="I43" i="5"/>
  <c r="H43" i="5"/>
  <c r="I42" i="5"/>
  <c r="H42" i="5"/>
  <c r="I41" i="5"/>
  <c r="H41" i="5"/>
  <c r="I40" i="5"/>
  <c r="H40" i="5"/>
  <c r="I39" i="5"/>
  <c r="H39" i="5"/>
  <c r="I38" i="5"/>
  <c r="H38" i="5"/>
  <c r="I37" i="5"/>
  <c r="H37" i="5"/>
  <c r="B101" i="5"/>
  <c r="B100" i="5"/>
  <c r="B99" i="5"/>
  <c r="B79" i="5"/>
  <c r="B80" i="5"/>
  <c r="B81" i="5"/>
  <c r="B82" i="5"/>
  <c r="B83" i="5"/>
  <c r="B84" i="5"/>
  <c r="B85" i="5"/>
  <c r="B86" i="5"/>
  <c r="B87" i="5"/>
  <c r="B88" i="5"/>
  <c r="B89" i="5"/>
  <c r="B90" i="5"/>
  <c r="B91" i="5"/>
  <c r="B92" i="5"/>
  <c r="B93" i="5"/>
  <c r="B94" i="5"/>
  <c r="B95" i="5"/>
  <c r="B96" i="5"/>
  <c r="B97" i="5"/>
  <c r="B58" i="5"/>
  <c r="B59" i="5"/>
  <c r="B60" i="5"/>
  <c r="B61" i="5"/>
  <c r="B62" i="5"/>
  <c r="B63" i="5"/>
  <c r="B64" i="5"/>
  <c r="B65" i="5"/>
  <c r="B66" i="5"/>
  <c r="B67" i="5"/>
  <c r="B68" i="5"/>
  <c r="B69" i="5"/>
  <c r="B70" i="5"/>
  <c r="B71" i="5"/>
  <c r="B72" i="5"/>
  <c r="B73" i="5"/>
  <c r="B74" i="5"/>
  <c r="B75" i="5"/>
  <c r="B57" i="5"/>
  <c r="B54" i="5"/>
  <c r="B53" i="5"/>
  <c r="B52" i="5"/>
  <c r="B51" i="5"/>
  <c r="B50" i="5"/>
  <c r="B49" i="5"/>
  <c r="B48" i="5"/>
  <c r="B47" i="5"/>
  <c r="B46" i="5"/>
  <c r="B45" i="5"/>
  <c r="B44" i="5"/>
  <c r="B43" i="5"/>
  <c r="B42" i="5"/>
  <c r="B41" i="5"/>
  <c r="B40" i="5"/>
  <c r="B39" i="5"/>
  <c r="B38" i="5"/>
  <c r="B37" i="5"/>
  <c r="B36" i="5"/>
  <c r="H161" i="4"/>
  <c r="G182" i="4"/>
  <c r="B182" i="4"/>
  <c r="G181" i="4"/>
  <c r="B181" i="4"/>
  <c r="G180" i="4"/>
  <c r="B180" i="4"/>
  <c r="G179" i="4"/>
  <c r="B179" i="4"/>
  <c r="G178" i="4"/>
  <c r="B178" i="4"/>
  <c r="B175" i="4"/>
  <c r="B174" i="4"/>
  <c r="B173" i="4"/>
  <c r="B172" i="4"/>
  <c r="B171" i="4"/>
  <c r="G165" i="4"/>
  <c r="B165" i="4"/>
  <c r="G164" i="4"/>
  <c r="B164" i="4"/>
  <c r="G163" i="4"/>
  <c r="B163" i="4"/>
  <c r="G162" i="4"/>
  <c r="B162" i="4"/>
  <c r="G161" i="4"/>
  <c r="B161" i="4"/>
  <c r="B158" i="4"/>
  <c r="B157" i="4"/>
  <c r="B156" i="4"/>
  <c r="B155" i="4"/>
  <c r="B154" i="4"/>
  <c r="G148" i="4"/>
  <c r="G147" i="4"/>
  <c r="G146" i="4"/>
  <c r="B148" i="4"/>
  <c r="B147" i="4"/>
  <c r="B146" i="4"/>
  <c r="H153" i="4"/>
  <c r="H152" i="4"/>
  <c r="H151" i="4"/>
  <c r="B141" i="4"/>
  <c r="B140" i="4"/>
  <c r="B139" i="4"/>
  <c r="G145" i="4"/>
  <c r="G144" i="4"/>
  <c r="B145" i="4"/>
  <c r="B144" i="4"/>
  <c r="B138" i="4"/>
  <c r="B137" i="4"/>
  <c r="B131" i="4"/>
  <c r="B130" i="4"/>
  <c r="B129" i="4"/>
  <c r="B128" i="4"/>
  <c r="B127" i="4"/>
  <c r="B126" i="4"/>
  <c r="B125" i="4"/>
  <c r="B124" i="4"/>
  <c r="B123" i="4"/>
  <c r="B121" i="4"/>
  <c r="B120" i="4"/>
  <c r="B119" i="4"/>
  <c r="B118" i="4"/>
  <c r="B117" i="4"/>
  <c r="B116" i="4"/>
  <c r="B115" i="4"/>
  <c r="B114" i="4"/>
  <c r="B113" i="4"/>
  <c r="B112" i="4"/>
  <c r="B111" i="4"/>
  <c r="B110" i="4"/>
  <c r="B109" i="4"/>
  <c r="B108" i="4"/>
  <c r="B107" i="4"/>
  <c r="B106" i="4"/>
  <c r="B105" i="4"/>
  <c r="B104" i="4"/>
  <c r="B103" i="4"/>
  <c r="B102" i="4"/>
  <c r="B101" i="4"/>
  <c r="B100" i="4"/>
  <c r="B99" i="4"/>
  <c r="B98" i="4"/>
  <c r="B97" i="4"/>
  <c r="B96" i="4"/>
  <c r="B95" i="4"/>
  <c r="B94" i="4"/>
  <c r="B93" i="4"/>
  <c r="B92" i="4"/>
  <c r="B91" i="4"/>
  <c r="B90" i="4"/>
  <c r="B89" i="4"/>
  <c r="B88" i="4"/>
  <c r="B87" i="4"/>
  <c r="B86" i="4"/>
  <c r="B85" i="4"/>
  <c r="B84" i="4"/>
  <c r="B83" i="4"/>
  <c r="B82" i="4"/>
  <c r="B81" i="4"/>
  <c r="B80" i="4"/>
  <c r="B79" i="4"/>
  <c r="B78" i="4"/>
  <c r="B77" i="4"/>
  <c r="B76" i="4"/>
  <c r="B75" i="4"/>
  <c r="B74" i="4"/>
  <c r="B73" i="4"/>
  <c r="B72" i="4"/>
  <c r="B71" i="4"/>
  <c r="B70" i="4"/>
  <c r="B69" i="4"/>
  <c r="B68" i="4"/>
  <c r="B67" i="4"/>
  <c r="B66" i="4"/>
  <c r="B65" i="4"/>
  <c r="B64" i="4"/>
  <c r="B63" i="4"/>
  <c r="B62" i="4"/>
  <c r="B61" i="4"/>
  <c r="B60" i="4"/>
  <c r="B59" i="4"/>
  <c r="B58" i="4"/>
  <c r="B57" i="4"/>
  <c r="B56" i="4"/>
  <c r="B55" i="4"/>
  <c r="B54" i="4"/>
  <c r="B53" i="4"/>
  <c r="B52" i="4"/>
  <c r="B51" i="4"/>
  <c r="B50" i="4"/>
  <c r="B49" i="4"/>
  <c r="B48" i="4"/>
  <c r="B47" i="4"/>
  <c r="B46" i="4"/>
  <c r="B45" i="4"/>
  <c r="B44" i="4"/>
  <c r="B43" i="4"/>
  <c r="B42" i="4"/>
  <c r="B41" i="4"/>
  <c r="B40" i="4"/>
  <c r="B39" i="4"/>
  <c r="B38" i="4"/>
  <c r="B37" i="4"/>
  <c r="B36" i="4"/>
  <c r="B35" i="4"/>
  <c r="B34" i="4"/>
  <c r="B33" i="4"/>
  <c r="B32" i="4"/>
  <c r="B31" i="4"/>
  <c r="B30" i="4"/>
  <c r="B29" i="4"/>
  <c r="B28" i="4"/>
  <c r="B27" i="4"/>
  <c r="B26" i="4"/>
  <c r="B25" i="4"/>
  <c r="B24" i="4"/>
  <c r="B23" i="4"/>
  <c r="B22" i="4"/>
  <c r="B21" i="4"/>
  <c r="B20" i="4"/>
  <c r="B19" i="4"/>
  <c r="B18" i="4"/>
  <c r="B17" i="4"/>
  <c r="B16" i="4"/>
  <c r="B15" i="4"/>
  <c r="B14" i="4"/>
  <c r="B13" i="4"/>
  <c r="B12" i="4"/>
  <c r="B11" i="4"/>
  <c r="B10" i="4"/>
  <c r="B9" i="4"/>
  <c r="B88" i="3"/>
  <c r="B40" i="3"/>
  <c r="B39" i="3"/>
  <c r="B59" i="3"/>
  <c r="B58" i="3"/>
  <c r="B8" i="4"/>
  <c r="W118" i="7" s="1"/>
  <c r="X118" i="7" s="1"/>
  <c r="B115" i="5"/>
  <c r="B114" i="5"/>
  <c r="W232" i="7" l="1"/>
  <c r="X232" i="7" s="1"/>
  <c r="W346" i="7"/>
  <c r="X346" i="7" s="1"/>
  <c r="P479" i="7"/>
  <c r="P214" i="7"/>
  <c r="Q13" i="16"/>
  <c r="P270" i="7"/>
  <c r="P309" i="7"/>
  <c r="Q10" i="16"/>
  <c r="P422" i="7"/>
  <c r="P157" i="7"/>
  <c r="P347" i="7"/>
  <c r="N529" i="7"/>
  <c r="N250" i="7"/>
  <c r="N236" i="7"/>
  <c r="P271" i="7"/>
  <c r="O39" i="6"/>
  <c r="M88" i="7"/>
  <c r="N345" i="7"/>
  <c r="M144" i="7"/>
  <c r="M525" i="7"/>
  <c r="M149" i="7"/>
  <c r="P195" i="7"/>
  <c r="O19" i="6"/>
  <c r="M134" i="7"/>
  <c r="M307" i="7"/>
  <c r="M225" i="7"/>
  <c r="R6" i="7"/>
  <c r="L169" i="7"/>
  <c r="N546" i="7"/>
  <c r="M527" i="7"/>
  <c r="N140" i="7"/>
  <c r="N434" i="7"/>
  <c r="L177" i="7"/>
  <c r="L477" i="7"/>
  <c r="M213" i="7"/>
  <c r="L60" i="7"/>
  <c r="M410" i="7"/>
  <c r="M277" i="7"/>
  <c r="M45" i="7"/>
  <c r="N131" i="7"/>
  <c r="N541" i="7"/>
  <c r="M24" i="6"/>
  <c r="M68" i="7"/>
  <c r="M188" i="7"/>
  <c r="N132" i="7"/>
  <c r="L66" i="7"/>
  <c r="M395" i="7"/>
  <c r="R454" i="7"/>
  <c r="M46" i="7"/>
  <c r="M529" i="7"/>
  <c r="N248" i="7"/>
  <c r="N429" i="7"/>
  <c r="R463" i="7"/>
  <c r="N537" i="7"/>
  <c r="N276" i="7"/>
  <c r="M83" i="7"/>
  <c r="P176" i="7"/>
  <c r="P138" i="7"/>
  <c r="P366" i="7"/>
  <c r="P4" i="7"/>
  <c r="Q7" i="16"/>
  <c r="P99" i="7"/>
  <c r="P175" i="7"/>
  <c r="P251" i="7"/>
  <c r="P100" i="7"/>
  <c r="P232" i="7"/>
  <c r="P441" i="7"/>
  <c r="P517" i="7"/>
  <c r="P252" i="7"/>
  <c r="P480" i="7"/>
  <c r="P289" i="7"/>
  <c r="N103" i="7"/>
  <c r="N262" i="7"/>
  <c r="N269" i="7"/>
  <c r="R120" i="7"/>
  <c r="R358" i="7"/>
  <c r="N325" i="7"/>
  <c r="N21" i="7"/>
  <c r="N105" i="7"/>
  <c r="M5" i="6"/>
  <c r="M430" i="7"/>
  <c r="M329" i="7"/>
  <c r="M220" i="7"/>
  <c r="N85" i="7"/>
  <c r="M461" i="7"/>
  <c r="M458" i="7"/>
  <c r="N418" i="7"/>
  <c r="M553" i="7"/>
  <c r="M113" i="7"/>
  <c r="M504" i="7"/>
  <c r="M486" i="7"/>
  <c r="P194" i="7"/>
  <c r="P308" i="7"/>
  <c r="P442" i="7"/>
  <c r="P385" i="7"/>
  <c r="P499" i="7"/>
  <c r="P365" i="7"/>
  <c r="P536" i="7"/>
  <c r="P556" i="7"/>
  <c r="M559" i="7"/>
  <c r="N116" i="7"/>
  <c r="L256" i="7"/>
  <c r="L75" i="7"/>
  <c r="R102" i="7"/>
  <c r="N184" i="7"/>
  <c r="L244" i="7"/>
  <c r="M499" i="7"/>
  <c r="M287" i="7"/>
  <c r="M258" i="7"/>
  <c r="M35" i="6"/>
  <c r="N178" i="7"/>
  <c r="M513" i="7"/>
  <c r="L158" i="7"/>
  <c r="N481" i="7"/>
  <c r="M528" i="7"/>
  <c r="M179" i="7"/>
  <c r="M145" i="7"/>
  <c r="M148" i="7"/>
  <c r="M211" i="7"/>
  <c r="M4" i="7"/>
  <c r="N22" i="7"/>
  <c r="R371" i="7"/>
  <c r="M37" i="7"/>
  <c r="M514" i="7"/>
  <c r="N412" i="7"/>
  <c r="L260" i="7"/>
  <c r="N495" i="7"/>
  <c r="N77" i="7"/>
  <c r="M432" i="7"/>
  <c r="M272" i="7"/>
  <c r="M171" i="7"/>
  <c r="L215" i="7"/>
  <c r="N550" i="7"/>
  <c r="N313" i="7"/>
  <c r="N402" i="7"/>
  <c r="R295" i="7"/>
  <c r="R231" i="7"/>
  <c r="P213" i="7"/>
  <c r="P404" i="7"/>
  <c r="P555" i="7"/>
  <c r="P423" i="7"/>
  <c r="P461" i="7"/>
  <c r="P5" i="7"/>
  <c r="R40" i="6"/>
  <c r="L30" i="7"/>
  <c r="L300" i="7"/>
  <c r="L376" i="7"/>
  <c r="R115" i="7"/>
  <c r="R5" i="7"/>
  <c r="R253" i="7"/>
  <c r="R49" i="7"/>
  <c r="R265" i="7"/>
  <c r="R26" i="7"/>
  <c r="R298" i="7"/>
  <c r="L573" i="7"/>
  <c r="L435" i="7"/>
  <c r="L470" i="7"/>
  <c r="L263" i="7"/>
  <c r="L253" i="7"/>
  <c r="L436" i="7"/>
  <c r="L166" i="7"/>
  <c r="L286" i="7"/>
  <c r="L168" i="7"/>
  <c r="L408" i="7"/>
  <c r="L43" i="7"/>
  <c r="L7" i="6"/>
  <c r="R459" i="7"/>
  <c r="R36" i="7"/>
  <c r="R252" i="7"/>
  <c r="R417" i="7"/>
  <c r="R481" i="7"/>
  <c r="R178" i="7"/>
  <c r="R487" i="7"/>
  <c r="Q264" i="7"/>
  <c r="P369" i="7"/>
  <c r="P170" i="7"/>
  <c r="L455" i="7"/>
  <c r="L140" i="7"/>
  <c r="L554" i="7"/>
  <c r="L39" i="6"/>
  <c r="R299" i="7"/>
  <c r="R312" i="7"/>
  <c r="R420" i="7"/>
  <c r="R525" i="7"/>
  <c r="R531" i="7"/>
  <c r="R508" i="7"/>
  <c r="R560" i="7"/>
  <c r="N21" i="16"/>
  <c r="L526" i="7"/>
  <c r="L387" i="7"/>
  <c r="L398" i="7"/>
  <c r="L410" i="7"/>
  <c r="L134" i="7"/>
  <c r="L120" i="7"/>
  <c r="L308" i="7"/>
  <c r="L227" i="7"/>
  <c r="L44" i="7"/>
  <c r="L32" i="7"/>
  <c r="R39" i="7"/>
  <c r="R271" i="7"/>
  <c r="R68" i="7"/>
  <c r="R300" i="7"/>
  <c r="R325" i="7"/>
  <c r="R513" i="7"/>
  <c r="R54" i="7"/>
  <c r="R337" i="7"/>
  <c r="R535" i="7"/>
  <c r="R67" i="7"/>
  <c r="R394" i="7"/>
  <c r="O15" i="16"/>
  <c r="M38" i="16"/>
  <c r="L476" i="7"/>
  <c r="L9" i="16"/>
  <c r="L541" i="7"/>
  <c r="L514" i="7"/>
  <c r="L9" i="7"/>
  <c r="L179" i="7"/>
  <c r="L143" i="7"/>
  <c r="R379" i="7"/>
  <c r="R408" i="7"/>
  <c r="R546" i="7"/>
  <c r="R346" i="7"/>
  <c r="R472" i="7"/>
  <c r="R556" i="7"/>
  <c r="O34" i="16"/>
  <c r="N22" i="16"/>
  <c r="N10" i="16"/>
  <c r="L4" i="16"/>
  <c r="L472" i="7"/>
  <c r="L415" i="7"/>
  <c r="L487" i="7"/>
  <c r="L243" i="7"/>
  <c r="L546" i="7"/>
  <c r="L265" i="7"/>
  <c r="L306" i="7"/>
  <c r="L495" i="7"/>
  <c r="L226" i="7"/>
  <c r="L70" i="7"/>
  <c r="L36" i="6"/>
  <c r="L132" i="7"/>
  <c r="L360" i="7"/>
  <c r="L4" i="7"/>
  <c r="L497" i="7"/>
  <c r="R344" i="7"/>
  <c r="R129" i="7"/>
  <c r="R573" i="7"/>
  <c r="R141" i="7"/>
  <c r="R474" i="7"/>
  <c r="L58" i="7"/>
  <c r="L29" i="6"/>
  <c r="L11" i="6"/>
  <c r="R144" i="7"/>
  <c r="R532" i="7"/>
  <c r="R536" i="7"/>
  <c r="O28" i="16"/>
  <c r="O12" i="16"/>
  <c r="L383" i="7"/>
  <c r="L507" i="7"/>
  <c r="R156" i="7"/>
  <c r="R389" i="7"/>
  <c r="O29" i="16"/>
  <c r="L524" i="7"/>
  <c r="L33" i="7"/>
  <c r="R201" i="7"/>
  <c r="N42" i="16"/>
  <c r="L504" i="7"/>
  <c r="L390" i="7"/>
  <c r="L297" i="7"/>
  <c r="L178" i="7"/>
  <c r="L42" i="6"/>
  <c r="L51" i="7"/>
  <c r="L185" i="7"/>
  <c r="L252" i="7"/>
  <c r="R24" i="7"/>
  <c r="R240" i="7"/>
  <c r="R364" i="7"/>
  <c r="R117" i="7"/>
  <c r="R457" i="7"/>
  <c r="R469" i="7"/>
  <c r="R94" i="7"/>
  <c r="R230" i="7"/>
  <c r="R434" i="7"/>
  <c r="R258" i="7"/>
  <c r="O27" i="16"/>
  <c r="N35" i="16"/>
  <c r="N5" i="16"/>
  <c r="N26" i="7"/>
  <c r="N106" i="7"/>
  <c r="N134" i="7"/>
  <c r="N214" i="7"/>
  <c r="N242" i="7"/>
  <c r="N338" i="7"/>
  <c r="N72" i="7"/>
  <c r="N185" i="7"/>
  <c r="N299" i="7"/>
  <c r="N388" i="7"/>
  <c r="N496" i="7"/>
  <c r="N308" i="7"/>
  <c r="N543" i="7"/>
  <c r="N79" i="7"/>
  <c r="N192" i="7"/>
  <c r="N305" i="7"/>
  <c r="N393" i="7"/>
  <c r="N501" i="7"/>
  <c r="N459" i="7"/>
  <c r="N75" i="7"/>
  <c r="N188" i="7"/>
  <c r="N301" i="7"/>
  <c r="N390" i="7"/>
  <c r="L522" i="7"/>
  <c r="L10" i="7"/>
  <c r="L221" i="7"/>
  <c r="R147" i="7"/>
  <c r="R254" i="7"/>
  <c r="L565" i="7"/>
  <c r="L402" i="7"/>
  <c r="L420" i="7"/>
  <c r="L326" i="7"/>
  <c r="L130" i="7"/>
  <c r="L102" i="7"/>
  <c r="L28" i="6"/>
  <c r="L212" i="7"/>
  <c r="L20" i="6"/>
  <c r="R11" i="7"/>
  <c r="R135" i="7"/>
  <c r="R259" i="7"/>
  <c r="R351" i="7"/>
  <c r="R56" i="7"/>
  <c r="R180" i="7"/>
  <c r="R272" i="7"/>
  <c r="R396" i="7"/>
  <c r="R501" i="7"/>
  <c r="R523" i="7"/>
  <c r="R476" i="7"/>
  <c r="R518" i="7"/>
  <c r="R512" i="7"/>
  <c r="N31" i="16"/>
  <c r="N29" i="16"/>
  <c r="N42" i="7"/>
  <c r="N150" i="7"/>
  <c r="N274" i="7"/>
  <c r="N93" i="7"/>
  <c r="N207" i="7"/>
  <c r="N320" i="7"/>
  <c r="N404" i="7"/>
  <c r="N528" i="7"/>
  <c r="N100" i="7"/>
  <c r="N213" i="7"/>
  <c r="N327" i="7"/>
  <c r="N409" i="7"/>
  <c r="L53" i="7"/>
  <c r="L216" i="7"/>
  <c r="R77" i="7"/>
  <c r="R406" i="7"/>
  <c r="L291" i="7"/>
  <c r="L242" i="7"/>
  <c r="L47" i="7"/>
  <c r="R53" i="7"/>
  <c r="R301" i="7"/>
  <c r="R30" i="7"/>
  <c r="R97" i="7"/>
  <c r="R281" i="7"/>
  <c r="R74" i="7"/>
  <c r="O47" i="16"/>
  <c r="O13" i="16"/>
  <c r="N9" i="16"/>
  <c r="N118" i="7"/>
  <c r="N164" i="7"/>
  <c r="N372" i="7"/>
  <c r="N480" i="7"/>
  <c r="N367" i="7"/>
  <c r="N149" i="7"/>
  <c r="N361" i="7"/>
  <c r="N485" i="7"/>
  <c r="N399" i="7"/>
  <c r="N32" i="7"/>
  <c r="N344" i="7"/>
  <c r="N374" i="7"/>
  <c r="N514" i="7"/>
  <c r="N12" i="7"/>
  <c r="N136" i="7"/>
  <c r="N239" i="7"/>
  <c r="N30" i="6"/>
  <c r="M11" i="7"/>
  <c r="M467" i="7"/>
  <c r="M143" i="7"/>
  <c r="M208" i="7"/>
  <c r="M36" i="6"/>
  <c r="M63" i="7"/>
  <c r="M90" i="7"/>
  <c r="M455" i="7"/>
  <c r="M389" i="7"/>
  <c r="M154" i="7"/>
  <c r="M191" i="7"/>
  <c r="M516" i="7"/>
  <c r="M20" i="6"/>
  <c r="M310" i="7"/>
  <c r="M151" i="7"/>
  <c r="M554" i="7"/>
  <c r="M6" i="6"/>
  <c r="M260" i="7"/>
  <c r="M229" i="7"/>
  <c r="M442" i="7"/>
  <c r="M194" i="7"/>
  <c r="M203" i="7"/>
  <c r="M400" i="7"/>
  <c r="M180" i="7"/>
  <c r="M40" i="16"/>
  <c r="M14" i="16"/>
  <c r="R331" i="7"/>
  <c r="L116" i="7"/>
  <c r="L21" i="6"/>
  <c r="R98" i="7"/>
  <c r="N30" i="16"/>
  <c r="L29" i="16"/>
  <c r="L276" i="7"/>
  <c r="L129" i="7"/>
  <c r="L21" i="7"/>
  <c r="L4" i="6"/>
  <c r="R75" i="7"/>
  <c r="R167" i="7"/>
  <c r="R291" i="7"/>
  <c r="R415" i="7"/>
  <c r="R88" i="7"/>
  <c r="R212" i="7"/>
  <c r="R336" i="7"/>
  <c r="R428" i="7"/>
  <c r="R533" i="7"/>
  <c r="R125" i="7"/>
  <c r="R555" i="7"/>
  <c r="O33" i="16"/>
  <c r="N19" i="16"/>
  <c r="N58" i="7"/>
  <c r="N182" i="7"/>
  <c r="N290" i="7"/>
  <c r="N8" i="7"/>
  <c r="N235" i="7"/>
  <c r="N436" i="7"/>
  <c r="N544" i="7"/>
  <c r="N15" i="7"/>
  <c r="N241" i="7"/>
  <c r="N425" i="7"/>
  <c r="N517" i="7"/>
  <c r="N271" i="7"/>
  <c r="N53" i="7"/>
  <c r="N145" i="7"/>
  <c r="N422" i="7"/>
  <c r="N530" i="7"/>
  <c r="N33" i="7"/>
  <c r="N157" i="7"/>
  <c r="N324" i="7"/>
  <c r="N507" i="7"/>
  <c r="M391" i="7"/>
  <c r="M438" i="7"/>
  <c r="M437" i="7"/>
  <c r="M190" i="7"/>
  <c r="M7" i="7"/>
  <c r="M131" i="7"/>
  <c r="M74" i="7"/>
  <c r="M167" i="7"/>
  <c r="M462" i="7"/>
  <c r="M340" i="7"/>
  <c r="M337" i="7"/>
  <c r="M43" i="7"/>
  <c r="M323" i="7"/>
  <c r="M230" i="7"/>
  <c r="M468" i="7"/>
  <c r="M178" i="7"/>
  <c r="M298" i="7"/>
  <c r="M28" i="16"/>
  <c r="R213" i="7"/>
  <c r="L373" i="7"/>
  <c r="L180" i="7"/>
  <c r="L56" i="7"/>
  <c r="L71" i="7"/>
  <c r="R278" i="7"/>
  <c r="R426" i="7"/>
  <c r="N121" i="7"/>
  <c r="N128" i="7"/>
  <c r="N565" i="7"/>
  <c r="N454" i="7"/>
  <c r="N221" i="7"/>
  <c r="M200" i="7"/>
  <c r="M33" i="7"/>
  <c r="M451" i="7"/>
  <c r="M155" i="7"/>
  <c r="M72" i="7"/>
  <c r="M334" i="7"/>
  <c r="M100" i="7"/>
  <c r="M414" i="7"/>
  <c r="M12" i="6"/>
  <c r="M76" i="7"/>
  <c r="M62" i="7"/>
  <c r="L42" i="16"/>
  <c r="L30" i="16"/>
  <c r="L516" i="7"/>
  <c r="L558" i="7"/>
  <c r="L427" i="7"/>
  <c r="L347" i="7"/>
  <c r="L569" i="7"/>
  <c r="L461" i="7"/>
  <c r="L433" i="7"/>
  <c r="L335" i="7"/>
  <c r="L255" i="7"/>
  <c r="L458" i="7"/>
  <c r="L325" i="7"/>
  <c r="L245" i="7"/>
  <c r="L506" i="7"/>
  <c r="L332" i="7"/>
  <c r="R217" i="7"/>
  <c r="R194" i="7"/>
  <c r="R286" i="7"/>
  <c r="O10" i="16"/>
  <c r="N50" i="7"/>
  <c r="N162" i="7"/>
  <c r="N278" i="7"/>
  <c r="N223" i="7"/>
  <c r="N283" i="7"/>
  <c r="N352" i="7"/>
  <c r="N468" i="7"/>
  <c r="N572" i="7"/>
  <c r="N503" i="7"/>
  <c r="N165" i="7"/>
  <c r="N279" i="7"/>
  <c r="N373" i="7"/>
  <c r="N489" i="7"/>
  <c r="N573" i="7"/>
  <c r="N287" i="7"/>
  <c r="N427" i="7"/>
  <c r="N499" i="7"/>
  <c r="N37" i="7"/>
  <c r="N151" i="7"/>
  <c r="N264" i="7"/>
  <c r="N362" i="7"/>
  <c r="N446" i="7"/>
  <c r="N474" i="7"/>
  <c r="N558" i="7"/>
  <c r="N44" i="7"/>
  <c r="N168" i="7"/>
  <c r="N340" i="7"/>
  <c r="N359" i="7"/>
  <c r="N511" i="7"/>
  <c r="M500" i="7"/>
  <c r="M36" i="7"/>
  <c r="M452" i="7"/>
  <c r="M161" i="7"/>
  <c r="M121" i="7"/>
  <c r="M423" i="7"/>
  <c r="M441" i="7"/>
  <c r="M41" i="6"/>
  <c r="M212" i="7"/>
  <c r="M372" i="7"/>
  <c r="M392" i="7"/>
  <c r="M38" i="6"/>
  <c r="M398" i="7"/>
  <c r="M275" i="7"/>
  <c r="M385" i="7"/>
  <c r="M19" i="6"/>
  <c r="M234" i="7"/>
  <c r="M355" i="7"/>
  <c r="N98" i="7"/>
  <c r="N146" i="7"/>
  <c r="N360" i="7"/>
  <c r="N536" i="7"/>
  <c r="N351" i="7"/>
  <c r="N31" i="7"/>
  <c r="N176" i="7"/>
  <c r="N316" i="7"/>
  <c r="N401" i="7"/>
  <c r="N69" i="7"/>
  <c r="N215" i="7"/>
  <c r="N450" i="7"/>
  <c r="N502" i="7"/>
  <c r="N23" i="7"/>
  <c r="N173" i="7"/>
  <c r="N419" i="7"/>
  <c r="N479" i="7"/>
  <c r="L298" i="7"/>
  <c r="L267" i="7"/>
  <c r="R192" i="7"/>
  <c r="R190" i="7"/>
  <c r="L552" i="7"/>
  <c r="L454" i="7"/>
  <c r="L8" i="6"/>
  <c r="R107" i="7"/>
  <c r="R323" i="7"/>
  <c r="R145" i="7"/>
  <c r="R189" i="7"/>
  <c r="R522" i="7"/>
  <c r="N15" i="16"/>
  <c r="N90" i="7"/>
  <c r="N198" i="7"/>
  <c r="N306" i="7"/>
  <c r="N51" i="7"/>
  <c r="N233" i="7"/>
  <c r="N36" i="7"/>
  <c r="N117" i="7"/>
  <c r="N167" i="7"/>
  <c r="N259" i="7"/>
  <c r="N466" i="7"/>
  <c r="N55" i="7"/>
  <c r="N375" i="7"/>
  <c r="N539" i="7"/>
  <c r="M87" i="7"/>
  <c r="M246" i="7"/>
  <c r="M309" i="7"/>
  <c r="N29" i="6"/>
  <c r="M571" i="7"/>
  <c r="M259" i="7"/>
  <c r="M9" i="7"/>
  <c r="M39" i="7"/>
  <c r="M383" i="7"/>
  <c r="M412" i="7"/>
  <c r="M473" i="7"/>
  <c r="M8" i="16"/>
  <c r="L10" i="16"/>
  <c r="L500" i="7"/>
  <c r="L537" i="7"/>
  <c r="L411" i="7"/>
  <c r="L545" i="7"/>
  <c r="L401" i="7"/>
  <c r="L563" i="7"/>
  <c r="L446" i="7"/>
  <c r="L319" i="7"/>
  <c r="L426" i="7"/>
  <c r="L309" i="7"/>
  <c r="L224" i="7"/>
  <c r="L203" i="7"/>
  <c r="L21" i="16"/>
  <c r="R245" i="7"/>
  <c r="R41" i="7"/>
  <c r="R18" i="7"/>
  <c r="R294" i="7"/>
  <c r="R430" i="7"/>
  <c r="N48" i="16"/>
  <c r="N70" i="7"/>
  <c r="N186" i="7"/>
  <c r="N298" i="7"/>
  <c r="N24" i="7"/>
  <c r="N336" i="7"/>
  <c r="N376" i="7"/>
  <c r="N488" i="7"/>
  <c r="N411" i="7"/>
  <c r="N25" i="7"/>
  <c r="N197" i="7"/>
  <c r="N311" i="7"/>
  <c r="N397" i="7"/>
  <c r="N509" i="7"/>
  <c r="N64" i="7"/>
  <c r="N177" i="7"/>
  <c r="N291" i="7"/>
  <c r="N382" i="7"/>
  <c r="N494" i="7"/>
  <c r="N71" i="7"/>
  <c r="N195" i="7"/>
  <c r="N403" i="7"/>
  <c r="N555" i="7"/>
  <c r="M353" i="7"/>
  <c r="M49" i="7"/>
  <c r="M23" i="7"/>
  <c r="M116" i="7"/>
  <c r="M326" i="7"/>
  <c r="M16" i="7"/>
  <c r="M284" i="7"/>
  <c r="M396" i="7"/>
  <c r="M172" i="7"/>
  <c r="M523" i="7"/>
  <c r="M448" i="7"/>
  <c r="M14" i="7"/>
  <c r="M256" i="7"/>
  <c r="M21" i="7"/>
  <c r="M53" i="7"/>
  <c r="N33" i="6"/>
  <c r="M162" i="7"/>
  <c r="N190" i="7"/>
  <c r="N238" i="7"/>
  <c r="N148" i="7"/>
  <c r="N288" i="7"/>
  <c r="N380" i="7"/>
  <c r="N439" i="7"/>
  <c r="N63" i="7"/>
  <c r="N203" i="7"/>
  <c r="N343" i="7"/>
  <c r="N445" i="7"/>
  <c r="N493" i="7"/>
  <c r="N346" i="7"/>
  <c r="N522" i="7"/>
  <c r="N49" i="7"/>
  <c r="N205" i="7"/>
  <c r="N523" i="7"/>
  <c r="M377" i="7"/>
  <c r="O45" i="16"/>
  <c r="R478" i="7"/>
  <c r="L232" i="7"/>
  <c r="R447" i="7"/>
  <c r="R122" i="7"/>
  <c r="R166" i="7"/>
  <c r="N277" i="7"/>
  <c r="N560" i="7"/>
  <c r="N457" i="7"/>
  <c r="N179" i="7"/>
  <c r="M261" i="7"/>
  <c r="M342" i="7"/>
  <c r="M311" i="7"/>
  <c r="M420" i="7"/>
  <c r="M219" i="7"/>
  <c r="M433" i="7"/>
  <c r="M405" i="7"/>
  <c r="M4" i="6"/>
  <c r="M375" i="7"/>
  <c r="M5" i="7"/>
  <c r="M17" i="16"/>
  <c r="L532" i="7"/>
  <c r="L443" i="7"/>
  <c r="L481" i="7"/>
  <c r="L369" i="7"/>
  <c r="L271" i="7"/>
  <c r="L261" i="7"/>
  <c r="L142" i="7"/>
  <c r="L13" i="6"/>
  <c r="R203" i="7"/>
  <c r="R387" i="7"/>
  <c r="R216" i="7"/>
  <c r="R381" i="7"/>
  <c r="N6" i="7"/>
  <c r="N234" i="7"/>
  <c r="N109" i="7"/>
  <c r="N169" i="7"/>
  <c r="N251" i="7"/>
  <c r="N552" i="7"/>
  <c r="N252" i="7"/>
  <c r="N437" i="7"/>
  <c r="N553" i="7"/>
  <c r="N5" i="7"/>
  <c r="N232" i="7"/>
  <c r="N426" i="7"/>
  <c r="N538" i="7"/>
  <c r="N141" i="7"/>
  <c r="N265" i="7"/>
  <c r="N31" i="6"/>
  <c r="M549" i="7"/>
  <c r="M485" i="7"/>
  <c r="M15" i="7"/>
  <c r="M274" i="7"/>
  <c r="M271" i="7"/>
  <c r="N302" i="7"/>
  <c r="N515" i="7"/>
  <c r="N557" i="7"/>
  <c r="N443" i="7"/>
  <c r="N43" i="7"/>
  <c r="N156" i="7"/>
  <c r="N296" i="7"/>
  <c r="N410" i="7"/>
  <c r="N120" i="7"/>
  <c r="L144" i="7"/>
  <c r="L26" i="6"/>
  <c r="R311" i="7"/>
  <c r="R260" i="7"/>
  <c r="R121" i="7"/>
  <c r="R257" i="7"/>
  <c r="R494" i="7"/>
  <c r="O20" i="16"/>
  <c r="N18" i="16"/>
  <c r="N14" i="7"/>
  <c r="N61" i="7"/>
  <c r="N492" i="7"/>
  <c r="N229" i="7"/>
  <c r="N289" i="7"/>
  <c r="N357" i="7"/>
  <c r="N371" i="7"/>
  <c r="N16" i="7"/>
  <c r="N478" i="7"/>
  <c r="L318" i="7"/>
  <c r="L128" i="7"/>
  <c r="L103" i="7"/>
  <c r="L41" i="6"/>
  <c r="R263" i="7"/>
  <c r="R184" i="7"/>
  <c r="R309" i="7"/>
  <c r="R105" i="7"/>
  <c r="R445" i="7"/>
  <c r="R527" i="7"/>
  <c r="R82" i="7"/>
  <c r="R530" i="7"/>
  <c r="R492" i="7"/>
  <c r="O16" i="16"/>
  <c r="N40" i="16"/>
  <c r="N82" i="7"/>
  <c r="N194" i="7"/>
  <c r="N310" i="7"/>
  <c r="N13" i="7"/>
  <c r="N127" i="7"/>
  <c r="N240" i="7"/>
  <c r="N428" i="7"/>
  <c r="N540" i="7"/>
  <c r="N95" i="7"/>
  <c r="N208" i="7"/>
  <c r="L115" i="7"/>
  <c r="L11" i="16"/>
  <c r="R376" i="7"/>
  <c r="L6" i="7"/>
  <c r="L163" i="7"/>
  <c r="R266" i="7"/>
  <c r="N463" i="7"/>
  <c r="N231" i="7"/>
  <c r="N358" i="7"/>
  <c r="N482" i="7"/>
  <c r="N97" i="7"/>
  <c r="N21" i="6"/>
  <c r="M292" i="7"/>
  <c r="M10" i="6"/>
  <c r="M9" i="6"/>
  <c r="M507" i="7"/>
  <c r="M380" i="7"/>
  <c r="M551" i="7"/>
  <c r="L468" i="7"/>
  <c r="L515" i="7"/>
  <c r="L379" i="7"/>
  <c r="L519" i="7"/>
  <c r="L382" i="7"/>
  <c r="L493" i="7"/>
  <c r="L394" i="7"/>
  <c r="L288" i="7"/>
  <c r="L114" i="7"/>
  <c r="L160" i="7"/>
  <c r="R244" i="7"/>
  <c r="R495" i="7"/>
  <c r="R462" i="7"/>
  <c r="O22" i="16"/>
  <c r="N8" i="16"/>
  <c r="N94" i="7"/>
  <c r="N318" i="7"/>
  <c r="N416" i="7"/>
  <c r="N52" i="7"/>
  <c r="N337" i="7"/>
  <c r="N91" i="7"/>
  <c r="N317" i="7"/>
  <c r="N227" i="7"/>
  <c r="M360" i="7"/>
  <c r="M267" i="7"/>
  <c r="M509" i="7"/>
  <c r="M276" i="7"/>
  <c r="M543" i="7"/>
  <c r="M71" i="7"/>
  <c r="M40" i="7"/>
  <c r="N34" i="7"/>
  <c r="N35" i="7"/>
  <c r="N175" i="7"/>
  <c r="N315" i="7"/>
  <c r="N424" i="7"/>
  <c r="N472" i="7"/>
  <c r="N292" i="7"/>
  <c r="N566" i="7"/>
  <c r="N108" i="7"/>
  <c r="L428" i="7"/>
  <c r="L190" i="7"/>
  <c r="L63" i="7"/>
  <c r="L28" i="7"/>
  <c r="R63" i="7"/>
  <c r="R403" i="7"/>
  <c r="R12" i="7"/>
  <c r="R324" i="7"/>
  <c r="R352" i="7"/>
  <c r="R226" i="7"/>
  <c r="R386" i="7"/>
  <c r="O32" i="16"/>
  <c r="N54" i="7"/>
  <c r="N282" i="7"/>
  <c r="N201" i="7"/>
  <c r="N261" i="7"/>
  <c r="N556" i="7"/>
  <c r="N421" i="7"/>
  <c r="N101" i="7"/>
  <c r="N183" i="7"/>
  <c r="N243" i="7"/>
  <c r="N542" i="7"/>
  <c r="N297" i="7"/>
  <c r="L174" i="7"/>
  <c r="L41" i="7"/>
  <c r="R15" i="7"/>
  <c r="R327" i="7"/>
  <c r="R355" i="7"/>
  <c r="R276" i="7"/>
  <c r="R153" i="7"/>
  <c r="R130" i="7"/>
  <c r="R289" i="7"/>
  <c r="R526" i="7"/>
  <c r="R468" i="7"/>
  <c r="N14" i="16"/>
  <c r="N18" i="7"/>
  <c r="N102" i="7"/>
  <c r="N130" i="7"/>
  <c r="N218" i="7"/>
  <c r="N246" i="7"/>
  <c r="N330" i="7"/>
  <c r="N40" i="7"/>
  <c r="N153" i="7"/>
  <c r="N267" i="7"/>
  <c r="N364" i="7"/>
  <c r="N448" i="7"/>
  <c r="N476" i="7"/>
  <c r="N564" i="7"/>
  <c r="N383" i="7"/>
  <c r="N9" i="7"/>
  <c r="N123" i="7"/>
  <c r="L499" i="7"/>
  <c r="L89" i="7"/>
  <c r="R414" i="7"/>
  <c r="N280" i="7"/>
  <c r="N447" i="7"/>
  <c r="N26" i="6"/>
  <c r="M492" i="7"/>
  <c r="M92" i="7"/>
  <c r="M508" i="7"/>
  <c r="L502" i="7"/>
  <c r="L385" i="7"/>
  <c r="L287" i="7"/>
  <c r="L293" i="7"/>
  <c r="L330" i="7"/>
  <c r="L474" i="7"/>
  <c r="N206" i="7"/>
  <c r="N137" i="7"/>
  <c r="N532" i="7"/>
  <c r="N224" i="7"/>
  <c r="N204" i="7"/>
  <c r="N451" i="7"/>
  <c r="M305" i="7"/>
  <c r="M240" i="7"/>
  <c r="M231" i="7"/>
  <c r="M94" i="7"/>
  <c r="N210" i="7"/>
  <c r="N129" i="7"/>
  <c r="N386" i="7"/>
  <c r="L404" i="7"/>
  <c r="L34" i="7"/>
  <c r="L208" i="7"/>
  <c r="L139" i="7"/>
  <c r="R219" i="7"/>
  <c r="R277" i="7"/>
  <c r="R73" i="7"/>
  <c r="R413" i="7"/>
  <c r="R50" i="7"/>
  <c r="R498" i="7"/>
  <c r="O46" i="16"/>
  <c r="N44" i="16"/>
  <c r="N170" i="7"/>
  <c r="N144" i="7"/>
  <c r="N513" i="7"/>
  <c r="N430" i="7"/>
  <c r="L567" i="7"/>
  <c r="L18" i="7"/>
  <c r="L192" i="7"/>
  <c r="L88" i="7"/>
  <c r="L83" i="7"/>
  <c r="L85" i="7"/>
  <c r="R171" i="7"/>
  <c r="R92" i="7"/>
  <c r="R432" i="7"/>
  <c r="R537" i="7"/>
  <c r="R442" i="7"/>
  <c r="O42" i="16"/>
  <c r="N62" i="7"/>
  <c r="N174" i="7"/>
  <c r="N286" i="7"/>
  <c r="N212" i="7"/>
  <c r="N408" i="7"/>
  <c r="N520" i="7"/>
  <c r="N181" i="7"/>
  <c r="N295" i="7"/>
  <c r="N385" i="7"/>
  <c r="N497" i="7"/>
  <c r="N335" i="7"/>
  <c r="N547" i="7"/>
  <c r="N80" i="7"/>
  <c r="N193" i="7"/>
  <c r="N307" i="7"/>
  <c r="N394" i="7"/>
  <c r="N506" i="7"/>
  <c r="N113" i="7"/>
  <c r="N125" i="7"/>
  <c r="N244" i="7"/>
  <c r="L254" i="7"/>
  <c r="R95" i="7"/>
  <c r="R435" i="7"/>
  <c r="R369" i="7"/>
  <c r="R165" i="7"/>
  <c r="R142" i="7"/>
  <c r="N272" i="7"/>
  <c r="N456" i="7"/>
  <c r="N568" i="7"/>
  <c r="N471" i="7"/>
  <c r="N332" i="7"/>
  <c r="N285" i="7"/>
  <c r="N260" i="7"/>
  <c r="M417" i="7"/>
  <c r="M176" i="7"/>
  <c r="M285" i="7"/>
  <c r="M518" i="7"/>
  <c r="M174" i="7"/>
  <c r="M103" i="7"/>
  <c r="M345" i="7"/>
  <c r="M160" i="7"/>
  <c r="M108" i="7"/>
  <c r="M386" i="7"/>
  <c r="M279" i="7"/>
  <c r="M288" i="7"/>
  <c r="M120" i="7"/>
  <c r="M363" i="7"/>
  <c r="M89" i="7"/>
  <c r="M29" i="6"/>
  <c r="M196" i="7"/>
  <c r="M408" i="7"/>
  <c r="M510" i="7"/>
  <c r="M378" i="7"/>
  <c r="M39" i="6"/>
  <c r="M558" i="7"/>
  <c r="M415" i="7"/>
  <c r="M519" i="7"/>
  <c r="M12" i="7"/>
  <c r="M173" i="7"/>
  <c r="M497" i="7"/>
  <c r="N42" i="6"/>
  <c r="M184" i="7"/>
  <c r="M38" i="7"/>
  <c r="M30" i="7"/>
  <c r="M30" i="6"/>
  <c r="M227" i="7"/>
  <c r="M491" i="7"/>
  <c r="M291" i="7"/>
  <c r="M280" i="7"/>
  <c r="L448" i="7"/>
  <c r="L25" i="6"/>
  <c r="L31" i="6"/>
  <c r="R187" i="7"/>
  <c r="R108" i="7"/>
  <c r="R448" i="7"/>
  <c r="R553" i="7"/>
  <c r="R349" i="7"/>
  <c r="O26" i="16"/>
  <c r="N304" i="7"/>
  <c r="N563" i="7"/>
  <c r="N247" i="7"/>
  <c r="N433" i="7"/>
  <c r="N545" i="7"/>
  <c r="N312" i="7"/>
  <c r="N347" i="7"/>
  <c r="M557" i="7"/>
  <c r="N24" i="6"/>
  <c r="M328" i="7"/>
  <c r="M358" i="7"/>
  <c r="M325" i="7"/>
  <c r="M244" i="7"/>
  <c r="M312" i="7"/>
  <c r="M560" i="7"/>
  <c r="N38" i="6"/>
  <c r="BL38" i="6" s="1"/>
  <c r="R341" i="7"/>
  <c r="R114" i="7"/>
  <c r="N217" i="7"/>
  <c r="N160" i="7"/>
  <c r="N225" i="7"/>
  <c r="N189" i="7"/>
  <c r="M286" i="7"/>
  <c r="M249" i="7"/>
  <c r="M300" i="7"/>
  <c r="M111" i="7"/>
  <c r="M454" i="7"/>
  <c r="M476" i="7"/>
  <c r="M331" i="7"/>
  <c r="M233" i="7"/>
  <c r="M80" i="7"/>
  <c r="M520" i="7"/>
  <c r="M13" i="7"/>
  <c r="M51" i="7"/>
  <c r="M245" i="7"/>
  <c r="M544" i="7"/>
  <c r="M18" i="7"/>
  <c r="M168" i="7"/>
  <c r="M475" i="7"/>
  <c r="M427" i="7"/>
  <c r="M336" i="7"/>
  <c r="N32" i="6"/>
  <c r="M321" i="7"/>
  <c r="M357" i="7"/>
  <c r="M322" i="7"/>
  <c r="M159" i="7"/>
  <c r="M239" i="7"/>
  <c r="M503" i="7"/>
  <c r="M501" i="7"/>
  <c r="L176" i="7"/>
  <c r="L191" i="7"/>
  <c r="R524" i="7"/>
  <c r="N348" i="7"/>
  <c r="N460" i="7"/>
  <c r="N389" i="7"/>
  <c r="N505" i="7"/>
  <c r="N354" i="7"/>
  <c r="N470" i="7"/>
  <c r="N92" i="7"/>
  <c r="M373" i="7"/>
  <c r="M81" i="7"/>
  <c r="M185" i="7"/>
  <c r="M393" i="7"/>
  <c r="M10" i="7"/>
  <c r="M102" i="7"/>
  <c r="M248" i="7"/>
  <c r="M548" i="7"/>
  <c r="M556" i="7"/>
  <c r="M202" i="7"/>
  <c r="M496" i="7"/>
  <c r="M129" i="7"/>
  <c r="M348" i="7"/>
  <c r="M555" i="7"/>
  <c r="M153" i="7"/>
  <c r="M351" i="7"/>
  <c r="M546" i="7"/>
  <c r="M42" i="7"/>
  <c r="M130" i="7"/>
  <c r="M444" i="7"/>
  <c r="M152" i="7"/>
  <c r="M362" i="7"/>
  <c r="M27" i="6"/>
  <c r="M289" i="7"/>
  <c r="M210" i="7"/>
  <c r="P5" i="6"/>
  <c r="P19" i="6"/>
  <c r="P30" i="6"/>
  <c r="Q8" i="6"/>
  <c r="O23" i="6"/>
  <c r="O43" i="6"/>
  <c r="O9" i="6"/>
  <c r="O26" i="6"/>
  <c r="O34" i="6"/>
  <c r="O4" i="6"/>
  <c r="O12" i="6"/>
  <c r="O29" i="6"/>
  <c r="R118" i="7"/>
  <c r="N464" i="7"/>
  <c r="M24" i="7"/>
  <c r="M471" i="7"/>
  <c r="L564" i="7"/>
  <c r="L205" i="7"/>
  <c r="R96" i="7"/>
  <c r="L292" i="7"/>
  <c r="R437" i="7"/>
  <c r="N452" i="7"/>
  <c r="N263" i="7"/>
  <c r="N438" i="7"/>
  <c r="M439" i="7"/>
  <c r="M166" i="7"/>
  <c r="M449" i="7"/>
  <c r="M25" i="16"/>
  <c r="L473" i="7"/>
  <c r="L363" i="7"/>
  <c r="L350" i="7"/>
  <c r="L211" i="7"/>
  <c r="R47" i="7"/>
  <c r="R466" i="7"/>
  <c r="N440" i="7"/>
  <c r="N111" i="7"/>
  <c r="N353" i="7"/>
  <c r="N465" i="7"/>
  <c r="N355" i="7"/>
  <c r="N17" i="7"/>
  <c r="M84" i="7"/>
  <c r="M125" i="7"/>
  <c r="M526" i="7"/>
  <c r="M150" i="7"/>
  <c r="N13" i="6"/>
  <c r="N78" i="7"/>
  <c r="N88" i="7"/>
  <c r="N516" i="7"/>
  <c r="N257" i="7"/>
  <c r="L126" i="7"/>
  <c r="L32" i="6"/>
  <c r="L440" i="7"/>
  <c r="R93" i="7"/>
  <c r="R433" i="7"/>
  <c r="R70" i="7"/>
  <c r="R229" i="7"/>
  <c r="R206" i="7"/>
  <c r="N400" i="7"/>
  <c r="N4" i="7"/>
  <c r="N328" i="7"/>
  <c r="N81" i="7"/>
  <c r="L24" i="6"/>
  <c r="R79" i="7"/>
  <c r="R419" i="7"/>
  <c r="R340" i="7"/>
  <c r="R133" i="7"/>
  <c r="R282" i="7"/>
  <c r="O30" i="16"/>
  <c r="N67" i="7"/>
  <c r="N293" i="7"/>
  <c r="N329" i="7"/>
  <c r="N531" i="7"/>
  <c r="N41" i="7"/>
  <c r="N321" i="7"/>
  <c r="N405" i="7"/>
  <c r="N521" i="7"/>
  <c r="N107" i="7"/>
  <c r="N220" i="7"/>
  <c r="N333" i="7"/>
  <c r="N414" i="7"/>
  <c r="N526" i="7"/>
  <c r="N28" i="7"/>
  <c r="N152" i="7"/>
  <c r="N303" i="7"/>
  <c r="N483" i="7"/>
  <c r="R123" i="7"/>
  <c r="R44" i="7"/>
  <c r="R384" i="7"/>
  <c r="R489" i="7"/>
  <c r="R488" i="7"/>
  <c r="N46" i="7"/>
  <c r="N158" i="7"/>
  <c r="N270" i="7"/>
  <c r="N159" i="7"/>
  <c r="N219" i="7"/>
  <c r="N172" i="7"/>
  <c r="M22" i="6"/>
  <c r="M390" i="7"/>
  <c r="M299" i="7"/>
  <c r="M304" i="7"/>
  <c r="M20" i="7"/>
  <c r="M21" i="6"/>
  <c r="BL21" i="6" s="1"/>
  <c r="M209" i="7"/>
  <c r="M425" i="7"/>
  <c r="M511" i="7"/>
  <c r="M453" i="7"/>
  <c r="N36" i="6"/>
  <c r="M456" i="7"/>
  <c r="M82" i="7"/>
  <c r="M332" i="7"/>
  <c r="M107" i="7"/>
  <c r="M232" i="7"/>
  <c r="M572" i="7"/>
  <c r="M198" i="7"/>
  <c r="M381" i="7"/>
  <c r="M48" i="7"/>
  <c r="M416" i="7"/>
  <c r="M17" i="7"/>
  <c r="M480" i="7"/>
  <c r="M127" i="7"/>
  <c r="M570" i="7"/>
  <c r="M445" i="7"/>
  <c r="M409" i="7"/>
  <c r="M382" i="7"/>
  <c r="M57" i="7"/>
  <c r="M344" i="7"/>
  <c r="L20" i="7"/>
  <c r="L5" i="7"/>
  <c r="R136" i="7"/>
  <c r="R479" i="7"/>
  <c r="N191" i="7"/>
  <c r="N133" i="7"/>
  <c r="N199" i="7"/>
  <c r="M7" i="6"/>
  <c r="M356" i="7"/>
  <c r="M241" i="7"/>
  <c r="M133" i="7"/>
  <c r="M215" i="7"/>
  <c r="M217" i="7"/>
  <c r="M341" i="7"/>
  <c r="M487" i="7"/>
  <c r="R366" i="7"/>
  <c r="N24" i="16"/>
  <c r="N86" i="7"/>
  <c r="N202" i="7"/>
  <c r="N314" i="7"/>
  <c r="N104" i="7"/>
  <c r="N47" i="7"/>
  <c r="N249" i="7"/>
  <c r="N112" i="7"/>
  <c r="N65" i="7"/>
  <c r="N551" i="7"/>
  <c r="M141" i="7"/>
  <c r="M140" i="7"/>
  <c r="M563" i="7"/>
  <c r="M235" i="7"/>
  <c r="M164" i="7"/>
  <c r="M365" i="7"/>
  <c r="M450" i="7"/>
  <c r="M343" i="7"/>
  <c r="M122" i="7"/>
  <c r="M270" i="7"/>
  <c r="M22" i="7"/>
  <c r="M469" i="7"/>
  <c r="M25" i="7"/>
  <c r="N43" i="6"/>
  <c r="M187" i="7"/>
  <c r="M11" i="6"/>
  <c r="M533" i="7"/>
  <c r="M346" i="7"/>
  <c r="M26" i="7"/>
  <c r="M320" i="7"/>
  <c r="R343" i="7"/>
  <c r="R185" i="7"/>
  <c r="R162" i="7"/>
  <c r="N245" i="7"/>
  <c r="N432" i="7"/>
  <c r="N548" i="7"/>
  <c r="N300" i="7"/>
  <c r="N559" i="7"/>
  <c r="N253" i="7"/>
  <c r="N442" i="7"/>
  <c r="N554" i="7"/>
  <c r="M371" i="7"/>
  <c r="M31" i="7"/>
  <c r="M242" i="7"/>
  <c r="M569" i="7"/>
  <c r="M206" i="7"/>
  <c r="M428" i="7"/>
  <c r="M294" i="7"/>
  <c r="M418" i="7"/>
  <c r="M327" i="7"/>
  <c r="M115" i="7"/>
  <c r="M266" i="7"/>
  <c r="M573" i="7"/>
  <c r="M189" i="7"/>
  <c r="M8" i="6"/>
  <c r="M538" i="7"/>
  <c r="M384" i="7"/>
  <c r="M105" i="7"/>
  <c r="M431" i="7"/>
  <c r="N8" i="6"/>
  <c r="M182" i="7"/>
  <c r="M101" i="7"/>
  <c r="M117" i="7"/>
  <c r="M303" i="7"/>
  <c r="P7" i="6"/>
  <c r="P21" i="6"/>
  <c r="P20" i="6"/>
  <c r="Q23" i="6"/>
  <c r="P4" i="6"/>
  <c r="P22" i="6"/>
  <c r="O10" i="6"/>
  <c r="O11" i="6"/>
  <c r="O20" i="6"/>
  <c r="O28" i="6"/>
  <c r="O36" i="6"/>
  <c r="O40" i="6"/>
  <c r="O8" i="6"/>
  <c r="O25" i="6"/>
  <c r="O33" i="6"/>
  <c r="L27" i="6"/>
  <c r="M262" i="7"/>
  <c r="M165" i="7"/>
  <c r="M253" i="7"/>
  <c r="M567" i="7"/>
  <c r="R152" i="7"/>
  <c r="O32" i="6"/>
  <c r="O24" i="6"/>
  <c r="O7" i="6"/>
  <c r="O35" i="6"/>
  <c r="O27" i="6"/>
  <c r="Q6" i="6"/>
  <c r="P27" i="6"/>
  <c r="P26" i="6"/>
  <c r="M104" i="7"/>
  <c r="N22" i="6"/>
  <c r="M335" i="7"/>
  <c r="M545" i="7"/>
  <c r="M552" i="7"/>
  <c r="M78" i="7"/>
  <c r="M214" i="7"/>
  <c r="M498" i="7"/>
  <c r="M86" i="7"/>
  <c r="M257" i="7"/>
  <c r="N27" i="6"/>
  <c r="M369" i="7"/>
  <c r="M282" i="7"/>
  <c r="M315" i="7"/>
  <c r="M422" i="7"/>
  <c r="M13" i="6"/>
  <c r="N435" i="7"/>
  <c r="N187" i="7"/>
  <c r="N138" i="7"/>
  <c r="R558" i="7"/>
  <c r="R292" i="7"/>
  <c r="R31" i="7"/>
  <c r="L234" i="7"/>
  <c r="M156" i="7"/>
  <c r="M317" i="7"/>
  <c r="M221" i="7"/>
  <c r="N534" i="7"/>
  <c r="N415" i="7"/>
  <c r="N369" i="7"/>
  <c r="N524" i="7"/>
  <c r="R562" i="7"/>
  <c r="M85" i="7"/>
  <c r="M296" i="7"/>
  <c r="M58" i="7"/>
  <c r="M138" i="7"/>
  <c r="N9" i="6"/>
  <c r="M142" i="7"/>
  <c r="M318" i="7"/>
  <c r="N163" i="7"/>
  <c r="N20" i="7"/>
  <c r="N294" i="7"/>
  <c r="N66" i="7"/>
  <c r="R9" i="7"/>
  <c r="L222" i="7"/>
  <c r="M443" i="7"/>
  <c r="M302" i="7"/>
  <c r="M29" i="7"/>
  <c r="M251" i="7"/>
  <c r="M477" i="7"/>
  <c r="M19" i="7"/>
  <c r="M489" i="7"/>
  <c r="M99" i="7"/>
  <c r="M192" i="7"/>
  <c r="M457" i="7"/>
  <c r="M403" i="7"/>
  <c r="M419" i="7"/>
  <c r="M60" i="7"/>
  <c r="N59" i="7"/>
  <c r="N255" i="7"/>
  <c r="N45" i="7"/>
  <c r="N38" i="16"/>
  <c r="R29" i="7"/>
  <c r="L113" i="7"/>
  <c r="N527" i="7"/>
  <c r="N379" i="7"/>
  <c r="N60" i="7"/>
  <c r="N462" i="7"/>
  <c r="N350" i="7"/>
  <c r="N135" i="7"/>
  <c r="N68" i="7"/>
  <c r="N99" i="7"/>
  <c r="N28" i="16"/>
  <c r="R274" i="7"/>
  <c r="L444" i="7"/>
  <c r="N363" i="7"/>
  <c r="N89" i="7"/>
  <c r="N444" i="7"/>
  <c r="R511" i="7"/>
  <c r="R168" i="7"/>
  <c r="R247" i="7"/>
  <c r="M41" i="7"/>
  <c r="M32" i="6"/>
  <c r="N518" i="7"/>
  <c r="N417" i="7"/>
  <c r="N56" i="7"/>
  <c r="R569" i="7"/>
  <c r="L16" i="16"/>
  <c r="M119" i="7"/>
  <c r="N549" i="7"/>
  <c r="N16" i="16"/>
  <c r="O37" i="6"/>
  <c r="O42" i="6"/>
  <c r="O38" i="6"/>
  <c r="O22" i="6"/>
  <c r="O31" i="6"/>
  <c r="O6" i="6"/>
  <c r="P33" i="6"/>
  <c r="P31" i="6"/>
  <c r="P6" i="6"/>
  <c r="M201" i="7"/>
  <c r="M139" i="7"/>
  <c r="N20" i="6"/>
  <c r="M118" i="7"/>
  <c r="M465" i="7"/>
  <c r="M429" i="7"/>
  <c r="M361" i="7"/>
  <c r="M37" i="6"/>
  <c r="N34" i="6"/>
  <c r="N27" i="7"/>
  <c r="N19" i="7"/>
  <c r="N222" i="7"/>
  <c r="R321" i="7"/>
  <c r="L320" i="7"/>
  <c r="M524" i="7"/>
  <c r="M481" i="7"/>
  <c r="M42" i="6"/>
  <c r="BL42" i="6" s="1"/>
  <c r="M243" i="7"/>
  <c r="M366" i="7"/>
  <c r="M281" i="7"/>
  <c r="M568" i="7"/>
  <c r="M464" i="7"/>
  <c r="M537" i="7"/>
  <c r="M67" i="7"/>
  <c r="M222" i="7"/>
  <c r="M484" i="7"/>
  <c r="M75" i="7"/>
  <c r="M532" i="7"/>
  <c r="N391" i="7"/>
  <c r="N339" i="7"/>
  <c r="N487" i="7"/>
  <c r="N453" i="7"/>
  <c r="N331" i="7"/>
  <c r="R564" i="7"/>
  <c r="R200" i="7"/>
  <c r="L35" i="6"/>
  <c r="M404" i="7"/>
  <c r="M28" i="7"/>
  <c r="M488" i="7"/>
  <c r="M479" i="7"/>
  <c r="M493" i="7"/>
  <c r="M483" i="7"/>
  <c r="M66" i="7"/>
  <c r="N510" i="7"/>
  <c r="N349" i="7"/>
  <c r="N504" i="7"/>
  <c r="R338" i="7"/>
  <c r="L45" i="7"/>
  <c r="M367" i="7"/>
  <c r="M314" i="7"/>
  <c r="N39" i="6"/>
  <c r="M370" i="7"/>
  <c r="M308" i="7"/>
  <c r="M226" i="7"/>
  <c r="M106" i="7"/>
  <c r="N40" i="6"/>
  <c r="M539" i="7"/>
  <c r="M193" i="7"/>
  <c r="M8" i="7"/>
  <c r="M170" i="7"/>
  <c r="M534" i="7"/>
  <c r="M252" i="7"/>
  <c r="M364" i="7"/>
  <c r="M26" i="6"/>
  <c r="N7" i="7"/>
  <c r="N378" i="7"/>
  <c r="N525" i="7"/>
  <c r="N395" i="7"/>
  <c r="N368" i="7"/>
  <c r="L40" i="7"/>
  <c r="N423" i="7"/>
  <c r="N87" i="7"/>
  <c r="N486" i="7"/>
  <c r="N370" i="7"/>
  <c r="N161" i="7"/>
  <c r="N387" i="7"/>
  <c r="N477" i="7"/>
  <c r="N365" i="7"/>
  <c r="N455" i="7"/>
  <c r="N500" i="7"/>
  <c r="N384" i="7"/>
  <c r="R450" i="7"/>
  <c r="R473" i="7"/>
  <c r="R368" i="7"/>
  <c r="R28" i="7"/>
  <c r="L246" i="7"/>
  <c r="N567" i="7"/>
  <c r="N473" i="7"/>
  <c r="N126" i="7"/>
  <c r="O6" i="16"/>
  <c r="R378" i="7"/>
  <c r="L147" i="7"/>
  <c r="L173" i="7"/>
  <c r="L98" i="7"/>
  <c r="M98" i="7"/>
  <c r="N381" i="7"/>
  <c r="M359" i="7"/>
  <c r="M541" i="7"/>
  <c r="N139" i="7"/>
  <c r="N122" i="7"/>
  <c r="R559" i="7"/>
  <c r="L449" i="7"/>
  <c r="M43" i="16"/>
  <c r="M521" i="7"/>
  <c r="L334" i="7"/>
  <c r="O41" i="6"/>
  <c r="O21" i="6"/>
  <c r="O30" i="6"/>
  <c r="O13" i="6"/>
  <c r="O5" i="6"/>
  <c r="Q39" i="6"/>
  <c r="P8" i="6"/>
  <c r="Q5" i="6"/>
  <c r="P23" i="6"/>
  <c r="N25" i="6"/>
  <c r="M535" i="7"/>
  <c r="M413" i="7"/>
  <c r="M566" i="7"/>
  <c r="M197" i="7"/>
  <c r="M223" i="7"/>
  <c r="M301" i="7"/>
  <c r="M339" i="7"/>
  <c r="M446" i="7"/>
  <c r="N11" i="6"/>
  <c r="M169" i="7"/>
  <c r="M93" i="7"/>
  <c r="M347" i="7"/>
  <c r="M478" i="7"/>
  <c r="M547" i="7"/>
  <c r="M183" i="7"/>
  <c r="N216" i="7"/>
  <c r="N73" i="7"/>
  <c r="N334" i="7"/>
  <c r="N110" i="7"/>
  <c r="L37" i="7"/>
  <c r="M394" i="7"/>
  <c r="M112" i="7"/>
  <c r="M137" i="7"/>
  <c r="M91" i="7"/>
  <c r="M466" i="7"/>
  <c r="M35" i="7"/>
  <c r="M109" i="7"/>
  <c r="M411" i="7"/>
  <c r="M195" i="7"/>
  <c r="M268" i="7"/>
  <c r="M435" i="7"/>
  <c r="N569" i="7"/>
  <c r="N273" i="7"/>
  <c r="R543" i="7"/>
  <c r="R279" i="7"/>
  <c r="M564" i="7"/>
  <c r="M50" i="7"/>
  <c r="M136" i="7"/>
  <c r="N39" i="7"/>
  <c r="N398" i="7"/>
  <c r="N461" i="7"/>
  <c r="N392" i="7"/>
  <c r="N12" i="16"/>
  <c r="L207" i="7"/>
  <c r="M263" i="7"/>
  <c r="N6" i="6"/>
  <c r="M32" i="7"/>
  <c r="N319" i="7"/>
  <c r="M387" i="7"/>
  <c r="M562" i="7"/>
  <c r="M146" i="7"/>
  <c r="M216" i="7"/>
  <c r="N23" i="6"/>
  <c r="M376" i="7"/>
  <c r="M290" i="7"/>
  <c r="M55" i="7"/>
  <c r="M297" i="7"/>
  <c r="M207" i="7"/>
  <c r="M65" i="7"/>
  <c r="M181" i="7"/>
  <c r="M79" i="7"/>
  <c r="N490" i="7"/>
  <c r="N413" i="7"/>
  <c r="N484" i="7"/>
  <c r="L105" i="7"/>
  <c r="L479" i="7"/>
  <c r="N211" i="7"/>
  <c r="N570" i="7"/>
  <c r="N458" i="7"/>
  <c r="N275" i="7"/>
  <c r="N48" i="7"/>
  <c r="N475" i="7"/>
  <c r="N561" i="7"/>
  <c r="N449" i="7"/>
  <c r="N268" i="7"/>
  <c r="N155" i="7"/>
  <c r="N180" i="7"/>
  <c r="N266" i="7"/>
  <c r="N154" i="7"/>
  <c r="N38" i="7"/>
  <c r="L91" i="7"/>
  <c r="L141" i="7"/>
  <c r="L82" i="7"/>
  <c r="L266" i="7"/>
  <c r="N147" i="7"/>
  <c r="N366" i="7"/>
  <c r="N535" i="7"/>
  <c r="N326" i="7"/>
  <c r="N4" i="16"/>
  <c r="R552" i="7"/>
  <c r="R521" i="7"/>
  <c r="R416" i="7"/>
  <c r="R76" i="7"/>
  <c r="R155" i="7"/>
  <c r="L310" i="7"/>
  <c r="M550" i="7"/>
  <c r="N119" i="7"/>
  <c r="R308" i="7"/>
  <c r="L50" i="7"/>
  <c r="N491" i="7"/>
  <c r="R393" i="7"/>
  <c r="E6" i="15"/>
  <c r="H169" i="4"/>
  <c r="H186" i="4"/>
  <c r="H187" i="4"/>
  <c r="H170" i="4"/>
  <c r="W216" i="6"/>
  <c r="W182" i="6"/>
  <c r="W183" i="6"/>
  <c r="BK188" i="6"/>
  <c r="BK193" i="6"/>
  <c r="BK220" i="6"/>
  <c r="BK221" i="6"/>
  <c r="BK194" i="6"/>
  <c r="W201" i="6"/>
  <c r="BK206" i="6"/>
  <c r="W227" i="6"/>
  <c r="W211" i="6"/>
  <c r="BK202" i="6"/>
  <c r="W195" i="6"/>
  <c r="BK212" i="6"/>
  <c r="BK228" i="6"/>
  <c r="BK191" i="6"/>
  <c r="BK190" i="6"/>
  <c r="W188" i="6"/>
  <c r="W189" i="6"/>
  <c r="BK14" i="6"/>
  <c r="BK184" i="6"/>
  <c r="BK210" i="6"/>
  <c r="BK215" i="6"/>
  <c r="W200" i="6"/>
  <c r="W205" i="6"/>
  <c r="BK217" i="6"/>
  <c r="BK180" i="6"/>
  <c r="W187" i="6"/>
  <c r="BK211" i="6"/>
  <c r="W214" i="6"/>
  <c r="BK198" i="6"/>
  <c r="W218" i="6"/>
  <c r="W206" i="6"/>
  <c r="W224" i="6"/>
  <c r="BK181" i="6"/>
  <c r="W184" i="6"/>
  <c r="W198" i="6"/>
  <c r="BK227" i="6"/>
  <c r="W222" i="6"/>
  <c r="BK16" i="6"/>
  <c r="W15" i="6"/>
  <c r="W208" i="6"/>
  <c r="BK195" i="6"/>
  <c r="W186" i="6"/>
  <c r="BK183" i="6"/>
  <c r="BK192" i="6"/>
  <c r="BK201" i="6"/>
  <c r="BK224" i="6"/>
  <c r="BK185" i="6"/>
  <c r="W209" i="6"/>
  <c r="W196" i="6"/>
  <c r="BK203" i="6"/>
  <c r="W220" i="6"/>
  <c r="W181" i="6"/>
  <c r="W180" i="6"/>
  <c r="W217" i="6"/>
  <c r="BK187" i="6"/>
  <c r="BK196" i="6"/>
  <c r="BK18" i="6"/>
  <c r="W219" i="6"/>
  <c r="W203" i="6"/>
  <c r="W210" i="6"/>
  <c r="W194" i="6"/>
  <c r="W221" i="6"/>
  <c r="BK182" i="6"/>
  <c r="BK213" i="6"/>
  <c r="BK223" i="6"/>
  <c r="BK214" i="6"/>
  <c r="BK219" i="6"/>
  <c r="BK226" i="6"/>
  <c r="W17" i="6"/>
  <c r="BK218" i="6"/>
  <c r="W226" i="6"/>
  <c r="W16" i="6"/>
  <c r="BK189" i="6"/>
  <c r="W192" i="6"/>
  <c r="BK199" i="6"/>
  <c r="W212" i="6"/>
  <c r="BK186" i="6"/>
  <c r="BK207" i="6"/>
  <c r="W213" i="6"/>
  <c r="W225" i="6"/>
  <c r="W199" i="6"/>
  <c r="W228" i="6"/>
  <c r="W190" i="6"/>
  <c r="W193" i="6"/>
  <c r="BK208" i="6"/>
  <c r="BK209" i="6"/>
  <c r="W223" i="6"/>
  <c r="W14" i="6"/>
  <c r="W204" i="6"/>
  <c r="W207" i="6"/>
  <c r="BK17" i="6"/>
  <c r="W191" i="6"/>
  <c r="BK200" i="6"/>
  <c r="W197" i="6"/>
  <c r="BK222" i="6"/>
  <c r="BK197" i="6"/>
  <c r="W185" i="6"/>
  <c r="W202" i="6"/>
  <c r="W215" i="6"/>
  <c r="BK205" i="6"/>
  <c r="BK204" i="6"/>
  <c r="BK225" i="6"/>
  <c r="BK15" i="6"/>
  <c r="BK216" i="6"/>
  <c r="W18" i="6"/>
  <c r="H168" i="4"/>
  <c r="H185" i="4"/>
  <c r="R228" i="6"/>
  <c r="N228" i="6"/>
  <c r="P227" i="6"/>
  <c r="L227" i="6"/>
  <c r="R226" i="6"/>
  <c r="N226" i="6"/>
  <c r="Q225" i="6"/>
  <c r="AS225" i="6" s="1"/>
  <c r="M225" i="6"/>
  <c r="Q224" i="6"/>
  <c r="AS224" i="6" s="1"/>
  <c r="M224" i="6"/>
  <c r="Q223" i="6"/>
  <c r="AS223" i="6" s="1"/>
  <c r="M223" i="6"/>
  <c r="R222" i="6"/>
  <c r="N222" i="6"/>
  <c r="Q221" i="6"/>
  <c r="AS221" i="6" s="1"/>
  <c r="M221" i="6"/>
  <c r="R220" i="6"/>
  <c r="N220" i="6"/>
  <c r="R219" i="6"/>
  <c r="N219" i="6"/>
  <c r="R218" i="6"/>
  <c r="N218" i="6"/>
  <c r="R217" i="6"/>
  <c r="N217" i="6"/>
  <c r="R216" i="6"/>
  <c r="N216" i="6"/>
  <c r="Q215" i="6"/>
  <c r="M215" i="6"/>
  <c r="R214" i="6"/>
  <c r="N214" i="6"/>
  <c r="Q213" i="6"/>
  <c r="AS213" i="6" s="1"/>
  <c r="M213" i="6"/>
  <c r="S212" i="6"/>
  <c r="O212" i="6"/>
  <c r="Q211" i="6"/>
  <c r="AS211" i="6" s="1"/>
  <c r="M211" i="6"/>
  <c r="Q210" i="6"/>
  <c r="AS210" i="6" s="1"/>
  <c r="M210" i="6"/>
  <c r="Q209" i="6"/>
  <c r="AS209" i="6" s="1"/>
  <c r="M209" i="6"/>
  <c r="R208" i="6"/>
  <c r="N208" i="6"/>
  <c r="S207" i="6"/>
  <c r="O207" i="6"/>
  <c r="S206" i="6"/>
  <c r="O206" i="6"/>
  <c r="R205" i="6"/>
  <c r="N205" i="6"/>
  <c r="P204" i="6"/>
  <c r="L204" i="6"/>
  <c r="Q228" i="6"/>
  <c r="AS228" i="6" s="1"/>
  <c r="M228" i="6"/>
  <c r="S227" i="6"/>
  <c r="O227" i="6"/>
  <c r="Q226" i="6"/>
  <c r="AS226" i="6" s="1"/>
  <c r="M226" i="6"/>
  <c r="P225" i="6"/>
  <c r="L225" i="6"/>
  <c r="P224" i="6"/>
  <c r="L224" i="6"/>
  <c r="P223" i="6"/>
  <c r="L223" i="6"/>
  <c r="Q222" i="6"/>
  <c r="AS222" i="6" s="1"/>
  <c r="M222" i="6"/>
  <c r="P221" i="6"/>
  <c r="L221" i="6"/>
  <c r="Q220" i="6"/>
  <c r="AS220" i="6" s="1"/>
  <c r="M220" i="6"/>
  <c r="Q219" i="6"/>
  <c r="AS219" i="6" s="1"/>
  <c r="M219" i="6"/>
  <c r="Q218" i="6"/>
  <c r="M218" i="6"/>
  <c r="Q217" i="6"/>
  <c r="M217" i="6"/>
  <c r="Q216" i="6"/>
  <c r="M216" i="6"/>
  <c r="P215" i="6"/>
  <c r="L215" i="6"/>
  <c r="Q214" i="6"/>
  <c r="M214" i="6"/>
  <c r="P213" i="6"/>
  <c r="L213" i="6"/>
  <c r="R212" i="6"/>
  <c r="N212" i="6"/>
  <c r="P211" i="6"/>
  <c r="L211" i="6"/>
  <c r="P210" i="6"/>
  <c r="L210" i="6"/>
  <c r="P209" i="6"/>
  <c r="L209" i="6"/>
  <c r="Q208" i="6"/>
  <c r="AS208" i="6" s="1"/>
  <c r="M208" i="6"/>
  <c r="R207" i="6"/>
  <c r="N207" i="6"/>
  <c r="R206" i="6"/>
  <c r="N206" i="6"/>
  <c r="Q205" i="6"/>
  <c r="AS205" i="6" s="1"/>
  <c r="M205" i="6"/>
  <c r="S204" i="6"/>
  <c r="O204" i="6"/>
  <c r="P228" i="6"/>
  <c r="L228" i="6"/>
  <c r="R227" i="6"/>
  <c r="N227" i="6"/>
  <c r="P226" i="6"/>
  <c r="L226" i="6"/>
  <c r="S225" i="6"/>
  <c r="O225" i="6"/>
  <c r="S224" i="6"/>
  <c r="O224" i="6"/>
  <c r="S223" i="6"/>
  <c r="O223" i="6"/>
  <c r="P222" i="6"/>
  <c r="L222" i="6"/>
  <c r="S221" i="6"/>
  <c r="O221" i="6"/>
  <c r="P220" i="6"/>
  <c r="L220" i="6"/>
  <c r="P219" i="6"/>
  <c r="L219" i="6"/>
  <c r="P218" i="6"/>
  <c r="L218" i="6"/>
  <c r="P217" i="6"/>
  <c r="L217" i="6"/>
  <c r="P216" i="6"/>
  <c r="L216" i="6"/>
  <c r="S215" i="6"/>
  <c r="O215" i="6"/>
  <c r="P214" i="6"/>
  <c r="L214" i="6"/>
  <c r="S213" i="6"/>
  <c r="O213" i="6"/>
  <c r="Q212" i="6"/>
  <c r="AS212" i="6" s="1"/>
  <c r="M212" i="6"/>
  <c r="S211" i="6"/>
  <c r="O211" i="6"/>
  <c r="S210" i="6"/>
  <c r="O210" i="6"/>
  <c r="S209" i="6"/>
  <c r="O209" i="6"/>
  <c r="P208" i="6"/>
  <c r="L208" i="6"/>
  <c r="Q207" i="6"/>
  <c r="AS207" i="6" s="1"/>
  <c r="M207" i="6"/>
  <c r="Q206" i="6"/>
  <c r="AS206" i="6" s="1"/>
  <c r="M206" i="6"/>
  <c r="P205" i="6"/>
  <c r="L205" i="6"/>
  <c r="R204" i="6"/>
  <c r="N204" i="6"/>
  <c r="S228" i="6"/>
  <c r="O228" i="6"/>
  <c r="Q227" i="6"/>
  <c r="AS227" i="6" s="1"/>
  <c r="M227" i="6"/>
  <c r="S226" i="6"/>
  <c r="O226" i="6"/>
  <c r="R225" i="6"/>
  <c r="N225" i="6"/>
  <c r="R224" i="6"/>
  <c r="N224" i="6"/>
  <c r="R223" i="6"/>
  <c r="N223" i="6"/>
  <c r="S222" i="6"/>
  <c r="O222" i="6"/>
  <c r="R221" i="6"/>
  <c r="N221" i="6"/>
  <c r="S220" i="6"/>
  <c r="O220" i="6"/>
  <c r="S219" i="6"/>
  <c r="O219" i="6"/>
  <c r="S218" i="6"/>
  <c r="O218" i="6"/>
  <c r="S217" i="6"/>
  <c r="O217" i="6"/>
  <c r="S216" i="6"/>
  <c r="O216" i="6"/>
  <c r="R215" i="6"/>
  <c r="N215" i="6"/>
  <c r="S214" i="6"/>
  <c r="O214" i="6"/>
  <c r="R213" i="6"/>
  <c r="N213" i="6"/>
  <c r="P212" i="6"/>
  <c r="L212" i="6"/>
  <c r="R211" i="6"/>
  <c r="N211" i="6"/>
  <c r="R210" i="6"/>
  <c r="N210" i="6"/>
  <c r="R209" i="6"/>
  <c r="N209" i="6"/>
  <c r="S208" i="6"/>
  <c r="O208" i="6"/>
  <c r="P207" i="6"/>
  <c r="L207" i="6"/>
  <c r="P206" i="6"/>
  <c r="L206" i="6"/>
  <c r="S205" i="6"/>
  <c r="O205" i="6"/>
  <c r="Q204" i="6"/>
  <c r="AS204" i="6" s="1"/>
  <c r="M204" i="6"/>
  <c r="S203" i="6"/>
  <c r="O203" i="6"/>
  <c r="P202" i="6"/>
  <c r="L202" i="6"/>
  <c r="S201" i="6"/>
  <c r="O201" i="6"/>
  <c r="S200" i="6"/>
  <c r="O200" i="6"/>
  <c r="P199" i="6"/>
  <c r="L199" i="6"/>
  <c r="P198" i="6"/>
  <c r="L198" i="6"/>
  <c r="S197" i="6"/>
  <c r="O197" i="6"/>
  <c r="P196" i="6"/>
  <c r="L196" i="6"/>
  <c r="Q195" i="6"/>
  <c r="AS195" i="6" s="1"/>
  <c r="M195" i="6"/>
  <c r="Q194" i="6"/>
  <c r="AS194" i="6" s="1"/>
  <c r="M194" i="6"/>
  <c r="S193" i="6"/>
  <c r="O193" i="6"/>
  <c r="R192" i="6"/>
  <c r="N192" i="6"/>
  <c r="P191" i="6"/>
  <c r="L191" i="6"/>
  <c r="P190" i="6"/>
  <c r="L190" i="6"/>
  <c r="Q189" i="6"/>
  <c r="AS189" i="6" s="1"/>
  <c r="M189" i="6"/>
  <c r="Q188" i="6"/>
  <c r="M188" i="6"/>
  <c r="S187" i="6"/>
  <c r="O187" i="6"/>
  <c r="S186" i="6"/>
  <c r="O186" i="6"/>
  <c r="S185" i="6"/>
  <c r="O185" i="6"/>
  <c r="R184" i="6"/>
  <c r="N184" i="6"/>
  <c r="Q183" i="6"/>
  <c r="AS183" i="6" s="1"/>
  <c r="M183" i="6"/>
  <c r="P182" i="6"/>
  <c r="L182" i="6"/>
  <c r="S181" i="6"/>
  <c r="O181" i="6"/>
  <c r="S180" i="6"/>
  <c r="O180" i="6"/>
  <c r="P18" i="6"/>
  <c r="L18" i="6"/>
  <c r="S17" i="6"/>
  <c r="O17" i="6"/>
  <c r="R16" i="6"/>
  <c r="N16" i="6"/>
  <c r="Q15" i="6"/>
  <c r="AS15" i="6" s="1"/>
  <c r="M15" i="6"/>
  <c r="P14" i="6"/>
  <c r="L14" i="6"/>
  <c r="R203" i="6"/>
  <c r="N203" i="6"/>
  <c r="S202" i="6"/>
  <c r="O202" i="6"/>
  <c r="R201" i="6"/>
  <c r="N201" i="6"/>
  <c r="R200" i="6"/>
  <c r="N200" i="6"/>
  <c r="S199" i="6"/>
  <c r="O199" i="6"/>
  <c r="S198" i="6"/>
  <c r="O198" i="6"/>
  <c r="R197" i="6"/>
  <c r="N197" i="6"/>
  <c r="S196" i="6"/>
  <c r="O196" i="6"/>
  <c r="P195" i="6"/>
  <c r="L195" i="6"/>
  <c r="P194" i="6"/>
  <c r="L194" i="6"/>
  <c r="R193" i="6"/>
  <c r="N193" i="6"/>
  <c r="Q192" i="6"/>
  <c r="AS192" i="6" s="1"/>
  <c r="M192" i="6"/>
  <c r="S191" i="6"/>
  <c r="O191" i="6"/>
  <c r="S190" i="6"/>
  <c r="O190" i="6"/>
  <c r="P189" i="6"/>
  <c r="L189" i="6"/>
  <c r="P188" i="6"/>
  <c r="L188" i="6"/>
  <c r="R187" i="6"/>
  <c r="N187" i="6"/>
  <c r="R186" i="6"/>
  <c r="N186" i="6"/>
  <c r="R185" i="6"/>
  <c r="N185" i="6"/>
  <c r="Q184" i="6"/>
  <c r="M184" i="6"/>
  <c r="P183" i="6"/>
  <c r="L183" i="6"/>
  <c r="S182" i="6"/>
  <c r="O182" i="6"/>
  <c r="R181" i="6"/>
  <c r="N181" i="6"/>
  <c r="R180" i="6"/>
  <c r="N180" i="6"/>
  <c r="S18" i="6"/>
  <c r="O18" i="6"/>
  <c r="R17" i="6"/>
  <c r="N17" i="6"/>
  <c r="Q16" i="6"/>
  <c r="AS16" i="6" s="1"/>
  <c r="M16" i="6"/>
  <c r="P15" i="6"/>
  <c r="L15" i="6"/>
  <c r="S14" i="6"/>
  <c r="O14" i="6"/>
  <c r="Q203" i="6"/>
  <c r="M203" i="6"/>
  <c r="R202" i="6"/>
  <c r="N202" i="6"/>
  <c r="Q201" i="6"/>
  <c r="M201" i="6"/>
  <c r="Q200" i="6"/>
  <c r="M200" i="6"/>
  <c r="R199" i="6"/>
  <c r="N199" i="6"/>
  <c r="R198" i="6"/>
  <c r="N198" i="6"/>
  <c r="Q197" i="6"/>
  <c r="AS197" i="6" s="1"/>
  <c r="M197" i="6"/>
  <c r="R196" i="6"/>
  <c r="N196" i="6"/>
  <c r="S195" i="6"/>
  <c r="O195" i="6"/>
  <c r="S194" i="6"/>
  <c r="O194" i="6"/>
  <c r="Q193" i="6"/>
  <c r="AS193" i="6" s="1"/>
  <c r="M193" i="6"/>
  <c r="P192" i="6"/>
  <c r="L192" i="6"/>
  <c r="R191" i="6"/>
  <c r="N191" i="6"/>
  <c r="R190" i="6"/>
  <c r="N190" i="6"/>
  <c r="S189" i="6"/>
  <c r="O189" i="6"/>
  <c r="S188" i="6"/>
  <c r="O188" i="6"/>
  <c r="Q187" i="6"/>
  <c r="M187" i="6"/>
  <c r="Q186" i="6"/>
  <c r="M186" i="6"/>
  <c r="BL186" i="6" s="1"/>
  <c r="Q185" i="6"/>
  <c r="M185" i="6"/>
  <c r="P184" i="6"/>
  <c r="L184" i="6"/>
  <c r="S183" i="6"/>
  <c r="O183" i="6"/>
  <c r="R182" i="6"/>
  <c r="N182" i="6"/>
  <c r="Q181" i="6"/>
  <c r="AS181" i="6" s="1"/>
  <c r="M181" i="6"/>
  <c r="Q180" i="6"/>
  <c r="AS180" i="6" s="1"/>
  <c r="M180" i="6"/>
  <c r="R18" i="6"/>
  <c r="N18" i="6"/>
  <c r="Q17" i="6"/>
  <c r="AS17" i="6" s="1"/>
  <c r="M17" i="6"/>
  <c r="P16" i="6"/>
  <c r="L16" i="6"/>
  <c r="S15" i="6"/>
  <c r="O15" i="6"/>
  <c r="R14" i="6"/>
  <c r="N14" i="6"/>
  <c r="P203" i="6"/>
  <c r="L203" i="6"/>
  <c r="Q202" i="6"/>
  <c r="M202" i="6"/>
  <c r="P201" i="6"/>
  <c r="L201" i="6"/>
  <c r="P200" i="6"/>
  <c r="L200" i="6"/>
  <c r="Q199" i="6"/>
  <c r="M199" i="6"/>
  <c r="BL199" i="6" s="1"/>
  <c r="Q198" i="6"/>
  <c r="AS198" i="6" s="1"/>
  <c r="M198" i="6"/>
  <c r="P197" i="6"/>
  <c r="L197" i="6"/>
  <c r="Q196" i="6"/>
  <c r="AS196" i="6" s="1"/>
  <c r="M196" i="6"/>
  <c r="R195" i="6"/>
  <c r="N195" i="6"/>
  <c r="R194" i="6"/>
  <c r="N194" i="6"/>
  <c r="P193" i="6"/>
  <c r="L193" i="6"/>
  <c r="S192" i="6"/>
  <c r="O192" i="6"/>
  <c r="Q191" i="6"/>
  <c r="AS191" i="6" s="1"/>
  <c r="M191" i="6"/>
  <c r="BL191" i="6" s="1"/>
  <c r="Q190" i="6"/>
  <c r="AS190" i="6" s="1"/>
  <c r="M190" i="6"/>
  <c r="R189" i="6"/>
  <c r="N189" i="6"/>
  <c r="R188" i="6"/>
  <c r="N188" i="6"/>
  <c r="P187" i="6"/>
  <c r="L187" i="6"/>
  <c r="P186" i="6"/>
  <c r="L186" i="6"/>
  <c r="P185" i="6"/>
  <c r="L185" i="6"/>
  <c r="S184" i="6"/>
  <c r="O184" i="6"/>
  <c r="R183" i="6"/>
  <c r="N183" i="6"/>
  <c r="Q182" i="6"/>
  <c r="AS182" i="6" s="1"/>
  <c r="M182" i="6"/>
  <c r="P181" i="6"/>
  <c r="L181" i="6"/>
  <c r="P180" i="6"/>
  <c r="L180" i="6"/>
  <c r="Q18" i="6"/>
  <c r="AS18" i="6" s="1"/>
  <c r="M18" i="6"/>
  <c r="P17" i="6"/>
  <c r="L17" i="6"/>
  <c r="S16" i="6"/>
  <c r="O16" i="6"/>
  <c r="R15" i="6"/>
  <c r="N15" i="6"/>
  <c r="Q14" i="6"/>
  <c r="AS14" i="6" s="1"/>
  <c r="M14" i="6"/>
  <c r="S6" i="7"/>
  <c r="AR6" i="7" s="1"/>
  <c r="S10" i="7"/>
  <c r="AR10" i="7" s="1"/>
  <c r="S14" i="7"/>
  <c r="AR14" i="7" s="1"/>
  <c r="S18" i="7"/>
  <c r="AR18" i="7" s="1"/>
  <c r="S22" i="7"/>
  <c r="AR22" i="7" s="1"/>
  <c r="S26" i="7"/>
  <c r="AR26" i="7" s="1"/>
  <c r="S30" i="7"/>
  <c r="AR30" i="7" s="1"/>
  <c r="S34" i="7"/>
  <c r="AR34" i="7" s="1"/>
  <c r="S38" i="7"/>
  <c r="AR38" i="7" s="1"/>
  <c r="S42" i="7"/>
  <c r="S46" i="7"/>
  <c r="AR46" i="7" s="1"/>
  <c r="S50" i="7"/>
  <c r="AR50" i="7" s="1"/>
  <c r="S54" i="7"/>
  <c r="AR54" i="7" s="1"/>
  <c r="S58" i="7"/>
  <c r="AR58" i="7" s="1"/>
  <c r="S62" i="7"/>
  <c r="S66" i="7"/>
  <c r="AR66" i="7" s="1"/>
  <c r="S70" i="7"/>
  <c r="AR70" i="7" s="1"/>
  <c r="S74" i="7"/>
  <c r="AR74" i="7" s="1"/>
  <c r="S78" i="7"/>
  <c r="AR78" i="7" s="1"/>
  <c r="S82" i="7"/>
  <c r="AR82" i="7" s="1"/>
  <c r="S86" i="7"/>
  <c r="AR86" i="7" s="1"/>
  <c r="S90" i="7"/>
  <c r="AR90" i="7" s="1"/>
  <c r="S94" i="7"/>
  <c r="AR94" i="7" s="1"/>
  <c r="S98" i="7"/>
  <c r="AR98" i="7" s="1"/>
  <c r="S102" i="7"/>
  <c r="AR102" i="7" s="1"/>
  <c r="S106" i="7"/>
  <c r="AR106" i="7" s="1"/>
  <c r="S110" i="7"/>
  <c r="AR110" i="7" s="1"/>
  <c r="S114" i="7"/>
  <c r="AR114" i="7" s="1"/>
  <c r="S118" i="7"/>
  <c r="S122" i="7"/>
  <c r="AR122" i="7" s="1"/>
  <c r="S126" i="7"/>
  <c r="AR126" i="7" s="1"/>
  <c r="S130" i="7"/>
  <c r="AR130" i="7" s="1"/>
  <c r="S134" i="7"/>
  <c r="AR134" i="7" s="1"/>
  <c r="S138" i="7"/>
  <c r="S142" i="7"/>
  <c r="AR142" i="7" s="1"/>
  <c r="S146" i="7"/>
  <c r="AR146" i="7" s="1"/>
  <c r="S150" i="7"/>
  <c r="AR150" i="7" s="1"/>
  <c r="S154" i="7"/>
  <c r="AR154" i="7" s="1"/>
  <c r="S158" i="7"/>
  <c r="AR158" i="7" s="1"/>
  <c r="S162" i="7"/>
  <c r="AR162" i="7" s="1"/>
  <c r="S166" i="7"/>
  <c r="AR166" i="7" s="1"/>
  <c r="S170" i="7"/>
  <c r="AR170" i="7" s="1"/>
  <c r="S174" i="7"/>
  <c r="AR174" i="7" s="1"/>
  <c r="S178" i="7"/>
  <c r="AR178" i="7" s="1"/>
  <c r="S182" i="7"/>
  <c r="AR182" i="7" s="1"/>
  <c r="S186" i="7"/>
  <c r="AR186" i="7" s="1"/>
  <c r="S190" i="7"/>
  <c r="AR190" i="7" s="1"/>
  <c r="S194" i="7"/>
  <c r="S198" i="7"/>
  <c r="AR198" i="7" s="1"/>
  <c r="S202" i="7"/>
  <c r="AR202" i="7" s="1"/>
  <c r="S206" i="7"/>
  <c r="AR206" i="7" s="1"/>
  <c r="S210" i="7"/>
  <c r="AR210" i="7" s="1"/>
  <c r="S214" i="7"/>
  <c r="S218" i="7"/>
  <c r="AR218" i="7" s="1"/>
  <c r="S222" i="7"/>
  <c r="AR222" i="7" s="1"/>
  <c r="S226" i="7"/>
  <c r="AR226" i="7" s="1"/>
  <c r="S230" i="7"/>
  <c r="AR230" i="7" s="1"/>
  <c r="S234" i="7"/>
  <c r="AR234" i="7" s="1"/>
  <c r="S238" i="7"/>
  <c r="AR238" i="7" s="1"/>
  <c r="S242" i="7"/>
  <c r="AR242" i="7" s="1"/>
  <c r="S246" i="7"/>
  <c r="AR246" i="7" s="1"/>
  <c r="S250" i="7"/>
  <c r="AR250" i="7" s="1"/>
  <c r="S254" i="7"/>
  <c r="AR254" i="7" s="1"/>
  <c r="S258" i="7"/>
  <c r="AR258" i="7" s="1"/>
  <c r="S262" i="7"/>
  <c r="AR262" i="7" s="1"/>
  <c r="S266" i="7"/>
  <c r="AR266" i="7" s="1"/>
  <c r="S270" i="7"/>
  <c r="S274" i="7"/>
  <c r="AR274" i="7" s="1"/>
  <c r="S278" i="7"/>
  <c r="AR278" i="7" s="1"/>
  <c r="S282" i="7"/>
  <c r="AR282" i="7" s="1"/>
  <c r="S286" i="7"/>
  <c r="AR286" i="7" s="1"/>
  <c r="S290" i="7"/>
  <c r="S294" i="7"/>
  <c r="AR294" i="7" s="1"/>
  <c r="S298" i="7"/>
  <c r="AR298" i="7" s="1"/>
  <c r="S302" i="7"/>
  <c r="AR302" i="7" s="1"/>
  <c r="S306" i="7"/>
  <c r="AR306" i="7" s="1"/>
  <c r="S310" i="7"/>
  <c r="AR310" i="7" s="1"/>
  <c r="S314" i="7"/>
  <c r="AR314" i="7" s="1"/>
  <c r="S318" i="7"/>
  <c r="AR318" i="7" s="1"/>
  <c r="S322" i="7"/>
  <c r="AR322" i="7" s="1"/>
  <c r="S326" i="7"/>
  <c r="AR326" i="7" s="1"/>
  <c r="S330" i="7"/>
  <c r="AR330" i="7" s="1"/>
  <c r="S334" i="7"/>
  <c r="AR334" i="7" s="1"/>
  <c r="S338" i="7"/>
  <c r="AR338" i="7" s="1"/>
  <c r="S342" i="7"/>
  <c r="AR342" i="7" s="1"/>
  <c r="S346" i="7"/>
  <c r="S350" i="7"/>
  <c r="AR350" i="7" s="1"/>
  <c r="S354" i="7"/>
  <c r="AR354" i="7" s="1"/>
  <c r="S358" i="7"/>
  <c r="AR358" i="7" s="1"/>
  <c r="S362" i="7"/>
  <c r="AR362" i="7" s="1"/>
  <c r="S366" i="7"/>
  <c r="S370" i="7"/>
  <c r="AR370" i="7" s="1"/>
  <c r="S374" i="7"/>
  <c r="AR374" i="7" s="1"/>
  <c r="S378" i="7"/>
  <c r="AR378" i="7" s="1"/>
  <c r="S382" i="7"/>
  <c r="AR382" i="7" s="1"/>
  <c r="S386" i="7"/>
  <c r="AR386" i="7" s="1"/>
  <c r="S390" i="7"/>
  <c r="AR390" i="7" s="1"/>
  <c r="S394" i="7"/>
  <c r="AR394" i="7" s="1"/>
  <c r="S398" i="7"/>
  <c r="AR398" i="7" s="1"/>
  <c r="S402" i="7"/>
  <c r="AR402" i="7" s="1"/>
  <c r="S406" i="7"/>
  <c r="AR406" i="7" s="1"/>
  <c r="S410" i="7"/>
  <c r="AR410" i="7" s="1"/>
  <c r="S414" i="7"/>
  <c r="AR414" i="7" s="1"/>
  <c r="S418" i="7"/>
  <c r="AR418" i="7" s="1"/>
  <c r="S422" i="7"/>
  <c r="S426" i="7"/>
  <c r="AR426" i="7" s="1"/>
  <c r="S430" i="7"/>
  <c r="AR430" i="7" s="1"/>
  <c r="S434" i="7"/>
  <c r="AR434" i="7" s="1"/>
  <c r="S438" i="7"/>
  <c r="AR438" i="7" s="1"/>
  <c r="S442" i="7"/>
  <c r="S446" i="7"/>
  <c r="AR446" i="7" s="1"/>
  <c r="S450" i="7"/>
  <c r="AR450" i="7" s="1"/>
  <c r="S454" i="7"/>
  <c r="AR454" i="7" s="1"/>
  <c r="S458" i="7"/>
  <c r="AR458" i="7" s="1"/>
  <c r="S462" i="7"/>
  <c r="AR462" i="7" s="1"/>
  <c r="S466" i="7"/>
  <c r="AR466" i="7" s="1"/>
  <c r="S470" i="7"/>
  <c r="AR470" i="7" s="1"/>
  <c r="S474" i="7"/>
  <c r="AR474" i="7" s="1"/>
  <c r="S478" i="7"/>
  <c r="AR478" i="7" s="1"/>
  <c r="S482" i="7"/>
  <c r="AR482" i="7" s="1"/>
  <c r="S486" i="7"/>
  <c r="AR486" i="7" s="1"/>
  <c r="S490" i="7"/>
  <c r="AR490" i="7" s="1"/>
  <c r="S494" i="7"/>
  <c r="AR494" i="7" s="1"/>
  <c r="S498" i="7"/>
  <c r="S502" i="7"/>
  <c r="AR502" i="7" s="1"/>
  <c r="S506" i="7"/>
  <c r="AR506" i="7" s="1"/>
  <c r="S510" i="7"/>
  <c r="AR510" i="7" s="1"/>
  <c r="S514" i="7"/>
  <c r="AR514" i="7" s="1"/>
  <c r="S518" i="7"/>
  <c r="S522" i="7"/>
  <c r="AR522" i="7" s="1"/>
  <c r="S526" i="7"/>
  <c r="AR526" i="7" s="1"/>
  <c r="S530" i="7"/>
  <c r="AR530" i="7" s="1"/>
  <c r="S534" i="7"/>
  <c r="AR534" i="7" s="1"/>
  <c r="S538" i="7"/>
  <c r="AR538" i="7" s="1"/>
  <c r="S542" i="7"/>
  <c r="AR542" i="7" s="1"/>
  <c r="S546" i="7"/>
  <c r="AR546" i="7" s="1"/>
  <c r="S550" i="7"/>
  <c r="AR550" i="7" s="1"/>
  <c r="S554" i="7"/>
  <c r="AR554" i="7" s="1"/>
  <c r="S558" i="7"/>
  <c r="AR558" i="7" s="1"/>
  <c r="S562" i="7"/>
  <c r="AR562" i="7" s="1"/>
  <c r="S566" i="7"/>
  <c r="AR566" i="7" s="1"/>
  <c r="S570" i="7"/>
  <c r="AR570" i="7" s="1"/>
  <c r="S7" i="7"/>
  <c r="AR7" i="7" s="1"/>
  <c r="S11" i="7"/>
  <c r="AR11" i="7" s="1"/>
  <c r="S15" i="7"/>
  <c r="AR15" i="7" s="1"/>
  <c r="S19" i="7"/>
  <c r="AR19" i="7" s="1"/>
  <c r="S23" i="7"/>
  <c r="S27" i="7"/>
  <c r="AR27" i="7" s="1"/>
  <c r="S31" i="7"/>
  <c r="AR31" i="7" s="1"/>
  <c r="S35" i="7"/>
  <c r="AR35" i="7" s="1"/>
  <c r="S39" i="7"/>
  <c r="AR39" i="7" s="1"/>
  <c r="S43" i="7"/>
  <c r="S47" i="7"/>
  <c r="AR47" i="7" s="1"/>
  <c r="S51" i="7"/>
  <c r="AR51" i="7" s="1"/>
  <c r="S55" i="7"/>
  <c r="AR55" i="7" s="1"/>
  <c r="S59" i="7"/>
  <c r="AR59" i="7" s="1"/>
  <c r="S63" i="7"/>
  <c r="AR63" i="7" s="1"/>
  <c r="S67" i="7"/>
  <c r="AR67" i="7" s="1"/>
  <c r="S71" i="7"/>
  <c r="AR71" i="7" s="1"/>
  <c r="S75" i="7"/>
  <c r="AR75" i="7" s="1"/>
  <c r="S79" i="7"/>
  <c r="AR79" i="7" s="1"/>
  <c r="S83" i="7"/>
  <c r="AR83" i="7" s="1"/>
  <c r="S87" i="7"/>
  <c r="AR87" i="7" s="1"/>
  <c r="S91" i="7"/>
  <c r="AR91" i="7" s="1"/>
  <c r="S95" i="7"/>
  <c r="AR95" i="7" s="1"/>
  <c r="S99" i="7"/>
  <c r="S103" i="7"/>
  <c r="AR103" i="7" s="1"/>
  <c r="S107" i="7"/>
  <c r="AR107" i="7" s="1"/>
  <c r="S111" i="7"/>
  <c r="AR111" i="7" s="1"/>
  <c r="S115" i="7"/>
  <c r="AR115" i="7" s="1"/>
  <c r="S119" i="7"/>
  <c r="S123" i="7"/>
  <c r="AR123" i="7" s="1"/>
  <c r="S127" i="7"/>
  <c r="AR127" i="7" s="1"/>
  <c r="S131" i="7"/>
  <c r="AR131" i="7" s="1"/>
  <c r="S135" i="7"/>
  <c r="AR135" i="7" s="1"/>
  <c r="S139" i="7"/>
  <c r="AR139" i="7" s="1"/>
  <c r="S143" i="7"/>
  <c r="AR143" i="7" s="1"/>
  <c r="S147" i="7"/>
  <c r="AR147" i="7" s="1"/>
  <c r="S151" i="7"/>
  <c r="AR151" i="7" s="1"/>
  <c r="S155" i="7"/>
  <c r="AR155" i="7" s="1"/>
  <c r="S159" i="7"/>
  <c r="AR159" i="7" s="1"/>
  <c r="S163" i="7"/>
  <c r="AR163" i="7" s="1"/>
  <c r="S167" i="7"/>
  <c r="AR167" i="7" s="1"/>
  <c r="S171" i="7"/>
  <c r="AR171" i="7" s="1"/>
  <c r="S175" i="7"/>
  <c r="S179" i="7"/>
  <c r="AR179" i="7" s="1"/>
  <c r="S183" i="7"/>
  <c r="AR183" i="7" s="1"/>
  <c r="S187" i="7"/>
  <c r="AR187" i="7" s="1"/>
  <c r="S191" i="7"/>
  <c r="AR191" i="7" s="1"/>
  <c r="S195" i="7"/>
  <c r="S199" i="7"/>
  <c r="AR199" i="7" s="1"/>
  <c r="S203" i="7"/>
  <c r="AR203" i="7" s="1"/>
  <c r="S207" i="7"/>
  <c r="AR207" i="7" s="1"/>
  <c r="S211" i="7"/>
  <c r="AR211" i="7" s="1"/>
  <c r="S215" i="7"/>
  <c r="AR215" i="7" s="1"/>
  <c r="S219" i="7"/>
  <c r="AR219" i="7" s="1"/>
  <c r="S223" i="7"/>
  <c r="AR223" i="7" s="1"/>
  <c r="S227" i="7"/>
  <c r="AR227" i="7" s="1"/>
  <c r="S231" i="7"/>
  <c r="AR231" i="7" s="1"/>
  <c r="S235" i="7"/>
  <c r="AR235" i="7" s="1"/>
  <c r="S239" i="7"/>
  <c r="AR239" i="7" s="1"/>
  <c r="S243" i="7"/>
  <c r="AR243" i="7" s="1"/>
  <c r="S247" i="7"/>
  <c r="AR247" i="7" s="1"/>
  <c r="S251" i="7"/>
  <c r="S255" i="7"/>
  <c r="AR255" i="7" s="1"/>
  <c r="S259" i="7"/>
  <c r="AR259" i="7" s="1"/>
  <c r="S263" i="7"/>
  <c r="AR263" i="7" s="1"/>
  <c r="S267" i="7"/>
  <c r="AR267" i="7" s="1"/>
  <c r="S271" i="7"/>
  <c r="S275" i="7"/>
  <c r="AR275" i="7" s="1"/>
  <c r="S279" i="7"/>
  <c r="AR279" i="7" s="1"/>
  <c r="S283" i="7"/>
  <c r="AR283" i="7" s="1"/>
  <c r="S287" i="7"/>
  <c r="AR287" i="7" s="1"/>
  <c r="S291" i="7"/>
  <c r="AR291" i="7" s="1"/>
  <c r="S295" i="7"/>
  <c r="AR295" i="7" s="1"/>
  <c r="S299" i="7"/>
  <c r="AR299" i="7" s="1"/>
  <c r="S303" i="7"/>
  <c r="AR303" i="7" s="1"/>
  <c r="S307" i="7"/>
  <c r="AR307" i="7" s="1"/>
  <c r="S311" i="7"/>
  <c r="AR311" i="7" s="1"/>
  <c r="S315" i="7"/>
  <c r="AR315" i="7" s="1"/>
  <c r="S319" i="7"/>
  <c r="AR319" i="7" s="1"/>
  <c r="S323" i="7"/>
  <c r="AR323" i="7" s="1"/>
  <c r="S327" i="7"/>
  <c r="S331" i="7"/>
  <c r="AR331" i="7" s="1"/>
  <c r="S335" i="7"/>
  <c r="AR335" i="7" s="1"/>
  <c r="S339" i="7"/>
  <c r="AR339" i="7" s="1"/>
  <c r="S343" i="7"/>
  <c r="AR343" i="7" s="1"/>
  <c r="S347" i="7"/>
  <c r="S351" i="7"/>
  <c r="AR351" i="7" s="1"/>
  <c r="S355" i="7"/>
  <c r="AR355" i="7" s="1"/>
  <c r="S359" i="7"/>
  <c r="AR359" i="7" s="1"/>
  <c r="S363" i="7"/>
  <c r="AR363" i="7" s="1"/>
  <c r="S367" i="7"/>
  <c r="AR367" i="7" s="1"/>
  <c r="S371" i="7"/>
  <c r="AR371" i="7" s="1"/>
  <c r="S375" i="7"/>
  <c r="AR375" i="7" s="1"/>
  <c r="S379" i="7"/>
  <c r="AR379" i="7" s="1"/>
  <c r="S383" i="7"/>
  <c r="AR383" i="7" s="1"/>
  <c r="S387" i="7"/>
  <c r="AR387" i="7" s="1"/>
  <c r="S391" i="7"/>
  <c r="AR391" i="7" s="1"/>
  <c r="S395" i="7"/>
  <c r="AR395" i="7" s="1"/>
  <c r="S399" i="7"/>
  <c r="AR399" i="7" s="1"/>
  <c r="S403" i="7"/>
  <c r="S407" i="7"/>
  <c r="AR407" i="7" s="1"/>
  <c r="S411" i="7"/>
  <c r="AR411" i="7" s="1"/>
  <c r="S415" i="7"/>
  <c r="AR415" i="7" s="1"/>
  <c r="S419" i="7"/>
  <c r="AR419" i="7" s="1"/>
  <c r="S423" i="7"/>
  <c r="S427" i="7"/>
  <c r="AR427" i="7" s="1"/>
  <c r="S431" i="7"/>
  <c r="AR431" i="7" s="1"/>
  <c r="S435" i="7"/>
  <c r="AR435" i="7" s="1"/>
  <c r="S439" i="7"/>
  <c r="AR439" i="7" s="1"/>
  <c r="S443" i="7"/>
  <c r="AR443" i="7" s="1"/>
  <c r="S447" i="7"/>
  <c r="AR447" i="7" s="1"/>
  <c r="S451" i="7"/>
  <c r="AR451" i="7" s="1"/>
  <c r="S455" i="7"/>
  <c r="AR455" i="7" s="1"/>
  <c r="S459" i="7"/>
  <c r="AR459" i="7" s="1"/>
  <c r="S463" i="7"/>
  <c r="AR463" i="7" s="1"/>
  <c r="S467" i="7"/>
  <c r="AR467" i="7" s="1"/>
  <c r="S471" i="7"/>
  <c r="AR471" i="7" s="1"/>
  <c r="S475" i="7"/>
  <c r="AR475" i="7" s="1"/>
  <c r="S479" i="7"/>
  <c r="S483" i="7"/>
  <c r="AR483" i="7" s="1"/>
  <c r="S487" i="7"/>
  <c r="AR487" i="7" s="1"/>
  <c r="S491" i="7"/>
  <c r="AR491" i="7" s="1"/>
  <c r="S495" i="7"/>
  <c r="AR495" i="7" s="1"/>
  <c r="S499" i="7"/>
  <c r="S503" i="7"/>
  <c r="AR503" i="7" s="1"/>
  <c r="S507" i="7"/>
  <c r="AR507" i="7" s="1"/>
  <c r="S511" i="7"/>
  <c r="AR511" i="7" s="1"/>
  <c r="S515" i="7"/>
  <c r="AR515" i="7" s="1"/>
  <c r="S519" i="7"/>
  <c r="AR519" i="7" s="1"/>
  <c r="S523" i="7"/>
  <c r="AR523" i="7" s="1"/>
  <c r="S527" i="7"/>
  <c r="AR527" i="7" s="1"/>
  <c r="S531" i="7"/>
  <c r="AR531" i="7" s="1"/>
  <c r="S535" i="7"/>
  <c r="AR535" i="7" s="1"/>
  <c r="S539" i="7"/>
  <c r="AR539" i="7" s="1"/>
  <c r="S543" i="7"/>
  <c r="AR543" i="7" s="1"/>
  <c r="S547" i="7"/>
  <c r="AR547" i="7" s="1"/>
  <c r="S551" i="7"/>
  <c r="AR551" i="7" s="1"/>
  <c r="S555" i="7"/>
  <c r="S559" i="7"/>
  <c r="AR559" i="7" s="1"/>
  <c r="S563" i="7"/>
  <c r="AR563" i="7" s="1"/>
  <c r="S567" i="7"/>
  <c r="AR567" i="7" s="1"/>
  <c r="S571" i="7"/>
  <c r="AR571" i="7" s="1"/>
  <c r="S4" i="7"/>
  <c r="S8" i="7"/>
  <c r="AR8" i="7" s="1"/>
  <c r="S12" i="7"/>
  <c r="AR12" i="7" s="1"/>
  <c r="S16" i="7"/>
  <c r="AR16" i="7" s="1"/>
  <c r="S20" i="7"/>
  <c r="AR20" i="7" s="1"/>
  <c r="S24" i="7"/>
  <c r="S28" i="7"/>
  <c r="AR28" i="7" s="1"/>
  <c r="S32" i="7"/>
  <c r="AR32" i="7" s="1"/>
  <c r="S36" i="7"/>
  <c r="AR36" i="7" s="1"/>
  <c r="S40" i="7"/>
  <c r="AR40" i="7" s="1"/>
  <c r="S44" i="7"/>
  <c r="AR44" i="7" s="1"/>
  <c r="S48" i="7"/>
  <c r="AR48" i="7" s="1"/>
  <c r="S52" i="7"/>
  <c r="AR52" i="7" s="1"/>
  <c r="S56" i="7"/>
  <c r="AR56" i="7" s="1"/>
  <c r="S60" i="7"/>
  <c r="AR60" i="7" s="1"/>
  <c r="S64" i="7"/>
  <c r="AR64" i="7" s="1"/>
  <c r="S68" i="7"/>
  <c r="AR68" i="7" s="1"/>
  <c r="S72" i="7"/>
  <c r="AR72" i="7" s="1"/>
  <c r="S76" i="7"/>
  <c r="AR76" i="7" s="1"/>
  <c r="S80" i="7"/>
  <c r="S84" i="7"/>
  <c r="AR84" i="7" s="1"/>
  <c r="S88" i="7"/>
  <c r="AR88" i="7" s="1"/>
  <c r="S92" i="7"/>
  <c r="AR92" i="7" s="1"/>
  <c r="S96" i="7"/>
  <c r="AR96" i="7" s="1"/>
  <c r="S100" i="7"/>
  <c r="S104" i="7"/>
  <c r="AR104" i="7" s="1"/>
  <c r="S108" i="7"/>
  <c r="AR108" i="7" s="1"/>
  <c r="S112" i="7"/>
  <c r="AR112" i="7" s="1"/>
  <c r="S116" i="7"/>
  <c r="AR116" i="7" s="1"/>
  <c r="S120" i="7"/>
  <c r="AR120" i="7" s="1"/>
  <c r="S124" i="7"/>
  <c r="AR124" i="7" s="1"/>
  <c r="S128" i="7"/>
  <c r="AR128" i="7" s="1"/>
  <c r="S132" i="7"/>
  <c r="AR132" i="7" s="1"/>
  <c r="S136" i="7"/>
  <c r="AR136" i="7" s="1"/>
  <c r="S140" i="7"/>
  <c r="AR140" i="7" s="1"/>
  <c r="S144" i="7"/>
  <c r="AR144" i="7" s="1"/>
  <c r="S148" i="7"/>
  <c r="AR148" i="7" s="1"/>
  <c r="S152" i="7"/>
  <c r="AR152" i="7" s="1"/>
  <c r="S156" i="7"/>
  <c r="S160" i="7"/>
  <c r="AR160" i="7" s="1"/>
  <c r="S164" i="7"/>
  <c r="AR164" i="7" s="1"/>
  <c r="S168" i="7"/>
  <c r="AR168" i="7" s="1"/>
  <c r="S172" i="7"/>
  <c r="AR172" i="7" s="1"/>
  <c r="S176" i="7"/>
  <c r="S180" i="7"/>
  <c r="AR180" i="7" s="1"/>
  <c r="S184" i="7"/>
  <c r="AR184" i="7" s="1"/>
  <c r="S188" i="7"/>
  <c r="AR188" i="7" s="1"/>
  <c r="S192" i="7"/>
  <c r="AR192" i="7" s="1"/>
  <c r="S196" i="7"/>
  <c r="AR196" i="7" s="1"/>
  <c r="S200" i="7"/>
  <c r="AR200" i="7" s="1"/>
  <c r="S204" i="7"/>
  <c r="AR204" i="7" s="1"/>
  <c r="S208" i="7"/>
  <c r="AR208" i="7" s="1"/>
  <c r="S212" i="7"/>
  <c r="AR212" i="7" s="1"/>
  <c r="S216" i="7"/>
  <c r="AR216" i="7" s="1"/>
  <c r="S220" i="7"/>
  <c r="AR220" i="7" s="1"/>
  <c r="S224" i="7"/>
  <c r="AR224" i="7" s="1"/>
  <c r="S228" i="7"/>
  <c r="AR228" i="7" s="1"/>
  <c r="S232" i="7"/>
  <c r="S236" i="7"/>
  <c r="AR236" i="7" s="1"/>
  <c r="S240" i="7"/>
  <c r="AR240" i="7" s="1"/>
  <c r="S244" i="7"/>
  <c r="AR244" i="7" s="1"/>
  <c r="S248" i="7"/>
  <c r="AR248" i="7" s="1"/>
  <c r="S252" i="7"/>
  <c r="S256" i="7"/>
  <c r="AR256" i="7" s="1"/>
  <c r="S260" i="7"/>
  <c r="AR260" i="7" s="1"/>
  <c r="S264" i="7"/>
  <c r="AR264" i="7" s="1"/>
  <c r="S268" i="7"/>
  <c r="AR268" i="7" s="1"/>
  <c r="S272" i="7"/>
  <c r="AR272" i="7" s="1"/>
  <c r="S276" i="7"/>
  <c r="AR276" i="7" s="1"/>
  <c r="S280" i="7"/>
  <c r="AR280" i="7" s="1"/>
  <c r="S284" i="7"/>
  <c r="AR284" i="7" s="1"/>
  <c r="S288" i="7"/>
  <c r="AR288" i="7" s="1"/>
  <c r="S292" i="7"/>
  <c r="AR292" i="7" s="1"/>
  <c r="S296" i="7"/>
  <c r="AR296" i="7" s="1"/>
  <c r="S300" i="7"/>
  <c r="AR300" i="7" s="1"/>
  <c r="S304" i="7"/>
  <c r="AR304" i="7" s="1"/>
  <c r="S308" i="7"/>
  <c r="S312" i="7"/>
  <c r="AR312" i="7" s="1"/>
  <c r="S316" i="7"/>
  <c r="AR316" i="7" s="1"/>
  <c r="S320" i="7"/>
  <c r="AR320" i="7" s="1"/>
  <c r="S324" i="7"/>
  <c r="AR324" i="7" s="1"/>
  <c r="S328" i="7"/>
  <c r="S332" i="7"/>
  <c r="AR332" i="7" s="1"/>
  <c r="S336" i="7"/>
  <c r="AR336" i="7" s="1"/>
  <c r="S340" i="7"/>
  <c r="AR340" i="7" s="1"/>
  <c r="S344" i="7"/>
  <c r="AR344" i="7" s="1"/>
  <c r="S348" i="7"/>
  <c r="AR348" i="7" s="1"/>
  <c r="S352" i="7"/>
  <c r="AR352" i="7" s="1"/>
  <c r="S356" i="7"/>
  <c r="AR356" i="7" s="1"/>
  <c r="S360" i="7"/>
  <c r="AR360" i="7" s="1"/>
  <c r="S364" i="7"/>
  <c r="AR364" i="7" s="1"/>
  <c r="S368" i="7"/>
  <c r="AR368" i="7" s="1"/>
  <c r="S372" i="7"/>
  <c r="AR372" i="7" s="1"/>
  <c r="S376" i="7"/>
  <c r="AR376" i="7" s="1"/>
  <c r="S380" i="7"/>
  <c r="AR380" i="7" s="1"/>
  <c r="S384" i="7"/>
  <c r="S388" i="7"/>
  <c r="AR388" i="7" s="1"/>
  <c r="S392" i="7"/>
  <c r="AR392" i="7" s="1"/>
  <c r="S396" i="7"/>
  <c r="AR396" i="7" s="1"/>
  <c r="S400" i="7"/>
  <c r="AR400" i="7" s="1"/>
  <c r="S404" i="7"/>
  <c r="S408" i="7"/>
  <c r="AR408" i="7" s="1"/>
  <c r="S412" i="7"/>
  <c r="AR412" i="7" s="1"/>
  <c r="S416" i="7"/>
  <c r="AR416" i="7" s="1"/>
  <c r="S420" i="7"/>
  <c r="AR420" i="7" s="1"/>
  <c r="S424" i="7"/>
  <c r="AR424" i="7" s="1"/>
  <c r="S428" i="7"/>
  <c r="AR428" i="7" s="1"/>
  <c r="S432" i="7"/>
  <c r="AR432" i="7" s="1"/>
  <c r="S436" i="7"/>
  <c r="AR436" i="7" s="1"/>
  <c r="S440" i="7"/>
  <c r="AR440" i="7" s="1"/>
  <c r="S444" i="7"/>
  <c r="AR444" i="7" s="1"/>
  <c r="S448" i="7"/>
  <c r="AR448" i="7" s="1"/>
  <c r="S452" i="7"/>
  <c r="AR452" i="7" s="1"/>
  <c r="S456" i="7"/>
  <c r="AR456" i="7" s="1"/>
  <c r="S460" i="7"/>
  <c r="S464" i="7"/>
  <c r="AR464" i="7" s="1"/>
  <c r="S468" i="7"/>
  <c r="AR468" i="7" s="1"/>
  <c r="S472" i="7"/>
  <c r="AR472" i="7" s="1"/>
  <c r="S476" i="7"/>
  <c r="AR476" i="7" s="1"/>
  <c r="S480" i="7"/>
  <c r="S484" i="7"/>
  <c r="AR484" i="7" s="1"/>
  <c r="S488" i="7"/>
  <c r="AR488" i="7" s="1"/>
  <c r="S492" i="7"/>
  <c r="AR492" i="7" s="1"/>
  <c r="S496" i="7"/>
  <c r="AR496" i="7" s="1"/>
  <c r="S500" i="7"/>
  <c r="AR500" i="7" s="1"/>
  <c r="S504" i="7"/>
  <c r="AR504" i="7" s="1"/>
  <c r="S508" i="7"/>
  <c r="AR508" i="7" s="1"/>
  <c r="S512" i="7"/>
  <c r="AR512" i="7" s="1"/>
  <c r="S516" i="7"/>
  <c r="AR516" i="7" s="1"/>
  <c r="S520" i="7"/>
  <c r="AR520" i="7" s="1"/>
  <c r="S524" i="7"/>
  <c r="AR524" i="7" s="1"/>
  <c r="S528" i="7"/>
  <c r="AR528" i="7" s="1"/>
  <c r="S532" i="7"/>
  <c r="AR532" i="7" s="1"/>
  <c r="S536" i="7"/>
  <c r="S540" i="7"/>
  <c r="AR540" i="7" s="1"/>
  <c r="S544" i="7"/>
  <c r="AR544" i="7" s="1"/>
  <c r="S548" i="7"/>
  <c r="AR548" i="7" s="1"/>
  <c r="S552" i="7"/>
  <c r="AR552" i="7" s="1"/>
  <c r="S556" i="7"/>
  <c r="S560" i="7"/>
  <c r="AR560" i="7" s="1"/>
  <c r="S564" i="7"/>
  <c r="AR564" i="7" s="1"/>
  <c r="S568" i="7"/>
  <c r="AR568" i="7" s="1"/>
  <c r="S572" i="7"/>
  <c r="AR572" i="7" s="1"/>
  <c r="S5" i="7"/>
  <c r="S9" i="7"/>
  <c r="AR9" i="7" s="1"/>
  <c r="S13" i="7"/>
  <c r="AR13" i="7" s="1"/>
  <c r="S17" i="7"/>
  <c r="AR17" i="7" s="1"/>
  <c r="S21" i="7"/>
  <c r="AR21" i="7" s="1"/>
  <c r="S25" i="7"/>
  <c r="AR25" i="7" s="1"/>
  <c r="S29" i="7"/>
  <c r="AR29" i="7" s="1"/>
  <c r="S33" i="7"/>
  <c r="AR33" i="7" s="1"/>
  <c r="S37" i="7"/>
  <c r="AR37" i="7" s="1"/>
  <c r="S41" i="7"/>
  <c r="AR41" i="7" s="1"/>
  <c r="S45" i="7"/>
  <c r="AR45" i="7" s="1"/>
  <c r="S49" i="7"/>
  <c r="AR49" i="7" s="1"/>
  <c r="S53" i="7"/>
  <c r="AR53" i="7" s="1"/>
  <c r="S57" i="7"/>
  <c r="AR57" i="7" s="1"/>
  <c r="S61" i="7"/>
  <c r="S65" i="7"/>
  <c r="AR65" i="7" s="1"/>
  <c r="S69" i="7"/>
  <c r="AR69" i="7" s="1"/>
  <c r="S73" i="7"/>
  <c r="AR73" i="7" s="1"/>
  <c r="S77" i="7"/>
  <c r="AR77" i="7" s="1"/>
  <c r="S81" i="7"/>
  <c r="S85" i="7"/>
  <c r="AR85" i="7" s="1"/>
  <c r="S89" i="7"/>
  <c r="AR89" i="7" s="1"/>
  <c r="S93" i="7"/>
  <c r="AR93" i="7" s="1"/>
  <c r="S97" i="7"/>
  <c r="AR97" i="7" s="1"/>
  <c r="S101" i="7"/>
  <c r="AR101" i="7" s="1"/>
  <c r="S105" i="7"/>
  <c r="AR105" i="7" s="1"/>
  <c r="S109" i="7"/>
  <c r="AR109" i="7" s="1"/>
  <c r="S113" i="7"/>
  <c r="AR113" i="7" s="1"/>
  <c r="S117" i="7"/>
  <c r="AR117" i="7" s="1"/>
  <c r="S121" i="7"/>
  <c r="AR121" i="7" s="1"/>
  <c r="S125" i="7"/>
  <c r="AR125" i="7" s="1"/>
  <c r="S129" i="7"/>
  <c r="AR129" i="7" s="1"/>
  <c r="S133" i="7"/>
  <c r="AR133" i="7" s="1"/>
  <c r="S137" i="7"/>
  <c r="S141" i="7"/>
  <c r="AR141" i="7" s="1"/>
  <c r="S145" i="7"/>
  <c r="AR145" i="7" s="1"/>
  <c r="S149" i="7"/>
  <c r="AR149" i="7" s="1"/>
  <c r="S153" i="7"/>
  <c r="AR153" i="7" s="1"/>
  <c r="S157" i="7"/>
  <c r="S161" i="7"/>
  <c r="AR161" i="7" s="1"/>
  <c r="S165" i="7"/>
  <c r="AR165" i="7" s="1"/>
  <c r="S169" i="7"/>
  <c r="AR169" i="7" s="1"/>
  <c r="S173" i="7"/>
  <c r="AR173" i="7" s="1"/>
  <c r="S177" i="7"/>
  <c r="AR177" i="7" s="1"/>
  <c r="S181" i="7"/>
  <c r="AR181" i="7" s="1"/>
  <c r="S185" i="7"/>
  <c r="AR185" i="7" s="1"/>
  <c r="S189" i="7"/>
  <c r="AR189" i="7" s="1"/>
  <c r="S193" i="7"/>
  <c r="AR193" i="7" s="1"/>
  <c r="S197" i="7"/>
  <c r="AR197" i="7" s="1"/>
  <c r="S201" i="7"/>
  <c r="AR201" i="7" s="1"/>
  <c r="S205" i="7"/>
  <c r="AR205" i="7" s="1"/>
  <c r="S209" i="7"/>
  <c r="AR209" i="7" s="1"/>
  <c r="S213" i="7"/>
  <c r="S217" i="7"/>
  <c r="AR217" i="7" s="1"/>
  <c r="S221" i="7"/>
  <c r="AR221" i="7" s="1"/>
  <c r="S225" i="7"/>
  <c r="AR225" i="7" s="1"/>
  <c r="S229" i="7"/>
  <c r="AR229" i="7" s="1"/>
  <c r="S233" i="7"/>
  <c r="S237" i="7"/>
  <c r="AR237" i="7" s="1"/>
  <c r="S241" i="7"/>
  <c r="AR241" i="7" s="1"/>
  <c r="S245" i="7"/>
  <c r="AR245" i="7" s="1"/>
  <c r="S249" i="7"/>
  <c r="AR249" i="7" s="1"/>
  <c r="S253" i="7"/>
  <c r="AR253" i="7" s="1"/>
  <c r="S257" i="7"/>
  <c r="AR257" i="7" s="1"/>
  <c r="S261" i="7"/>
  <c r="AR261" i="7" s="1"/>
  <c r="S265" i="7"/>
  <c r="AR265" i="7" s="1"/>
  <c r="S269" i="7"/>
  <c r="AR269" i="7" s="1"/>
  <c r="S273" i="7"/>
  <c r="AR273" i="7" s="1"/>
  <c r="S277" i="7"/>
  <c r="AR277" i="7" s="1"/>
  <c r="S281" i="7"/>
  <c r="AR281" i="7" s="1"/>
  <c r="S285" i="7"/>
  <c r="AR285" i="7" s="1"/>
  <c r="S289" i="7"/>
  <c r="S293" i="7"/>
  <c r="AR293" i="7" s="1"/>
  <c r="S297" i="7"/>
  <c r="AR297" i="7" s="1"/>
  <c r="S301" i="7"/>
  <c r="AR301" i="7" s="1"/>
  <c r="S305" i="7"/>
  <c r="AR305" i="7" s="1"/>
  <c r="S309" i="7"/>
  <c r="S313" i="7"/>
  <c r="AR313" i="7" s="1"/>
  <c r="S317" i="7"/>
  <c r="AR317" i="7" s="1"/>
  <c r="S321" i="7"/>
  <c r="AR321" i="7" s="1"/>
  <c r="S325" i="7"/>
  <c r="AR325" i="7" s="1"/>
  <c r="S329" i="7"/>
  <c r="AR329" i="7" s="1"/>
  <c r="S333" i="7"/>
  <c r="AR333" i="7" s="1"/>
  <c r="S337" i="7"/>
  <c r="AR337" i="7" s="1"/>
  <c r="S341" i="7"/>
  <c r="AR341" i="7" s="1"/>
  <c r="S345" i="7"/>
  <c r="AR345" i="7" s="1"/>
  <c r="S349" i="7"/>
  <c r="AR349" i="7" s="1"/>
  <c r="S353" i="7"/>
  <c r="AR353" i="7" s="1"/>
  <c r="S357" i="7"/>
  <c r="AR357" i="7" s="1"/>
  <c r="S361" i="7"/>
  <c r="AR361" i="7" s="1"/>
  <c r="S365" i="7"/>
  <c r="S369" i="7"/>
  <c r="AR369" i="7" s="1"/>
  <c r="S373" i="7"/>
  <c r="AR373" i="7" s="1"/>
  <c r="S377" i="7"/>
  <c r="AR377" i="7" s="1"/>
  <c r="S381" i="7"/>
  <c r="AR381" i="7" s="1"/>
  <c r="S385" i="7"/>
  <c r="S389" i="7"/>
  <c r="AR389" i="7" s="1"/>
  <c r="S393" i="7"/>
  <c r="AR393" i="7" s="1"/>
  <c r="S397" i="7"/>
  <c r="AR397" i="7" s="1"/>
  <c r="S401" i="7"/>
  <c r="AR401" i="7" s="1"/>
  <c r="S405" i="7"/>
  <c r="AR405" i="7" s="1"/>
  <c r="S409" i="7"/>
  <c r="AR409" i="7" s="1"/>
  <c r="S413" i="7"/>
  <c r="AR413" i="7" s="1"/>
  <c r="S417" i="7"/>
  <c r="AR417" i="7" s="1"/>
  <c r="S421" i="7"/>
  <c r="AR421" i="7" s="1"/>
  <c r="S425" i="7"/>
  <c r="AR425" i="7" s="1"/>
  <c r="S429" i="7"/>
  <c r="AR429" i="7" s="1"/>
  <c r="S433" i="7"/>
  <c r="AR433" i="7" s="1"/>
  <c r="S437" i="7"/>
  <c r="AR437" i="7" s="1"/>
  <c r="S441" i="7"/>
  <c r="S445" i="7"/>
  <c r="AR445" i="7" s="1"/>
  <c r="S449" i="7"/>
  <c r="AR449" i="7" s="1"/>
  <c r="S453" i="7"/>
  <c r="AR453" i="7" s="1"/>
  <c r="S457" i="7"/>
  <c r="AR457" i="7" s="1"/>
  <c r="S461" i="7"/>
  <c r="S465" i="7"/>
  <c r="AR465" i="7" s="1"/>
  <c r="S469" i="7"/>
  <c r="AR469" i="7" s="1"/>
  <c r="S473" i="7"/>
  <c r="AR473" i="7" s="1"/>
  <c r="S477" i="7"/>
  <c r="AR477" i="7" s="1"/>
  <c r="S481" i="7"/>
  <c r="AR481" i="7" s="1"/>
  <c r="S485" i="7"/>
  <c r="AR485" i="7" s="1"/>
  <c r="S489" i="7"/>
  <c r="AR489" i="7" s="1"/>
  <c r="S493" i="7"/>
  <c r="AR493" i="7" s="1"/>
  <c r="S497" i="7"/>
  <c r="AR497" i="7" s="1"/>
  <c r="S501" i="7"/>
  <c r="AR501" i="7" s="1"/>
  <c r="S505" i="7"/>
  <c r="AR505" i="7" s="1"/>
  <c r="S509" i="7"/>
  <c r="AR509" i="7" s="1"/>
  <c r="S513" i="7"/>
  <c r="AR513" i="7" s="1"/>
  <c r="S517" i="7"/>
  <c r="S521" i="7"/>
  <c r="AR521" i="7" s="1"/>
  <c r="S525" i="7"/>
  <c r="AR525" i="7" s="1"/>
  <c r="S529" i="7"/>
  <c r="AR529" i="7" s="1"/>
  <c r="S533" i="7"/>
  <c r="AR533" i="7" s="1"/>
  <c r="S537" i="7"/>
  <c r="S541" i="7"/>
  <c r="AR541" i="7" s="1"/>
  <c r="S545" i="7"/>
  <c r="AR545" i="7" s="1"/>
  <c r="S549" i="7"/>
  <c r="AR549" i="7" s="1"/>
  <c r="S553" i="7"/>
  <c r="AR553" i="7" s="1"/>
  <c r="S557" i="7"/>
  <c r="AR557" i="7" s="1"/>
  <c r="S561" i="7"/>
  <c r="AR561" i="7" s="1"/>
  <c r="S565" i="7"/>
  <c r="AR565" i="7" s="1"/>
  <c r="S569" i="7"/>
  <c r="AR569" i="7" s="1"/>
  <c r="S573" i="7"/>
  <c r="AR573" i="7" s="1"/>
  <c r="Y232" i="7"/>
  <c r="H146" i="4"/>
  <c r="H163" i="4" s="1"/>
  <c r="H147" i="4"/>
  <c r="H148" i="4"/>
  <c r="P11" i="6"/>
  <c r="P9" i="6"/>
  <c r="Q26" i="6"/>
  <c r="AS26" i="6" s="1"/>
  <c r="Q38" i="6"/>
  <c r="Q13" i="6"/>
  <c r="AS13" i="6" s="1"/>
  <c r="P43" i="6"/>
  <c r="Q24" i="6"/>
  <c r="AS24" i="6" s="1"/>
  <c r="P42" i="6"/>
  <c r="P24" i="6"/>
  <c r="Q41" i="6"/>
  <c r="Q32" i="6"/>
  <c r="Q42" i="6"/>
  <c r="P35" i="6"/>
  <c r="Q27" i="6"/>
  <c r="AS27" i="6" s="1"/>
  <c r="Q9" i="6"/>
  <c r="AS9" i="6" s="1"/>
  <c r="P38" i="6"/>
  <c r="P39" i="6"/>
  <c r="Q19" i="6"/>
  <c r="Q12" i="6"/>
  <c r="AS12" i="6" s="1"/>
  <c r="Q11" i="6"/>
  <c r="AS11" i="6" s="1"/>
  <c r="P34" i="6"/>
  <c r="P32" i="6"/>
  <c r="P12" i="6"/>
  <c r="Q33" i="6"/>
  <c r="Q20" i="6"/>
  <c r="P25" i="6"/>
  <c r="Q21" i="6"/>
  <c r="P29" i="6"/>
  <c r="Q22" i="6"/>
  <c r="Q4" i="6"/>
  <c r="Q43" i="6"/>
  <c r="Q29" i="6"/>
  <c r="P41" i="6"/>
  <c r="P13" i="6"/>
  <c r="P37" i="6"/>
  <c r="Q28" i="6"/>
  <c r="AS28" i="6" s="1"/>
  <c r="Q10" i="6"/>
  <c r="AS10" i="6" s="1"/>
  <c r="Q7" i="6"/>
  <c r="Q25" i="6"/>
  <c r="AS25" i="6" s="1"/>
  <c r="P40" i="6"/>
  <c r="P36" i="6"/>
  <c r="P28" i="6"/>
  <c r="P10" i="6"/>
  <c r="Q31" i="6"/>
  <c r="M33" i="16"/>
  <c r="M15" i="16"/>
  <c r="W52" i="7"/>
  <c r="X52" i="7" s="1"/>
  <c r="Z52" i="7" s="1"/>
  <c r="Q220" i="7"/>
  <c r="M236" i="7"/>
  <c r="M440" i="7"/>
  <c r="M421" i="7"/>
  <c r="M52" i="7"/>
  <c r="M460" i="7"/>
  <c r="M273" i="7"/>
  <c r="M147" i="7"/>
  <c r="M250" i="7"/>
  <c r="M64" i="7"/>
  <c r="M47" i="7"/>
  <c r="M238" i="7"/>
  <c r="M330" i="7"/>
  <c r="M368" i="7"/>
  <c r="M434" i="7"/>
  <c r="M163" i="7"/>
  <c r="N7" i="6"/>
  <c r="M158" i="7"/>
  <c r="M459" i="7"/>
  <c r="M447" i="7"/>
  <c r="M407" i="7"/>
  <c r="N84" i="7"/>
  <c r="N571" i="7"/>
  <c r="N508" i="7"/>
  <c r="N396" i="7"/>
  <c r="N309" i="7"/>
  <c r="N196" i="7"/>
  <c r="N83" i="7"/>
  <c r="N342" i="7"/>
  <c r="N254" i="7"/>
  <c r="N226" i="7"/>
  <c r="N142" i="7"/>
  <c r="N114" i="7"/>
  <c r="N30" i="7"/>
  <c r="N34" i="16"/>
  <c r="O36" i="16"/>
  <c r="R520" i="7"/>
  <c r="R174" i="7"/>
  <c r="R197" i="7"/>
  <c r="R38" i="7"/>
  <c r="R505" i="7"/>
  <c r="R401" i="7"/>
  <c r="R61" i="7"/>
  <c r="R400" i="7"/>
  <c r="R60" i="7"/>
  <c r="R451" i="7"/>
  <c r="R139" i="7"/>
  <c r="R111" i="7"/>
  <c r="L135" i="7"/>
  <c r="L12" i="7"/>
  <c r="L65" i="7"/>
  <c r="L6" i="6"/>
  <c r="L84" i="7"/>
  <c r="L206" i="7"/>
  <c r="L384" i="7"/>
  <c r="L27" i="16"/>
  <c r="L277" i="7"/>
  <c r="L341" i="7"/>
  <c r="L362" i="7"/>
  <c r="L535" i="7"/>
  <c r="L239" i="7"/>
  <c r="L303" i="7"/>
  <c r="L414" i="7"/>
  <c r="L353" i="7"/>
  <c r="L417" i="7"/>
  <c r="L523" i="7"/>
  <c r="L35" i="16"/>
  <c r="L395" i="7"/>
  <c r="L459" i="7"/>
  <c r="L494" i="7"/>
  <c r="L484" i="7"/>
  <c r="L548" i="7"/>
  <c r="M39" i="16"/>
  <c r="L22" i="16"/>
  <c r="L36" i="16"/>
  <c r="M34" i="16"/>
  <c r="M48" i="16"/>
  <c r="N10" i="6"/>
  <c r="M177" i="7"/>
  <c r="M135" i="7"/>
  <c r="M6" i="7"/>
  <c r="M95" i="7"/>
  <c r="M506" i="7"/>
  <c r="M31" i="6"/>
  <c r="BL31" i="6" s="1"/>
  <c r="M73" i="7"/>
  <c r="M350" i="7"/>
  <c r="M338" i="7"/>
  <c r="M388" i="7"/>
  <c r="N35" i="6"/>
  <c r="M402" i="7"/>
  <c r="M269" i="7"/>
  <c r="M59" i="7"/>
  <c r="M424" i="7"/>
  <c r="M278" i="7"/>
  <c r="M28" i="6"/>
  <c r="M43" i="6"/>
  <c r="M540" i="7"/>
  <c r="M128" i="7"/>
  <c r="M205" i="7"/>
  <c r="N467" i="7"/>
  <c r="N407" i="7"/>
  <c r="N281" i="7"/>
  <c r="N200" i="7"/>
  <c r="N76" i="7"/>
  <c r="N562" i="7"/>
  <c r="N498" i="7"/>
  <c r="N406" i="7"/>
  <c r="N323" i="7"/>
  <c r="N237" i="7"/>
  <c r="N209" i="7"/>
  <c r="N124" i="7"/>
  <c r="N96" i="7"/>
  <c r="N11" i="7"/>
  <c r="N519" i="7"/>
  <c r="N533" i="7"/>
  <c r="N469" i="7"/>
  <c r="N441" i="7"/>
  <c r="N377" i="7"/>
  <c r="N284" i="7"/>
  <c r="N171" i="7"/>
  <c r="N57" i="7"/>
  <c r="N431" i="7"/>
  <c r="N512" i="7"/>
  <c r="N420" i="7"/>
  <c r="N356" i="7"/>
  <c r="N341" i="7"/>
  <c r="N256" i="7"/>
  <c r="N228" i="7"/>
  <c r="N143" i="7"/>
  <c r="N115" i="7"/>
  <c r="N29" i="7"/>
  <c r="N322" i="7"/>
  <c r="N258" i="7"/>
  <c r="N230" i="7"/>
  <c r="N166" i="7"/>
  <c r="N74" i="7"/>
  <c r="N10" i="7"/>
  <c r="N25" i="16"/>
  <c r="N39" i="16"/>
  <c r="N41" i="16"/>
  <c r="O7" i="16"/>
  <c r="O21" i="16"/>
  <c r="R572" i="7"/>
  <c r="R270" i="7"/>
  <c r="R10" i="7"/>
  <c r="R491" i="7"/>
  <c r="R373" i="7"/>
  <c r="R345" i="7"/>
  <c r="R33" i="7"/>
  <c r="R186" i="7"/>
  <c r="R565" i="7"/>
  <c r="R237" i="7"/>
  <c r="R209" i="7"/>
  <c r="R304" i="7"/>
  <c r="R148" i="7"/>
  <c r="R383" i="7"/>
  <c r="R199" i="7"/>
  <c r="R43" i="7"/>
  <c r="L112" i="7"/>
  <c r="L11" i="7"/>
  <c r="L33" i="6"/>
  <c r="L76" i="7"/>
  <c r="L456" i="7"/>
  <c r="L155" i="7"/>
  <c r="L181" i="7"/>
  <c r="L348" i="7"/>
  <c r="L38" i="7"/>
  <c r="L328" i="7"/>
  <c r="L345" i="7"/>
  <c r="L323" i="7"/>
  <c r="L421" i="7"/>
  <c r="L550" i="7"/>
  <c r="L562" i="7"/>
  <c r="O14" i="16"/>
  <c r="O48" i="16"/>
  <c r="R314" i="7"/>
  <c r="R326" i="7"/>
  <c r="R126" i="7"/>
  <c r="R567" i="7"/>
  <c r="R365" i="7"/>
  <c r="R241" i="7"/>
  <c r="R149" i="7"/>
  <c r="R25" i="7"/>
  <c r="R561" i="7"/>
  <c r="R353" i="7"/>
  <c r="R13" i="7"/>
  <c r="R456" i="7"/>
  <c r="R224" i="7"/>
  <c r="R116" i="7"/>
  <c r="R427" i="7"/>
  <c r="R303" i="7"/>
  <c r="R195" i="7"/>
  <c r="R87" i="7"/>
  <c r="L127" i="7"/>
  <c r="L61" i="7"/>
  <c r="L24" i="7"/>
  <c r="L268" i="7"/>
  <c r="L43" i="6"/>
  <c r="L73" i="7"/>
  <c r="L125" i="7"/>
  <c r="L106" i="7"/>
  <c r="L214" i="7"/>
  <c r="L342" i="7"/>
  <c r="L416" i="7"/>
  <c r="L314" i="7"/>
  <c r="L301" i="7"/>
  <c r="L295" i="7"/>
  <c r="L393" i="7"/>
  <c r="L513" i="7"/>
  <c r="L572" i="7"/>
  <c r="L6" i="16"/>
  <c r="N7" i="16"/>
  <c r="N37" i="16"/>
  <c r="O31" i="16"/>
  <c r="R464" i="7"/>
  <c r="R502" i="7"/>
  <c r="R499" i="7"/>
  <c r="R477" i="7"/>
  <c r="R372" i="7"/>
  <c r="R264" i="7"/>
  <c r="R32" i="7"/>
  <c r="R455" i="7"/>
  <c r="R235" i="7"/>
  <c r="R223" i="7"/>
  <c r="N41" i="6"/>
  <c r="M33" i="6"/>
  <c r="M474" i="7"/>
  <c r="M254" i="7"/>
  <c r="N28" i="6"/>
  <c r="M42" i="16"/>
  <c r="L304" i="7"/>
  <c r="L549" i="7"/>
  <c r="L333" i="7"/>
  <c r="L343" i="7"/>
  <c r="L441" i="7"/>
  <c r="L355" i="7"/>
  <c r="L463" i="7"/>
  <c r="L39" i="16"/>
  <c r="M24" i="16"/>
  <c r="N23" i="16"/>
  <c r="O9" i="16"/>
  <c r="R374" i="7"/>
  <c r="R302" i="7"/>
  <c r="R538" i="7"/>
  <c r="R214" i="7"/>
  <c r="R90" i="7"/>
  <c r="R453" i="7"/>
  <c r="R113" i="7"/>
  <c r="R202" i="7"/>
  <c r="R78" i="7"/>
  <c r="R441" i="7"/>
  <c r="R317" i="7"/>
  <c r="R225" i="7"/>
  <c r="R101" i="7"/>
  <c r="R220" i="7"/>
  <c r="R407" i="7"/>
  <c r="R175" i="7"/>
  <c r="L77" i="7"/>
  <c r="L365" i="7"/>
  <c r="H178" i="4"/>
  <c r="Q79" i="6"/>
  <c r="Q153" i="6"/>
  <c r="P33" i="7"/>
  <c r="P478" i="7"/>
  <c r="P46" i="7"/>
  <c r="P321" i="7"/>
  <c r="P407" i="7"/>
  <c r="P432" i="7"/>
  <c r="P261" i="7"/>
  <c r="P518" i="7"/>
  <c r="P384" i="7"/>
  <c r="P233" i="7"/>
  <c r="P328" i="7"/>
  <c r="P156" i="7"/>
  <c r="P81" i="7"/>
  <c r="P80" i="7"/>
  <c r="P119" i="7"/>
  <c r="P43" i="7"/>
  <c r="Q47" i="16"/>
  <c r="Q32" i="16"/>
  <c r="Q31" i="16"/>
  <c r="P460" i="7"/>
  <c r="P62" i="7"/>
  <c r="P403" i="7"/>
  <c r="P137" i="7"/>
  <c r="P42" i="7"/>
  <c r="P498" i="7"/>
  <c r="P346" i="7"/>
  <c r="P537" i="7"/>
  <c r="P290" i="7"/>
  <c r="P118" i="7"/>
  <c r="P61" i="7"/>
  <c r="P24" i="7"/>
  <c r="P327" i="7"/>
  <c r="P23" i="7"/>
  <c r="Q4" i="16"/>
  <c r="R179" i="6"/>
  <c r="L179" i="6"/>
  <c r="S178" i="6"/>
  <c r="M178" i="6"/>
  <c r="S177" i="6"/>
  <c r="M177" i="6"/>
  <c r="S176" i="6"/>
  <c r="M176" i="6"/>
  <c r="N175" i="6"/>
  <c r="N174" i="6"/>
  <c r="O173" i="6"/>
  <c r="O172" i="6"/>
  <c r="O171" i="6"/>
  <c r="R170" i="6"/>
  <c r="M170" i="6"/>
  <c r="S169" i="6"/>
  <c r="N169" i="6"/>
  <c r="N168" i="6"/>
  <c r="N167" i="6"/>
  <c r="N166" i="6"/>
  <c r="O165" i="6"/>
  <c r="O164" i="6"/>
  <c r="O163" i="6"/>
  <c r="O162" i="6"/>
  <c r="O161" i="6"/>
  <c r="O160" i="6"/>
  <c r="O159" i="6"/>
  <c r="O158" i="6"/>
  <c r="P157" i="6"/>
  <c r="L157" i="6"/>
  <c r="R156" i="6"/>
  <c r="M156" i="6"/>
  <c r="S155" i="6"/>
  <c r="M155" i="6"/>
  <c r="S154" i="6"/>
  <c r="M154" i="6"/>
  <c r="N153" i="6"/>
  <c r="O179" i="6"/>
  <c r="R178" i="6"/>
  <c r="L178" i="6"/>
  <c r="R177" i="6"/>
  <c r="L177" i="6"/>
  <c r="R176" i="6"/>
  <c r="L176" i="6"/>
  <c r="S175" i="6"/>
  <c r="M175" i="6"/>
  <c r="S174" i="6"/>
  <c r="M174" i="6"/>
  <c r="N173" i="6"/>
  <c r="N172" i="6"/>
  <c r="N171" i="6"/>
  <c r="P170" i="6"/>
  <c r="L170" i="6"/>
  <c r="R169" i="6"/>
  <c r="M169" i="6"/>
  <c r="S168" i="6"/>
  <c r="M168" i="6"/>
  <c r="S167" i="6"/>
  <c r="M167" i="6"/>
  <c r="S166" i="6"/>
  <c r="M166" i="6"/>
  <c r="N165" i="6"/>
  <c r="N164" i="6"/>
  <c r="N163" i="6"/>
  <c r="N162" i="6"/>
  <c r="N161" i="6"/>
  <c r="N160" i="6"/>
  <c r="N159" i="6"/>
  <c r="S158" i="6"/>
  <c r="N158" i="6"/>
  <c r="O157" i="6"/>
  <c r="P156" i="6"/>
  <c r="L156" i="6"/>
  <c r="R155" i="6"/>
  <c r="L155" i="6"/>
  <c r="R154" i="6"/>
  <c r="L154" i="6"/>
  <c r="N179" i="6"/>
  <c r="O178" i="6"/>
  <c r="O177" i="6"/>
  <c r="O176" i="6"/>
  <c r="R175" i="6"/>
  <c r="L175" i="6"/>
  <c r="R174" i="6"/>
  <c r="L174" i="6"/>
  <c r="S173" i="6"/>
  <c r="M173" i="6"/>
  <c r="S172" i="6"/>
  <c r="M172" i="6"/>
  <c r="S171" i="6"/>
  <c r="M171" i="6"/>
  <c r="BL171" i="6" s="1"/>
  <c r="O170" i="6"/>
  <c r="P169" i="6"/>
  <c r="L169" i="6"/>
  <c r="R168" i="6"/>
  <c r="L168" i="6"/>
  <c r="R167" i="6"/>
  <c r="L167" i="6"/>
  <c r="R166" i="6"/>
  <c r="L166" i="6"/>
  <c r="S165" i="6"/>
  <c r="M165" i="6"/>
  <c r="BL165" i="6" s="1"/>
  <c r="S164" i="6"/>
  <c r="M164" i="6"/>
  <c r="S163" i="6"/>
  <c r="M163" i="6"/>
  <c r="S162" i="6"/>
  <c r="M162" i="6"/>
  <c r="S161" i="6"/>
  <c r="M161" i="6"/>
  <c r="BL161" i="6" s="1"/>
  <c r="S160" i="6"/>
  <c r="M160" i="6"/>
  <c r="S159" i="6"/>
  <c r="M159" i="6"/>
  <c r="R158" i="6"/>
  <c r="M158" i="6"/>
  <c r="S157" i="6"/>
  <c r="N157" i="6"/>
  <c r="O156" i="6"/>
  <c r="O155" i="6"/>
  <c r="O154" i="6"/>
  <c r="R153" i="6"/>
  <c r="L153" i="6"/>
  <c r="S179" i="6"/>
  <c r="M179" i="6"/>
  <c r="N178" i="6"/>
  <c r="N177" i="6"/>
  <c r="N176" i="6"/>
  <c r="O175" i="6"/>
  <c r="O174" i="6"/>
  <c r="R173" i="6"/>
  <c r="L173" i="6"/>
  <c r="R172" i="6"/>
  <c r="L172" i="6"/>
  <c r="R171" i="6"/>
  <c r="L171" i="6"/>
  <c r="S170" i="6"/>
  <c r="N170" i="6"/>
  <c r="O169" i="6"/>
  <c r="O168" i="6"/>
  <c r="O167" i="6"/>
  <c r="O166" i="6"/>
  <c r="R165" i="6"/>
  <c r="L165" i="6"/>
  <c r="R164" i="6"/>
  <c r="L164" i="6"/>
  <c r="R163" i="6"/>
  <c r="L163" i="6"/>
  <c r="R162" i="6"/>
  <c r="L162" i="6"/>
  <c r="R161" i="6"/>
  <c r="L161" i="6"/>
  <c r="R160" i="6"/>
  <c r="L160" i="6"/>
  <c r="R159" i="6"/>
  <c r="L159" i="6"/>
  <c r="P158" i="6"/>
  <c r="L158" i="6"/>
  <c r="R157" i="6"/>
  <c r="M157" i="6"/>
  <c r="S156" i="6"/>
  <c r="N156" i="6"/>
  <c r="N155" i="6"/>
  <c r="N154" i="6"/>
  <c r="S153" i="6"/>
  <c r="N152" i="6"/>
  <c r="N151" i="6"/>
  <c r="N150" i="6"/>
  <c r="N149" i="6"/>
  <c r="S148" i="6"/>
  <c r="N148" i="6"/>
  <c r="O147" i="6"/>
  <c r="P146" i="6"/>
  <c r="L146" i="6"/>
  <c r="R145" i="6"/>
  <c r="M145" i="6"/>
  <c r="S144" i="6"/>
  <c r="N144" i="6"/>
  <c r="S143" i="6"/>
  <c r="M143" i="6"/>
  <c r="S142" i="6"/>
  <c r="M142" i="6"/>
  <c r="N141" i="6"/>
  <c r="N140" i="6"/>
  <c r="N139" i="6"/>
  <c r="S138" i="6"/>
  <c r="N138" i="6"/>
  <c r="O137" i="6"/>
  <c r="P136" i="6"/>
  <c r="L136" i="6"/>
  <c r="R135" i="6"/>
  <c r="M135" i="6"/>
  <c r="S134" i="6"/>
  <c r="N134" i="6"/>
  <c r="R133" i="6"/>
  <c r="L133" i="6"/>
  <c r="R132" i="6"/>
  <c r="L132" i="6"/>
  <c r="R131" i="6"/>
  <c r="L131" i="6"/>
  <c r="R130" i="6"/>
  <c r="L130" i="6"/>
  <c r="R129" i="6"/>
  <c r="L129" i="6"/>
  <c r="S128" i="6"/>
  <c r="M128" i="6"/>
  <c r="S127" i="6"/>
  <c r="M127" i="6"/>
  <c r="S126" i="6"/>
  <c r="M126" i="6"/>
  <c r="S125" i="6"/>
  <c r="M125" i="6"/>
  <c r="S124" i="6"/>
  <c r="M124" i="6"/>
  <c r="O123" i="6"/>
  <c r="O122" i="6"/>
  <c r="O121" i="6"/>
  <c r="O120" i="6"/>
  <c r="O119" i="6"/>
  <c r="R118" i="6"/>
  <c r="L118" i="6"/>
  <c r="R117" i="6"/>
  <c r="L117" i="6"/>
  <c r="R116" i="6"/>
  <c r="L116" i="6"/>
  <c r="R115" i="6"/>
  <c r="L115" i="6"/>
  <c r="R114" i="6"/>
  <c r="L114" i="6"/>
  <c r="R113" i="6"/>
  <c r="M113" i="6"/>
  <c r="S112" i="6"/>
  <c r="N112" i="6"/>
  <c r="O111" i="6"/>
  <c r="P110" i="6"/>
  <c r="L110" i="6"/>
  <c r="R109" i="6"/>
  <c r="M109" i="6"/>
  <c r="O108" i="6"/>
  <c r="O107" i="6"/>
  <c r="O106" i="6"/>
  <c r="O105" i="6"/>
  <c r="O104" i="6"/>
  <c r="R103" i="6"/>
  <c r="M103" i="6"/>
  <c r="S102" i="6"/>
  <c r="N102" i="6"/>
  <c r="P101" i="6"/>
  <c r="L101" i="6"/>
  <c r="R100" i="6"/>
  <c r="M100" i="6"/>
  <c r="S99" i="6"/>
  <c r="N99" i="6"/>
  <c r="O153" i="6"/>
  <c r="S152" i="6"/>
  <c r="M152" i="6"/>
  <c r="S151" i="6"/>
  <c r="M151" i="6"/>
  <c r="S150" i="6"/>
  <c r="M150" i="6"/>
  <c r="S149" i="6"/>
  <c r="M149" i="6"/>
  <c r="R148" i="6"/>
  <c r="M148" i="6"/>
  <c r="S147" i="6"/>
  <c r="N147" i="6"/>
  <c r="O146" i="6"/>
  <c r="P145" i="6"/>
  <c r="L145" i="6"/>
  <c r="R144" i="6"/>
  <c r="M144" i="6"/>
  <c r="R143" i="6"/>
  <c r="L143" i="6"/>
  <c r="R142" i="6"/>
  <c r="L142" i="6"/>
  <c r="S141" i="6"/>
  <c r="M141" i="6"/>
  <c r="S140" i="6"/>
  <c r="M140" i="6"/>
  <c r="S139" i="6"/>
  <c r="M139" i="6"/>
  <c r="R138" i="6"/>
  <c r="M138" i="6"/>
  <c r="S137" i="6"/>
  <c r="N137" i="6"/>
  <c r="O136" i="6"/>
  <c r="P135" i="6"/>
  <c r="L135" i="6"/>
  <c r="R134" i="6"/>
  <c r="M134" i="6"/>
  <c r="O133" i="6"/>
  <c r="O132" i="6"/>
  <c r="O131" i="6"/>
  <c r="O130" i="6"/>
  <c r="O129" i="6"/>
  <c r="R128" i="6"/>
  <c r="L128" i="6"/>
  <c r="R127" i="6"/>
  <c r="L127" i="6"/>
  <c r="R126" i="6"/>
  <c r="L126" i="6"/>
  <c r="R125" i="6"/>
  <c r="L125" i="6"/>
  <c r="R124" i="6"/>
  <c r="L124" i="6"/>
  <c r="N123" i="6"/>
  <c r="N122" i="6"/>
  <c r="N121" i="6"/>
  <c r="N120" i="6"/>
  <c r="N119" i="6"/>
  <c r="O118" i="6"/>
  <c r="O117" i="6"/>
  <c r="O116" i="6"/>
  <c r="O115" i="6"/>
  <c r="O114" i="6"/>
  <c r="P113" i="6"/>
  <c r="L113" i="6"/>
  <c r="R112" i="6"/>
  <c r="M112" i="6"/>
  <c r="S111" i="6"/>
  <c r="N111" i="6"/>
  <c r="O110" i="6"/>
  <c r="P109" i="6"/>
  <c r="L109" i="6"/>
  <c r="N108" i="6"/>
  <c r="N107" i="6"/>
  <c r="N106" i="6"/>
  <c r="N105" i="6"/>
  <c r="N104" i="6"/>
  <c r="P103" i="6"/>
  <c r="L103" i="6"/>
  <c r="R102" i="6"/>
  <c r="M102" i="6"/>
  <c r="O101" i="6"/>
  <c r="P100" i="6"/>
  <c r="L100" i="6"/>
  <c r="R99" i="6"/>
  <c r="M99" i="6"/>
  <c r="N98" i="6"/>
  <c r="N97" i="6"/>
  <c r="N96" i="6"/>
  <c r="N95" i="6"/>
  <c r="N94" i="6"/>
  <c r="M153" i="6"/>
  <c r="R152" i="6"/>
  <c r="L152" i="6"/>
  <c r="R151" i="6"/>
  <c r="L151" i="6"/>
  <c r="R150" i="6"/>
  <c r="L150" i="6"/>
  <c r="R149" i="6"/>
  <c r="L149" i="6"/>
  <c r="P148" i="6"/>
  <c r="L148" i="6"/>
  <c r="R147" i="6"/>
  <c r="M147" i="6"/>
  <c r="S146" i="6"/>
  <c r="N146" i="6"/>
  <c r="O145" i="6"/>
  <c r="P144" i="6"/>
  <c r="L144" i="6"/>
  <c r="O143" i="6"/>
  <c r="O142" i="6"/>
  <c r="R141" i="6"/>
  <c r="L141" i="6"/>
  <c r="R140" i="6"/>
  <c r="L140" i="6"/>
  <c r="R139" i="6"/>
  <c r="L139" i="6"/>
  <c r="P138" i="6"/>
  <c r="L138" i="6"/>
  <c r="R137" i="6"/>
  <c r="M137" i="6"/>
  <c r="BL137" i="6" s="1"/>
  <c r="S136" i="6"/>
  <c r="N136" i="6"/>
  <c r="O135" i="6"/>
  <c r="P134" i="6"/>
  <c r="L134" i="6"/>
  <c r="N133" i="6"/>
  <c r="N132" i="6"/>
  <c r="N131" i="6"/>
  <c r="N130" i="6"/>
  <c r="N129" i="6"/>
  <c r="O128" i="6"/>
  <c r="O127" i="6"/>
  <c r="O126" i="6"/>
  <c r="O125" i="6"/>
  <c r="O124" i="6"/>
  <c r="S123" i="6"/>
  <c r="M123" i="6"/>
  <c r="S122" i="6"/>
  <c r="M122" i="6"/>
  <c r="BL122" i="6" s="1"/>
  <c r="S121" i="6"/>
  <c r="M121" i="6"/>
  <c r="S120" i="6"/>
  <c r="M120" i="6"/>
  <c r="S119" i="6"/>
  <c r="M119" i="6"/>
  <c r="N118" i="6"/>
  <c r="N117" i="6"/>
  <c r="N116" i="6"/>
  <c r="N115" i="6"/>
  <c r="N114" i="6"/>
  <c r="O113" i="6"/>
  <c r="P112" i="6"/>
  <c r="L112" i="6"/>
  <c r="R111" i="6"/>
  <c r="M111" i="6"/>
  <c r="S110" i="6"/>
  <c r="N110" i="6"/>
  <c r="O109" i="6"/>
  <c r="S108" i="6"/>
  <c r="M108" i="6"/>
  <c r="BL108" i="6" s="1"/>
  <c r="S107" i="6"/>
  <c r="M107" i="6"/>
  <c r="S106" i="6"/>
  <c r="M106" i="6"/>
  <c r="S105" i="6"/>
  <c r="M105" i="6"/>
  <c r="S104" i="6"/>
  <c r="M104" i="6"/>
  <c r="BL104" i="6" s="1"/>
  <c r="O103" i="6"/>
  <c r="P102" i="6"/>
  <c r="L102" i="6"/>
  <c r="S101" i="6"/>
  <c r="N101" i="6"/>
  <c r="O100" i="6"/>
  <c r="P99" i="6"/>
  <c r="L99" i="6"/>
  <c r="S98" i="6"/>
  <c r="M98" i="6"/>
  <c r="BL98" i="6" s="1"/>
  <c r="S97" i="6"/>
  <c r="M97" i="6"/>
  <c r="S96" i="6"/>
  <c r="M96" i="6"/>
  <c r="S95" i="6"/>
  <c r="M95" i="6"/>
  <c r="S94" i="6"/>
  <c r="M94" i="6"/>
  <c r="BL94" i="6" s="1"/>
  <c r="O152" i="6"/>
  <c r="O151" i="6"/>
  <c r="O150" i="6"/>
  <c r="O149" i="6"/>
  <c r="O148" i="6"/>
  <c r="P147" i="6"/>
  <c r="L147" i="6"/>
  <c r="R146" i="6"/>
  <c r="M146" i="6"/>
  <c r="S145" i="6"/>
  <c r="N145" i="6"/>
  <c r="O144" i="6"/>
  <c r="N143" i="6"/>
  <c r="N142" i="6"/>
  <c r="O141" i="6"/>
  <c r="O140" i="6"/>
  <c r="O139" i="6"/>
  <c r="O138" i="6"/>
  <c r="P137" i="6"/>
  <c r="L137" i="6"/>
  <c r="R136" i="6"/>
  <c r="M136" i="6"/>
  <c r="S135" i="6"/>
  <c r="N135" i="6"/>
  <c r="O134" i="6"/>
  <c r="S133" i="6"/>
  <c r="M133" i="6"/>
  <c r="S132" i="6"/>
  <c r="M132" i="6"/>
  <c r="BL132" i="6" s="1"/>
  <c r="S131" i="6"/>
  <c r="M131" i="6"/>
  <c r="S130" i="6"/>
  <c r="M130" i="6"/>
  <c r="S129" i="6"/>
  <c r="M129" i="6"/>
  <c r="N128" i="6"/>
  <c r="N127" i="6"/>
  <c r="N126" i="6"/>
  <c r="N125" i="6"/>
  <c r="N124" i="6"/>
  <c r="R123" i="6"/>
  <c r="L123" i="6"/>
  <c r="R122" i="6"/>
  <c r="L122" i="6"/>
  <c r="R121" i="6"/>
  <c r="L121" i="6"/>
  <c r="R120" i="6"/>
  <c r="L120" i="6"/>
  <c r="R119" i="6"/>
  <c r="L119" i="6"/>
  <c r="S118" i="6"/>
  <c r="M118" i="6"/>
  <c r="BL118" i="6" s="1"/>
  <c r="S117" i="6"/>
  <c r="M117" i="6"/>
  <c r="S116" i="6"/>
  <c r="M116" i="6"/>
  <c r="S115" i="6"/>
  <c r="M115" i="6"/>
  <c r="S114" i="6"/>
  <c r="M114" i="6"/>
  <c r="BL114" i="6" s="1"/>
  <c r="S113" i="6"/>
  <c r="N113" i="6"/>
  <c r="O112" i="6"/>
  <c r="P111" i="6"/>
  <c r="L111" i="6"/>
  <c r="R110" i="6"/>
  <c r="M110" i="6"/>
  <c r="BL110" i="6" s="1"/>
  <c r="S109" i="6"/>
  <c r="N109" i="6"/>
  <c r="R108" i="6"/>
  <c r="L108" i="6"/>
  <c r="R107" i="6"/>
  <c r="L107" i="6"/>
  <c r="R106" i="6"/>
  <c r="L106" i="6"/>
  <c r="R105" i="6"/>
  <c r="L105" i="6"/>
  <c r="R104" i="6"/>
  <c r="L104" i="6"/>
  <c r="S103" i="6"/>
  <c r="N103" i="6"/>
  <c r="O102" i="6"/>
  <c r="R101" i="6"/>
  <c r="M101" i="6"/>
  <c r="S100" i="6"/>
  <c r="N100" i="6"/>
  <c r="O99" i="6"/>
  <c r="R98" i="6"/>
  <c r="L98" i="6"/>
  <c r="R97" i="6"/>
  <c r="L97" i="6"/>
  <c r="R96" i="6"/>
  <c r="L96" i="6"/>
  <c r="R95" i="6"/>
  <c r="L95" i="6"/>
  <c r="R94" i="6"/>
  <c r="L94" i="6"/>
  <c r="O96" i="6"/>
  <c r="S93" i="6"/>
  <c r="N93" i="6"/>
  <c r="O92" i="6"/>
  <c r="P91" i="6"/>
  <c r="L91" i="6"/>
  <c r="R90" i="6"/>
  <c r="M90" i="6"/>
  <c r="S89" i="6"/>
  <c r="N89" i="6"/>
  <c r="O88" i="6"/>
  <c r="O87" i="6"/>
  <c r="O86" i="6"/>
  <c r="O85" i="6"/>
  <c r="O84" i="6"/>
  <c r="R83" i="6"/>
  <c r="L83" i="6"/>
  <c r="R82" i="6"/>
  <c r="L82" i="6"/>
  <c r="R81" i="6"/>
  <c r="L81" i="6"/>
  <c r="R80" i="6"/>
  <c r="L80" i="6"/>
  <c r="R79" i="6"/>
  <c r="L79" i="6"/>
  <c r="O78" i="6"/>
  <c r="O77" i="6"/>
  <c r="O76" i="6"/>
  <c r="O75" i="6"/>
  <c r="O74" i="6"/>
  <c r="S73" i="6"/>
  <c r="M73" i="6"/>
  <c r="S72" i="6"/>
  <c r="M72" i="6"/>
  <c r="S71" i="6"/>
  <c r="M71" i="6"/>
  <c r="S70" i="6"/>
  <c r="M70" i="6"/>
  <c r="S69" i="6"/>
  <c r="M69" i="6"/>
  <c r="O68" i="6"/>
  <c r="P67" i="6"/>
  <c r="L67" i="6"/>
  <c r="R66" i="6"/>
  <c r="M66" i="6"/>
  <c r="S65" i="6"/>
  <c r="N65" i="6"/>
  <c r="O64" i="6"/>
  <c r="R63" i="6"/>
  <c r="L63" i="6"/>
  <c r="R62" i="6"/>
  <c r="L62" i="6"/>
  <c r="R61" i="6"/>
  <c r="L61" i="6"/>
  <c r="R60" i="6"/>
  <c r="L60" i="6"/>
  <c r="R59" i="6"/>
  <c r="L59" i="6"/>
  <c r="O58" i="6"/>
  <c r="R57" i="6"/>
  <c r="M57" i="6"/>
  <c r="S56" i="6"/>
  <c r="N56" i="6"/>
  <c r="O55" i="6"/>
  <c r="P54" i="6"/>
  <c r="L54" i="6"/>
  <c r="R53" i="6"/>
  <c r="L53" i="6"/>
  <c r="R52" i="6"/>
  <c r="L52" i="6"/>
  <c r="R51" i="6"/>
  <c r="L51" i="6"/>
  <c r="R50" i="6"/>
  <c r="L50" i="6"/>
  <c r="R49" i="6"/>
  <c r="L49" i="6"/>
  <c r="O48" i="6"/>
  <c r="P47" i="6"/>
  <c r="L47" i="6"/>
  <c r="R46" i="6"/>
  <c r="M46" i="6"/>
  <c r="S45" i="6"/>
  <c r="N45" i="6"/>
  <c r="O44" i="6"/>
  <c r="O97" i="6"/>
  <c r="R93" i="6"/>
  <c r="M93" i="6"/>
  <c r="BL93" i="6" s="1"/>
  <c r="S92" i="6"/>
  <c r="N92" i="6"/>
  <c r="O91" i="6"/>
  <c r="P90" i="6"/>
  <c r="L90" i="6"/>
  <c r="R89" i="6"/>
  <c r="M89" i="6"/>
  <c r="BL89" i="6" s="1"/>
  <c r="N88" i="6"/>
  <c r="N87" i="6"/>
  <c r="N86" i="6"/>
  <c r="N85" i="6"/>
  <c r="N84" i="6"/>
  <c r="O83" i="6"/>
  <c r="O82" i="6"/>
  <c r="O81" i="6"/>
  <c r="O80" i="6"/>
  <c r="O79" i="6"/>
  <c r="N78" i="6"/>
  <c r="N77" i="6"/>
  <c r="N76" i="6"/>
  <c r="N75" i="6"/>
  <c r="N74" i="6"/>
  <c r="R73" i="6"/>
  <c r="L73" i="6"/>
  <c r="R72" i="6"/>
  <c r="L72" i="6"/>
  <c r="R71" i="6"/>
  <c r="L71" i="6"/>
  <c r="R70" i="6"/>
  <c r="L70" i="6"/>
  <c r="R69" i="6"/>
  <c r="L69" i="6"/>
  <c r="S68" i="6"/>
  <c r="N68" i="6"/>
  <c r="O67" i="6"/>
  <c r="P66" i="6"/>
  <c r="L66" i="6"/>
  <c r="R65" i="6"/>
  <c r="M65" i="6"/>
  <c r="S64" i="6"/>
  <c r="N64" i="6"/>
  <c r="O63" i="6"/>
  <c r="O62" i="6"/>
  <c r="O61" i="6"/>
  <c r="O60" i="6"/>
  <c r="O59" i="6"/>
  <c r="S58" i="6"/>
  <c r="N58" i="6"/>
  <c r="P57" i="6"/>
  <c r="L57" i="6"/>
  <c r="R56" i="6"/>
  <c r="M56" i="6"/>
  <c r="S55" i="6"/>
  <c r="N55" i="6"/>
  <c r="O54" i="6"/>
  <c r="O53" i="6"/>
  <c r="O52" i="6"/>
  <c r="O51" i="6"/>
  <c r="O50" i="6"/>
  <c r="O49" i="6"/>
  <c r="S48" i="6"/>
  <c r="N48" i="6"/>
  <c r="O47" i="6"/>
  <c r="P46" i="6"/>
  <c r="L46" i="6"/>
  <c r="R45" i="6"/>
  <c r="M45" i="6"/>
  <c r="S44" i="6"/>
  <c r="N44" i="6"/>
  <c r="O98" i="6"/>
  <c r="O94" i="6"/>
  <c r="P93" i="6"/>
  <c r="L93" i="6"/>
  <c r="R92" i="6"/>
  <c r="M92" i="6"/>
  <c r="S91" i="6"/>
  <c r="N91" i="6"/>
  <c r="O90" i="6"/>
  <c r="P89" i="6"/>
  <c r="L89" i="6"/>
  <c r="S88" i="6"/>
  <c r="M88" i="6"/>
  <c r="S87" i="6"/>
  <c r="M87" i="6"/>
  <c r="S86" i="6"/>
  <c r="M86" i="6"/>
  <c r="BL86" i="6" s="1"/>
  <c r="S85" i="6"/>
  <c r="M85" i="6"/>
  <c r="S84" i="6"/>
  <c r="M84" i="6"/>
  <c r="N83" i="6"/>
  <c r="N82" i="6"/>
  <c r="N81" i="6"/>
  <c r="N80" i="6"/>
  <c r="N79" i="6"/>
  <c r="S78" i="6"/>
  <c r="M78" i="6"/>
  <c r="S77" i="6"/>
  <c r="M77" i="6"/>
  <c r="BL77" i="6" s="1"/>
  <c r="S76" i="6"/>
  <c r="M76" i="6"/>
  <c r="S75" i="6"/>
  <c r="M75" i="6"/>
  <c r="S74" i="6"/>
  <c r="M74" i="6"/>
  <c r="O73" i="6"/>
  <c r="O72" i="6"/>
  <c r="O71" i="6"/>
  <c r="O70" i="6"/>
  <c r="O69" i="6"/>
  <c r="R68" i="6"/>
  <c r="M68" i="6"/>
  <c r="S67" i="6"/>
  <c r="N67" i="6"/>
  <c r="O66" i="6"/>
  <c r="P65" i="6"/>
  <c r="L65" i="6"/>
  <c r="R64" i="6"/>
  <c r="M64" i="6"/>
  <c r="N63" i="6"/>
  <c r="N62" i="6"/>
  <c r="N61" i="6"/>
  <c r="N60" i="6"/>
  <c r="N59" i="6"/>
  <c r="R58" i="6"/>
  <c r="M58" i="6"/>
  <c r="O57" i="6"/>
  <c r="P56" i="6"/>
  <c r="L56" i="6"/>
  <c r="R55" i="6"/>
  <c r="M55" i="6"/>
  <c r="S54" i="6"/>
  <c r="N54" i="6"/>
  <c r="N53" i="6"/>
  <c r="N52" i="6"/>
  <c r="N51" i="6"/>
  <c r="N50" i="6"/>
  <c r="N49" i="6"/>
  <c r="R48" i="6"/>
  <c r="M48" i="6"/>
  <c r="S47" i="6"/>
  <c r="N47" i="6"/>
  <c r="O46" i="6"/>
  <c r="P45" i="6"/>
  <c r="L45" i="6"/>
  <c r="R44" i="6"/>
  <c r="M44" i="6"/>
  <c r="O95" i="6"/>
  <c r="O93" i="6"/>
  <c r="P92" i="6"/>
  <c r="L92" i="6"/>
  <c r="R91" i="6"/>
  <c r="M91" i="6"/>
  <c r="S90" i="6"/>
  <c r="N90" i="6"/>
  <c r="O89" i="6"/>
  <c r="R88" i="6"/>
  <c r="L88" i="6"/>
  <c r="R87" i="6"/>
  <c r="L87" i="6"/>
  <c r="R86" i="6"/>
  <c r="L86" i="6"/>
  <c r="R85" i="6"/>
  <c r="L85" i="6"/>
  <c r="R84" i="6"/>
  <c r="L84" i="6"/>
  <c r="S83" i="6"/>
  <c r="M83" i="6"/>
  <c r="S82" i="6"/>
  <c r="M82" i="6"/>
  <c r="S81" i="6"/>
  <c r="M81" i="6"/>
  <c r="S80" i="6"/>
  <c r="M80" i="6"/>
  <c r="S79" i="6"/>
  <c r="M79" i="6"/>
  <c r="R78" i="6"/>
  <c r="L78" i="6"/>
  <c r="R77" i="6"/>
  <c r="L77" i="6"/>
  <c r="R76" i="6"/>
  <c r="L76" i="6"/>
  <c r="R75" i="6"/>
  <c r="L75" i="6"/>
  <c r="R74" i="6"/>
  <c r="L74" i="6"/>
  <c r="N73" i="6"/>
  <c r="N72" i="6"/>
  <c r="N71" i="6"/>
  <c r="N70" i="6"/>
  <c r="N69" i="6"/>
  <c r="P68" i="6"/>
  <c r="L68" i="6"/>
  <c r="R67" i="6"/>
  <c r="M67" i="6"/>
  <c r="S66" i="6"/>
  <c r="N66" i="6"/>
  <c r="O65" i="6"/>
  <c r="P64" i="6"/>
  <c r="L64" i="6"/>
  <c r="S63" i="6"/>
  <c r="M63" i="6"/>
  <c r="S62" i="6"/>
  <c r="M62" i="6"/>
  <c r="S61" i="6"/>
  <c r="M61" i="6"/>
  <c r="S60" i="6"/>
  <c r="M60" i="6"/>
  <c r="S59" i="6"/>
  <c r="M59" i="6"/>
  <c r="P58" i="6"/>
  <c r="L58" i="6"/>
  <c r="S57" i="6"/>
  <c r="N57" i="6"/>
  <c r="O56" i="6"/>
  <c r="P55" i="6"/>
  <c r="L55" i="6"/>
  <c r="R54" i="6"/>
  <c r="M54" i="6"/>
  <c r="S53" i="6"/>
  <c r="M53" i="6"/>
  <c r="S52" i="6"/>
  <c r="M52" i="6"/>
  <c r="S51" i="6"/>
  <c r="M51" i="6"/>
  <c r="S50" i="6"/>
  <c r="M50" i="6"/>
  <c r="S49" i="6"/>
  <c r="M49" i="6"/>
  <c r="P48" i="6"/>
  <c r="L48" i="6"/>
  <c r="R47" i="6"/>
  <c r="M47" i="6"/>
  <c r="S46" i="6"/>
  <c r="N46" i="6"/>
  <c r="O45" i="6"/>
  <c r="P44" i="6"/>
  <c r="L44" i="6"/>
  <c r="Q47" i="6"/>
  <c r="Q50" i="6"/>
  <c r="P179" i="6"/>
  <c r="Q167" i="6"/>
  <c r="AS167" i="6" s="1"/>
  <c r="Q154" i="6"/>
  <c r="P143" i="6"/>
  <c r="P177" i="6"/>
  <c r="P172" i="6"/>
  <c r="Q165" i="6"/>
  <c r="AS165" i="6" s="1"/>
  <c r="P151" i="6"/>
  <c r="P141" i="6"/>
  <c r="Q137" i="6"/>
  <c r="Q176" i="6"/>
  <c r="AS176" i="6" s="1"/>
  <c r="Q173" i="6"/>
  <c r="P161" i="6"/>
  <c r="Q157" i="6"/>
  <c r="Q152" i="6"/>
  <c r="P142" i="6"/>
  <c r="P178" i="6"/>
  <c r="P168" i="6"/>
  <c r="Q160" i="6"/>
  <c r="Q148" i="6"/>
  <c r="Q143" i="6"/>
  <c r="Q138" i="6"/>
  <c r="P129" i="6"/>
  <c r="P128" i="6"/>
  <c r="P117" i="6"/>
  <c r="Q104" i="6"/>
  <c r="Q88" i="6"/>
  <c r="Q127" i="6"/>
  <c r="Q113" i="6"/>
  <c r="P108" i="6"/>
  <c r="P127" i="6"/>
  <c r="P114" i="6"/>
  <c r="P97" i="6"/>
  <c r="Q93" i="6"/>
  <c r="P79" i="6"/>
  <c r="Q126" i="6"/>
  <c r="Q117" i="6"/>
  <c r="Q94" i="6"/>
  <c r="P85" i="6"/>
  <c r="P53" i="6"/>
  <c r="P73" i="6"/>
  <c r="Q46" i="6"/>
  <c r="Q49" i="6"/>
  <c r="P61" i="6"/>
  <c r="Q64" i="6"/>
  <c r="Q74" i="6"/>
  <c r="P52" i="6"/>
  <c r="Q58" i="6"/>
  <c r="AS58" i="6" s="1"/>
  <c r="Q59" i="6"/>
  <c r="Q72" i="6"/>
  <c r="AS72" i="6" s="1"/>
  <c r="Q52" i="6"/>
  <c r="Q77" i="6"/>
  <c r="Q177" i="6"/>
  <c r="Q172" i="6"/>
  <c r="P164" i="6"/>
  <c r="Q149" i="6"/>
  <c r="Q141" i="6"/>
  <c r="Q175" i="6"/>
  <c r="AS175" i="6" s="1"/>
  <c r="Q170" i="6"/>
  <c r="Q163" i="6"/>
  <c r="P154" i="6"/>
  <c r="P149" i="6"/>
  <c r="P139" i="6"/>
  <c r="Q135" i="6"/>
  <c r="P132" i="6"/>
  <c r="P175" i="6"/>
  <c r="Q171" i="6"/>
  <c r="Q166" i="6"/>
  <c r="P159" i="6"/>
  <c r="Q155" i="6"/>
  <c r="Q150" i="6"/>
  <c r="Q140" i="6"/>
  <c r="P176" i="6"/>
  <c r="P173" i="6"/>
  <c r="P166" i="6"/>
  <c r="Q146" i="6"/>
  <c r="P140" i="6"/>
  <c r="Q136" i="6"/>
  <c r="P126" i="6"/>
  <c r="Q122" i="6"/>
  <c r="P115" i="6"/>
  <c r="Q103" i="6"/>
  <c r="P98" i="6"/>
  <c r="Q86" i="6"/>
  <c r="Q125" i="6"/>
  <c r="Q111" i="6"/>
  <c r="P106" i="6"/>
  <c r="Q101" i="6"/>
  <c r="Q97" i="6"/>
  <c r="P88" i="6"/>
  <c r="P125" i="6"/>
  <c r="Q121" i="6"/>
  <c r="Q107" i="6"/>
  <c r="P95" i="6"/>
  <c r="Q91" i="6"/>
  <c r="Q124" i="6"/>
  <c r="P123" i="6"/>
  <c r="Q112" i="6"/>
  <c r="Q54" i="6"/>
  <c r="Q62" i="6"/>
  <c r="AS62" i="6" s="1"/>
  <c r="P74" i="6"/>
  <c r="Q48" i="6"/>
  <c r="AS48" i="6" s="1"/>
  <c r="P63" i="6"/>
  <c r="Q66" i="6"/>
  <c r="P70" i="6"/>
  <c r="Q76" i="6"/>
  <c r="P75" i="6"/>
  <c r="P60" i="6"/>
  <c r="Q65" i="6"/>
  <c r="P69" i="6"/>
  <c r="P82" i="6"/>
  <c r="P174" i="6"/>
  <c r="P162" i="6"/>
  <c r="Q158" i="6"/>
  <c r="Q139" i="6"/>
  <c r="Q132" i="6"/>
  <c r="Q147" i="6"/>
  <c r="P130" i="6"/>
  <c r="P165" i="6"/>
  <c r="Q131" i="6"/>
  <c r="Q174" i="6"/>
  <c r="AS174" i="6" s="1"/>
  <c r="P171" i="6"/>
  <c r="Q164" i="6"/>
  <c r="AS164" i="6" s="1"/>
  <c r="P155" i="6"/>
  <c r="P152" i="6"/>
  <c r="Q144" i="6"/>
  <c r="Q134" i="6"/>
  <c r="P133" i="6"/>
  <c r="Q129" i="6"/>
  <c r="P124" i="6"/>
  <c r="P96" i="6"/>
  <c r="Q92" i="6"/>
  <c r="Q84" i="6"/>
  <c r="P122" i="6"/>
  <c r="Q114" i="6"/>
  <c r="Q109" i="6"/>
  <c r="P104" i="6"/>
  <c r="Q99" i="6"/>
  <c r="Q95" i="6"/>
  <c r="P86" i="6"/>
  <c r="Q83" i="6"/>
  <c r="Q119" i="6"/>
  <c r="P118" i="6"/>
  <c r="Q89" i="6"/>
  <c r="P83" i="6"/>
  <c r="P121" i="6"/>
  <c r="Q110" i="6"/>
  <c r="P107" i="6"/>
  <c r="Q98" i="6"/>
  <c r="P49" i="6"/>
  <c r="Q56" i="6"/>
  <c r="Q69" i="6"/>
  <c r="P76" i="6"/>
  <c r="Q53" i="6"/>
  <c r="Q68" i="6"/>
  <c r="P72" i="6"/>
  <c r="Q78" i="6"/>
  <c r="Q55" i="6"/>
  <c r="Q63" i="6"/>
  <c r="AS63" i="6" s="1"/>
  <c r="P77" i="6"/>
  <c r="Q45" i="6"/>
  <c r="P62" i="6"/>
  <c r="Q67" i="6"/>
  <c r="P71" i="6"/>
  <c r="P160" i="6"/>
  <c r="Q156" i="6"/>
  <c r="P167" i="6"/>
  <c r="Q159" i="6"/>
  <c r="AS159" i="6" s="1"/>
  <c r="P153" i="6"/>
  <c r="Q145" i="6"/>
  <c r="Q142" i="6"/>
  <c r="P163" i="6"/>
  <c r="Q179" i="6"/>
  <c r="Q169" i="6"/>
  <c r="Q162" i="6"/>
  <c r="P150" i="6"/>
  <c r="P131" i="6"/>
  <c r="P94" i="6"/>
  <c r="Q90" i="6"/>
  <c r="P120" i="6"/>
  <c r="P84" i="6"/>
  <c r="P116" i="6"/>
  <c r="Q102" i="6"/>
  <c r="AS102" i="6" s="1"/>
  <c r="Q87" i="6"/>
  <c r="P81" i="6"/>
  <c r="Q128" i="6"/>
  <c r="P119" i="6"/>
  <c r="P105" i="6"/>
  <c r="Q100" i="6"/>
  <c r="P87" i="6"/>
  <c r="P51" i="6"/>
  <c r="Q71" i="6"/>
  <c r="AS71" i="6" s="1"/>
  <c r="P78" i="6"/>
  <c r="P80" i="6"/>
  <c r="Q44" i="6"/>
  <c r="P59" i="6"/>
  <c r="Q73" i="6"/>
  <c r="AS73" i="6" s="1"/>
  <c r="Q80" i="6"/>
  <c r="P50" i="6"/>
  <c r="Q57" i="6"/>
  <c r="W151" i="6"/>
  <c r="W120" i="6"/>
  <c r="W113" i="6"/>
  <c r="W46" i="6"/>
  <c r="W100" i="6"/>
  <c r="W83" i="6"/>
  <c r="W62" i="6"/>
  <c r="W115" i="6"/>
  <c r="W52" i="6"/>
  <c r="W55" i="6"/>
  <c r="W157" i="6"/>
  <c r="W84" i="6"/>
  <c r="W44" i="6"/>
  <c r="W92" i="6"/>
  <c r="W48" i="6"/>
  <c r="W58" i="6"/>
  <c r="W79" i="6"/>
  <c r="W86" i="6"/>
  <c r="W109" i="6"/>
  <c r="W145" i="6"/>
  <c r="W51" i="6"/>
  <c r="W80" i="6"/>
  <c r="W110" i="6"/>
  <c r="W89" i="6"/>
  <c r="W93" i="6"/>
  <c r="W121" i="6"/>
  <c r="W134" i="6"/>
  <c r="W81" i="6"/>
  <c r="W153" i="6"/>
  <c r="W88" i="6"/>
  <c r="W111" i="6"/>
  <c r="W156" i="6"/>
  <c r="W123" i="6"/>
  <c r="W91" i="6"/>
  <c r="W98" i="6"/>
  <c r="W130" i="6"/>
  <c r="W162" i="6"/>
  <c r="W165" i="6"/>
  <c r="W132" i="6"/>
  <c r="W170" i="6"/>
  <c r="W168" i="6"/>
  <c r="W76" i="6"/>
  <c r="W144" i="6"/>
  <c r="W87" i="6"/>
  <c r="W114" i="6"/>
  <c r="W47" i="6"/>
  <c r="W75" i="6"/>
  <c r="W166" i="6"/>
  <c r="W59" i="6"/>
  <c r="W68" i="6"/>
  <c r="W125" i="6"/>
  <c r="W176" i="6"/>
  <c r="W143" i="6"/>
  <c r="W64" i="6"/>
  <c r="W152" i="6"/>
  <c r="W127" i="6"/>
  <c r="W61" i="6"/>
  <c r="W105" i="6"/>
  <c r="W177" i="6"/>
  <c r="W107" i="6"/>
  <c r="W69" i="6"/>
  <c r="W78" i="6"/>
  <c r="W175" i="6"/>
  <c r="W90" i="6"/>
  <c r="W102" i="6"/>
  <c r="W136" i="6"/>
  <c r="W106" i="6"/>
  <c r="W70" i="6"/>
  <c r="W117" i="6"/>
  <c r="W50" i="6"/>
  <c r="W119" i="6"/>
  <c r="W129" i="6"/>
  <c r="W135" i="6"/>
  <c r="W131" i="6"/>
  <c r="W164" i="6"/>
  <c r="W149" i="6"/>
  <c r="W133" i="6"/>
  <c r="W141" i="6"/>
  <c r="W57" i="6"/>
  <c r="W82" i="6"/>
  <c r="W173" i="6"/>
  <c r="W169" i="6"/>
  <c r="W178" i="6"/>
  <c r="W137" i="6"/>
  <c r="W74" i="6"/>
  <c r="W112" i="6"/>
  <c r="W63" i="6"/>
  <c r="W126" i="6"/>
  <c r="W138" i="6"/>
  <c r="W163" i="6"/>
  <c r="W142" i="6"/>
  <c r="W161" i="6"/>
  <c r="W179" i="6"/>
  <c r="W95" i="6"/>
  <c r="W118" i="6"/>
  <c r="W148" i="6"/>
  <c r="W140" i="6"/>
  <c r="W147" i="6"/>
  <c r="W146" i="6"/>
  <c r="W174" i="6"/>
  <c r="W160" i="6"/>
  <c r="W150" i="6"/>
  <c r="W155" i="6"/>
  <c r="W159" i="6"/>
  <c r="W154" i="6"/>
  <c r="W99" i="6"/>
  <c r="W124" i="6"/>
  <c r="W128" i="6"/>
  <c r="W94" i="6"/>
  <c r="W97" i="6"/>
  <c r="W54" i="6"/>
  <c r="W72" i="6"/>
  <c r="W96" i="6"/>
  <c r="W85" i="6"/>
  <c r="W67" i="6"/>
  <c r="W122" i="6"/>
  <c r="W77" i="6"/>
  <c r="W139" i="6"/>
  <c r="W103" i="6"/>
  <c r="W101" i="6"/>
  <c r="W45" i="6"/>
  <c r="W49" i="6"/>
  <c r="W56" i="6"/>
  <c r="W71" i="6"/>
  <c r="W60" i="6"/>
  <c r="W66" i="6"/>
  <c r="W158" i="6"/>
  <c r="W167" i="6"/>
  <c r="W171" i="6"/>
  <c r="W108" i="6"/>
  <c r="W104" i="6"/>
  <c r="W53" i="6"/>
  <c r="W65" i="6"/>
  <c r="W172" i="6"/>
  <c r="W116" i="6"/>
  <c r="W73" i="6"/>
  <c r="W4" i="7"/>
  <c r="W233" i="7"/>
  <c r="X233" i="7" s="1"/>
  <c r="W460" i="7"/>
  <c r="BK156" i="6"/>
  <c r="BK58" i="6"/>
  <c r="BK90" i="6"/>
  <c r="BK85" i="6"/>
  <c r="BK114" i="6"/>
  <c r="BK45" i="6"/>
  <c r="BK51" i="6"/>
  <c r="BK68" i="6"/>
  <c r="BK110" i="6"/>
  <c r="BK89" i="6"/>
  <c r="BK46" i="6"/>
  <c r="BK93" i="6"/>
  <c r="BK121" i="6"/>
  <c r="BK157" i="6"/>
  <c r="BK166" i="6"/>
  <c r="BK102" i="6"/>
  <c r="BK87" i="6"/>
  <c r="BK116" i="6"/>
  <c r="BK80" i="6"/>
  <c r="BK115" i="6"/>
  <c r="BK79" i="6"/>
  <c r="BK44" i="6"/>
  <c r="BK92" i="6"/>
  <c r="BK153" i="6"/>
  <c r="BK151" i="6"/>
  <c r="BK56" i="6"/>
  <c r="BK150" i="6"/>
  <c r="BK152" i="6"/>
  <c r="BK47" i="6"/>
  <c r="BK130" i="6"/>
  <c r="BK60" i="6"/>
  <c r="BK127" i="6"/>
  <c r="BK133" i="6"/>
  <c r="BK106" i="6"/>
  <c r="BK172" i="6"/>
  <c r="BK154" i="6"/>
  <c r="BK123" i="6"/>
  <c r="BK136" i="6"/>
  <c r="BK98" i="6"/>
  <c r="BK132" i="6"/>
  <c r="BK177" i="6"/>
  <c r="BK75" i="6"/>
  <c r="BK50" i="6"/>
  <c r="BK91" i="6"/>
  <c r="BK165" i="6"/>
  <c r="BK100" i="6"/>
  <c r="BK134" i="6"/>
  <c r="BK105" i="6"/>
  <c r="BK76" i="6"/>
  <c r="BK70" i="6"/>
  <c r="BK82" i="6"/>
  <c r="BK61" i="6"/>
  <c r="BK131" i="6"/>
  <c r="BK59" i="6"/>
  <c r="BK168" i="6"/>
  <c r="BK141" i="6"/>
  <c r="BK143" i="6"/>
  <c r="BK171" i="6"/>
  <c r="BK57" i="6"/>
  <c r="BK67" i="6"/>
  <c r="BK63" i="6"/>
  <c r="BK77" i="6"/>
  <c r="BK138" i="6"/>
  <c r="BK99" i="6"/>
  <c r="BK146" i="6"/>
  <c r="BK169" i="6"/>
  <c r="BK175" i="6"/>
  <c r="BK125" i="6"/>
  <c r="BK122" i="6"/>
  <c r="BK112" i="6"/>
  <c r="BK129" i="6"/>
  <c r="BK52" i="6"/>
  <c r="BK163" i="6"/>
  <c r="BK135" i="6"/>
  <c r="BK142" i="6"/>
  <c r="BK161" i="6"/>
  <c r="BK144" i="6"/>
  <c r="BK149" i="6"/>
  <c r="BK145" i="6"/>
  <c r="BK162" i="6"/>
  <c r="BK167" i="6"/>
  <c r="BK120" i="6"/>
  <c r="BK107" i="6"/>
  <c r="BK174" i="6"/>
  <c r="BK148" i="6"/>
  <c r="BK137" i="6"/>
  <c r="BK160" i="6"/>
  <c r="BK159" i="6"/>
  <c r="BK113" i="6"/>
  <c r="BK164" i="6"/>
  <c r="BK64" i="6"/>
  <c r="BK62" i="6"/>
  <c r="BK119" i="6"/>
  <c r="BK66" i="6"/>
  <c r="BK74" i="6"/>
  <c r="BK126" i="6"/>
  <c r="BK139" i="6"/>
  <c r="BK158" i="6"/>
  <c r="BK176" i="6"/>
  <c r="BK109" i="6"/>
  <c r="BK124" i="6"/>
  <c r="BK128" i="6"/>
  <c r="BK81" i="6"/>
  <c r="BK94" i="6"/>
  <c r="BK97" i="6"/>
  <c r="BK86" i="6"/>
  <c r="BK95" i="6"/>
  <c r="BK73" i="6"/>
  <c r="BK72" i="6"/>
  <c r="BK69" i="6"/>
  <c r="BK53" i="6"/>
  <c r="BK170" i="6"/>
  <c r="BK155" i="6"/>
  <c r="BK88" i="6"/>
  <c r="BK108" i="6"/>
  <c r="BK104" i="6"/>
  <c r="BK48" i="6"/>
  <c r="BK54" i="6"/>
  <c r="BK55" i="6"/>
  <c r="BK147" i="6"/>
  <c r="BK178" i="6"/>
  <c r="BK179" i="6"/>
  <c r="BK111" i="6"/>
  <c r="BK83" i="6"/>
  <c r="BK96" i="6"/>
  <c r="BK103" i="6"/>
  <c r="BK101" i="6"/>
  <c r="BK49" i="6"/>
  <c r="BK71" i="6"/>
  <c r="BK78" i="6"/>
  <c r="BK117" i="6"/>
  <c r="BK84" i="6"/>
  <c r="BK118" i="6"/>
  <c r="BK140" i="6"/>
  <c r="BK173" i="6"/>
  <c r="BK65" i="6"/>
  <c r="Q40" i="6"/>
  <c r="Q30" i="6"/>
  <c r="Q27" i="16"/>
  <c r="R23" i="16"/>
  <c r="P35" i="16"/>
  <c r="P4" i="16"/>
  <c r="Q555" i="7"/>
  <c r="Q471" i="7"/>
  <c r="Q443" i="7"/>
  <c r="Q359" i="7"/>
  <c r="Q331" i="7"/>
  <c r="Q243" i="7"/>
  <c r="Q215" i="7"/>
  <c r="Q131" i="7"/>
  <c r="Q103" i="7"/>
  <c r="Q19" i="7"/>
  <c r="O18" i="7"/>
  <c r="O106" i="7"/>
  <c r="O134" i="7"/>
  <c r="O218" i="7"/>
  <c r="Q566" i="7"/>
  <c r="Q502" i="7"/>
  <c r="Q410" i="7"/>
  <c r="Q346" i="7"/>
  <c r="R21" i="16"/>
  <c r="Q30" i="16"/>
  <c r="P27" i="16"/>
  <c r="Q535" i="7"/>
  <c r="Q423" i="7"/>
  <c r="Q307" i="7"/>
  <c r="Q195" i="7"/>
  <c r="Q83" i="7"/>
  <c r="O42" i="7"/>
  <c r="O154" i="7"/>
  <c r="Q550" i="7"/>
  <c r="Q486" i="7"/>
  <c r="Q458" i="7"/>
  <c r="Q394" i="7"/>
  <c r="Q302" i="7"/>
  <c r="Q238" i="7"/>
  <c r="R26" i="16"/>
  <c r="Q42" i="16"/>
  <c r="P18" i="16"/>
  <c r="Q515" i="7"/>
  <c r="Q399" i="7"/>
  <c r="Q287" i="7"/>
  <c r="Q175" i="7"/>
  <c r="Q59" i="7"/>
  <c r="O62" i="7"/>
  <c r="O174" i="7"/>
  <c r="Q534" i="7"/>
  <c r="Q470" i="7"/>
  <c r="Q442" i="7"/>
  <c r="Q378" i="7"/>
  <c r="Q286" i="7"/>
  <c r="Q194" i="7"/>
  <c r="Q130" i="7"/>
  <c r="Q102" i="7"/>
  <c r="Q38" i="7"/>
  <c r="O63" i="7"/>
  <c r="O107" i="7"/>
  <c r="O135" i="7"/>
  <c r="P9" i="16"/>
  <c r="Q518" i="7"/>
  <c r="Q334" i="7"/>
  <c r="Q210" i="7"/>
  <c r="Q86" i="7"/>
  <c r="Q6" i="7"/>
  <c r="O31" i="7"/>
  <c r="O95" i="7"/>
  <c r="O123" i="7"/>
  <c r="O167" i="7"/>
  <c r="O199" i="7"/>
  <c r="O231" i="7"/>
  <c r="O259" i="7"/>
  <c r="O291" i="7"/>
  <c r="O323" i="7"/>
  <c r="Q561" i="7"/>
  <c r="Q529" i="7"/>
  <c r="Q497" i="7"/>
  <c r="Q465" i="7"/>
  <c r="Q437" i="7"/>
  <c r="Q405" i="7"/>
  <c r="Q373" i="7"/>
  <c r="BL373" i="7" s="1"/>
  <c r="BO373" i="7" s="1"/>
  <c r="Q345" i="7"/>
  <c r="Q313" i="7"/>
  <c r="Q281" i="7"/>
  <c r="Q249" i="7"/>
  <c r="Q426" i="7"/>
  <c r="Q318" i="7"/>
  <c r="Q178" i="7"/>
  <c r="Q70" i="7"/>
  <c r="O47" i="7"/>
  <c r="O111" i="7"/>
  <c r="O139" i="7"/>
  <c r="O171" i="7"/>
  <c r="O203" i="7"/>
  <c r="O263" i="7"/>
  <c r="O295" i="7"/>
  <c r="O327" i="7"/>
  <c r="Q557" i="7"/>
  <c r="Q525" i="7"/>
  <c r="Q493" i="7"/>
  <c r="Q461" i="7"/>
  <c r="Q433" i="7"/>
  <c r="Q401" i="7"/>
  <c r="Q369" i="7"/>
  <c r="Q341" i="7"/>
  <c r="Q309" i="7"/>
  <c r="Q277" i="7"/>
  <c r="Q245" i="7"/>
  <c r="R28" i="16"/>
  <c r="Q362" i="7"/>
  <c r="Q270" i="7"/>
  <c r="Q162" i="7"/>
  <c r="Q54" i="7"/>
  <c r="O79" i="7"/>
  <c r="O151" i="7"/>
  <c r="O183" i="7"/>
  <c r="O215" i="7"/>
  <c r="O243" i="7"/>
  <c r="O275" i="7"/>
  <c r="O307" i="7"/>
  <c r="O339" i="7"/>
  <c r="Q545" i="7"/>
  <c r="Q513" i="7"/>
  <c r="Q481" i="7"/>
  <c r="Q453" i="7"/>
  <c r="Q421" i="7"/>
  <c r="Q389" i="7"/>
  <c r="Q357" i="7"/>
  <c r="Q329" i="7"/>
  <c r="Q297" i="7"/>
  <c r="Q265" i="7"/>
  <c r="Q233" i="7"/>
  <c r="Q221" i="7"/>
  <c r="Q205" i="7"/>
  <c r="Q189" i="7"/>
  <c r="Q173" i="7"/>
  <c r="Q157" i="7"/>
  <c r="Q141" i="7"/>
  <c r="Q125" i="7"/>
  <c r="R24" i="16"/>
  <c r="R42" i="16"/>
  <c r="Q491" i="7"/>
  <c r="Q39" i="7"/>
  <c r="O119" i="7"/>
  <c r="O279" i="7"/>
  <c r="Q477" i="7"/>
  <c r="Q449" i="7"/>
  <c r="Q293" i="7"/>
  <c r="Q225" i="7"/>
  <c r="Q201" i="7"/>
  <c r="Q181" i="7"/>
  <c r="Q161" i="7"/>
  <c r="Q137" i="7"/>
  <c r="Q117" i="7"/>
  <c r="Q101" i="7"/>
  <c r="Q85" i="7"/>
  <c r="Q69" i="7"/>
  <c r="Q53" i="7"/>
  <c r="Q37" i="7"/>
  <c r="Q21" i="7"/>
  <c r="Q5" i="7"/>
  <c r="O16" i="7"/>
  <c r="O32" i="7"/>
  <c r="O48" i="7"/>
  <c r="O64" i="7"/>
  <c r="O80" i="7"/>
  <c r="O96" i="7"/>
  <c r="O112" i="7"/>
  <c r="O124" i="7"/>
  <c r="O140" i="7"/>
  <c r="Q379" i="7"/>
  <c r="O82" i="7"/>
  <c r="Q226" i="7"/>
  <c r="O15" i="7"/>
  <c r="O155" i="7"/>
  <c r="O311" i="7"/>
  <c r="Q573" i="7"/>
  <c r="Q417" i="7"/>
  <c r="Q261" i="7"/>
  <c r="Q217" i="7"/>
  <c r="Q197" i="7"/>
  <c r="Q177" i="7"/>
  <c r="Q153" i="7"/>
  <c r="Q133" i="7"/>
  <c r="Q113" i="7"/>
  <c r="Q97" i="7"/>
  <c r="Q81" i="7"/>
  <c r="Q65" i="7"/>
  <c r="Q49" i="7"/>
  <c r="Q33" i="7"/>
  <c r="Q17" i="7"/>
  <c r="O4" i="7"/>
  <c r="O20" i="7"/>
  <c r="O36" i="7"/>
  <c r="O52" i="7"/>
  <c r="O68" i="7"/>
  <c r="O84" i="7"/>
  <c r="O100" i="7"/>
  <c r="O116" i="7"/>
  <c r="O128" i="7"/>
  <c r="O144" i="7"/>
  <c r="P44" i="16"/>
  <c r="Q267" i="7"/>
  <c r="O198" i="7"/>
  <c r="Q146" i="7"/>
  <c r="Q22" i="7"/>
  <c r="O91" i="7"/>
  <c r="O187" i="7"/>
  <c r="O343" i="7"/>
  <c r="Q541" i="7"/>
  <c r="Q385" i="7"/>
  <c r="Q213" i="7"/>
  <c r="Q193" i="7"/>
  <c r="Q169" i="7"/>
  <c r="Q149" i="7"/>
  <c r="Q129" i="7"/>
  <c r="Q109" i="7"/>
  <c r="Q93" i="7"/>
  <c r="Q77" i="7"/>
  <c r="Q61" i="7"/>
  <c r="Q45" i="7"/>
  <c r="Q29" i="7"/>
  <c r="Q13" i="7"/>
  <c r="O8" i="7"/>
  <c r="O24" i="7"/>
  <c r="O40" i="7"/>
  <c r="O56" i="7"/>
  <c r="O72" i="7"/>
  <c r="O88" i="7"/>
  <c r="O104" i="7"/>
  <c r="O132" i="7"/>
  <c r="O148" i="7"/>
  <c r="O164" i="7"/>
  <c r="O180" i="7"/>
  <c r="O196" i="7"/>
  <c r="O212" i="7"/>
  <c r="O228" i="7"/>
  <c r="Q540" i="7"/>
  <c r="Q476" i="7"/>
  <c r="Q448" i="7"/>
  <c r="Q384" i="7"/>
  <c r="Q292" i="7"/>
  <c r="P13" i="16"/>
  <c r="O219" i="7"/>
  <c r="Q353" i="7"/>
  <c r="Q229" i="7"/>
  <c r="Q145" i="7"/>
  <c r="Q57" i="7"/>
  <c r="O44" i="7"/>
  <c r="O108" i="7"/>
  <c r="O136" i="7"/>
  <c r="O168" i="7"/>
  <c r="O188" i="7"/>
  <c r="O208" i="7"/>
  <c r="Q572" i="7"/>
  <c r="Q492" i="7"/>
  <c r="Q368" i="7"/>
  <c r="Q340" i="7"/>
  <c r="Q260" i="7"/>
  <c r="Q168" i="7"/>
  <c r="Q76" i="7"/>
  <c r="Q12" i="7"/>
  <c r="O25" i="7"/>
  <c r="O89" i="7"/>
  <c r="O181" i="7"/>
  <c r="O237" i="7"/>
  <c r="O258" i="7"/>
  <c r="O280" i="7"/>
  <c r="O301" i="7"/>
  <c r="O322" i="7"/>
  <c r="O344" i="7"/>
  <c r="O351" i="7"/>
  <c r="O367" i="7"/>
  <c r="O383" i="7"/>
  <c r="O399" i="7"/>
  <c r="O415" i="7"/>
  <c r="O431" i="7"/>
  <c r="O447" i="7"/>
  <c r="O475" i="7"/>
  <c r="O491" i="7"/>
  <c r="O507" i="7"/>
  <c r="O523" i="7"/>
  <c r="O539" i="7"/>
  <c r="O555" i="7"/>
  <c r="O571" i="7"/>
  <c r="P11" i="7"/>
  <c r="P27" i="7"/>
  <c r="Q151" i="7"/>
  <c r="Q509" i="7"/>
  <c r="Q209" i="7"/>
  <c r="Q121" i="7"/>
  <c r="Q105" i="7"/>
  <c r="Q41" i="7"/>
  <c r="O60" i="7"/>
  <c r="O152" i="7"/>
  <c r="O172" i="7"/>
  <c r="O192" i="7"/>
  <c r="O216" i="7"/>
  <c r="Q556" i="7"/>
  <c r="Q460" i="7"/>
  <c r="Q432" i="7"/>
  <c r="Q352" i="7"/>
  <c r="Q324" i="7"/>
  <c r="Q244" i="7"/>
  <c r="Q216" i="7"/>
  <c r="Q152" i="7"/>
  <c r="Q60" i="7"/>
  <c r="O41" i="7"/>
  <c r="O105" i="7"/>
  <c r="O133" i="7"/>
  <c r="O197" i="7"/>
  <c r="O242" i="7"/>
  <c r="O264" i="7"/>
  <c r="O285" i="7"/>
  <c r="O306" i="7"/>
  <c r="O328" i="7"/>
  <c r="O355" i="7"/>
  <c r="O371" i="7"/>
  <c r="O387" i="7"/>
  <c r="O403" i="7"/>
  <c r="O419" i="7"/>
  <c r="O435" i="7"/>
  <c r="O451" i="7"/>
  <c r="O463" i="7"/>
  <c r="O479" i="7"/>
  <c r="O495" i="7"/>
  <c r="O511" i="7"/>
  <c r="O527" i="7"/>
  <c r="O543" i="7"/>
  <c r="O559" i="7"/>
  <c r="P15" i="7"/>
  <c r="P31" i="7"/>
  <c r="P47" i="7"/>
  <c r="P63" i="7"/>
  <c r="O247" i="7"/>
  <c r="Q325" i="7"/>
  <c r="Q185" i="7"/>
  <c r="Q89" i="7"/>
  <c r="Q25" i="7"/>
  <c r="O12" i="7"/>
  <c r="O76" i="7"/>
  <c r="O156" i="7"/>
  <c r="O176" i="7"/>
  <c r="O200" i="7"/>
  <c r="O220" i="7"/>
  <c r="Q524" i="7"/>
  <c r="Q416" i="7"/>
  <c r="Q308" i="7"/>
  <c r="Q200" i="7"/>
  <c r="Q136" i="7"/>
  <c r="Q108" i="7"/>
  <c r="Q44" i="7"/>
  <c r="O57" i="7"/>
  <c r="O149" i="7"/>
  <c r="O213" i="7"/>
  <c r="O248" i="7"/>
  <c r="O269" i="7"/>
  <c r="O290" i="7"/>
  <c r="O312" i="7"/>
  <c r="O333" i="7"/>
  <c r="O359" i="7"/>
  <c r="O375" i="7"/>
  <c r="O391" i="7"/>
  <c r="O407" i="7"/>
  <c r="O423" i="7"/>
  <c r="O439" i="7"/>
  <c r="O455" i="7"/>
  <c r="O467" i="7"/>
  <c r="O483" i="7"/>
  <c r="O499" i="7"/>
  <c r="O515" i="7"/>
  <c r="O531" i="7"/>
  <c r="O547" i="7"/>
  <c r="O563" i="7"/>
  <c r="P19" i="7"/>
  <c r="P35" i="7"/>
  <c r="P51" i="7"/>
  <c r="P67" i="7"/>
  <c r="P83" i="7"/>
  <c r="P115" i="7"/>
  <c r="P127" i="7"/>
  <c r="P143" i="7"/>
  <c r="P159" i="7"/>
  <c r="P191" i="7"/>
  <c r="P207" i="7"/>
  <c r="P223" i="7"/>
  <c r="P235" i="7"/>
  <c r="Q254" i="7"/>
  <c r="O92" i="7"/>
  <c r="O120" i="7"/>
  <c r="O224" i="7"/>
  <c r="Q508" i="7"/>
  <c r="Q400" i="7"/>
  <c r="Q276" i="7"/>
  <c r="O73" i="7"/>
  <c r="O296" i="7"/>
  <c r="O363" i="7"/>
  <c r="O427" i="7"/>
  <c r="O519" i="7"/>
  <c r="P7" i="7"/>
  <c r="P55" i="7"/>
  <c r="P79" i="7"/>
  <c r="P139" i="7"/>
  <c r="P163" i="7"/>
  <c r="P179" i="7"/>
  <c r="P199" i="7"/>
  <c r="P219" i="7"/>
  <c r="P243" i="7"/>
  <c r="P259" i="7"/>
  <c r="P275" i="7"/>
  <c r="P291" i="7"/>
  <c r="P307" i="7"/>
  <c r="P323" i="7"/>
  <c r="P339" i="7"/>
  <c r="P351" i="7"/>
  <c r="P367" i="7"/>
  <c r="P383" i="7"/>
  <c r="Q536" i="7"/>
  <c r="Q472" i="7"/>
  <c r="Q444" i="7"/>
  <c r="Q380" i="7"/>
  <c r="BL380" i="7" s="1"/>
  <c r="BO380" i="7" s="1"/>
  <c r="Q288" i="7"/>
  <c r="Q196" i="7"/>
  <c r="Q132" i="7"/>
  <c r="Q104" i="7"/>
  <c r="Q40" i="7"/>
  <c r="O61" i="7"/>
  <c r="O153" i="7"/>
  <c r="O217" i="7"/>
  <c r="O249" i="7"/>
  <c r="O270" i="7"/>
  <c r="O292" i="7"/>
  <c r="O313" i="7"/>
  <c r="O334" i="7"/>
  <c r="O360" i="7"/>
  <c r="O376" i="7"/>
  <c r="O392" i="7"/>
  <c r="O408" i="7"/>
  <c r="O424" i="7"/>
  <c r="O440" i="7"/>
  <c r="O456" i="7"/>
  <c r="O468" i="7"/>
  <c r="O484" i="7"/>
  <c r="O500" i="7"/>
  <c r="O516" i="7"/>
  <c r="O532" i="7"/>
  <c r="O160" i="7"/>
  <c r="Q184" i="7"/>
  <c r="O165" i="7"/>
  <c r="O232" i="7"/>
  <c r="O317" i="7"/>
  <c r="O379" i="7"/>
  <c r="O443" i="7"/>
  <c r="O471" i="7"/>
  <c r="O535" i="7"/>
  <c r="P59" i="7"/>
  <c r="P87" i="7"/>
  <c r="P103" i="7"/>
  <c r="P123" i="7"/>
  <c r="P147" i="7"/>
  <c r="P167" i="7"/>
  <c r="P183" i="7"/>
  <c r="P203" i="7"/>
  <c r="P227" i="7"/>
  <c r="P247" i="7"/>
  <c r="P263" i="7"/>
  <c r="P279" i="7"/>
  <c r="P295" i="7"/>
  <c r="P311" i="7"/>
  <c r="P343" i="7"/>
  <c r="P355" i="7"/>
  <c r="P371" i="7"/>
  <c r="P387" i="7"/>
  <c r="Q520" i="7"/>
  <c r="Q428" i="7"/>
  <c r="Q364" i="7"/>
  <c r="Q336" i="7"/>
  <c r="Q272" i="7"/>
  <c r="Q180" i="7"/>
  <c r="Q88" i="7"/>
  <c r="Q24" i="7"/>
  <c r="O13" i="7"/>
  <c r="O77" i="7"/>
  <c r="O169" i="7"/>
  <c r="O233" i="7"/>
  <c r="O254" i="7"/>
  <c r="O276" i="7"/>
  <c r="O297" i="7"/>
  <c r="O318" i="7"/>
  <c r="O340" i="7"/>
  <c r="O348" i="7"/>
  <c r="O364" i="7"/>
  <c r="O380" i="7"/>
  <c r="O396" i="7"/>
  <c r="O412" i="7"/>
  <c r="O428" i="7"/>
  <c r="O444" i="7"/>
  <c r="O472" i="7"/>
  <c r="O488" i="7"/>
  <c r="O504" i="7"/>
  <c r="O520" i="7"/>
  <c r="O536" i="7"/>
  <c r="Q165" i="7"/>
  <c r="Q73" i="7"/>
  <c r="O184" i="7"/>
  <c r="Q120" i="7"/>
  <c r="Q92" i="7"/>
  <c r="O229" i="7"/>
  <c r="O253" i="7"/>
  <c r="O338" i="7"/>
  <c r="O395" i="7"/>
  <c r="O459" i="7"/>
  <c r="O487" i="7"/>
  <c r="O551" i="7"/>
  <c r="P39" i="7"/>
  <c r="P71" i="7"/>
  <c r="P91" i="7"/>
  <c r="P107" i="7"/>
  <c r="P131" i="7"/>
  <c r="P151" i="7"/>
  <c r="P171" i="7"/>
  <c r="P187" i="7"/>
  <c r="P211" i="7"/>
  <c r="P231" i="7"/>
  <c r="P267" i="7"/>
  <c r="P283" i="7"/>
  <c r="P299" i="7"/>
  <c r="P315" i="7"/>
  <c r="P331" i="7"/>
  <c r="P359" i="7"/>
  <c r="P375" i="7"/>
  <c r="P391" i="7"/>
  <c r="Q568" i="7"/>
  <c r="Q504" i="7"/>
  <c r="Q412" i="7"/>
  <c r="Q348" i="7"/>
  <c r="Q320" i="7"/>
  <c r="Q256" i="7"/>
  <c r="Q228" i="7"/>
  <c r="Q164" i="7"/>
  <c r="Q72" i="7"/>
  <c r="Q8" i="7"/>
  <c r="O29" i="7"/>
  <c r="O93" i="7"/>
  <c r="O121" i="7"/>
  <c r="O185" i="7"/>
  <c r="O238" i="7"/>
  <c r="O260" i="7"/>
  <c r="O281" i="7"/>
  <c r="O302" i="7"/>
  <c r="O324" i="7"/>
  <c r="O345" i="7"/>
  <c r="O352" i="7"/>
  <c r="O368" i="7"/>
  <c r="O384" i="7"/>
  <c r="O400" i="7"/>
  <c r="O416" i="7"/>
  <c r="O432" i="7"/>
  <c r="O448" i="7"/>
  <c r="O460" i="7"/>
  <c r="O476" i="7"/>
  <c r="O492" i="7"/>
  <c r="O508" i="7"/>
  <c r="O524" i="7"/>
  <c r="O540" i="7"/>
  <c r="O556" i="7"/>
  <c r="O572" i="7"/>
  <c r="P12" i="7"/>
  <c r="P28" i="7"/>
  <c r="P44" i="7"/>
  <c r="P60" i="7"/>
  <c r="P76" i="7"/>
  <c r="P92" i="7"/>
  <c r="P108" i="7"/>
  <c r="Q532" i="7"/>
  <c r="Q468" i="7"/>
  <c r="Q440" i="7"/>
  <c r="Q376" i="7"/>
  <c r="Q284" i="7"/>
  <c r="BL284" i="7" s="1"/>
  <c r="BO284" i="7" s="1"/>
  <c r="Q192" i="7"/>
  <c r="Q128" i="7"/>
  <c r="Q100" i="7"/>
  <c r="Q36" i="7"/>
  <c r="O65" i="7"/>
  <c r="O157" i="7"/>
  <c r="O221" i="7"/>
  <c r="Q28" i="7"/>
  <c r="O567" i="7"/>
  <c r="P75" i="7"/>
  <c r="P135" i="7"/>
  <c r="P215" i="7"/>
  <c r="P239" i="7"/>
  <c r="P287" i="7"/>
  <c r="P335" i="7"/>
  <c r="Q304" i="7"/>
  <c r="O45" i="7"/>
  <c r="O286" i="7"/>
  <c r="O356" i="7"/>
  <c r="O420" i="7"/>
  <c r="O512" i="7"/>
  <c r="O552" i="7"/>
  <c r="P48" i="7"/>
  <c r="P68" i="7"/>
  <c r="P88" i="7"/>
  <c r="P112" i="7"/>
  <c r="Q564" i="7"/>
  <c r="Q484" i="7"/>
  <c r="Q456" i="7"/>
  <c r="Q360" i="7"/>
  <c r="Q332" i="7"/>
  <c r="Q252" i="7"/>
  <c r="Q224" i="7"/>
  <c r="Q144" i="7"/>
  <c r="Q116" i="7"/>
  <c r="Q20" i="7"/>
  <c r="O17" i="7"/>
  <c r="O97" i="7"/>
  <c r="O125" i="7"/>
  <c r="O205" i="7"/>
  <c r="O250" i="7"/>
  <c r="O272" i="7"/>
  <c r="O293" i="7"/>
  <c r="O314" i="7"/>
  <c r="O336" i="7"/>
  <c r="O361" i="7"/>
  <c r="O377" i="7"/>
  <c r="O393" i="7"/>
  <c r="O409" i="7"/>
  <c r="O425" i="7"/>
  <c r="O441" i="7"/>
  <c r="O457" i="7"/>
  <c r="O469" i="7"/>
  <c r="O485" i="7"/>
  <c r="O501" i="7"/>
  <c r="O517" i="7"/>
  <c r="O533" i="7"/>
  <c r="O549" i="7"/>
  <c r="O565" i="7"/>
  <c r="P21" i="7"/>
  <c r="P37" i="7"/>
  <c r="P53" i="7"/>
  <c r="P69" i="7"/>
  <c r="P85" i="7"/>
  <c r="P101" i="7"/>
  <c r="P117" i="7"/>
  <c r="Q480" i="7"/>
  <c r="O204" i="7"/>
  <c r="O9" i="7"/>
  <c r="O274" i="7"/>
  <c r="O347" i="7"/>
  <c r="P95" i="7"/>
  <c r="P155" i="7"/>
  <c r="P303" i="7"/>
  <c r="P363" i="7"/>
  <c r="Q552" i="7"/>
  <c r="Q240" i="7"/>
  <c r="Q212" i="7"/>
  <c r="O109" i="7"/>
  <c r="O137" i="7"/>
  <c r="O308" i="7"/>
  <c r="O372" i="7"/>
  <c r="O436" i="7"/>
  <c r="O464" i="7"/>
  <c r="O528" i="7"/>
  <c r="O560" i="7"/>
  <c r="P8" i="7"/>
  <c r="P32" i="7"/>
  <c r="P52" i="7"/>
  <c r="P72" i="7"/>
  <c r="P96" i="7"/>
  <c r="P116" i="7"/>
  <c r="Q548" i="7"/>
  <c r="Q424" i="7"/>
  <c r="Q316" i="7"/>
  <c r="Q236" i="7"/>
  <c r="Q208" i="7"/>
  <c r="Q84" i="7"/>
  <c r="Q4" i="7"/>
  <c r="O33" i="7"/>
  <c r="O113" i="7"/>
  <c r="O141" i="7"/>
  <c r="O234" i="7"/>
  <c r="O256" i="7"/>
  <c r="O277" i="7"/>
  <c r="O298" i="7"/>
  <c r="O320" i="7"/>
  <c r="O341" i="7"/>
  <c r="O349" i="7"/>
  <c r="O365" i="7"/>
  <c r="O381" i="7"/>
  <c r="O397" i="7"/>
  <c r="O413" i="7"/>
  <c r="O429" i="7"/>
  <c r="O445" i="7"/>
  <c r="O473" i="7"/>
  <c r="O489" i="7"/>
  <c r="O505" i="7"/>
  <c r="O521" i="7"/>
  <c r="O537" i="7"/>
  <c r="O553" i="7"/>
  <c r="O569" i="7"/>
  <c r="P9" i="7"/>
  <c r="P25" i="7"/>
  <c r="P41" i="7"/>
  <c r="P57" i="7"/>
  <c r="P73" i="7"/>
  <c r="P89" i="7"/>
  <c r="P105" i="7"/>
  <c r="Q9" i="7"/>
  <c r="O411" i="7"/>
  <c r="P255" i="7"/>
  <c r="P319" i="7"/>
  <c r="P379" i="7"/>
  <c r="Q488" i="7"/>
  <c r="Q148" i="7"/>
  <c r="O201" i="7"/>
  <c r="O244" i="7"/>
  <c r="O329" i="7"/>
  <c r="O388" i="7"/>
  <c r="O452" i="7"/>
  <c r="O480" i="7"/>
  <c r="O544" i="7"/>
  <c r="O564" i="7"/>
  <c r="P16" i="7"/>
  <c r="P36" i="7"/>
  <c r="P56" i="7"/>
  <c r="Q516" i="7"/>
  <c r="Q408" i="7"/>
  <c r="Q300" i="7"/>
  <c r="Q176" i="7"/>
  <c r="Q68" i="7"/>
  <c r="O49" i="7"/>
  <c r="O173" i="7"/>
  <c r="O240" i="7"/>
  <c r="O261" i="7"/>
  <c r="O282" i="7"/>
  <c r="O304" i="7"/>
  <c r="O325" i="7"/>
  <c r="O353" i="7"/>
  <c r="O369" i="7"/>
  <c r="O385" i="7"/>
  <c r="O401" i="7"/>
  <c r="O417" i="7"/>
  <c r="O433" i="7"/>
  <c r="O449" i="7"/>
  <c r="O461" i="7"/>
  <c r="O477" i="7"/>
  <c r="O493" i="7"/>
  <c r="O509" i="7"/>
  <c r="O525" i="7"/>
  <c r="O541" i="7"/>
  <c r="O557" i="7"/>
  <c r="O573" i="7"/>
  <c r="P13" i="7"/>
  <c r="P29" i="7"/>
  <c r="P45" i="7"/>
  <c r="P77" i="7"/>
  <c r="P93" i="7"/>
  <c r="P109" i="7"/>
  <c r="Q296" i="7"/>
  <c r="O53" i="7"/>
  <c r="O289" i="7"/>
  <c r="O358" i="7"/>
  <c r="O422" i="7"/>
  <c r="O514" i="7"/>
  <c r="P34" i="7"/>
  <c r="P98" i="7"/>
  <c r="P140" i="7"/>
  <c r="P161" i="7"/>
  <c r="P182" i="7"/>
  <c r="P204" i="7"/>
  <c r="P225" i="7"/>
  <c r="P253" i="7"/>
  <c r="P274" i="7"/>
  <c r="P296" i="7"/>
  <c r="P317" i="7"/>
  <c r="P338" i="7"/>
  <c r="O28" i="7"/>
  <c r="P111" i="7"/>
  <c r="O404" i="7"/>
  <c r="P84" i="7"/>
  <c r="O288" i="7"/>
  <c r="O357" i="7"/>
  <c r="O421" i="7"/>
  <c r="O513" i="7"/>
  <c r="P49" i="7"/>
  <c r="P97" i="7"/>
  <c r="O246" i="7"/>
  <c r="O406" i="7"/>
  <c r="O530" i="7"/>
  <c r="P66" i="7"/>
  <c r="P124" i="7"/>
  <c r="P150" i="7"/>
  <c r="P177" i="7"/>
  <c r="P209" i="7"/>
  <c r="P248" i="7"/>
  <c r="P280" i="7"/>
  <c r="P306" i="7"/>
  <c r="P333" i="7"/>
  <c r="P361" i="7"/>
  <c r="P382" i="7"/>
  <c r="P401" i="7"/>
  <c r="P417" i="7"/>
  <c r="P433" i="7"/>
  <c r="P449" i="7"/>
  <c r="P477" i="7"/>
  <c r="P493" i="7"/>
  <c r="P509" i="7"/>
  <c r="P525" i="7"/>
  <c r="P541" i="7"/>
  <c r="P557" i="7"/>
  <c r="P573" i="7"/>
  <c r="Q280" i="7"/>
  <c r="BL280" i="7" s="1"/>
  <c r="BO280" i="7" s="1"/>
  <c r="O69" i="7"/>
  <c r="O294" i="7"/>
  <c r="O362" i="7"/>
  <c r="O426" i="7"/>
  <c r="O518" i="7"/>
  <c r="P38" i="7"/>
  <c r="P102" i="7"/>
  <c r="P120" i="7"/>
  <c r="P141" i="7"/>
  <c r="P162" i="7"/>
  <c r="P184" i="7"/>
  <c r="P205" i="7"/>
  <c r="P226" i="7"/>
  <c r="P254" i="7"/>
  <c r="P276" i="7"/>
  <c r="P297" i="7"/>
  <c r="P318" i="7"/>
  <c r="P340" i="7"/>
  <c r="P368" i="7"/>
  <c r="P389" i="7"/>
  <c r="P406" i="7"/>
  <c r="P438" i="7"/>
  <c r="P454" i="7"/>
  <c r="P466" i="7"/>
  <c r="P482" i="7"/>
  <c r="P514" i="7"/>
  <c r="P530" i="7"/>
  <c r="P546" i="7"/>
  <c r="P562" i="7"/>
  <c r="Q512" i="7"/>
  <c r="Q172" i="7"/>
  <c r="O177" i="7"/>
  <c r="O236" i="7"/>
  <c r="O321" i="7"/>
  <c r="O382" i="7"/>
  <c r="O446" i="7"/>
  <c r="O474" i="7"/>
  <c r="O538" i="7"/>
  <c r="P58" i="7"/>
  <c r="P126" i="7"/>
  <c r="P148" i="7"/>
  <c r="P169" i="7"/>
  <c r="O496" i="7"/>
  <c r="P40" i="7"/>
  <c r="O309" i="7"/>
  <c r="O373" i="7"/>
  <c r="O437" i="7"/>
  <c r="O465" i="7"/>
  <c r="O529" i="7"/>
  <c r="P113" i="7"/>
  <c r="Q452" i="7"/>
  <c r="Q204" i="7"/>
  <c r="Q112" i="7"/>
  <c r="O145" i="7"/>
  <c r="O268" i="7"/>
  <c r="O438" i="7"/>
  <c r="O466" i="7"/>
  <c r="O546" i="7"/>
  <c r="P82" i="7"/>
  <c r="P129" i="7"/>
  <c r="P188" i="7"/>
  <c r="P258" i="7"/>
  <c r="P285" i="7"/>
  <c r="P312" i="7"/>
  <c r="P344" i="7"/>
  <c r="P388" i="7"/>
  <c r="P405" i="7"/>
  <c r="P421" i="7"/>
  <c r="P437" i="7"/>
  <c r="P453" i="7"/>
  <c r="P465" i="7"/>
  <c r="P481" i="7"/>
  <c r="P497" i="7"/>
  <c r="P513" i="7"/>
  <c r="P529" i="7"/>
  <c r="P545" i="7"/>
  <c r="P561" i="7"/>
  <c r="Q528" i="7"/>
  <c r="Q188" i="7"/>
  <c r="O161" i="7"/>
  <c r="O316" i="7"/>
  <c r="O378" i="7"/>
  <c r="O442" i="7"/>
  <c r="O470" i="7"/>
  <c r="O534" i="7"/>
  <c r="P54" i="7"/>
  <c r="P125" i="7"/>
  <c r="P146" i="7"/>
  <c r="P168" i="7"/>
  <c r="P189" i="7"/>
  <c r="P210" i="7"/>
  <c r="P238" i="7"/>
  <c r="P260" i="7"/>
  <c r="P281" i="7"/>
  <c r="P302" i="7"/>
  <c r="P324" i="7"/>
  <c r="P345" i="7"/>
  <c r="P352" i="7"/>
  <c r="P373" i="7"/>
  <c r="P394" i="7"/>
  <c r="P410" i="7"/>
  <c r="P426" i="7"/>
  <c r="P458" i="7"/>
  <c r="P470" i="7"/>
  <c r="P486" i="7"/>
  <c r="P502" i="7"/>
  <c r="P534" i="7"/>
  <c r="P550" i="7"/>
  <c r="P566" i="7"/>
  <c r="Q420" i="7"/>
  <c r="Q80" i="7"/>
  <c r="O257" i="7"/>
  <c r="O342" i="7"/>
  <c r="O398" i="7"/>
  <c r="O490" i="7"/>
  <c r="O554" i="7"/>
  <c r="P10" i="7"/>
  <c r="P74" i="7"/>
  <c r="P132" i="7"/>
  <c r="P153" i="7"/>
  <c r="P174" i="7"/>
  <c r="P196" i="7"/>
  <c r="O503" i="7"/>
  <c r="Q396" i="7"/>
  <c r="Q56" i="7"/>
  <c r="O548" i="7"/>
  <c r="P64" i="7"/>
  <c r="P104" i="7"/>
  <c r="Q500" i="7"/>
  <c r="Q392" i="7"/>
  <c r="Q268" i="7"/>
  <c r="Q160" i="7"/>
  <c r="Q52" i="7"/>
  <c r="O81" i="7"/>
  <c r="O189" i="7"/>
  <c r="O245" i="7"/>
  <c r="O330" i="7"/>
  <c r="O389" i="7"/>
  <c r="O453" i="7"/>
  <c r="O481" i="7"/>
  <c r="O545" i="7"/>
  <c r="P17" i="7"/>
  <c r="P65" i="7"/>
  <c r="Q544" i="7"/>
  <c r="Q388" i="7"/>
  <c r="Q232" i="7"/>
  <c r="Q140" i="7"/>
  <c r="Q48" i="7"/>
  <c r="O117" i="7"/>
  <c r="O209" i="7"/>
  <c r="O310" i="7"/>
  <c r="O374" i="7"/>
  <c r="O454" i="7"/>
  <c r="O482" i="7"/>
  <c r="O562" i="7"/>
  <c r="P18" i="7"/>
  <c r="P114" i="7"/>
  <c r="P134" i="7"/>
  <c r="P166" i="7"/>
  <c r="P193" i="7"/>
  <c r="P220" i="7"/>
  <c r="P237" i="7"/>
  <c r="P264" i="7"/>
  <c r="P322" i="7"/>
  <c r="P350" i="7"/>
  <c r="P372" i="7"/>
  <c r="P393" i="7"/>
  <c r="P409" i="7"/>
  <c r="P425" i="7"/>
  <c r="P457" i="7"/>
  <c r="P469" i="7"/>
  <c r="P485" i="7"/>
  <c r="P501" i="7"/>
  <c r="P533" i="7"/>
  <c r="P549" i="7"/>
  <c r="P565" i="7"/>
  <c r="Q464" i="7"/>
  <c r="Q436" i="7"/>
  <c r="Q124" i="7"/>
  <c r="Q96" i="7"/>
  <c r="O225" i="7"/>
  <c r="O252" i="7"/>
  <c r="O337" i="7"/>
  <c r="O394" i="7"/>
  <c r="O458" i="7"/>
  <c r="O486" i="7"/>
  <c r="O550" i="7"/>
  <c r="P6" i="7"/>
  <c r="P70" i="7"/>
  <c r="P130" i="7"/>
  <c r="P152" i="7"/>
  <c r="P173" i="7"/>
  <c r="P216" i="7"/>
  <c r="P244" i="7"/>
  <c r="P265" i="7"/>
  <c r="P286" i="7"/>
  <c r="P329" i="7"/>
  <c r="P357" i="7"/>
  <c r="P378" i="7"/>
  <c r="P398" i="7"/>
  <c r="P414" i="7"/>
  <c r="P430" i="7"/>
  <c r="P446" i="7"/>
  <c r="P474" i="7"/>
  <c r="P490" i="7"/>
  <c r="P506" i="7"/>
  <c r="P522" i="7"/>
  <c r="P538" i="7"/>
  <c r="P554" i="7"/>
  <c r="P570" i="7"/>
  <c r="Q356" i="7"/>
  <c r="Q328" i="7"/>
  <c r="Q16" i="7"/>
  <c r="O21" i="7"/>
  <c r="O278" i="7"/>
  <c r="O350" i="7"/>
  <c r="O414" i="7"/>
  <c r="O506" i="7"/>
  <c r="O570" i="7"/>
  <c r="P26" i="7"/>
  <c r="P90" i="7"/>
  <c r="P158" i="7"/>
  <c r="P180" i="7"/>
  <c r="P201" i="7"/>
  <c r="P222" i="7"/>
  <c r="P250" i="7"/>
  <c r="P272" i="7"/>
  <c r="P293" i="7"/>
  <c r="P314" i="7"/>
  <c r="P336" i="7"/>
  <c r="P364" i="7"/>
  <c r="P419" i="7"/>
  <c r="P435" i="7"/>
  <c r="P451" i="7"/>
  <c r="P463" i="7"/>
  <c r="P495" i="7"/>
  <c r="P511" i="7"/>
  <c r="P527" i="7"/>
  <c r="P543" i="7"/>
  <c r="P559" i="7"/>
  <c r="Q312" i="7"/>
  <c r="O37" i="7"/>
  <c r="O284" i="7"/>
  <c r="O354" i="7"/>
  <c r="P94" i="7"/>
  <c r="P224" i="7"/>
  <c r="P337" i="7"/>
  <c r="P436" i="7"/>
  <c r="P464" i="7"/>
  <c r="P528" i="7"/>
  <c r="O526" i="7"/>
  <c r="P186" i="7"/>
  <c r="O561" i="7"/>
  <c r="O332" i="7"/>
  <c r="P172" i="7"/>
  <c r="P242" i="7"/>
  <c r="P377" i="7"/>
  <c r="P505" i="7"/>
  <c r="P553" i="7"/>
  <c r="O502" i="7"/>
  <c r="P178" i="7"/>
  <c r="P334" i="7"/>
  <c r="P362" i="7"/>
  <c r="P494" i="7"/>
  <c r="P526" i="7"/>
  <c r="O430" i="7"/>
  <c r="P121" i="7"/>
  <c r="P185" i="7"/>
  <c r="P217" i="7"/>
  <c r="P240" i="7"/>
  <c r="P266" i="7"/>
  <c r="P298" i="7"/>
  <c r="P325" i="7"/>
  <c r="P348" i="7"/>
  <c r="P374" i="7"/>
  <c r="P395" i="7"/>
  <c r="P411" i="7"/>
  <c r="P431" i="7"/>
  <c r="P455" i="7"/>
  <c r="P475" i="7"/>
  <c r="P491" i="7"/>
  <c r="P515" i="7"/>
  <c r="P535" i="7"/>
  <c r="P202" i="7"/>
  <c r="P273" i="7"/>
  <c r="P420" i="7"/>
  <c r="P544" i="7"/>
  <c r="Q560" i="7"/>
  <c r="O305" i="7"/>
  <c r="O434" i="7"/>
  <c r="P110" i="7"/>
  <c r="P208" i="7"/>
  <c r="P257" i="7"/>
  <c r="P342" i="7"/>
  <c r="P370" i="7"/>
  <c r="P440" i="7"/>
  <c r="P468" i="7"/>
  <c r="P532" i="7"/>
  <c r="O542" i="7"/>
  <c r="P192" i="7"/>
  <c r="P305" i="7"/>
  <c r="P412" i="7"/>
  <c r="P504" i="7"/>
  <c r="P568" i="7"/>
  <c r="O402" i="7"/>
  <c r="P154" i="7"/>
  <c r="P268" i="7"/>
  <c r="P381" i="7"/>
  <c r="P448" i="7"/>
  <c r="P476" i="7"/>
  <c r="P540" i="7"/>
  <c r="R5" i="6"/>
  <c r="L40" i="16"/>
  <c r="M13" i="16"/>
  <c r="L496" i="7"/>
  <c r="L510" i="7"/>
  <c r="L391" i="7"/>
  <c r="L509" i="7"/>
  <c r="L374" i="7"/>
  <c r="L571" i="7"/>
  <c r="L248" i="7"/>
  <c r="L396" i="7"/>
  <c r="L186" i="7"/>
  <c r="L94" i="7"/>
  <c r="L14" i="7"/>
  <c r="L302" i="7"/>
  <c r="L204" i="7"/>
  <c r="L124" i="7"/>
  <c r="L340" i="7"/>
  <c r="L197" i="7"/>
  <c r="L225" i="7"/>
  <c r="L131" i="7"/>
  <c r="L72" i="7"/>
  <c r="L217" i="7"/>
  <c r="O568" i="7"/>
  <c r="P20" i="7"/>
  <c r="O266" i="7"/>
  <c r="P50" i="7"/>
  <c r="P198" i="7"/>
  <c r="P269" i="7"/>
  <c r="P397" i="7"/>
  <c r="P445" i="7"/>
  <c r="P569" i="7"/>
  <c r="Q372" i="7"/>
  <c r="Q32" i="7"/>
  <c r="O566" i="7"/>
  <c r="P292" i="7"/>
  <c r="P434" i="7"/>
  <c r="P542" i="7"/>
  <c r="O522" i="7"/>
  <c r="P190" i="7"/>
  <c r="P228" i="7"/>
  <c r="P245" i="7"/>
  <c r="P277" i="7"/>
  <c r="P304" i="7"/>
  <c r="P330" i="7"/>
  <c r="P353" i="7"/>
  <c r="P380" i="7"/>
  <c r="P399" i="7"/>
  <c r="P415" i="7"/>
  <c r="P439" i="7"/>
  <c r="P459" i="7"/>
  <c r="P519" i="7"/>
  <c r="P539" i="7"/>
  <c r="P563" i="7"/>
  <c r="P294" i="7"/>
  <c r="P452" i="7"/>
  <c r="P560" i="7"/>
  <c r="O101" i="7"/>
  <c r="P122" i="7"/>
  <c r="P229" i="7"/>
  <c r="P278" i="7"/>
  <c r="P392" i="7"/>
  <c r="P456" i="7"/>
  <c r="P484" i="7"/>
  <c r="P548" i="7"/>
  <c r="O241" i="7"/>
  <c r="P128" i="7"/>
  <c r="P241" i="7"/>
  <c r="P326" i="7"/>
  <c r="P354" i="7"/>
  <c r="P428" i="7"/>
  <c r="P520" i="7"/>
  <c r="O494" i="7"/>
  <c r="P400" i="7"/>
  <c r="P492" i="7"/>
  <c r="R41" i="6"/>
  <c r="R12" i="6"/>
  <c r="L8" i="16"/>
  <c r="M9" i="16"/>
  <c r="L480" i="7"/>
  <c r="L489" i="7"/>
  <c r="L375" i="7"/>
  <c r="L525" i="7"/>
  <c r="L337" i="7"/>
  <c r="L543" i="7"/>
  <c r="L170" i="7"/>
  <c r="L78" i="7"/>
  <c r="L412" i="7"/>
  <c r="L188" i="7"/>
  <c r="L165" i="7"/>
  <c r="L79" i="7"/>
  <c r="L511" i="7"/>
  <c r="L490" i="7"/>
  <c r="L161" i="7"/>
  <c r="L55" i="7"/>
  <c r="L153" i="7"/>
  <c r="O265" i="7"/>
  <c r="O405" i="7"/>
  <c r="P145" i="7"/>
  <c r="P356" i="7"/>
  <c r="P413" i="7"/>
  <c r="P473" i="7"/>
  <c r="P521" i="7"/>
  <c r="Q344" i="7"/>
  <c r="O5" i="7"/>
  <c r="O273" i="7"/>
  <c r="O346" i="7"/>
  <c r="P22" i="7"/>
  <c r="P136" i="7"/>
  <c r="P200" i="7"/>
  <c r="P402" i="7"/>
  <c r="P462" i="7"/>
  <c r="P510" i="7"/>
  <c r="P558" i="7"/>
  <c r="P142" i="7"/>
  <c r="P206" i="7"/>
  <c r="P256" i="7"/>
  <c r="P282" i="7"/>
  <c r="P341" i="7"/>
  <c r="P358" i="7"/>
  <c r="P443" i="7"/>
  <c r="P467" i="7"/>
  <c r="P483" i="7"/>
  <c r="P503" i="7"/>
  <c r="P523" i="7"/>
  <c r="P547" i="7"/>
  <c r="P567" i="7"/>
  <c r="O418" i="7"/>
  <c r="O510" i="7"/>
  <c r="P30" i="7"/>
  <c r="P160" i="7"/>
  <c r="P316" i="7"/>
  <c r="P386" i="7"/>
  <c r="P496" i="7"/>
  <c r="Q248" i="7"/>
  <c r="O129" i="7"/>
  <c r="P144" i="7"/>
  <c r="P300" i="7"/>
  <c r="P408" i="7"/>
  <c r="P500" i="7"/>
  <c r="P564" i="7"/>
  <c r="O326" i="7"/>
  <c r="O386" i="7"/>
  <c r="P149" i="7"/>
  <c r="P262" i="7"/>
  <c r="P376" i="7"/>
  <c r="P444" i="7"/>
  <c r="P472" i="7"/>
  <c r="Q404" i="7"/>
  <c r="Q64" i="7"/>
  <c r="O558" i="7"/>
  <c r="P14" i="7"/>
  <c r="P197" i="7"/>
  <c r="P310" i="7"/>
  <c r="P416" i="7"/>
  <c r="P508" i="7"/>
  <c r="P572" i="7"/>
  <c r="S38" i="6"/>
  <c r="S39" i="6"/>
  <c r="S40" i="6"/>
  <c r="S43" i="6"/>
  <c r="S7" i="6"/>
  <c r="R22" i="6"/>
  <c r="R25" i="6"/>
  <c r="R34" i="6"/>
  <c r="R27" i="6"/>
  <c r="R32" i="6"/>
  <c r="L5" i="16"/>
  <c r="L518" i="7"/>
  <c r="L397" i="7"/>
  <c r="L283" i="7"/>
  <c r="L386" i="7"/>
  <c r="L289" i="7"/>
  <c r="L388" i="7"/>
  <c r="L290" i="7"/>
  <c r="L294" i="7"/>
  <c r="L122" i="7"/>
  <c r="L46" i="7"/>
  <c r="L156" i="7"/>
  <c r="L133" i="7"/>
  <c r="L57" i="7"/>
  <c r="L187" i="7"/>
  <c r="L17" i="7"/>
  <c r="L64" i="7"/>
  <c r="L12" i="6"/>
  <c r="R51" i="7"/>
  <c r="R159" i="7"/>
  <c r="R267" i="7"/>
  <c r="R391" i="7"/>
  <c r="R80" i="7"/>
  <c r="R188" i="7"/>
  <c r="O390" i="7"/>
  <c r="O410" i="7"/>
  <c r="P86" i="7"/>
  <c r="P221" i="7"/>
  <c r="P313" i="7"/>
  <c r="P450" i="7"/>
  <c r="O85" i="7"/>
  <c r="P164" i="7"/>
  <c r="P288" i="7"/>
  <c r="P471" i="7"/>
  <c r="P507" i="7"/>
  <c r="P571" i="7"/>
  <c r="P181" i="7"/>
  <c r="P512" i="7"/>
  <c r="P349" i="7"/>
  <c r="P516" i="7"/>
  <c r="Q496" i="7"/>
  <c r="O450" i="7"/>
  <c r="P488" i="7"/>
  <c r="O262" i="7"/>
  <c r="P78" i="7"/>
  <c r="P218" i="7"/>
  <c r="P246" i="7"/>
  <c r="S29" i="6"/>
  <c r="R43" i="6"/>
  <c r="R11" i="6"/>
  <c r="L48" i="16"/>
  <c r="L560" i="7"/>
  <c r="L41" i="16"/>
  <c r="L37" i="16"/>
  <c r="L273" i="7"/>
  <c r="L258" i="7"/>
  <c r="L110" i="7"/>
  <c r="L220" i="7"/>
  <c r="L36" i="7"/>
  <c r="L123" i="7"/>
  <c r="L195" i="7"/>
  <c r="L38" i="6"/>
  <c r="L92" i="7"/>
  <c r="L69" i="7"/>
  <c r="R83" i="7"/>
  <c r="R207" i="7"/>
  <c r="R315" i="7"/>
  <c r="R423" i="7"/>
  <c r="R16" i="7"/>
  <c r="R124" i="7"/>
  <c r="R248" i="7"/>
  <c r="R328" i="7"/>
  <c r="R356" i="7"/>
  <c r="R436" i="7"/>
  <c r="R461" i="7"/>
  <c r="R541" i="7"/>
  <c r="R110" i="7"/>
  <c r="R233" i="7"/>
  <c r="R467" i="7"/>
  <c r="R563" i="7"/>
  <c r="R310" i="7"/>
  <c r="R402" i="7"/>
  <c r="R234" i="7"/>
  <c r="R390" i="7"/>
  <c r="R458" i="7"/>
  <c r="R470" i="7"/>
  <c r="R290" i="7"/>
  <c r="R446" i="7"/>
  <c r="O41" i="16"/>
  <c r="O35" i="16"/>
  <c r="O5" i="16"/>
  <c r="N47" i="16"/>
  <c r="N13" i="16"/>
  <c r="N11" i="16"/>
  <c r="L26" i="16"/>
  <c r="L566" i="7"/>
  <c r="M11" i="16"/>
  <c r="L508" i="7"/>
  <c r="L547" i="7"/>
  <c r="L419" i="7"/>
  <c r="L555" i="7"/>
  <c r="L409" i="7"/>
  <c r="L327" i="7"/>
  <c r="L442" i="7"/>
  <c r="L317" i="7"/>
  <c r="L237" i="7"/>
  <c r="L464" i="7"/>
  <c r="L33" i="16"/>
  <c r="L272" i="7"/>
  <c r="L538" i="7"/>
  <c r="L230" i="7"/>
  <c r="L150" i="7"/>
  <c r="L42" i="7"/>
  <c r="L559" i="7"/>
  <c r="L152" i="7"/>
  <c r="L424" i="7"/>
  <c r="L31" i="7"/>
  <c r="L171" i="7"/>
  <c r="L67" i="7"/>
  <c r="L37" i="6"/>
  <c r="L199" i="7"/>
  <c r="L30" i="6"/>
  <c r="L48" i="7"/>
  <c r="R55" i="7"/>
  <c r="R179" i="7"/>
  <c r="R287" i="7"/>
  <c r="R395" i="7"/>
  <c r="R4" i="7"/>
  <c r="R100" i="7"/>
  <c r="R128" i="7"/>
  <c r="R208" i="7"/>
  <c r="R236" i="7"/>
  <c r="R316" i="7"/>
  <c r="R440" i="7"/>
  <c r="R545" i="7"/>
  <c r="R210" i="7"/>
  <c r="R471" i="7"/>
  <c r="R551" i="7"/>
  <c r="R262" i="7"/>
  <c r="R354" i="7"/>
  <c r="R422" i="7"/>
  <c r="R318" i="7"/>
  <c r="R306" i="7"/>
  <c r="R398" i="7"/>
  <c r="O40" i="16"/>
  <c r="O38" i="16"/>
  <c r="O8" i="16"/>
  <c r="N46" i="16"/>
  <c r="N26" i="16"/>
  <c r="M30" i="16"/>
  <c r="L44" i="16"/>
  <c r="L18" i="16"/>
  <c r="M29" i="16"/>
  <c r="M47" i="16"/>
  <c r="L568" i="7"/>
  <c r="L488" i="7"/>
  <c r="L521" i="7"/>
  <c r="L399" i="7"/>
  <c r="L529" i="7"/>
  <c r="L405" i="7"/>
  <c r="L422" i="7"/>
  <c r="L307" i="7"/>
  <c r="L329" i="7"/>
  <c r="L233" i="7"/>
  <c r="L356" i="7"/>
  <c r="L264" i="7"/>
  <c r="L162" i="7"/>
  <c r="L86" i="7"/>
  <c r="L22" i="7"/>
  <c r="L270" i="7"/>
  <c r="L196" i="7"/>
  <c r="L68" i="7"/>
  <c r="L19" i="6"/>
  <c r="L13" i="7"/>
  <c r="L324" i="7"/>
  <c r="L39" i="7"/>
  <c r="L93" i="7"/>
  <c r="L392" i="7"/>
  <c r="L121" i="7"/>
  <c r="L108" i="7"/>
  <c r="L59" i="7"/>
  <c r="L469" i="7"/>
  <c r="L96" i="7"/>
  <c r="R27" i="7"/>
  <c r="R91" i="7"/>
  <c r="R119" i="7"/>
  <c r="R183" i="7"/>
  <c r="R275" i="7"/>
  <c r="R339" i="7"/>
  <c r="R367" i="7"/>
  <c r="R431" i="7"/>
  <c r="R40" i="7"/>
  <c r="R104" i="7"/>
  <c r="R132" i="7"/>
  <c r="R196" i="7"/>
  <c r="R288" i="7"/>
  <c r="R380" i="7"/>
  <c r="R444" i="7"/>
  <c r="R21" i="7"/>
  <c r="R177" i="7"/>
  <c r="R333" i="7"/>
  <c r="R361" i="7"/>
  <c r="R485" i="7"/>
  <c r="R549" i="7"/>
  <c r="R154" i="7"/>
  <c r="R157" i="7"/>
  <c r="R313" i="7"/>
  <c r="R475" i="7"/>
  <c r="R539" i="7"/>
  <c r="R106" i="7"/>
  <c r="R134" i="7"/>
  <c r="R554" i="7"/>
  <c r="R330" i="7"/>
  <c r="R548" i="7"/>
  <c r="R550" i="7"/>
  <c r="R322" i="7"/>
  <c r="R350" i="7"/>
  <c r="R480" i="7"/>
  <c r="R438" i="7"/>
  <c r="R516" i="7"/>
  <c r="O43" i="16"/>
  <c r="O17" i="16"/>
  <c r="O498" i="7"/>
  <c r="P301" i="7"/>
  <c r="P429" i="7"/>
  <c r="P489" i="7"/>
  <c r="P249" i="7"/>
  <c r="P418" i="7"/>
  <c r="O300" i="7"/>
  <c r="P212" i="7"/>
  <c r="P390" i="7"/>
  <c r="P427" i="7"/>
  <c r="P531" i="7"/>
  <c r="O370" i="7"/>
  <c r="P424" i="7"/>
  <c r="Q156" i="7"/>
  <c r="O478" i="7"/>
  <c r="P284" i="7"/>
  <c r="P524" i="7"/>
  <c r="O497" i="7"/>
  <c r="P230" i="7"/>
  <c r="O366" i="7"/>
  <c r="P106" i="7"/>
  <c r="P234" i="7"/>
  <c r="P320" i="7"/>
  <c r="P447" i="7"/>
  <c r="P487" i="7"/>
  <c r="P551" i="7"/>
  <c r="O462" i="7"/>
  <c r="P165" i="7"/>
  <c r="P236" i="7"/>
  <c r="O193" i="7"/>
  <c r="P396" i="7"/>
  <c r="P552" i="7"/>
  <c r="P133" i="7"/>
  <c r="P332" i="7"/>
  <c r="P360" i="7"/>
  <c r="S21" i="6"/>
  <c r="L354" i="7"/>
  <c r="L13" i="16"/>
  <c r="L344" i="7"/>
  <c r="L101" i="7"/>
  <c r="R19" i="7"/>
  <c r="R143" i="7"/>
  <c r="R251" i="7"/>
  <c r="R359" i="7"/>
  <c r="R64" i="7"/>
  <c r="R172" i="7"/>
  <c r="R280" i="7"/>
  <c r="R404" i="7"/>
  <c r="R69" i="7"/>
  <c r="R161" i="7"/>
  <c r="R285" i="7"/>
  <c r="R409" i="7"/>
  <c r="R509" i="7"/>
  <c r="R46" i="7"/>
  <c r="R138" i="7"/>
  <c r="R81" i="7"/>
  <c r="R205" i="7"/>
  <c r="R297" i="7"/>
  <c r="R421" i="7"/>
  <c r="R515" i="7"/>
  <c r="R58" i="7"/>
  <c r="R182" i="7"/>
  <c r="R506" i="7"/>
  <c r="R534" i="7"/>
  <c r="R528" i="7"/>
  <c r="R484" i="7"/>
  <c r="O19" i="16"/>
  <c r="N33" i="16"/>
  <c r="N27" i="16"/>
  <c r="M12" i="16"/>
  <c r="L20" i="16"/>
  <c r="L540" i="7"/>
  <c r="L483" i="7"/>
  <c r="L451" i="7"/>
  <c r="L371" i="7"/>
  <c r="L491" i="7"/>
  <c r="L457" i="7"/>
  <c r="L377" i="7"/>
  <c r="L43" i="16"/>
  <c r="L498" i="7"/>
  <c r="L366" i="7"/>
  <c r="L279" i="7"/>
  <c r="L471" i="7"/>
  <c r="L346" i="7"/>
  <c r="L269" i="7"/>
  <c r="L250" i="7"/>
  <c r="L352" i="7"/>
  <c r="L336" i="7"/>
  <c r="L198" i="7"/>
  <c r="L74" i="7"/>
  <c r="L380" i="7"/>
  <c r="L184" i="7"/>
  <c r="L189" i="7"/>
  <c r="L95" i="7"/>
  <c r="L34" i="6"/>
  <c r="L5" i="6"/>
  <c r="L145" i="7"/>
  <c r="L87" i="7"/>
  <c r="L19" i="7"/>
  <c r="L201" i="7"/>
  <c r="L81" i="7"/>
  <c r="L80" i="7"/>
  <c r="L151" i="7"/>
  <c r="R23" i="7"/>
  <c r="R103" i="7"/>
  <c r="R131" i="7"/>
  <c r="R211" i="7"/>
  <c r="R239" i="7"/>
  <c r="R335" i="7"/>
  <c r="R363" i="7"/>
  <c r="R443" i="7"/>
  <c r="R52" i="7"/>
  <c r="R160" i="7"/>
  <c r="R284" i="7"/>
  <c r="R392" i="7"/>
  <c r="R45" i="7"/>
  <c r="R169" i="7"/>
  <c r="R261" i="7"/>
  <c r="R385" i="7"/>
  <c r="R497" i="7"/>
  <c r="R22" i="7"/>
  <c r="R146" i="7"/>
  <c r="R57" i="7"/>
  <c r="R181" i="7"/>
  <c r="R305" i="7"/>
  <c r="R397" i="7"/>
  <c r="R503" i="7"/>
  <c r="R34" i="7"/>
  <c r="R158" i="7"/>
  <c r="R482" i="7"/>
  <c r="R542" i="7"/>
  <c r="R504" i="7"/>
  <c r="R500" i="7"/>
  <c r="O24" i="16"/>
  <c r="N32" i="16"/>
  <c r="N20" i="16"/>
  <c r="N6" i="16"/>
  <c r="M16" i="16"/>
  <c r="L12" i="16"/>
  <c r="L536" i="7"/>
  <c r="L31" i="16"/>
  <c r="L478" i="7"/>
  <c r="L447" i="7"/>
  <c r="L351" i="7"/>
  <c r="L465" i="7"/>
  <c r="L437" i="7"/>
  <c r="L357" i="7"/>
  <c r="L17" i="16"/>
  <c r="L259" i="7"/>
  <c r="L23" i="16"/>
  <c r="L503" i="7"/>
  <c r="L370" i="7"/>
  <c r="L281" i="7"/>
  <c r="L274" i="7"/>
  <c r="L501" i="7"/>
  <c r="L262" i="7"/>
  <c r="L194" i="7"/>
  <c r="L54" i="7"/>
  <c r="L40" i="6"/>
  <c r="L148" i="7"/>
  <c r="L149" i="7"/>
  <c r="L111" i="7"/>
  <c r="L25" i="7"/>
  <c r="L236" i="7"/>
  <c r="L99" i="7"/>
  <c r="L193" i="7"/>
  <c r="L8" i="7"/>
  <c r="L23" i="7"/>
  <c r="L7" i="16"/>
  <c r="L107" i="7"/>
  <c r="L223" i="7"/>
  <c r="L284" i="7"/>
  <c r="L27" i="7"/>
  <c r="R59" i="7"/>
  <c r="R151" i="7"/>
  <c r="R215" i="7"/>
  <c r="R243" i="7"/>
  <c r="R307" i="7"/>
  <c r="R399" i="7"/>
  <c r="R8" i="7"/>
  <c r="R72" i="7"/>
  <c r="R164" i="7"/>
  <c r="R228" i="7"/>
  <c r="R256" i="7"/>
  <c r="R320" i="7"/>
  <c r="R348" i="7"/>
  <c r="R412" i="7"/>
  <c r="R85" i="7"/>
  <c r="R269" i="7"/>
  <c r="R425" i="7"/>
  <c r="R517" i="7"/>
  <c r="R62" i="7"/>
  <c r="R218" i="7"/>
  <c r="R65" i="7"/>
  <c r="R221" i="7"/>
  <c r="R249" i="7"/>
  <c r="R405" i="7"/>
  <c r="R507" i="7"/>
  <c r="R571" i="7"/>
  <c r="R42" i="7"/>
  <c r="R198" i="7"/>
  <c r="R342" i="7"/>
  <c r="R370" i="7"/>
  <c r="R490" i="7"/>
  <c r="R334" i="7"/>
  <c r="R362" i="7"/>
  <c r="R486" i="7"/>
  <c r="R544" i="7"/>
  <c r="O37" i="16"/>
  <c r="O23" i="16"/>
  <c r="O11" i="16"/>
  <c r="N45" i="16"/>
  <c r="Q24" i="16"/>
  <c r="R45" i="16"/>
  <c r="R15" i="16"/>
  <c r="O43" i="7"/>
  <c r="W37" i="7"/>
  <c r="W11" i="6"/>
  <c r="AC11" i="6" s="1"/>
  <c r="AE11" i="6" s="1"/>
  <c r="W5" i="7"/>
  <c r="X5" i="7" s="1"/>
  <c r="W119" i="7"/>
  <c r="W510" i="7"/>
  <c r="X510" i="7" s="1"/>
  <c r="W349" i="7"/>
  <c r="W51" i="7"/>
  <c r="X51" i="7" s="1"/>
  <c r="Z232" i="7"/>
  <c r="AC232" i="7"/>
  <c r="AC118" i="7"/>
  <c r="W12" i="16"/>
  <c r="W5" i="16"/>
  <c r="W190" i="7"/>
  <c r="W8" i="7"/>
  <c r="W228" i="7"/>
  <c r="W16" i="7"/>
  <c r="W329" i="7"/>
  <c r="W446" i="7"/>
  <c r="W500" i="7"/>
  <c r="W495" i="7"/>
  <c r="W328" i="7"/>
  <c r="W441" i="7"/>
  <c r="W246" i="7"/>
  <c r="W335" i="7"/>
  <c r="W363" i="7"/>
  <c r="W561" i="7"/>
  <c r="W474" i="7"/>
  <c r="W413" i="7"/>
  <c r="W307" i="7"/>
  <c r="W556" i="7"/>
  <c r="W469" i="7"/>
  <c r="W551" i="7"/>
  <c r="W272" i="7"/>
  <c r="W293" i="7"/>
  <c r="W410" i="7"/>
  <c r="W528" i="7"/>
  <c r="W28" i="16"/>
  <c r="W25" i="16"/>
  <c r="W208" i="7"/>
  <c r="W34" i="7"/>
  <c r="W185" i="7"/>
  <c r="W79" i="7"/>
  <c r="W136" i="7"/>
  <c r="W290" i="7"/>
  <c r="W310" i="7"/>
  <c r="W427" i="7"/>
  <c r="W538" i="7"/>
  <c r="W392" i="7"/>
  <c r="W282" i="7"/>
  <c r="W399" i="7"/>
  <c r="W533" i="7"/>
  <c r="W336" i="7"/>
  <c r="W364" i="7"/>
  <c r="W385" i="7"/>
  <c r="AC385" i="7" s="1"/>
  <c r="W279" i="7"/>
  <c r="X279" i="7" s="1"/>
  <c r="W505" i="7"/>
  <c r="AC505" i="7" s="1"/>
  <c r="W523" i="7"/>
  <c r="W9" i="7"/>
  <c r="W108" i="7"/>
  <c r="W157" i="7"/>
  <c r="W193" i="7"/>
  <c r="W321" i="7"/>
  <c r="W438" i="7"/>
  <c r="W492" i="7"/>
  <c r="W487" i="7"/>
  <c r="W464" i="7"/>
  <c r="X464" i="7" s="1"/>
  <c r="W34" i="6"/>
  <c r="W29" i="6"/>
  <c r="W41" i="16"/>
  <c r="W146" i="7"/>
  <c r="W207" i="7"/>
  <c r="W87" i="7"/>
  <c r="W308" i="7"/>
  <c r="W357" i="7"/>
  <c r="W251" i="7"/>
  <c r="W377" i="7"/>
  <c r="W271" i="7"/>
  <c r="W497" i="7"/>
  <c r="W300" i="7"/>
  <c r="W243" i="7"/>
  <c r="W318" i="7"/>
  <c r="W435" i="7"/>
  <c r="W546" i="7"/>
  <c r="W42" i="6"/>
  <c r="W33" i="16"/>
  <c r="W29" i="7"/>
  <c r="W541" i="7"/>
  <c r="W236" i="7"/>
  <c r="W374" i="7"/>
  <c r="W428" i="7"/>
  <c r="AC428" i="7" s="1"/>
  <c r="W449" i="7"/>
  <c r="W12" i="6"/>
  <c r="W37" i="6"/>
  <c r="W90" i="7"/>
  <c r="W172" i="7"/>
  <c r="W154" i="7"/>
  <c r="W179" i="7"/>
  <c r="W356" i="7"/>
  <c r="W254" i="7"/>
  <c r="X254" i="7" s="1"/>
  <c r="W343" i="7"/>
  <c r="W569" i="7"/>
  <c r="W38" i="6"/>
  <c r="W26" i="6"/>
  <c r="W41" i="6"/>
  <c r="W229" i="7"/>
  <c r="W215" i="7"/>
  <c r="W285" i="7"/>
  <c r="W456" i="7"/>
  <c r="W371" i="7"/>
  <c r="X371" i="7" s="1"/>
  <c r="W482" i="7"/>
  <c r="X482" i="7" s="1"/>
  <c r="W22" i="6"/>
  <c r="AC22" i="6" s="1"/>
  <c r="W515" i="7"/>
  <c r="W402" i="7"/>
  <c r="W257" i="7"/>
  <c r="W520" i="7"/>
  <c r="W35" i="16"/>
  <c r="W73" i="7"/>
  <c r="W98" i="7"/>
  <c r="W126" i="7"/>
  <c r="W151" i="7"/>
  <c r="W164" i="7"/>
  <c r="W54" i="7"/>
  <c r="W171" i="7"/>
  <c r="W200" i="7"/>
  <c r="W221" i="7"/>
  <c r="W26" i="7"/>
  <c r="W115" i="7"/>
  <c r="W143" i="7"/>
  <c r="W62" i="7"/>
  <c r="W400" i="7"/>
  <c r="W421" i="7"/>
  <c r="W315" i="7"/>
  <c r="W564" i="7"/>
  <c r="W477" i="7"/>
  <c r="W559" i="7"/>
  <c r="W420" i="7"/>
  <c r="W6" i="16"/>
  <c r="W48" i="16"/>
  <c r="W27" i="16"/>
  <c r="W32" i="16"/>
  <c r="W116" i="7"/>
  <c r="W144" i="7"/>
  <c r="W165" i="7"/>
  <c r="W59" i="7"/>
  <c r="W72" i="7"/>
  <c r="W93" i="7"/>
  <c r="W121" i="7"/>
  <c r="W210" i="7"/>
  <c r="W15" i="7"/>
  <c r="W44" i="7"/>
  <c r="W65" i="7"/>
  <c r="W182" i="7"/>
  <c r="W80" i="7"/>
  <c r="W101" i="7"/>
  <c r="W129" i="7"/>
  <c r="W218" i="7"/>
  <c r="W23" i="7"/>
  <c r="W244" i="7"/>
  <c r="W265" i="7"/>
  <c r="W382" i="7"/>
  <c r="W407" i="7"/>
  <c r="W518" i="7"/>
  <c r="W264" i="7"/>
  <c r="H162" i="4"/>
  <c r="H179" i="4"/>
  <c r="Y118" i="7"/>
  <c r="Z118" i="7"/>
  <c r="Y346" i="7"/>
  <c r="Z346" i="7"/>
  <c r="AC346" i="7"/>
  <c r="W23" i="6"/>
  <c r="W10" i="6"/>
  <c r="W21" i="6"/>
  <c r="W6" i="6"/>
  <c r="W5" i="6"/>
  <c r="W4" i="6"/>
  <c r="W30" i="6"/>
  <c r="W7" i="6"/>
  <c r="W28" i="6"/>
  <c r="AC28" i="6" s="1"/>
  <c r="W8" i="6"/>
  <c r="W539" i="7"/>
  <c r="W475" i="7"/>
  <c r="W562" i="7"/>
  <c r="W498" i="7"/>
  <c r="W521" i="7"/>
  <c r="W544" i="7"/>
  <c r="W480" i="7"/>
  <c r="W451" i="7"/>
  <c r="W387" i="7"/>
  <c r="W295" i="7"/>
  <c r="W426" i="7"/>
  <c r="W362" i="7"/>
  <c r="W334" i="7"/>
  <c r="W270" i="7"/>
  <c r="W401" i="7"/>
  <c r="W309" i="7"/>
  <c r="W245" i="7"/>
  <c r="W444" i="7"/>
  <c r="W380" i="7"/>
  <c r="W288" i="7"/>
  <c r="W567" i="7"/>
  <c r="W503" i="7"/>
  <c r="W526" i="7"/>
  <c r="W462" i="7"/>
  <c r="W549" i="7"/>
  <c r="W485" i="7"/>
  <c r="W572" i="7"/>
  <c r="W508" i="7"/>
  <c r="W415" i="7"/>
  <c r="W351" i="7"/>
  <c r="W323" i="7"/>
  <c r="W259" i="7"/>
  <c r="W454" i="7"/>
  <c r="W390" i="7"/>
  <c r="W298" i="7"/>
  <c r="W234" i="7"/>
  <c r="W429" i="7"/>
  <c r="W365" i="7"/>
  <c r="W337" i="7"/>
  <c r="W273" i="7"/>
  <c r="W408" i="7"/>
  <c r="W316" i="7"/>
  <c r="W252" i="7"/>
  <c r="W531" i="7"/>
  <c r="W467" i="7"/>
  <c r="W554" i="7"/>
  <c r="W490" i="7"/>
  <c r="W513" i="7"/>
  <c r="W536" i="7"/>
  <c r="W472" i="7"/>
  <c r="W443" i="7"/>
  <c r="W379" i="7"/>
  <c r="W287" i="7"/>
  <c r="W418" i="7"/>
  <c r="W354" i="7"/>
  <c r="W326" i="7"/>
  <c r="W262" i="7"/>
  <c r="W457" i="7"/>
  <c r="W393" i="7"/>
  <c r="W301" i="7"/>
  <c r="W237" i="7"/>
  <c r="W436" i="7"/>
  <c r="W372" i="7"/>
  <c r="W344" i="7"/>
  <c r="W280" i="7"/>
  <c r="W511" i="7"/>
  <c r="W534" i="7"/>
  <c r="W470" i="7"/>
  <c r="W557" i="7"/>
  <c r="W493" i="7"/>
  <c r="W516" i="7"/>
  <c r="W423" i="7"/>
  <c r="W359" i="7"/>
  <c r="W331" i="7"/>
  <c r="W267" i="7"/>
  <c r="W398" i="7"/>
  <c r="W306" i="7"/>
  <c r="W242" i="7"/>
  <c r="W437" i="7"/>
  <c r="W373" i="7"/>
  <c r="W345" i="7"/>
  <c r="W281" i="7"/>
  <c r="W416" i="7"/>
  <c r="W352" i="7"/>
  <c r="W324" i="7"/>
  <c r="W260" i="7"/>
  <c r="W195" i="7"/>
  <c r="W131" i="7"/>
  <c r="W103" i="7"/>
  <c r="W39" i="7"/>
  <c r="W170" i="7"/>
  <c r="W78" i="7"/>
  <c r="W14" i="7"/>
  <c r="W209" i="7"/>
  <c r="W145" i="7"/>
  <c r="W117" i="7"/>
  <c r="W53" i="7"/>
  <c r="W188" i="7"/>
  <c r="W124" i="7"/>
  <c r="W96" i="7"/>
  <c r="W32" i="7"/>
  <c r="W223" i="7"/>
  <c r="W159" i="7"/>
  <c r="W67" i="7"/>
  <c r="W198" i="7"/>
  <c r="W134" i="7"/>
  <c r="W106" i="7"/>
  <c r="W42" i="7"/>
  <c r="W173" i="7"/>
  <c r="W81" i="7"/>
  <c r="W17" i="7"/>
  <c r="W216" i="7"/>
  <c r="W152" i="7"/>
  <c r="W60" i="7"/>
  <c r="W187" i="7"/>
  <c r="W123" i="7"/>
  <c r="W95" i="7"/>
  <c r="W31" i="7"/>
  <c r="W226" i="7"/>
  <c r="W162" i="7"/>
  <c r="W70" i="7"/>
  <c r="W6" i="7"/>
  <c r="W201" i="7"/>
  <c r="W137" i="7"/>
  <c r="W109" i="7"/>
  <c r="W45" i="7"/>
  <c r="W180" i="7"/>
  <c r="W88" i="7"/>
  <c r="W24" i="7"/>
  <c r="W231" i="7"/>
  <c r="W167" i="7"/>
  <c r="W75" i="7"/>
  <c r="W11" i="7"/>
  <c r="W206" i="7"/>
  <c r="W142" i="7"/>
  <c r="W114" i="7"/>
  <c r="W50" i="7"/>
  <c r="W181" i="7"/>
  <c r="W89" i="7"/>
  <c r="W25" i="7"/>
  <c r="W224" i="7"/>
  <c r="W160" i="7"/>
  <c r="W68" i="7"/>
  <c r="W37" i="16"/>
  <c r="W18" i="16"/>
  <c r="W9" i="16"/>
  <c r="W30" i="16"/>
  <c r="W22" i="16"/>
  <c r="W34" i="16"/>
  <c r="W21" i="16"/>
  <c r="W29" i="16"/>
  <c r="W16" i="16"/>
  <c r="W7" i="16"/>
  <c r="W19" i="16"/>
  <c r="W38" i="16"/>
  <c r="W10" i="16"/>
  <c r="W24" i="6"/>
  <c r="W19" i="6"/>
  <c r="W39" i="6"/>
  <c r="W13" i="6"/>
  <c r="W40" i="6"/>
  <c r="W25" i="6"/>
  <c r="W31" i="6"/>
  <c r="W9" i="6"/>
  <c r="W571" i="7"/>
  <c r="W507" i="7"/>
  <c r="W530" i="7"/>
  <c r="W466" i="7"/>
  <c r="W553" i="7"/>
  <c r="W489" i="7"/>
  <c r="W512" i="7"/>
  <c r="W419" i="7"/>
  <c r="W355" i="7"/>
  <c r="W327" i="7"/>
  <c r="W263" i="7"/>
  <c r="W458" i="7"/>
  <c r="W394" i="7"/>
  <c r="W302" i="7"/>
  <c r="W238" i="7"/>
  <c r="W433" i="7"/>
  <c r="W369" i="7"/>
  <c r="W341" i="7"/>
  <c r="W277" i="7"/>
  <c r="W412" i="7"/>
  <c r="W348" i="7"/>
  <c r="W320" i="7"/>
  <c r="W256" i="7"/>
  <c r="W535" i="7"/>
  <c r="W471" i="7"/>
  <c r="W558" i="7"/>
  <c r="W494" i="7"/>
  <c r="W517" i="7"/>
  <c r="W540" i="7"/>
  <c r="W476" i="7"/>
  <c r="W447" i="7"/>
  <c r="W383" i="7"/>
  <c r="W291" i="7"/>
  <c r="W422" i="7"/>
  <c r="W358" i="7"/>
  <c r="W330" i="7"/>
  <c r="W266" i="7"/>
  <c r="W397" i="7"/>
  <c r="W305" i="7"/>
  <c r="W241" i="7"/>
  <c r="W440" i="7"/>
  <c r="W376" i="7"/>
  <c r="W284" i="7"/>
  <c r="W563" i="7"/>
  <c r="W499" i="7"/>
  <c r="W522" i="7"/>
  <c r="W545" i="7"/>
  <c r="W481" i="7"/>
  <c r="W568" i="7"/>
  <c r="W504" i="7"/>
  <c r="W411" i="7"/>
  <c r="W347" i="7"/>
  <c r="W319" i="7"/>
  <c r="W255" i="7"/>
  <c r="W450" i="7"/>
  <c r="W386" i="7"/>
  <c r="W294" i="7"/>
  <c r="W425" i="7"/>
  <c r="W361" i="7"/>
  <c r="W333" i="7"/>
  <c r="W269" i="7"/>
  <c r="W404" i="7"/>
  <c r="W312" i="7"/>
  <c r="W248" i="7"/>
  <c r="W543" i="7"/>
  <c r="W479" i="7"/>
  <c r="W566" i="7"/>
  <c r="W502" i="7"/>
  <c r="W525" i="7"/>
  <c r="W461" i="7"/>
  <c r="W548" i="7"/>
  <c r="W484" i="7"/>
  <c r="W455" i="7"/>
  <c r="W391" i="7"/>
  <c r="W299" i="7"/>
  <c r="W235" i="7"/>
  <c r="W430" i="7"/>
  <c r="W366" i="7"/>
  <c r="W338" i="7"/>
  <c r="W274" i="7"/>
  <c r="W405" i="7"/>
  <c r="W313" i="7"/>
  <c r="W249" i="7"/>
  <c r="W448" i="7"/>
  <c r="W384" i="7"/>
  <c r="W292" i="7"/>
  <c r="W227" i="7"/>
  <c r="W163" i="7"/>
  <c r="W71" i="7"/>
  <c r="W7" i="7"/>
  <c r="W202" i="7"/>
  <c r="W138" i="7"/>
  <c r="W110" i="7"/>
  <c r="W46" i="7"/>
  <c r="W177" i="7"/>
  <c r="W85" i="7"/>
  <c r="W21" i="7"/>
  <c r="W220" i="7"/>
  <c r="W156" i="7"/>
  <c r="W64" i="7"/>
  <c r="W191" i="7"/>
  <c r="W127" i="7"/>
  <c r="W99" i="7"/>
  <c r="W35" i="7"/>
  <c r="W230" i="7"/>
  <c r="W166" i="7"/>
  <c r="W74" i="7"/>
  <c r="W10" i="7"/>
  <c r="W205" i="7"/>
  <c r="W141" i="7"/>
  <c r="W113" i="7"/>
  <c r="W49" i="7"/>
  <c r="W184" i="7"/>
  <c r="W120" i="7"/>
  <c r="W92" i="7"/>
  <c r="W28" i="7"/>
  <c r="W219" i="7"/>
  <c r="W155" i="7"/>
  <c r="W63" i="7"/>
  <c r="W194" i="7"/>
  <c r="W130" i="7"/>
  <c r="W102" i="7"/>
  <c r="W38" i="7"/>
  <c r="W169" i="7"/>
  <c r="W77" i="7"/>
  <c r="W13" i="7"/>
  <c r="W212" i="7"/>
  <c r="W148" i="7"/>
  <c r="W56" i="7"/>
  <c r="W199" i="7"/>
  <c r="W135" i="7"/>
  <c r="W107" i="7"/>
  <c r="W43" i="7"/>
  <c r="W174" i="7"/>
  <c r="W82" i="7"/>
  <c r="W18" i="7"/>
  <c r="W213" i="7"/>
  <c r="W149" i="7"/>
  <c r="W57" i="7"/>
  <c r="W192" i="7"/>
  <c r="W128" i="7"/>
  <c r="W100" i="7"/>
  <c r="W36" i="7"/>
  <c r="W46" i="16"/>
  <c r="W23" i="16"/>
  <c r="W31" i="16"/>
  <c r="W36" i="16"/>
  <c r="W17" i="16"/>
  <c r="W8" i="16"/>
  <c r="W14" i="16"/>
  <c r="W43" i="16"/>
  <c r="W47" i="16"/>
  <c r="W42" i="16"/>
  <c r="W24" i="16"/>
  <c r="BK29" i="6"/>
  <c r="W36" i="6"/>
  <c r="W35" i="6"/>
  <c r="W27" i="6"/>
  <c r="AC27" i="6" s="1"/>
  <c r="W33" i="6"/>
  <c r="W43" i="6"/>
  <c r="W20" i="6"/>
  <c r="W32" i="6"/>
  <c r="W555" i="7"/>
  <c r="W491" i="7"/>
  <c r="W514" i="7"/>
  <c r="W537" i="7"/>
  <c r="W473" i="7"/>
  <c r="W560" i="7"/>
  <c r="W496" i="7"/>
  <c r="W403" i="7"/>
  <c r="W311" i="7"/>
  <c r="W247" i="7"/>
  <c r="W442" i="7"/>
  <c r="W378" i="7"/>
  <c r="W286" i="7"/>
  <c r="W417" i="7"/>
  <c r="W353" i="7"/>
  <c r="W325" i="7"/>
  <c r="W261" i="7"/>
  <c r="W396" i="7"/>
  <c r="W304" i="7"/>
  <c r="W240" i="7"/>
  <c r="W519" i="7"/>
  <c r="W542" i="7"/>
  <c r="W478" i="7"/>
  <c r="W565" i="7"/>
  <c r="W501" i="7"/>
  <c r="W524" i="7"/>
  <c r="W431" i="7"/>
  <c r="W367" i="7"/>
  <c r="W339" i="7"/>
  <c r="W275" i="7"/>
  <c r="W406" i="7"/>
  <c r="W314" i="7"/>
  <c r="W250" i="7"/>
  <c r="W445" i="7"/>
  <c r="W381" i="7"/>
  <c r="W289" i="7"/>
  <c r="W424" i="7"/>
  <c r="W360" i="7"/>
  <c r="W332" i="7"/>
  <c r="W268" i="7"/>
  <c r="W547" i="7"/>
  <c r="W483" i="7"/>
  <c r="W570" i="7"/>
  <c r="W506" i="7"/>
  <c r="W529" i="7"/>
  <c r="W465" i="7"/>
  <c r="W552" i="7"/>
  <c r="W488" i="7"/>
  <c r="W459" i="7"/>
  <c r="W395" i="7"/>
  <c r="W303" i="7"/>
  <c r="W239" i="7"/>
  <c r="W434" i="7"/>
  <c r="W370" i="7"/>
  <c r="W342" i="7"/>
  <c r="W278" i="7"/>
  <c r="W409" i="7"/>
  <c r="W317" i="7"/>
  <c r="W253" i="7"/>
  <c r="W452" i="7"/>
  <c r="W388" i="7"/>
  <c r="W296" i="7"/>
  <c r="W527" i="7"/>
  <c r="W463" i="7"/>
  <c r="W550" i="7"/>
  <c r="W486" i="7"/>
  <c r="W573" i="7"/>
  <c r="W509" i="7"/>
  <c r="W532" i="7"/>
  <c r="W468" i="7"/>
  <c r="W439" i="7"/>
  <c r="W375" i="7"/>
  <c r="W283" i="7"/>
  <c r="W414" i="7"/>
  <c r="W350" i="7"/>
  <c r="W322" i="7"/>
  <c r="W258" i="7"/>
  <c r="W453" i="7"/>
  <c r="W389" i="7"/>
  <c r="W297" i="7"/>
  <c r="W432" i="7"/>
  <c r="W368" i="7"/>
  <c r="W340" i="7"/>
  <c r="W276" i="7"/>
  <c r="W211" i="7"/>
  <c r="W147" i="7"/>
  <c r="W55" i="7"/>
  <c r="W186" i="7"/>
  <c r="W122" i="7"/>
  <c r="W94" i="7"/>
  <c r="W30" i="7"/>
  <c r="W225" i="7"/>
  <c r="W161" i="7"/>
  <c r="W69" i="7"/>
  <c r="W204" i="7"/>
  <c r="W140" i="7"/>
  <c r="W112" i="7"/>
  <c r="W48" i="7"/>
  <c r="W175" i="7"/>
  <c r="W83" i="7"/>
  <c r="W19" i="7"/>
  <c r="W214" i="7"/>
  <c r="W150" i="7"/>
  <c r="W58" i="7"/>
  <c r="W189" i="7"/>
  <c r="W125" i="7"/>
  <c r="W97" i="7"/>
  <c r="W33" i="7"/>
  <c r="W168" i="7"/>
  <c r="W76" i="7"/>
  <c r="W12" i="7"/>
  <c r="W203" i="7"/>
  <c r="W139" i="7"/>
  <c r="W111" i="7"/>
  <c r="W47" i="7"/>
  <c r="W178" i="7"/>
  <c r="W86" i="7"/>
  <c r="W22" i="7"/>
  <c r="W217" i="7"/>
  <c r="W153" i="7"/>
  <c r="W61" i="7"/>
  <c r="W196" i="7"/>
  <c r="W132" i="7"/>
  <c r="W104" i="7"/>
  <c r="W40" i="7"/>
  <c r="W183" i="7"/>
  <c r="W91" i="7"/>
  <c r="W27" i="7"/>
  <c r="W222" i="7"/>
  <c r="W158" i="7"/>
  <c r="W66" i="7"/>
  <c r="W197" i="7"/>
  <c r="W133" i="7"/>
  <c r="W105" i="7"/>
  <c r="W41" i="7"/>
  <c r="W176" i="7"/>
  <c r="W84" i="7"/>
  <c r="W20" i="7"/>
  <c r="W45" i="16"/>
  <c r="W15" i="16"/>
  <c r="W44" i="16"/>
  <c r="W40" i="16"/>
  <c r="W26" i="16"/>
  <c r="W4" i="16"/>
  <c r="W39" i="16"/>
  <c r="W20" i="16"/>
  <c r="W11" i="16"/>
  <c r="W13" i="16"/>
  <c r="BK22" i="6"/>
  <c r="BK26" i="6"/>
  <c r="BK34" i="6"/>
  <c r="M7" i="16"/>
  <c r="M21" i="16"/>
  <c r="M31" i="16"/>
  <c r="M45" i="16"/>
  <c r="L138" i="7"/>
  <c r="L202" i="7"/>
  <c r="L280" i="7"/>
  <c r="L368" i="7"/>
  <c r="L47" i="16"/>
  <c r="L322" i="7"/>
  <c r="L452" i="7"/>
  <c r="L485" i="7"/>
  <c r="L241" i="7"/>
  <c r="L305" i="7"/>
  <c r="L418" i="7"/>
  <c r="L299" i="7"/>
  <c r="L406" i="7"/>
  <c r="L551" i="7"/>
  <c r="L413" i="7"/>
  <c r="L539" i="7"/>
  <c r="L407" i="7"/>
  <c r="L553" i="7"/>
  <c r="L19" i="16"/>
  <c r="L512" i="7"/>
  <c r="L34" i="16"/>
  <c r="M26" i="16"/>
  <c r="R19" i="6"/>
  <c r="R6" i="6"/>
  <c r="R26" i="6"/>
  <c r="R36" i="6"/>
  <c r="R42" i="6"/>
  <c r="S32" i="6"/>
  <c r="S26" i="6"/>
  <c r="S4" i="6"/>
  <c r="S36" i="6"/>
  <c r="S22" i="6"/>
  <c r="S42" i="6"/>
  <c r="S35" i="6"/>
  <c r="S41" i="6"/>
  <c r="R9" i="6"/>
  <c r="S9" i="6"/>
  <c r="S25" i="6"/>
  <c r="S13" i="6"/>
  <c r="S33" i="6"/>
  <c r="S34" i="6"/>
  <c r="S6" i="6"/>
  <c r="S31" i="6"/>
  <c r="S24" i="6"/>
  <c r="R28" i="6"/>
  <c r="R8" i="6"/>
  <c r="R33" i="6"/>
  <c r="R37" i="6"/>
  <c r="R30" i="6"/>
  <c r="R24" i="6"/>
  <c r="R4" i="6"/>
  <c r="R29" i="6"/>
  <c r="M46" i="16"/>
  <c r="M32" i="16"/>
  <c r="M20" i="16"/>
  <c r="M6" i="16"/>
  <c r="L28" i="16"/>
  <c r="L14" i="16"/>
  <c r="L528" i="7"/>
  <c r="L531" i="7"/>
  <c r="L423" i="7"/>
  <c r="L359" i="7"/>
  <c r="L561" i="7"/>
  <c r="L475" i="7"/>
  <c r="L445" i="7"/>
  <c r="L381" i="7"/>
  <c r="L466" i="7"/>
  <c r="L438" i="7"/>
  <c r="L315" i="7"/>
  <c r="L251" i="7"/>
  <c r="BK32" i="6"/>
  <c r="BK7" i="6"/>
  <c r="BK21" i="6"/>
  <c r="BK30" i="6"/>
  <c r="BK37" i="6"/>
  <c r="M69" i="7"/>
  <c r="M255" i="7"/>
  <c r="M324" i="7"/>
  <c r="M379" i="7"/>
  <c r="M505" i="7"/>
  <c r="M199" i="7"/>
  <c r="M522" i="7"/>
  <c r="M436" i="7"/>
  <c r="M132" i="7"/>
  <c r="N12" i="6"/>
  <c r="M40" i="6"/>
  <c r="N19" i="6"/>
  <c r="M77" i="7"/>
  <c r="M186" i="7"/>
  <c r="M295" i="7"/>
  <c r="M470" i="7"/>
  <c r="M354" i="7"/>
  <c r="M463" i="7"/>
  <c r="M490" i="7"/>
  <c r="M397" i="7"/>
  <c r="M333" i="7"/>
  <c r="M124" i="7"/>
  <c r="M517" i="7"/>
  <c r="M536" i="7"/>
  <c r="M561" i="7"/>
  <c r="M406" i="7"/>
  <c r="M515" i="7"/>
  <c r="M264" i="7"/>
  <c r="M54" i="7"/>
  <c r="N37" i="6"/>
  <c r="M319" i="7"/>
  <c r="M502" i="7"/>
  <c r="M316" i="7"/>
  <c r="M123" i="7"/>
  <c r="M426" i="7"/>
  <c r="M237" i="7"/>
  <c r="M27" i="7"/>
  <c r="M530" i="7"/>
  <c r="M70" i="7"/>
  <c r="M265" i="7"/>
  <c r="M494" i="7"/>
  <c r="M293" i="7"/>
  <c r="M175" i="7"/>
  <c r="M56" i="7"/>
  <c r="M34" i="6"/>
  <c r="N4" i="6"/>
  <c r="M25" i="6"/>
  <c r="M224" i="7"/>
  <c r="N5" i="6"/>
  <c r="M114" i="7"/>
  <c r="M157" i="7"/>
  <c r="M542" i="7"/>
  <c r="M401" i="7"/>
  <c r="M61" i="7"/>
  <c r="M218" i="7"/>
  <c r="M247" i="7"/>
  <c r="M495" i="7"/>
  <c r="M44" i="7"/>
  <c r="M349" i="7"/>
  <c r="M313" i="7"/>
  <c r="M399" i="7"/>
  <c r="M565" i="7"/>
  <c r="M228" i="7"/>
  <c r="M110" i="7"/>
  <c r="M23" i="6"/>
  <c r="M97" i="7"/>
  <c r="M126" i="7"/>
  <c r="M283" i="7"/>
  <c r="M352" i="7"/>
  <c r="M374" i="7"/>
  <c r="M531" i="7"/>
  <c r="M512" i="7"/>
  <c r="M306" i="7"/>
  <c r="M204" i="7"/>
  <c r="M96" i="7"/>
  <c r="M482" i="7"/>
  <c r="M34" i="7"/>
  <c r="M472" i="7"/>
  <c r="L119" i="7"/>
  <c r="L167" i="7"/>
  <c r="L219" i="7"/>
  <c r="L213" i="7"/>
  <c r="L164" i="7"/>
  <c r="L228" i="7"/>
  <c r="L517" i="7"/>
  <c r="L146" i="7"/>
  <c r="L210" i="7"/>
  <c r="L296" i="7"/>
  <c r="L400" i="7"/>
  <c r="L338" i="7"/>
  <c r="L527" i="7"/>
  <c r="L249" i="7"/>
  <c r="L313" i="7"/>
  <c r="L434" i="7"/>
  <c r="L462" i="7"/>
  <c r="L275" i="7"/>
  <c r="L339" i="7"/>
  <c r="L358" i="7"/>
  <c r="L530" i="7"/>
  <c r="L389" i="7"/>
  <c r="L453" i="7"/>
  <c r="L486" i="7"/>
  <c r="L15" i="16"/>
  <c r="L367" i="7"/>
  <c r="L431" i="7"/>
  <c r="L542" i="7"/>
  <c r="L45" i="16"/>
  <c r="L520" i="7"/>
  <c r="M41" i="16"/>
  <c r="L24" i="16"/>
  <c r="L38" i="16"/>
  <c r="M10" i="16"/>
  <c r="M22" i="16"/>
  <c r="M36" i="16"/>
  <c r="N36" i="16"/>
  <c r="O4" i="16"/>
  <c r="O18" i="16"/>
  <c r="O44" i="16"/>
  <c r="R568" i="7"/>
  <c r="R242" i="7"/>
  <c r="R510" i="7"/>
  <c r="R410" i="7"/>
  <c r="R460" i="7"/>
  <c r="R250" i="7"/>
  <c r="R514" i="7"/>
  <c r="R418" i="7"/>
  <c r="R222" i="7"/>
  <c r="R66" i="7"/>
  <c r="R519" i="7"/>
  <c r="R429" i="7"/>
  <c r="R273" i="7"/>
  <c r="R89" i="7"/>
  <c r="R86" i="7"/>
  <c r="R529" i="7"/>
  <c r="R465" i="7"/>
  <c r="R449" i="7"/>
  <c r="R293" i="7"/>
  <c r="R137" i="7"/>
  <c r="R109" i="7"/>
  <c r="R424" i="7"/>
  <c r="R360" i="7"/>
  <c r="R332" i="7"/>
  <c r="R268" i="7"/>
  <c r="R176" i="7"/>
  <c r="R84" i="7"/>
  <c r="R20" i="7"/>
  <c r="R411" i="7"/>
  <c r="R347" i="7"/>
  <c r="R319" i="7"/>
  <c r="R255" i="7"/>
  <c r="R227" i="7"/>
  <c r="R163" i="7"/>
  <c r="R71" i="7"/>
  <c r="R7" i="7"/>
  <c r="L117" i="7"/>
  <c r="L316" i="7"/>
  <c r="L137" i="7"/>
  <c r="L104" i="7"/>
  <c r="L7" i="7"/>
  <c r="L209" i="7"/>
  <c r="L109" i="7"/>
  <c r="L23" i="6"/>
  <c r="L52" i="7"/>
  <c r="L157" i="7"/>
  <c r="L136" i="7"/>
  <c r="L200" i="7"/>
  <c r="L26" i="7"/>
  <c r="L90" i="7"/>
  <c r="L118" i="7"/>
  <c r="L182" i="7"/>
  <c r="L278" i="7"/>
  <c r="L364" i="7"/>
  <c r="L240" i="7"/>
  <c r="L282" i="7"/>
  <c r="L372" i="7"/>
  <c r="L285" i="7"/>
  <c r="L378" i="7"/>
  <c r="L557" i="7"/>
  <c r="L247" i="7"/>
  <c r="L311" i="7"/>
  <c r="L430" i="7"/>
  <c r="L361" i="7"/>
  <c r="L425" i="7"/>
  <c r="L534" i="7"/>
  <c r="L403" i="7"/>
  <c r="L505" i="7"/>
  <c r="L25" i="16"/>
  <c r="L492" i="7"/>
  <c r="L556" i="7"/>
  <c r="M23" i="16"/>
  <c r="M37" i="16"/>
  <c r="L32" i="16"/>
  <c r="L46" i="16"/>
  <c r="M4" i="16"/>
  <c r="M18" i="16"/>
  <c r="M44" i="16"/>
  <c r="N17" i="16"/>
  <c r="N43" i="16"/>
  <c r="O25" i="16"/>
  <c r="O39" i="16"/>
  <c r="R540" i="7"/>
  <c r="R496" i="7"/>
  <c r="R382" i="7"/>
  <c r="R566" i="7"/>
  <c r="R238" i="7"/>
  <c r="R570" i="7"/>
  <c r="R246" i="7"/>
  <c r="R150" i="7"/>
  <c r="R547" i="7"/>
  <c r="R483" i="7"/>
  <c r="R357" i="7"/>
  <c r="R329" i="7"/>
  <c r="R173" i="7"/>
  <c r="R17" i="7"/>
  <c r="R170" i="7"/>
  <c r="R14" i="7"/>
  <c r="R557" i="7"/>
  <c r="R493" i="7"/>
  <c r="R377" i="7"/>
  <c r="R193" i="7"/>
  <c r="R37" i="7"/>
  <c r="R452" i="7"/>
  <c r="R388" i="7"/>
  <c r="R296" i="7"/>
  <c r="R232" i="7"/>
  <c r="R204" i="7"/>
  <c r="R140" i="7"/>
  <c r="R112" i="7"/>
  <c r="R48" i="7"/>
  <c r="R439" i="7"/>
  <c r="R375" i="7"/>
  <c r="R283" i="7"/>
  <c r="R191" i="7"/>
  <c r="R127" i="7"/>
  <c r="R99" i="7"/>
  <c r="R35" i="7"/>
  <c r="L183" i="7"/>
  <c r="L159" i="7"/>
  <c r="L16" i="7"/>
  <c r="L231" i="7"/>
  <c r="L175" i="7"/>
  <c r="L49" i="7"/>
  <c r="L9" i="6"/>
  <c r="L29" i="7"/>
  <c r="L97" i="7"/>
  <c r="L22" i="6"/>
  <c r="L35" i="7"/>
  <c r="L10" i="6"/>
  <c r="L15" i="7"/>
  <c r="L100" i="7"/>
  <c r="L229" i="7"/>
  <c r="L533" i="7"/>
  <c r="L172" i="7"/>
  <c r="L238" i="7"/>
  <c r="L62" i="7"/>
  <c r="L154" i="7"/>
  <c r="L218" i="7"/>
  <c r="L312" i="7"/>
  <c r="L432" i="7"/>
  <c r="L460" i="7"/>
  <c r="L257" i="7"/>
  <c r="L321" i="7"/>
  <c r="L450" i="7"/>
  <c r="L482" i="7"/>
  <c r="L235" i="7"/>
  <c r="L331" i="7"/>
  <c r="L349" i="7"/>
  <c r="L429" i="7"/>
  <c r="L439" i="7"/>
  <c r="L467" i="7"/>
  <c r="L544" i="7"/>
  <c r="L570" i="7"/>
  <c r="R39" i="6"/>
  <c r="R31" i="6"/>
  <c r="R10" i="6"/>
  <c r="R38" i="6"/>
  <c r="S8" i="6"/>
  <c r="S12" i="6"/>
  <c r="S11" i="6"/>
  <c r="S10" i="6"/>
  <c r="S5" i="6"/>
  <c r="S28" i="6"/>
  <c r="S27" i="6"/>
  <c r="BK5" i="6"/>
  <c r="BK33" i="6"/>
  <c r="M5" i="16"/>
  <c r="M19" i="16"/>
  <c r="M27" i="16"/>
  <c r="M35" i="16"/>
  <c r="R7" i="6"/>
  <c r="R35" i="6"/>
  <c r="R21" i="6"/>
  <c r="R20" i="6"/>
  <c r="R23" i="6"/>
  <c r="S37" i="6"/>
  <c r="S30" i="6"/>
  <c r="R13" i="6"/>
  <c r="S23" i="6"/>
  <c r="S20" i="6"/>
  <c r="S19" i="6"/>
  <c r="BK4" i="6"/>
  <c r="BK11" i="6"/>
  <c r="BK25" i="6"/>
  <c r="BK28" i="6"/>
  <c r="BK12" i="6"/>
  <c r="BK36" i="6"/>
  <c r="BK41" i="6"/>
  <c r="BK8" i="6"/>
  <c r="BK40" i="6"/>
  <c r="BK6" i="6"/>
  <c r="BK10" i="6"/>
  <c r="BK19" i="6"/>
  <c r="BK23" i="6"/>
  <c r="BK27" i="6"/>
  <c r="BK31" i="6"/>
  <c r="BK35" i="6"/>
  <c r="BK39" i="6"/>
  <c r="BK43" i="6"/>
  <c r="Q237" i="7"/>
  <c r="Q253" i="7"/>
  <c r="Q269" i="7"/>
  <c r="Q285" i="7"/>
  <c r="Q301" i="7"/>
  <c r="Q317" i="7"/>
  <c r="Q333" i="7"/>
  <c r="Q361" i="7"/>
  <c r="Q377" i="7"/>
  <c r="Q393" i="7"/>
  <c r="Q409" i="7"/>
  <c r="Q425" i="7"/>
  <c r="Q441" i="7"/>
  <c r="Q457" i="7"/>
  <c r="Q469" i="7"/>
  <c r="Q485" i="7"/>
  <c r="Q501" i="7"/>
  <c r="Q517" i="7"/>
  <c r="Q533" i="7"/>
  <c r="Q549" i="7"/>
  <c r="Q565" i="7"/>
  <c r="O335" i="7"/>
  <c r="O319" i="7"/>
  <c r="O303" i="7"/>
  <c r="O287" i="7"/>
  <c r="O271" i="7"/>
  <c r="O255" i="7"/>
  <c r="O239" i="7"/>
  <c r="O227" i="7"/>
  <c r="O211" i="7"/>
  <c r="O195" i="7"/>
  <c r="O179" i="7"/>
  <c r="O163" i="7"/>
  <c r="O147" i="7"/>
  <c r="O131" i="7"/>
  <c r="O103" i="7"/>
  <c r="O87" i="7"/>
  <c r="O71" i="7"/>
  <c r="O55" i="7"/>
  <c r="O39" i="7"/>
  <c r="O23" i="7"/>
  <c r="O7" i="7"/>
  <c r="Q14" i="7"/>
  <c r="Q30" i="7"/>
  <c r="Q46" i="7"/>
  <c r="Q62" i="7"/>
  <c r="Q78" i="7"/>
  <c r="Q94" i="7"/>
  <c r="Q110" i="7"/>
  <c r="Q122" i="7"/>
  <c r="Q138" i="7"/>
  <c r="Q154" i="7"/>
  <c r="Q170" i="7"/>
  <c r="Q186" i="7"/>
  <c r="Q202" i="7"/>
  <c r="Q218" i="7"/>
  <c r="Q246" i="7"/>
  <c r="Q262" i="7"/>
  <c r="Q278" i="7"/>
  <c r="Q294" i="7"/>
  <c r="Q310" i="7"/>
  <c r="Q326" i="7"/>
  <c r="Q342" i="7"/>
  <c r="Q354" i="7"/>
  <c r="Q370" i="7"/>
  <c r="Q386" i="7"/>
  <c r="Q402" i="7"/>
  <c r="Q418" i="7"/>
  <c r="Q434" i="7"/>
  <c r="Q450" i="7"/>
  <c r="Q462" i="7"/>
  <c r="Q478" i="7"/>
  <c r="Q494" i="7"/>
  <c r="Q510" i="7"/>
  <c r="Q526" i="7"/>
  <c r="Q542" i="7"/>
  <c r="Q558" i="7"/>
  <c r="O226" i="7"/>
  <c r="O206" i="7"/>
  <c r="O186" i="7"/>
  <c r="O166" i="7"/>
  <c r="O142" i="7"/>
  <c r="O122" i="7"/>
  <c r="O114" i="7"/>
  <c r="O94" i="7"/>
  <c r="O74" i="7"/>
  <c r="O50" i="7"/>
  <c r="O30" i="7"/>
  <c r="O10" i="7"/>
  <c r="Q7" i="7"/>
  <c r="Q27" i="7"/>
  <c r="Q51" i="7"/>
  <c r="Q71" i="7"/>
  <c r="Q91" i="7"/>
  <c r="Q115" i="7"/>
  <c r="Q119" i="7"/>
  <c r="Q143" i="7"/>
  <c r="Q163" i="7"/>
  <c r="Q183" i="7"/>
  <c r="Q207" i="7"/>
  <c r="Q227" i="7"/>
  <c r="Q235" i="7"/>
  <c r="Q255" i="7"/>
  <c r="Q275" i="7"/>
  <c r="Q299" i="7"/>
  <c r="Q319" i="7"/>
  <c r="Q339" i="7"/>
  <c r="Q347" i="7"/>
  <c r="Q367" i="7"/>
  <c r="Q391" i="7"/>
  <c r="Q411" i="7"/>
  <c r="Q431" i="7"/>
  <c r="Q455" i="7"/>
  <c r="Q483" i="7"/>
  <c r="Q503" i="7"/>
  <c r="Q523" i="7"/>
  <c r="Q547" i="7"/>
  <c r="Q567" i="7"/>
  <c r="P7" i="16"/>
  <c r="P12" i="16"/>
  <c r="P15" i="16"/>
  <c r="P21" i="16"/>
  <c r="P24" i="16"/>
  <c r="P29" i="16"/>
  <c r="P33" i="16"/>
  <c r="P38" i="16"/>
  <c r="P41" i="16"/>
  <c r="P47" i="16"/>
  <c r="R4" i="16"/>
  <c r="Q36" i="16"/>
  <c r="R32" i="16"/>
  <c r="Q19" i="16"/>
  <c r="Q9" i="16"/>
  <c r="R48" i="16"/>
  <c r="R14" i="16"/>
  <c r="Q17" i="16"/>
  <c r="R27" i="16"/>
  <c r="R36" i="16"/>
  <c r="R6" i="16"/>
  <c r="Q29" i="16"/>
  <c r="R31" i="16"/>
  <c r="R29" i="16"/>
  <c r="Q44" i="16"/>
  <c r="Q38" i="16"/>
  <c r="Q8" i="16"/>
  <c r="BK9" i="6"/>
  <c r="BK13" i="6"/>
  <c r="BK38" i="6"/>
  <c r="BK42" i="6"/>
  <c r="Q241" i="7"/>
  <c r="Q257" i="7"/>
  <c r="Q273" i="7"/>
  <c r="Q289" i="7"/>
  <c r="Q305" i="7"/>
  <c r="Q321" i="7"/>
  <c r="Q337" i="7"/>
  <c r="Q349" i="7"/>
  <c r="Q365" i="7"/>
  <c r="Q381" i="7"/>
  <c r="Q397" i="7"/>
  <c r="Q413" i="7"/>
  <c r="BL413" i="7" s="1"/>
  <c r="BO413" i="7" s="1"/>
  <c r="Q429" i="7"/>
  <c r="Q445" i="7"/>
  <c r="Q473" i="7"/>
  <c r="Q489" i="7"/>
  <c r="Q505" i="7"/>
  <c r="Q521" i="7"/>
  <c r="Q537" i="7"/>
  <c r="Q553" i="7"/>
  <c r="Q569" i="7"/>
  <c r="O331" i="7"/>
  <c r="O315" i="7"/>
  <c r="O299" i="7"/>
  <c r="O283" i="7"/>
  <c r="O267" i="7"/>
  <c r="O251" i="7"/>
  <c r="O235" i="7"/>
  <c r="O223" i="7"/>
  <c r="O207" i="7"/>
  <c r="O191" i="7"/>
  <c r="O175" i="7"/>
  <c r="O159" i="7"/>
  <c r="O143" i="7"/>
  <c r="O127" i="7"/>
  <c r="O115" i="7"/>
  <c r="O99" i="7"/>
  <c r="O83" i="7"/>
  <c r="O67" i="7"/>
  <c r="O51" i="7"/>
  <c r="O35" i="7"/>
  <c r="O19" i="7"/>
  <c r="Q18" i="7"/>
  <c r="Q34" i="7"/>
  <c r="Q50" i="7"/>
  <c r="Q66" i="7"/>
  <c r="Q82" i="7"/>
  <c r="Q98" i="7"/>
  <c r="Q114" i="7"/>
  <c r="Q126" i="7"/>
  <c r="Q142" i="7"/>
  <c r="Q158" i="7"/>
  <c r="Q174" i="7"/>
  <c r="Q190" i="7"/>
  <c r="Q206" i="7"/>
  <c r="Q222" i="7"/>
  <c r="Q234" i="7"/>
  <c r="Q250" i="7"/>
  <c r="Q266" i="7"/>
  <c r="Q282" i="7"/>
  <c r="Q298" i="7"/>
  <c r="Q314" i="7"/>
  <c r="Q330" i="7"/>
  <c r="Q358" i="7"/>
  <c r="Q374" i="7"/>
  <c r="Q390" i="7"/>
  <c r="Q406" i="7"/>
  <c r="Q422" i="7"/>
  <c r="Q438" i="7"/>
  <c r="Q454" i="7"/>
  <c r="Q466" i="7"/>
  <c r="Q482" i="7"/>
  <c r="Q498" i="7"/>
  <c r="Q514" i="7"/>
  <c r="Q530" i="7"/>
  <c r="Q546" i="7"/>
  <c r="Q562" i="7"/>
  <c r="O222" i="7"/>
  <c r="O202" i="7"/>
  <c r="O182" i="7"/>
  <c r="O158" i="7"/>
  <c r="O138" i="7"/>
  <c r="O118" i="7"/>
  <c r="O110" i="7"/>
  <c r="O90" i="7"/>
  <c r="O66" i="7"/>
  <c r="O46" i="7"/>
  <c r="O26" i="7"/>
  <c r="Q11" i="7"/>
  <c r="Q35" i="7"/>
  <c r="Q55" i="7"/>
  <c r="Q75" i="7"/>
  <c r="Q99" i="7"/>
  <c r="Q127" i="7"/>
  <c r="Q147" i="7"/>
  <c r="Q167" i="7"/>
  <c r="Q191" i="7"/>
  <c r="Q211" i="7"/>
  <c r="Q231" i="7"/>
  <c r="Q239" i="7"/>
  <c r="Q259" i="7"/>
  <c r="Q283" i="7"/>
  <c r="Q303" i="7"/>
  <c r="Q323" i="7"/>
  <c r="Q351" i="7"/>
  <c r="Q375" i="7"/>
  <c r="Q395" i="7"/>
  <c r="Q415" i="7"/>
  <c r="Q439" i="7"/>
  <c r="Q459" i="7"/>
  <c r="Q467" i="7"/>
  <c r="Q487" i="7"/>
  <c r="Q507" i="7"/>
  <c r="Q531" i="7"/>
  <c r="Q551" i="7"/>
  <c r="Q571" i="7"/>
  <c r="P8" i="16"/>
  <c r="P17" i="16"/>
  <c r="P25" i="16"/>
  <c r="P34" i="16"/>
  <c r="P39" i="16"/>
  <c r="P43" i="16"/>
  <c r="P48" i="16"/>
  <c r="R40" i="16"/>
  <c r="R18" i="16"/>
  <c r="Q33" i="16"/>
  <c r="Q11" i="16"/>
  <c r="Q45" i="16"/>
  <c r="Q5" i="16"/>
  <c r="R44" i="16"/>
  <c r="Q43" i="16"/>
  <c r="R7" i="16"/>
  <c r="R46" i="16"/>
  <c r="R20" i="16"/>
  <c r="Q39" i="16"/>
  <c r="R25" i="16"/>
  <c r="R19" i="16"/>
  <c r="Q34" i="16"/>
  <c r="Q14" i="16"/>
  <c r="Q28" i="16"/>
  <c r="Q40" i="16"/>
  <c r="R9" i="16"/>
  <c r="R35" i="16"/>
  <c r="Q16" i="16"/>
  <c r="Q26" i="16"/>
  <c r="R33" i="16"/>
  <c r="R47" i="16"/>
  <c r="R8" i="16"/>
  <c r="Q15" i="16"/>
  <c r="Q25" i="16"/>
  <c r="R16" i="16"/>
  <c r="R30" i="16"/>
  <c r="Q6" i="16"/>
  <c r="Q20" i="16"/>
  <c r="R13" i="16"/>
  <c r="Q21" i="16"/>
  <c r="R34" i="16"/>
  <c r="P46" i="16"/>
  <c r="P42" i="16"/>
  <c r="P36" i="16"/>
  <c r="P32" i="16"/>
  <c r="P30" i="16"/>
  <c r="P26" i="16"/>
  <c r="P22" i="16"/>
  <c r="P20" i="16"/>
  <c r="P16" i="16"/>
  <c r="P10" i="16"/>
  <c r="P6" i="16"/>
  <c r="Q559" i="7"/>
  <c r="Q543" i="7"/>
  <c r="Q527" i="7"/>
  <c r="Q511" i="7"/>
  <c r="Q495" i="7"/>
  <c r="Q479" i="7"/>
  <c r="Q463" i="7"/>
  <c r="Q451" i="7"/>
  <c r="Q435" i="7"/>
  <c r="Q419" i="7"/>
  <c r="Q403" i="7"/>
  <c r="Q387" i="7"/>
  <c r="Q371" i="7"/>
  <c r="Q355" i="7"/>
  <c r="Q343" i="7"/>
  <c r="Q327" i="7"/>
  <c r="Q311" i="7"/>
  <c r="Q295" i="7"/>
  <c r="Q279" i="7"/>
  <c r="Q263" i="7"/>
  <c r="Q247" i="7"/>
  <c r="Q219" i="7"/>
  <c r="Q203" i="7"/>
  <c r="Q187" i="7"/>
  <c r="Q171" i="7"/>
  <c r="Q155" i="7"/>
  <c r="Q139" i="7"/>
  <c r="Q123" i="7"/>
  <c r="Q111" i="7"/>
  <c r="Q95" i="7"/>
  <c r="Q79" i="7"/>
  <c r="Q63" i="7"/>
  <c r="Q47" i="7"/>
  <c r="Q31" i="7"/>
  <c r="Q15" i="7"/>
  <c r="O6" i="7"/>
  <c r="O22" i="7"/>
  <c r="O38" i="7"/>
  <c r="O54" i="7"/>
  <c r="O70" i="7"/>
  <c r="O86" i="7"/>
  <c r="O102" i="7"/>
  <c r="O130" i="7"/>
  <c r="O146" i="7"/>
  <c r="O162" i="7"/>
  <c r="O178" i="7"/>
  <c r="O194" i="7"/>
  <c r="O210" i="7"/>
  <c r="BK20" i="6"/>
  <c r="BK24" i="6"/>
  <c r="O75" i="7"/>
  <c r="O59" i="7"/>
  <c r="O27" i="7"/>
  <c r="O11" i="7"/>
  <c r="Q10" i="7"/>
  <c r="Q26" i="7"/>
  <c r="Q42" i="7"/>
  <c r="Q58" i="7"/>
  <c r="Q74" i="7"/>
  <c r="Q90" i="7"/>
  <c r="Q106" i="7"/>
  <c r="Q118" i="7"/>
  <c r="Q134" i="7"/>
  <c r="Q150" i="7"/>
  <c r="Q166" i="7"/>
  <c r="Q182" i="7"/>
  <c r="Q198" i="7"/>
  <c r="Q214" i="7"/>
  <c r="Q230" i="7"/>
  <c r="Q242" i="7"/>
  <c r="Q258" i="7"/>
  <c r="Q274" i="7"/>
  <c r="Q290" i="7"/>
  <c r="Q306" i="7"/>
  <c r="Q322" i="7"/>
  <c r="Q338" i="7"/>
  <c r="Q350" i="7"/>
  <c r="Q366" i="7"/>
  <c r="Q382" i="7"/>
  <c r="Q398" i="7"/>
  <c r="Q414" i="7"/>
  <c r="Q430" i="7"/>
  <c r="Q446" i="7"/>
  <c r="Q474" i="7"/>
  <c r="Q490" i="7"/>
  <c r="Q506" i="7"/>
  <c r="Q522" i="7"/>
  <c r="Q538" i="7"/>
  <c r="Q554" i="7"/>
  <c r="Q570" i="7"/>
  <c r="O230" i="7"/>
  <c r="O214" i="7"/>
  <c r="O190" i="7"/>
  <c r="O170" i="7"/>
  <c r="O150" i="7"/>
  <c r="O126" i="7"/>
  <c r="O98" i="7"/>
  <c r="O78" i="7"/>
  <c r="O58" i="7"/>
  <c r="O34" i="7"/>
  <c r="O14" i="7"/>
  <c r="Q23" i="7"/>
  <c r="Q43" i="7"/>
  <c r="Q67" i="7"/>
  <c r="Q87" i="7"/>
  <c r="Q107" i="7"/>
  <c r="Q135" i="7"/>
  <c r="Q159" i="7"/>
  <c r="Q179" i="7"/>
  <c r="Q199" i="7"/>
  <c r="Q223" i="7"/>
  <c r="Q251" i="7"/>
  <c r="Q271" i="7"/>
  <c r="Q291" i="7"/>
  <c r="Q315" i="7"/>
  <c r="Q335" i="7"/>
  <c r="Q363" i="7"/>
  <c r="Q383" i="7"/>
  <c r="Q407" i="7"/>
  <c r="Q427" i="7"/>
  <c r="Q447" i="7"/>
  <c r="Q475" i="7"/>
  <c r="Q499" i="7"/>
  <c r="Q519" i="7"/>
  <c r="Q539" i="7"/>
  <c r="Q563" i="7"/>
  <c r="P5" i="16"/>
  <c r="P11" i="16"/>
  <c r="P14" i="16"/>
  <c r="P19" i="16"/>
  <c r="P23" i="16"/>
  <c r="P28" i="16"/>
  <c r="P31" i="16"/>
  <c r="P37" i="16"/>
  <c r="P40" i="16"/>
  <c r="P45" i="16"/>
  <c r="R12" i="16"/>
  <c r="Q23" i="16"/>
  <c r="R37" i="16"/>
  <c r="R11" i="16"/>
  <c r="Q22" i="16"/>
  <c r="R10" i="16"/>
  <c r="Q35" i="16"/>
  <c r="R38" i="16"/>
  <c r="Q37" i="16"/>
  <c r="R43" i="16"/>
  <c r="R17" i="16"/>
  <c r="Q46" i="16"/>
  <c r="R22" i="16"/>
  <c r="Q41" i="16"/>
  <c r="R41" i="16"/>
  <c r="R39" i="16"/>
  <c r="R5" i="16"/>
  <c r="Q48" i="16"/>
  <c r="Q18" i="16"/>
  <c r="Q12" i="16"/>
  <c r="BL331" i="7" l="1"/>
  <c r="BO331" i="7" s="1"/>
  <c r="BL136" i="6"/>
  <c r="BL141" i="6"/>
  <c r="BM141" i="6" s="1"/>
  <c r="BL166" i="6"/>
  <c r="BL55" i="7"/>
  <c r="BO55" i="7" s="1"/>
  <c r="BL361" i="7"/>
  <c r="BO361" i="7" s="1"/>
  <c r="BL81" i="6"/>
  <c r="BO81" i="6" s="1"/>
  <c r="BL50" i="6"/>
  <c r="BL54" i="6"/>
  <c r="BL44" i="6"/>
  <c r="BL263" i="7"/>
  <c r="BO263" i="7" s="1"/>
  <c r="BL441" i="7"/>
  <c r="BO441" i="7" s="1"/>
  <c r="BL79" i="7"/>
  <c r="BO79" i="7" s="1"/>
  <c r="BL466" i="7"/>
  <c r="BO466" i="7" s="1"/>
  <c r="BL40" i="7"/>
  <c r="BO40" i="7" s="1"/>
  <c r="U423" i="7"/>
  <c r="AI423" i="7" s="1"/>
  <c r="U479" i="7"/>
  <c r="AI479" i="7" s="1"/>
  <c r="AK479" i="7" s="1"/>
  <c r="BL67" i="6"/>
  <c r="BM67" i="6" s="1"/>
  <c r="BN67" i="6" s="1"/>
  <c r="BL55" i="6"/>
  <c r="BO55" i="6" s="1"/>
  <c r="BL149" i="6"/>
  <c r="BL175" i="6"/>
  <c r="BL183" i="7"/>
  <c r="BO183" i="7" s="1"/>
  <c r="BL256" i="7"/>
  <c r="BO256" i="7" s="1"/>
  <c r="U183" i="7"/>
  <c r="AI183" i="7" s="1"/>
  <c r="AK183" i="7" s="1"/>
  <c r="BL557" i="7"/>
  <c r="BO557" i="7" s="1"/>
  <c r="BL60" i="6"/>
  <c r="BM60" i="6" s="1"/>
  <c r="BN60" i="6" s="1"/>
  <c r="BL48" i="6"/>
  <c r="BO48" i="6" s="1"/>
  <c r="BL101" i="6"/>
  <c r="BM101" i="6" s="1"/>
  <c r="BN101" i="6" s="1"/>
  <c r="T186" i="6"/>
  <c r="U186" i="6" s="1"/>
  <c r="BL327" i="7"/>
  <c r="BO327" i="7" s="1"/>
  <c r="BL30" i="6"/>
  <c r="BO30" i="6" s="1"/>
  <c r="BL425" i="7"/>
  <c r="BO425" i="7" s="1"/>
  <c r="U262" i="7"/>
  <c r="AI262" i="7" s="1"/>
  <c r="AP262" i="7" s="1"/>
  <c r="AQ262" i="7" s="1"/>
  <c r="BL39" i="7"/>
  <c r="BO39" i="7" s="1"/>
  <c r="BL47" i="6"/>
  <c r="BO47" i="6" s="1"/>
  <c r="BL111" i="6"/>
  <c r="BM111" i="6" s="1"/>
  <c r="BN111" i="6" s="1"/>
  <c r="BL184" i="6"/>
  <c r="BM184" i="6" s="1"/>
  <c r="BL26" i="6"/>
  <c r="BM26" i="6" s="1"/>
  <c r="H180" i="4"/>
  <c r="X221" i="6" s="1"/>
  <c r="BL43" i="16"/>
  <c r="BO43" i="16" s="1"/>
  <c r="AC52" i="7"/>
  <c r="BL38" i="16"/>
  <c r="BO38" i="16" s="1"/>
  <c r="BL251" i="7"/>
  <c r="BO251" i="7" s="1"/>
  <c r="BL279" i="7"/>
  <c r="BO279" i="7" s="1"/>
  <c r="BL371" i="7"/>
  <c r="BO371" i="7" s="1"/>
  <c r="BL487" i="7"/>
  <c r="BO487" i="7" s="1"/>
  <c r="BL553" i="7"/>
  <c r="BO553" i="7" s="1"/>
  <c r="U462" i="7"/>
  <c r="AI462" i="7" s="1"/>
  <c r="AP462" i="7" s="1"/>
  <c r="AQ462" i="7" s="1"/>
  <c r="AS462" i="7" s="1"/>
  <c r="U274" i="7"/>
  <c r="AI274" i="7" s="1"/>
  <c r="U480" i="7"/>
  <c r="AI480" i="7" s="1"/>
  <c r="AJ480" i="7" s="1"/>
  <c r="BL43" i="7"/>
  <c r="BO43" i="7" s="1"/>
  <c r="BL274" i="7"/>
  <c r="BO274" i="7" s="1"/>
  <c r="BL182" i="7"/>
  <c r="BO182" i="7" s="1"/>
  <c r="BL419" i="7"/>
  <c r="BO419" i="7" s="1"/>
  <c r="BL395" i="7"/>
  <c r="BO395" i="7" s="1"/>
  <c r="BL190" i="7"/>
  <c r="BO190" i="7" s="1"/>
  <c r="U251" i="7"/>
  <c r="AI251" i="7" s="1"/>
  <c r="BL569" i="7"/>
  <c r="BO569" i="7" s="1"/>
  <c r="BL411" i="7"/>
  <c r="BO411" i="7" s="1"/>
  <c r="BL294" i="7"/>
  <c r="BO294" i="7" s="1"/>
  <c r="BL202" i="7"/>
  <c r="BO202" i="7" s="1"/>
  <c r="BL46" i="7"/>
  <c r="BO46" i="7" s="1"/>
  <c r="BL563" i="7"/>
  <c r="BO563" i="7" s="1"/>
  <c r="BL335" i="7"/>
  <c r="BO335" i="7" s="1"/>
  <c r="BL230" i="7"/>
  <c r="BO230" i="7" s="1"/>
  <c r="BL571" i="7"/>
  <c r="BO571" i="7" s="1"/>
  <c r="BL375" i="7"/>
  <c r="BO375" i="7" s="1"/>
  <c r="BL82" i="7"/>
  <c r="BO82" i="7" s="1"/>
  <c r="BL223" i="7"/>
  <c r="BO223" i="7" s="1"/>
  <c r="T8" i="6"/>
  <c r="U8" i="6" s="1"/>
  <c r="U380" i="7"/>
  <c r="AI380" i="7" s="1"/>
  <c r="U529" i="7"/>
  <c r="AI529" i="7" s="1"/>
  <c r="AK529" i="7" s="1"/>
  <c r="U422" i="7"/>
  <c r="AI422" i="7" s="1"/>
  <c r="AK422" i="7" s="1"/>
  <c r="BL34" i="6"/>
  <c r="BM34" i="6" s="1"/>
  <c r="BL12" i="6"/>
  <c r="BM12" i="6" s="1"/>
  <c r="BL475" i="7"/>
  <c r="BO475" i="7" s="1"/>
  <c r="BL23" i="7"/>
  <c r="BO23" i="7" s="1"/>
  <c r="U214" i="7"/>
  <c r="AI214" i="7" s="1"/>
  <c r="AJ214" i="7" s="1"/>
  <c r="BL570" i="7"/>
  <c r="BO570" i="7" s="1"/>
  <c r="BL322" i="7"/>
  <c r="BO322" i="7" s="1"/>
  <c r="BL10" i="7"/>
  <c r="BO10" i="7" s="1"/>
  <c r="BL31" i="7"/>
  <c r="BO31" i="7" s="1"/>
  <c r="BL343" i="7"/>
  <c r="BO343" i="7" s="1"/>
  <c r="BL25" i="16"/>
  <c r="BO25" i="16" s="1"/>
  <c r="BL266" i="7"/>
  <c r="BO266" i="7" s="1"/>
  <c r="U175" i="7"/>
  <c r="AI175" i="7" s="1"/>
  <c r="AP175" i="7" s="1"/>
  <c r="AQ175" i="7" s="1"/>
  <c r="BL489" i="7"/>
  <c r="BO489" i="7" s="1"/>
  <c r="BL305" i="7"/>
  <c r="BO305" i="7" s="1"/>
  <c r="BL25" i="6"/>
  <c r="BM25" i="6" s="1"/>
  <c r="BL560" i="7"/>
  <c r="BO560" i="7" s="1"/>
  <c r="BL396" i="7"/>
  <c r="BO396" i="7" s="1"/>
  <c r="U536" i="7"/>
  <c r="AI536" i="7" s="1"/>
  <c r="U232" i="7"/>
  <c r="AI232" i="7" s="1"/>
  <c r="AK232" i="7" s="1"/>
  <c r="U339" i="7"/>
  <c r="AI339" i="7" s="1"/>
  <c r="AK339" i="7" s="1"/>
  <c r="BL121" i="7"/>
  <c r="BO121" i="7" s="1"/>
  <c r="BL57" i="7"/>
  <c r="BO57" i="7" s="1"/>
  <c r="BL145" i="7"/>
  <c r="BO145" i="7" s="1"/>
  <c r="BL49" i="7"/>
  <c r="BO49" i="7" s="1"/>
  <c r="BL37" i="7"/>
  <c r="BO37" i="7" s="1"/>
  <c r="BL101" i="7"/>
  <c r="BO101" i="7" s="1"/>
  <c r="BL173" i="7"/>
  <c r="BO173" i="7" s="1"/>
  <c r="BL233" i="7"/>
  <c r="BO233" i="7" s="1"/>
  <c r="BL389" i="7"/>
  <c r="BO389" i="7" s="1"/>
  <c r="BL162" i="7"/>
  <c r="BO162" i="7" s="1"/>
  <c r="BL245" i="7"/>
  <c r="BO245" i="7" s="1"/>
  <c r="BL529" i="7"/>
  <c r="BO529" i="7" s="1"/>
  <c r="BL442" i="7"/>
  <c r="BO442" i="7" s="1"/>
  <c r="BL550" i="7"/>
  <c r="BO550" i="7" s="1"/>
  <c r="BL215" i="7"/>
  <c r="BO215" i="7" s="1"/>
  <c r="BL431" i="7"/>
  <c r="BO431" i="7" s="1"/>
  <c r="BL285" i="7"/>
  <c r="BO285" i="7" s="1"/>
  <c r="AS22" i="6"/>
  <c r="T33" i="6"/>
  <c r="U33" i="6" s="1"/>
  <c r="U300" i="7"/>
  <c r="AI300" i="7" s="1"/>
  <c r="AJ300" i="7" s="1"/>
  <c r="U157" i="7"/>
  <c r="AI157" i="7" s="1"/>
  <c r="AK157" i="7" s="1"/>
  <c r="U99" i="7"/>
  <c r="AI99" i="7" s="1"/>
  <c r="AP99" i="7" s="1"/>
  <c r="AQ99" i="7" s="1"/>
  <c r="BL527" i="7"/>
  <c r="BO527" i="7" s="1"/>
  <c r="U252" i="7"/>
  <c r="AI252" i="7" s="1"/>
  <c r="AK252" i="7" s="1"/>
  <c r="U194" i="7"/>
  <c r="AI194" i="7" s="1"/>
  <c r="AK194" i="7" s="1"/>
  <c r="U10" i="16"/>
  <c r="AI10" i="16" s="1"/>
  <c r="AK10" i="16" s="1"/>
  <c r="AT8" i="16"/>
  <c r="BL347" i="7"/>
  <c r="BO347" i="7" s="1"/>
  <c r="BL62" i="7"/>
  <c r="BO62" i="7" s="1"/>
  <c r="BL469" i="7"/>
  <c r="BO469" i="7" s="1"/>
  <c r="AR461" i="7"/>
  <c r="U289" i="7"/>
  <c r="AI289" i="7" s="1"/>
  <c r="AJ289" i="7" s="1"/>
  <c r="U100" i="7"/>
  <c r="AI100" i="7" s="1"/>
  <c r="AP100" i="7" s="1"/>
  <c r="AQ100" i="7" s="1"/>
  <c r="T26" i="6"/>
  <c r="AI26" i="6" s="1"/>
  <c r="AT447" i="7"/>
  <c r="AT135" i="7"/>
  <c r="AT506" i="7"/>
  <c r="AT350" i="7"/>
  <c r="AT95" i="7"/>
  <c r="AT459" i="7"/>
  <c r="U118" i="7"/>
  <c r="AI118" i="7" s="1"/>
  <c r="AP118" i="7" s="1"/>
  <c r="AQ118" i="7" s="1"/>
  <c r="AT330" i="7"/>
  <c r="AS31" i="6"/>
  <c r="AS39" i="6"/>
  <c r="U68" i="7"/>
  <c r="AI68" i="7" s="1"/>
  <c r="AK68" i="7" s="1"/>
  <c r="BL134" i="6"/>
  <c r="BL7" i="6"/>
  <c r="U170" i="7"/>
  <c r="AI170" i="7" s="1"/>
  <c r="AJ170" i="7" s="1"/>
  <c r="BL547" i="7"/>
  <c r="BO547" i="7" s="1"/>
  <c r="BL7" i="7"/>
  <c r="BO7" i="7" s="1"/>
  <c r="BL558" i="7"/>
  <c r="BO558" i="7" s="1"/>
  <c r="BL310" i="7"/>
  <c r="BO310" i="7" s="1"/>
  <c r="BL154" i="7"/>
  <c r="BO154" i="7" s="1"/>
  <c r="U195" i="7"/>
  <c r="AI195" i="7" s="1"/>
  <c r="AP195" i="7" s="1"/>
  <c r="AQ195" i="7" s="1"/>
  <c r="BL377" i="7"/>
  <c r="BO377" i="7" s="1"/>
  <c r="AR137" i="7"/>
  <c r="U442" i="7"/>
  <c r="AI442" i="7" s="1"/>
  <c r="AJ442" i="7" s="1"/>
  <c r="U466" i="7"/>
  <c r="AI466" i="7" s="1"/>
  <c r="U45" i="7"/>
  <c r="AI45" i="7" s="1"/>
  <c r="AJ45" i="7" s="1"/>
  <c r="U369" i="7"/>
  <c r="AI369" i="7" s="1"/>
  <c r="AK369" i="7" s="1"/>
  <c r="U517" i="7"/>
  <c r="AI517" i="7" s="1"/>
  <c r="AP517" i="7" s="1"/>
  <c r="AQ517" i="7" s="1"/>
  <c r="BL43" i="6"/>
  <c r="BL35" i="6"/>
  <c r="BO35" i="6" s="1"/>
  <c r="T6" i="6"/>
  <c r="U6" i="6" s="1"/>
  <c r="T36" i="6"/>
  <c r="AI36" i="6" s="1"/>
  <c r="AJ36" i="6" s="1"/>
  <c r="BL536" i="7"/>
  <c r="BO536" i="7" s="1"/>
  <c r="AR100" i="7"/>
  <c r="T9" i="6"/>
  <c r="U9" i="6" s="1"/>
  <c r="AR536" i="7"/>
  <c r="AR346" i="7"/>
  <c r="BL27" i="6"/>
  <c r="BO27" i="6" s="1"/>
  <c r="T39" i="6"/>
  <c r="U39" i="6" s="1"/>
  <c r="AR289" i="7"/>
  <c r="AR252" i="7"/>
  <c r="BL36" i="6"/>
  <c r="BM36" i="6" s="1"/>
  <c r="AT47" i="7"/>
  <c r="U138" i="7"/>
  <c r="AI138" i="7" s="1"/>
  <c r="AS23" i="6"/>
  <c r="AS5" i="6"/>
  <c r="AS8" i="6"/>
  <c r="BL264" i="7"/>
  <c r="BO264" i="7" s="1"/>
  <c r="BL40" i="6"/>
  <c r="AR308" i="7"/>
  <c r="AR118" i="7"/>
  <c r="T11" i="6"/>
  <c r="U11" i="6" s="1"/>
  <c r="BL32" i="6"/>
  <c r="BO32" i="6" s="1"/>
  <c r="BL24" i="6"/>
  <c r="BM24" i="6" s="1"/>
  <c r="U570" i="7"/>
  <c r="AI570" i="7" s="1"/>
  <c r="U461" i="7"/>
  <c r="AI461" i="7" s="1"/>
  <c r="AJ461" i="7" s="1"/>
  <c r="AS202" i="6"/>
  <c r="BL220" i="6"/>
  <c r="BO220" i="6" s="1"/>
  <c r="BL222" i="6"/>
  <c r="BL226" i="6"/>
  <c r="BM226" i="6" s="1"/>
  <c r="BN226" i="6" s="1"/>
  <c r="BL228" i="6"/>
  <c r="AS6" i="6"/>
  <c r="AS32" i="6"/>
  <c r="AR404" i="7"/>
  <c r="AR422" i="7"/>
  <c r="AR233" i="7"/>
  <c r="U450" i="7"/>
  <c r="AI450" i="7" s="1"/>
  <c r="AK450" i="7" s="1"/>
  <c r="U385" i="7"/>
  <c r="AI385" i="7" s="1"/>
  <c r="AJ385" i="7" s="1"/>
  <c r="U347" i="7"/>
  <c r="AI347" i="7" s="1"/>
  <c r="AP347" i="7" s="1"/>
  <c r="AQ347" i="7" s="1"/>
  <c r="BL79" i="6"/>
  <c r="BM79" i="6" s="1"/>
  <c r="BN79" i="6" s="1"/>
  <c r="BL83" i="6"/>
  <c r="BM83" i="6" s="1"/>
  <c r="BL68" i="6"/>
  <c r="BL75" i="6"/>
  <c r="BO75" i="6" s="1"/>
  <c r="BL151" i="6"/>
  <c r="BM151" i="6" s="1"/>
  <c r="BL145" i="6"/>
  <c r="BO145" i="6" s="1"/>
  <c r="BL168" i="6"/>
  <c r="AR214" i="7"/>
  <c r="T38" i="6"/>
  <c r="AI38" i="6" s="1"/>
  <c r="AJ38" i="6" s="1"/>
  <c r="AR5" i="7"/>
  <c r="AR384" i="7"/>
  <c r="AR194" i="7"/>
  <c r="T31" i="6"/>
  <c r="AI31" i="6" s="1"/>
  <c r="T32" i="6"/>
  <c r="AI32" i="6" s="1"/>
  <c r="AJ32" i="6" s="1"/>
  <c r="T23" i="6"/>
  <c r="U23" i="6" s="1"/>
  <c r="AR442" i="7"/>
  <c r="BL6" i="6"/>
  <c r="BO6" i="6" s="1"/>
  <c r="BL20" i="6"/>
  <c r="BM20" i="6" s="1"/>
  <c r="AR537" i="7"/>
  <c r="BL10" i="6"/>
  <c r="T24" i="6"/>
  <c r="AI24" i="6" s="1"/>
  <c r="AR156" i="7"/>
  <c r="BL16" i="6"/>
  <c r="BO16" i="6" s="1"/>
  <c r="T30" i="6"/>
  <c r="AI30" i="6" s="1"/>
  <c r="AJ30" i="6" s="1"/>
  <c r="BL48" i="7"/>
  <c r="BO48" i="7" s="1"/>
  <c r="BL544" i="7"/>
  <c r="BO544" i="7" s="1"/>
  <c r="BL568" i="7"/>
  <c r="BO568" i="7" s="1"/>
  <c r="BL180" i="7"/>
  <c r="BO180" i="7" s="1"/>
  <c r="BL41" i="7"/>
  <c r="BO41" i="7" s="1"/>
  <c r="BL509" i="7"/>
  <c r="BO509" i="7" s="1"/>
  <c r="U555" i="7"/>
  <c r="AI555" i="7" s="1"/>
  <c r="BL169" i="7"/>
  <c r="BO169" i="7" s="1"/>
  <c r="BL113" i="7"/>
  <c r="BO113" i="7" s="1"/>
  <c r="BL345" i="7"/>
  <c r="BO345" i="7" s="1"/>
  <c r="BL346" i="7"/>
  <c r="BO346" i="7" s="1"/>
  <c r="AR175" i="7"/>
  <c r="BM42" i="6"/>
  <c r="BO42" i="6"/>
  <c r="U213" i="7"/>
  <c r="AI213" i="7" s="1"/>
  <c r="U176" i="7"/>
  <c r="AI176" i="7" s="1"/>
  <c r="AK176" i="7" s="1"/>
  <c r="U4" i="7"/>
  <c r="AI4" i="7" s="1"/>
  <c r="AK4" i="7" s="1"/>
  <c r="BL41" i="6"/>
  <c r="T40" i="6"/>
  <c r="U40" i="6" s="1"/>
  <c r="AR213" i="7"/>
  <c r="AR555" i="7"/>
  <c r="BL207" i="7"/>
  <c r="BO207" i="7" s="1"/>
  <c r="BL533" i="7"/>
  <c r="BO533" i="7" s="1"/>
  <c r="AR24" i="7"/>
  <c r="T21" i="6"/>
  <c r="U21" i="6" s="1"/>
  <c r="AR518" i="7"/>
  <c r="T27" i="6"/>
  <c r="AI27" i="6" s="1"/>
  <c r="AJ27" i="6" s="1"/>
  <c r="T22" i="6"/>
  <c r="U22" i="6" s="1"/>
  <c r="T20" i="6"/>
  <c r="BL8" i="6"/>
  <c r="BL11" i="6"/>
  <c r="AR479" i="7"/>
  <c r="AR403" i="7"/>
  <c r="BL9" i="6"/>
  <c r="BO9" i="6" s="1"/>
  <c r="BL29" i="6"/>
  <c r="BO29" i="6" s="1"/>
  <c r="AR271" i="7"/>
  <c r="AT48" i="16"/>
  <c r="BL235" i="7"/>
  <c r="BO235" i="7" s="1"/>
  <c r="BL91" i="7"/>
  <c r="BO91" i="7" s="1"/>
  <c r="BL246" i="7"/>
  <c r="BO246" i="7" s="1"/>
  <c r="AR99" i="7"/>
  <c r="BL5" i="6"/>
  <c r="BL4" i="6"/>
  <c r="BM4" i="6" s="1"/>
  <c r="BN4" i="6" s="1"/>
  <c r="AR138" i="7"/>
  <c r="U366" i="7"/>
  <c r="AI366" i="7" s="1"/>
  <c r="AK366" i="7" s="1"/>
  <c r="U217" i="7"/>
  <c r="AI217" i="7" s="1"/>
  <c r="AP217" i="7" s="1"/>
  <c r="AQ217" i="7" s="1"/>
  <c r="AS217" i="7" s="1"/>
  <c r="BL271" i="7"/>
  <c r="BO271" i="7" s="1"/>
  <c r="BL159" i="7"/>
  <c r="BO159" i="7" s="1"/>
  <c r="BL90" i="7"/>
  <c r="BO90" i="7" s="1"/>
  <c r="BL171" i="7"/>
  <c r="BO171" i="7" s="1"/>
  <c r="BL355" i="7"/>
  <c r="BO355" i="7" s="1"/>
  <c r="BL507" i="7"/>
  <c r="BO507" i="7" s="1"/>
  <c r="BL167" i="7"/>
  <c r="BO167" i="7" s="1"/>
  <c r="BL98" i="7"/>
  <c r="BO98" i="7" s="1"/>
  <c r="BL523" i="7"/>
  <c r="BO523" i="7" s="1"/>
  <c r="BL299" i="7"/>
  <c r="BO299" i="7" s="1"/>
  <c r="BL450" i="7"/>
  <c r="BO450" i="7" s="1"/>
  <c r="BL19" i="6"/>
  <c r="BO19" i="6" s="1"/>
  <c r="AR4" i="7"/>
  <c r="U5" i="7"/>
  <c r="AI5" i="7" s="1"/>
  <c r="U21" i="7"/>
  <c r="AI21" i="7" s="1"/>
  <c r="U404" i="7"/>
  <c r="AI404" i="7" s="1"/>
  <c r="AP404" i="7" s="1"/>
  <c r="AQ404" i="7" s="1"/>
  <c r="U308" i="7"/>
  <c r="AI308" i="7" s="1"/>
  <c r="AK308" i="7" s="1"/>
  <c r="T25" i="6"/>
  <c r="T42" i="6"/>
  <c r="AI42" i="6" s="1"/>
  <c r="T43" i="6"/>
  <c r="U43" i="6" s="1"/>
  <c r="BL13" i="6"/>
  <c r="BL15" i="7"/>
  <c r="BO15" i="7" s="1"/>
  <c r="BL438" i="7"/>
  <c r="BO438" i="7" s="1"/>
  <c r="BL257" i="7"/>
  <c r="BO257" i="7" s="1"/>
  <c r="BL334" i="7"/>
  <c r="BO334" i="7" s="1"/>
  <c r="BL102" i="7"/>
  <c r="BO102" i="7" s="1"/>
  <c r="BL555" i="7"/>
  <c r="BO555" i="7" s="1"/>
  <c r="BL51" i="6"/>
  <c r="BO51" i="6" s="1"/>
  <c r="BL61" i="6"/>
  <c r="BL146" i="6"/>
  <c r="BL158" i="6"/>
  <c r="BL33" i="6"/>
  <c r="BM33" i="6" s="1"/>
  <c r="BN33" i="6" s="1"/>
  <c r="AR499" i="7"/>
  <c r="AR195" i="7"/>
  <c r="T29" i="6"/>
  <c r="AI29" i="6" s="1"/>
  <c r="AJ29" i="6" s="1"/>
  <c r="AR556" i="7"/>
  <c r="AR327" i="7"/>
  <c r="AR366" i="7"/>
  <c r="BL22" i="6"/>
  <c r="BO22" i="6" s="1"/>
  <c r="BL26" i="7"/>
  <c r="BO26" i="7" s="1"/>
  <c r="BL97" i="7"/>
  <c r="BO97" i="7" s="1"/>
  <c r="BL324" i="7"/>
  <c r="BO324" i="7" s="1"/>
  <c r="BL292" i="7"/>
  <c r="BO292" i="7" s="1"/>
  <c r="BL259" i="7"/>
  <c r="BO259" i="7" s="1"/>
  <c r="BL18" i="7"/>
  <c r="BO18" i="7" s="1"/>
  <c r="U558" i="7"/>
  <c r="AI558" i="7" s="1"/>
  <c r="AP558" i="7" s="1"/>
  <c r="AQ558" i="7" s="1"/>
  <c r="AS558" i="7" s="1"/>
  <c r="U414" i="7"/>
  <c r="AI414" i="7" s="1"/>
  <c r="AP414" i="7" s="1"/>
  <c r="AQ414" i="7" s="1"/>
  <c r="AS414" i="7" s="1"/>
  <c r="T34" i="6"/>
  <c r="U34" i="6" s="1"/>
  <c r="BL219" i="6"/>
  <c r="BM219" i="6" s="1"/>
  <c r="BN219" i="6" s="1"/>
  <c r="BL511" i="7"/>
  <c r="BO511" i="7" s="1"/>
  <c r="BL282" i="7"/>
  <c r="BO282" i="7" s="1"/>
  <c r="U365" i="7"/>
  <c r="AI365" i="7" s="1"/>
  <c r="AJ365" i="7" s="1"/>
  <c r="BL120" i="7"/>
  <c r="BO120" i="7" s="1"/>
  <c r="U270" i="7"/>
  <c r="AI270" i="7" s="1"/>
  <c r="BL217" i="7"/>
  <c r="BO217" i="7" s="1"/>
  <c r="BL573" i="7"/>
  <c r="BO573" i="7" s="1"/>
  <c r="BL545" i="7"/>
  <c r="BO545" i="7" s="1"/>
  <c r="AT28" i="16"/>
  <c r="BL178" i="7"/>
  <c r="BO178" i="7" s="1"/>
  <c r="BL435" i="7"/>
  <c r="BO435" i="7" s="1"/>
  <c r="BL35" i="7"/>
  <c r="BO35" i="7" s="1"/>
  <c r="BL358" i="7"/>
  <c r="BO358" i="7" s="1"/>
  <c r="BL174" i="7"/>
  <c r="BO174" i="7" s="1"/>
  <c r="BL70" i="7"/>
  <c r="BO70" i="7" s="1"/>
  <c r="BL379" i="7"/>
  <c r="BO379" i="7" s="1"/>
  <c r="U271" i="7"/>
  <c r="AI271" i="7" s="1"/>
  <c r="AJ271" i="7" s="1"/>
  <c r="BL23" i="16"/>
  <c r="BO23" i="16" s="1"/>
  <c r="BL23" i="6"/>
  <c r="BO23" i="6" s="1"/>
  <c r="BL37" i="6"/>
  <c r="BL561" i="7"/>
  <c r="BO561" i="7" s="1"/>
  <c r="U486" i="7"/>
  <c r="AI486" i="7" s="1"/>
  <c r="U438" i="7"/>
  <c r="AI438" i="7" s="1"/>
  <c r="AJ438" i="7" s="1"/>
  <c r="U556" i="7"/>
  <c r="AI556" i="7" s="1"/>
  <c r="AP556" i="7" s="1"/>
  <c r="AQ556" i="7" s="1"/>
  <c r="U499" i="7"/>
  <c r="AI499" i="7" s="1"/>
  <c r="AK499" i="7" s="1"/>
  <c r="AS139" i="6"/>
  <c r="T13" i="6"/>
  <c r="AI13" i="6" s="1"/>
  <c r="AS184" i="6"/>
  <c r="BL204" i="6"/>
  <c r="AS215" i="6"/>
  <c r="BL39" i="6"/>
  <c r="BL19" i="16"/>
  <c r="BO19" i="16" s="1"/>
  <c r="BL472" i="7"/>
  <c r="BO472" i="7" s="1"/>
  <c r="BP472" i="7" s="1"/>
  <c r="BL316" i="7"/>
  <c r="BO316" i="7" s="1"/>
  <c r="BP316" i="7" s="1"/>
  <c r="AS140" i="6"/>
  <c r="AS141" i="6"/>
  <c r="BL207" i="6"/>
  <c r="BO207" i="6" s="1"/>
  <c r="BL208" i="6"/>
  <c r="BL204" i="7"/>
  <c r="BO204" i="7" s="1"/>
  <c r="BL56" i="7"/>
  <c r="BO56" i="7" s="1"/>
  <c r="BL293" i="7"/>
  <c r="BO293" i="7" s="1"/>
  <c r="BL45" i="16"/>
  <c r="BO45" i="16" s="1"/>
  <c r="BL227" i="6"/>
  <c r="BO227" i="6" s="1"/>
  <c r="T217" i="6"/>
  <c r="U217" i="6" s="1"/>
  <c r="AS170" i="6"/>
  <c r="BL217" i="6"/>
  <c r="BO217" i="6" s="1"/>
  <c r="AT338" i="7"/>
  <c r="AT33" i="16"/>
  <c r="BL10" i="16"/>
  <c r="BO10" i="16" s="1"/>
  <c r="BL64" i="6"/>
  <c r="BL85" i="6"/>
  <c r="BL87" i="6"/>
  <c r="BO87" i="6" s="1"/>
  <c r="BL92" i="6"/>
  <c r="BL65" i="6"/>
  <c r="BL115" i="6"/>
  <c r="BL117" i="6"/>
  <c r="BM117" i="6" s="1"/>
  <c r="BL129" i="6"/>
  <c r="BL131" i="6"/>
  <c r="BM131" i="6" s="1"/>
  <c r="BN131" i="6" s="1"/>
  <c r="BL133" i="6"/>
  <c r="BM133" i="6" s="1"/>
  <c r="BL95" i="6"/>
  <c r="BM95" i="6" s="1"/>
  <c r="BN95" i="6" s="1"/>
  <c r="BL97" i="6"/>
  <c r="BO97" i="6" s="1"/>
  <c r="BL105" i="6"/>
  <c r="BL107" i="6"/>
  <c r="BM107" i="6" s="1"/>
  <c r="BL119" i="6"/>
  <c r="BM119" i="6" s="1"/>
  <c r="BN119" i="6" s="1"/>
  <c r="BL121" i="6"/>
  <c r="BL123" i="6"/>
  <c r="BL147" i="6"/>
  <c r="BL102" i="6"/>
  <c r="BM102" i="6" s="1"/>
  <c r="BN102" i="6" s="1"/>
  <c r="BL144" i="6"/>
  <c r="BL103" i="6"/>
  <c r="BL125" i="6"/>
  <c r="BL127" i="6"/>
  <c r="BO127" i="6" s="1"/>
  <c r="BL143" i="6"/>
  <c r="BL157" i="6"/>
  <c r="BL179" i="6"/>
  <c r="BM179" i="6" s="1"/>
  <c r="BL160" i="6"/>
  <c r="BO160" i="6" s="1"/>
  <c r="BL162" i="6"/>
  <c r="BM162" i="6" s="1"/>
  <c r="BL164" i="6"/>
  <c r="BL172" i="6"/>
  <c r="BL176" i="6"/>
  <c r="BO176" i="6" s="1"/>
  <c r="BL178" i="6"/>
  <c r="BO178" i="6" s="1"/>
  <c r="BL42" i="16"/>
  <c r="BO42" i="16" s="1"/>
  <c r="BL254" i="7"/>
  <c r="BO254" i="7" s="1"/>
  <c r="BL28" i="6"/>
  <c r="AS199" i="6"/>
  <c r="BL205" i="6"/>
  <c r="BL35" i="16"/>
  <c r="BO35" i="16" s="1"/>
  <c r="BL44" i="16"/>
  <c r="BO44" i="16" s="1"/>
  <c r="BL37" i="16"/>
  <c r="BO37" i="16" s="1"/>
  <c r="BL531" i="7"/>
  <c r="BO531" i="7" s="1"/>
  <c r="BL352" i="7"/>
  <c r="BO352" i="7" s="1"/>
  <c r="BL44" i="7"/>
  <c r="BO44" i="7" s="1"/>
  <c r="BL224" i="7"/>
  <c r="BO224" i="7" s="1"/>
  <c r="BL494" i="7"/>
  <c r="BO494" i="7" s="1"/>
  <c r="BL27" i="7"/>
  <c r="BO27" i="7" s="1"/>
  <c r="BL502" i="7"/>
  <c r="BO502" i="7" s="1"/>
  <c r="BL124" i="7"/>
  <c r="BO124" i="7" s="1"/>
  <c r="BL69" i="7"/>
  <c r="BO69" i="7" s="1"/>
  <c r="BP69" i="7" s="1"/>
  <c r="BL21" i="16"/>
  <c r="BO21" i="16" s="1"/>
  <c r="BP21" i="16" s="1"/>
  <c r="BL9" i="16"/>
  <c r="BO9" i="16" s="1"/>
  <c r="BL180" i="6"/>
  <c r="BO180" i="6" s="1"/>
  <c r="BL200" i="6"/>
  <c r="BL192" i="6"/>
  <c r="BO192" i="6" s="1"/>
  <c r="BL210" i="6"/>
  <c r="BO210" i="6" s="1"/>
  <c r="BL41" i="16"/>
  <c r="BO41" i="16" s="1"/>
  <c r="BL399" i="7"/>
  <c r="BO399" i="7" s="1"/>
  <c r="BL247" i="7"/>
  <c r="BO247" i="7" s="1"/>
  <c r="BL319" i="7"/>
  <c r="BO319" i="7" s="1"/>
  <c r="BL515" i="7"/>
  <c r="BO515" i="7" s="1"/>
  <c r="U478" i="7"/>
  <c r="AI478" i="7" s="1"/>
  <c r="U261" i="7"/>
  <c r="AI261" i="7" s="1"/>
  <c r="AK261" i="7" s="1"/>
  <c r="U137" i="7"/>
  <c r="AI137" i="7" s="1"/>
  <c r="AJ137" i="7" s="1"/>
  <c r="U290" i="7"/>
  <c r="AI290" i="7" s="1"/>
  <c r="AJ290" i="7" s="1"/>
  <c r="BL58" i="6"/>
  <c r="BM58" i="6" s="1"/>
  <c r="BL169" i="6"/>
  <c r="T207" i="6"/>
  <c r="T219" i="6"/>
  <c r="BL214" i="6"/>
  <c r="BO214" i="6" s="1"/>
  <c r="BL216" i="6"/>
  <c r="BL218" i="6"/>
  <c r="BL224" i="6"/>
  <c r="BL22" i="16"/>
  <c r="BO22" i="16" s="1"/>
  <c r="AT17" i="16"/>
  <c r="BL17" i="16"/>
  <c r="BO17" i="16" s="1"/>
  <c r="BL5" i="16"/>
  <c r="BO5" i="16" s="1"/>
  <c r="BL18" i="16"/>
  <c r="BO18" i="16" s="1"/>
  <c r="BL34" i="7"/>
  <c r="BO34" i="7" s="1"/>
  <c r="BL46" i="16"/>
  <c r="BO46" i="16" s="1"/>
  <c r="BL7" i="16"/>
  <c r="BO7" i="16" s="1"/>
  <c r="BL13" i="16"/>
  <c r="BO13" i="16" s="1"/>
  <c r="AT40" i="16"/>
  <c r="BL40" i="16"/>
  <c r="BO40" i="16" s="1"/>
  <c r="BL126" i="7"/>
  <c r="BO126" i="7" s="1"/>
  <c r="BL517" i="7"/>
  <c r="BO517" i="7" s="1"/>
  <c r="AT14" i="16"/>
  <c r="BL14" i="16"/>
  <c r="BO14" i="16" s="1"/>
  <c r="Q116" i="6"/>
  <c r="AS116" i="6" s="1"/>
  <c r="BL4" i="16"/>
  <c r="BO4" i="16" s="1"/>
  <c r="BL32" i="16"/>
  <c r="BO32" i="16" s="1"/>
  <c r="BP32" i="16" s="1"/>
  <c r="BL57" i="6"/>
  <c r="BM57" i="6" s="1"/>
  <c r="BL34" i="16"/>
  <c r="BO34" i="16" s="1"/>
  <c r="BL27" i="16"/>
  <c r="BO27" i="16" s="1"/>
  <c r="BL36" i="16"/>
  <c r="BO36" i="16" s="1"/>
  <c r="BL512" i="7"/>
  <c r="BO512" i="7" s="1"/>
  <c r="BL283" i="7"/>
  <c r="BO283" i="7" s="1"/>
  <c r="BL313" i="7"/>
  <c r="BO313" i="7" s="1"/>
  <c r="BL349" i="7"/>
  <c r="BO349" i="7" s="1"/>
  <c r="BL61" i="7"/>
  <c r="BO61" i="7" s="1"/>
  <c r="BP61" i="7" s="1"/>
  <c r="BL542" i="7"/>
  <c r="BO542" i="7" s="1"/>
  <c r="BL157" i="7"/>
  <c r="BO157" i="7" s="1"/>
  <c r="BL530" i="7"/>
  <c r="BO530" i="7" s="1"/>
  <c r="BL333" i="7"/>
  <c r="BO333" i="7" s="1"/>
  <c r="BL505" i="7"/>
  <c r="BO505" i="7" s="1"/>
  <c r="BL6" i="16"/>
  <c r="BO6" i="16" s="1"/>
  <c r="BL26" i="16"/>
  <c r="BO26" i="16" s="1"/>
  <c r="BL31" i="16"/>
  <c r="BO31" i="16" s="1"/>
  <c r="BL12" i="16"/>
  <c r="BO12" i="16" s="1"/>
  <c r="BL47" i="16"/>
  <c r="BO47" i="16" s="1"/>
  <c r="BL30" i="16"/>
  <c r="BO30" i="16" s="1"/>
  <c r="BL11" i="16"/>
  <c r="BO11" i="16" s="1"/>
  <c r="BL52" i="6"/>
  <c r="BL62" i="6"/>
  <c r="BM62" i="6" s="1"/>
  <c r="BL80" i="6"/>
  <c r="BM80" i="6" s="1"/>
  <c r="BN80" i="6" s="1"/>
  <c r="BL82" i="6"/>
  <c r="BM82" i="6" s="1"/>
  <c r="BL91" i="6"/>
  <c r="BL74" i="6"/>
  <c r="BM74" i="6" s="1"/>
  <c r="BL76" i="6"/>
  <c r="BO76" i="6" s="1"/>
  <c r="BL78" i="6"/>
  <c r="BO78" i="6" s="1"/>
  <c r="BL45" i="6"/>
  <c r="BL70" i="6"/>
  <c r="BM70" i="6" s="1"/>
  <c r="BL72" i="6"/>
  <c r="BO72" i="6" s="1"/>
  <c r="BL112" i="6"/>
  <c r="BM112" i="6" s="1"/>
  <c r="BL138" i="6"/>
  <c r="BL139" i="6"/>
  <c r="BM139" i="6" s="1"/>
  <c r="BL150" i="6"/>
  <c r="BM150" i="6" s="1"/>
  <c r="BN150" i="6" s="1"/>
  <c r="BL152" i="6"/>
  <c r="BM152" i="6" s="1"/>
  <c r="BL167" i="6"/>
  <c r="BL174" i="6"/>
  <c r="BM174" i="6" s="1"/>
  <c r="BL155" i="6"/>
  <c r="BM155" i="6" s="1"/>
  <c r="BN155" i="6" s="1"/>
  <c r="BL170" i="6"/>
  <c r="BM170" i="6" s="1"/>
  <c r="BL424" i="7"/>
  <c r="BO424" i="7" s="1"/>
  <c r="BL39" i="16"/>
  <c r="BO39" i="16" s="1"/>
  <c r="T187" i="6"/>
  <c r="U187" i="6" s="1"/>
  <c r="T203" i="6"/>
  <c r="U203" i="6" s="1"/>
  <c r="T16" i="6"/>
  <c r="AS186" i="6"/>
  <c r="AS200" i="6"/>
  <c r="BL188" i="6"/>
  <c r="BM188" i="6" s="1"/>
  <c r="BL194" i="6"/>
  <c r="BO194" i="6" s="1"/>
  <c r="T208" i="6"/>
  <c r="BL206" i="6"/>
  <c r="BL212" i="6"/>
  <c r="BM212" i="6" s="1"/>
  <c r="BL84" i="6"/>
  <c r="BM84" i="6" s="1"/>
  <c r="BL88" i="6"/>
  <c r="BO88" i="6" s="1"/>
  <c r="BL46" i="6"/>
  <c r="BM46" i="6" s="1"/>
  <c r="BL116" i="6"/>
  <c r="BL130" i="6"/>
  <c r="BL96" i="6"/>
  <c r="BM96" i="6" s="1"/>
  <c r="BN96" i="6" s="1"/>
  <c r="BL106" i="6"/>
  <c r="BO106" i="6" s="1"/>
  <c r="BL120" i="6"/>
  <c r="BM120" i="6" s="1"/>
  <c r="BL153" i="6"/>
  <c r="BM153" i="6" s="1"/>
  <c r="BL100" i="6"/>
  <c r="BO100" i="6" s="1"/>
  <c r="BL113" i="6"/>
  <c r="BO113" i="6" s="1"/>
  <c r="BL124" i="6"/>
  <c r="BL126" i="6"/>
  <c r="BM126" i="6" s="1"/>
  <c r="BL128" i="6"/>
  <c r="BO128" i="6" s="1"/>
  <c r="BL142" i="6"/>
  <c r="BM142" i="6" s="1"/>
  <c r="BL159" i="6"/>
  <c r="BO159" i="6" s="1"/>
  <c r="BL163" i="6"/>
  <c r="BM163" i="6" s="1"/>
  <c r="BL173" i="6"/>
  <c r="BO173" i="6" s="1"/>
  <c r="BL177" i="6"/>
  <c r="BM177" i="6" s="1"/>
  <c r="BL24" i="16"/>
  <c r="BO24" i="16" s="1"/>
  <c r="BL15" i="16"/>
  <c r="BO15" i="16" s="1"/>
  <c r="BL14" i="6"/>
  <c r="BM14" i="6" s="1"/>
  <c r="BN14" i="6" s="1"/>
  <c r="BL18" i="6"/>
  <c r="BO18" i="6" s="1"/>
  <c r="BL182" i="6"/>
  <c r="BL190" i="6"/>
  <c r="BM190" i="6" s="1"/>
  <c r="BL196" i="6"/>
  <c r="BM196" i="6" s="1"/>
  <c r="BN196" i="6" s="1"/>
  <c r="BL198" i="6"/>
  <c r="BM198" i="6" s="1"/>
  <c r="BL202" i="6"/>
  <c r="BL17" i="6"/>
  <c r="BL181" i="6"/>
  <c r="BO181" i="6" s="1"/>
  <c r="BL185" i="6"/>
  <c r="BO185" i="6" s="1"/>
  <c r="BL187" i="6"/>
  <c r="BL193" i="6"/>
  <c r="BL197" i="6"/>
  <c r="BO197" i="6" s="1"/>
  <c r="BL201" i="6"/>
  <c r="BO201" i="6" s="1"/>
  <c r="BL203" i="6"/>
  <c r="T212" i="6"/>
  <c r="BL209" i="6"/>
  <c r="BM209" i="6" s="1"/>
  <c r="BN209" i="6" s="1"/>
  <c r="BL211" i="6"/>
  <c r="BO211" i="6" s="1"/>
  <c r="BL213" i="6"/>
  <c r="BM213" i="6" s="1"/>
  <c r="BN213" i="6" s="1"/>
  <c r="BL215" i="6"/>
  <c r="BL221" i="6"/>
  <c r="BM221" i="6" s="1"/>
  <c r="BN221" i="6" s="1"/>
  <c r="BL223" i="6"/>
  <c r="BM223" i="6" s="1"/>
  <c r="BN223" i="6" s="1"/>
  <c r="BL225" i="6"/>
  <c r="BL8" i="16"/>
  <c r="BO8" i="16" s="1"/>
  <c r="BL28" i="16"/>
  <c r="BO28" i="16" s="1"/>
  <c r="BL490" i="7"/>
  <c r="BO490" i="7" s="1"/>
  <c r="BL354" i="7"/>
  <c r="BO354" i="7" s="1"/>
  <c r="BP354" i="7" s="1"/>
  <c r="BL132" i="7"/>
  <c r="BO132" i="7" s="1"/>
  <c r="BL522" i="7"/>
  <c r="BO522" i="7" s="1"/>
  <c r="BL20" i="16"/>
  <c r="BO20" i="16" s="1"/>
  <c r="BL16" i="16"/>
  <c r="BO16" i="16" s="1"/>
  <c r="BP16" i="16" s="1"/>
  <c r="BL29" i="16"/>
  <c r="BO29" i="16" s="1"/>
  <c r="BP29" i="16" s="1"/>
  <c r="BL49" i="6"/>
  <c r="BM49" i="6" s="1"/>
  <c r="BL53" i="6"/>
  <c r="BM53" i="6" s="1"/>
  <c r="BL59" i="6"/>
  <c r="BO59" i="6" s="1"/>
  <c r="BL63" i="6"/>
  <c r="BL56" i="6"/>
  <c r="BM56" i="6" s="1"/>
  <c r="BL66" i="6"/>
  <c r="BL69" i="6"/>
  <c r="BM69" i="6" s="1"/>
  <c r="BL71" i="6"/>
  <c r="BL73" i="6"/>
  <c r="BL90" i="6"/>
  <c r="BM90" i="6" s="1"/>
  <c r="BL99" i="6"/>
  <c r="BM99" i="6" s="1"/>
  <c r="BN99" i="6" s="1"/>
  <c r="BL140" i="6"/>
  <c r="BL148" i="6"/>
  <c r="BM148" i="6" s="1"/>
  <c r="BL109" i="6"/>
  <c r="BO109" i="6" s="1"/>
  <c r="BL135" i="6"/>
  <c r="BM135" i="6" s="1"/>
  <c r="BL154" i="6"/>
  <c r="BL156" i="6"/>
  <c r="BM156" i="6" s="1"/>
  <c r="BL540" i="7"/>
  <c r="BO540" i="7" s="1"/>
  <c r="BL388" i="7"/>
  <c r="BO388" i="7" s="1"/>
  <c r="BL48" i="16"/>
  <c r="BO48" i="16" s="1"/>
  <c r="BL33" i="16"/>
  <c r="BO33" i="16" s="1"/>
  <c r="AS185" i="6"/>
  <c r="AS187" i="6"/>
  <c r="AS201" i="6"/>
  <c r="AS203" i="6"/>
  <c r="BL15" i="6"/>
  <c r="BM15" i="6" s="1"/>
  <c r="BL183" i="6"/>
  <c r="BM183" i="6" s="1"/>
  <c r="BL189" i="6"/>
  <c r="BL195" i="6"/>
  <c r="BO195" i="6" s="1"/>
  <c r="BL128" i="7"/>
  <c r="BO128" i="7" s="1"/>
  <c r="BL59" i="7"/>
  <c r="BO59" i="7" s="1"/>
  <c r="BL338" i="7"/>
  <c r="BO338" i="7" s="1"/>
  <c r="BL350" i="7"/>
  <c r="BO350" i="7" s="1"/>
  <c r="BL6" i="7"/>
  <c r="BO6" i="7" s="1"/>
  <c r="BL407" i="7"/>
  <c r="BO407" i="7" s="1"/>
  <c r="BL459" i="7"/>
  <c r="BO459" i="7" s="1"/>
  <c r="BL238" i="7"/>
  <c r="BO238" i="7" s="1"/>
  <c r="BL47" i="7"/>
  <c r="BO47" i="7" s="1"/>
  <c r="BL273" i="7"/>
  <c r="BO273" i="7" s="1"/>
  <c r="BL236" i="7"/>
  <c r="BO236" i="7" s="1"/>
  <c r="BL237" i="7"/>
  <c r="BO237" i="7" s="1"/>
  <c r="BL77" i="7"/>
  <c r="BO77" i="7" s="1"/>
  <c r="BL54" i="7"/>
  <c r="BO54" i="7" s="1"/>
  <c r="BL463" i="7"/>
  <c r="BO463" i="7" s="1"/>
  <c r="BL228" i="7"/>
  <c r="BO228" i="7" s="1"/>
  <c r="BL295" i="7"/>
  <c r="BO295" i="7" s="1"/>
  <c r="BL199" i="7"/>
  <c r="BO199" i="7" s="1"/>
  <c r="BL565" i="7"/>
  <c r="BO565" i="7" s="1"/>
  <c r="BP565" i="7" s="1"/>
  <c r="BL470" i="7"/>
  <c r="BO470" i="7" s="1"/>
  <c r="BL278" i="7"/>
  <c r="BO278" i="7" s="1"/>
  <c r="BL269" i="7"/>
  <c r="BO269" i="7" s="1"/>
  <c r="BL177" i="7"/>
  <c r="BO177" i="7" s="1"/>
  <c r="BL158" i="7"/>
  <c r="BO158" i="7" s="1"/>
  <c r="BL163" i="7"/>
  <c r="BO163" i="7" s="1"/>
  <c r="BL434" i="7"/>
  <c r="BO434" i="7" s="1"/>
  <c r="BL250" i="7"/>
  <c r="BO250" i="7" s="1"/>
  <c r="BL474" i="7"/>
  <c r="BO474" i="7" s="1"/>
  <c r="BL205" i="7"/>
  <c r="BO205" i="7" s="1"/>
  <c r="BL73" i="7"/>
  <c r="BO73" i="7" s="1"/>
  <c r="BL506" i="7"/>
  <c r="BO506" i="7" s="1"/>
  <c r="BL95" i="7"/>
  <c r="BO95" i="7" s="1"/>
  <c r="BL135" i="7"/>
  <c r="BO135" i="7" s="1"/>
  <c r="BL447" i="7"/>
  <c r="BO447" i="7" s="1"/>
  <c r="BL368" i="7"/>
  <c r="BO368" i="7" s="1"/>
  <c r="BL330" i="7"/>
  <c r="BO330" i="7" s="1"/>
  <c r="BL64" i="7"/>
  <c r="BO64" i="7" s="1"/>
  <c r="BL460" i="7"/>
  <c r="BO460" i="7" s="1"/>
  <c r="BL421" i="7"/>
  <c r="BO421" i="7" s="1"/>
  <c r="BL440" i="7"/>
  <c r="BO440" i="7" s="1"/>
  <c r="BL482" i="7"/>
  <c r="BO482" i="7" s="1"/>
  <c r="BL96" i="7"/>
  <c r="BO96" i="7" s="1"/>
  <c r="BL306" i="7"/>
  <c r="BO306" i="7" s="1"/>
  <c r="BL374" i="7"/>
  <c r="BO374" i="7" s="1"/>
  <c r="BL110" i="7"/>
  <c r="BO110" i="7" s="1"/>
  <c r="BL495" i="7"/>
  <c r="BO495" i="7" s="1"/>
  <c r="BL218" i="7"/>
  <c r="BO218" i="7" s="1"/>
  <c r="BL401" i="7"/>
  <c r="BO401" i="7" s="1"/>
  <c r="BL114" i="7"/>
  <c r="BO114" i="7" s="1"/>
  <c r="BP114" i="7" s="1"/>
  <c r="BL175" i="7"/>
  <c r="BO175" i="7" s="1"/>
  <c r="BL265" i="7"/>
  <c r="BO265" i="7" s="1"/>
  <c r="BP265" i="7" s="1"/>
  <c r="BL426" i="7"/>
  <c r="BO426" i="7" s="1"/>
  <c r="BL123" i="7"/>
  <c r="BO123" i="7" s="1"/>
  <c r="BL406" i="7"/>
  <c r="BO406" i="7" s="1"/>
  <c r="BL397" i="7"/>
  <c r="BO397" i="7" s="1"/>
  <c r="BL186" i="7"/>
  <c r="BO186" i="7" s="1"/>
  <c r="BL436" i="7"/>
  <c r="BO436" i="7" s="1"/>
  <c r="BL255" i="7"/>
  <c r="BO255" i="7" s="1"/>
  <c r="BL402" i="7"/>
  <c r="BO402" i="7" s="1"/>
  <c r="BL147" i="7"/>
  <c r="BO147" i="7" s="1"/>
  <c r="BL52" i="7"/>
  <c r="BO52" i="7" s="1"/>
  <c r="AT539" i="7"/>
  <c r="BL539" i="7"/>
  <c r="BO539" i="7" s="1"/>
  <c r="AT519" i="7"/>
  <c r="BL519" i="7"/>
  <c r="BO519" i="7" s="1"/>
  <c r="AT499" i="7"/>
  <c r="BL499" i="7"/>
  <c r="BO499" i="7" s="1"/>
  <c r="AT427" i="7"/>
  <c r="BL427" i="7"/>
  <c r="BO427" i="7" s="1"/>
  <c r="AT383" i="7"/>
  <c r="BL383" i="7"/>
  <c r="BO383" i="7" s="1"/>
  <c r="AT363" i="7"/>
  <c r="BL363" i="7"/>
  <c r="BO363" i="7" s="1"/>
  <c r="AT315" i="7"/>
  <c r="BL315" i="7"/>
  <c r="BO315" i="7" s="1"/>
  <c r="AT291" i="7"/>
  <c r="BL291" i="7"/>
  <c r="BO291" i="7" s="1"/>
  <c r="AT179" i="7"/>
  <c r="BL179" i="7"/>
  <c r="BO179" i="7" s="1"/>
  <c r="AT107" i="7"/>
  <c r="BL107" i="7"/>
  <c r="BO107" i="7" s="1"/>
  <c r="AT87" i="7"/>
  <c r="BL87" i="7"/>
  <c r="BO87" i="7" s="1"/>
  <c r="AT67" i="7"/>
  <c r="BL67" i="7"/>
  <c r="BO67" i="7" s="1"/>
  <c r="AT554" i="7"/>
  <c r="BL554" i="7"/>
  <c r="BO554" i="7" s="1"/>
  <c r="AT538" i="7"/>
  <c r="BL538" i="7"/>
  <c r="BO538" i="7" s="1"/>
  <c r="AT446" i="7"/>
  <c r="BL446" i="7"/>
  <c r="BO446" i="7" s="1"/>
  <c r="AT430" i="7"/>
  <c r="BL430" i="7"/>
  <c r="BO430" i="7" s="1"/>
  <c r="AT414" i="7"/>
  <c r="BL414" i="7"/>
  <c r="BO414" i="7" s="1"/>
  <c r="AT398" i="7"/>
  <c r="BL398" i="7"/>
  <c r="BO398" i="7" s="1"/>
  <c r="AT382" i="7"/>
  <c r="BL382" i="7"/>
  <c r="BO382" i="7" s="1"/>
  <c r="AT366" i="7"/>
  <c r="BL366" i="7"/>
  <c r="BO366" i="7" s="1"/>
  <c r="AT290" i="7"/>
  <c r="BL290" i="7"/>
  <c r="BO290" i="7" s="1"/>
  <c r="AT258" i="7"/>
  <c r="BL258" i="7"/>
  <c r="BO258" i="7" s="1"/>
  <c r="AT242" i="7"/>
  <c r="BL242" i="7"/>
  <c r="BO242" i="7" s="1"/>
  <c r="AT214" i="7"/>
  <c r="BL214" i="7"/>
  <c r="BO214" i="7" s="1"/>
  <c r="AT198" i="7"/>
  <c r="BL198" i="7"/>
  <c r="BO198" i="7" s="1"/>
  <c r="AT166" i="7"/>
  <c r="BL166" i="7"/>
  <c r="BO166" i="7" s="1"/>
  <c r="AT150" i="7"/>
  <c r="BL150" i="7"/>
  <c r="BO150" i="7" s="1"/>
  <c r="AT134" i="7"/>
  <c r="BL134" i="7"/>
  <c r="BO134" i="7" s="1"/>
  <c r="AT118" i="7"/>
  <c r="BL118" i="7"/>
  <c r="BO118" i="7" s="1"/>
  <c r="BP118" i="7" s="1"/>
  <c r="AT106" i="7"/>
  <c r="BL106" i="7"/>
  <c r="BO106" i="7" s="1"/>
  <c r="AT74" i="7"/>
  <c r="BL74" i="7"/>
  <c r="BO74" i="7" s="1"/>
  <c r="AT58" i="7"/>
  <c r="BL58" i="7"/>
  <c r="BO58" i="7" s="1"/>
  <c r="AT42" i="7"/>
  <c r="BL42" i="7"/>
  <c r="BO42" i="7" s="1"/>
  <c r="AT63" i="7"/>
  <c r="BL63" i="7"/>
  <c r="BO63" i="7" s="1"/>
  <c r="AT111" i="7"/>
  <c r="BL111" i="7"/>
  <c r="BO111" i="7" s="1"/>
  <c r="AT139" i="7"/>
  <c r="BL139" i="7"/>
  <c r="BO139" i="7" s="1"/>
  <c r="AT155" i="7"/>
  <c r="BL155" i="7"/>
  <c r="BO155" i="7" s="1"/>
  <c r="AT187" i="7"/>
  <c r="BL187" i="7"/>
  <c r="BO187" i="7" s="1"/>
  <c r="AT203" i="7"/>
  <c r="BL203" i="7"/>
  <c r="BO203" i="7" s="1"/>
  <c r="AT219" i="7"/>
  <c r="BL219" i="7"/>
  <c r="BO219" i="7" s="1"/>
  <c r="AT311" i="7"/>
  <c r="BL311" i="7"/>
  <c r="BO311" i="7" s="1"/>
  <c r="AT387" i="7"/>
  <c r="BL387" i="7"/>
  <c r="BO387" i="7" s="1"/>
  <c r="AT403" i="7"/>
  <c r="BL403" i="7"/>
  <c r="BO403" i="7" s="1"/>
  <c r="AT451" i="7"/>
  <c r="BL451" i="7"/>
  <c r="BO451" i="7" s="1"/>
  <c r="AT479" i="7"/>
  <c r="BL479" i="7"/>
  <c r="BO479" i="7" s="1"/>
  <c r="AT543" i="7"/>
  <c r="BL543" i="7"/>
  <c r="BO543" i="7" s="1"/>
  <c r="AT559" i="7"/>
  <c r="BL559" i="7"/>
  <c r="BO559" i="7" s="1"/>
  <c r="AT551" i="7"/>
  <c r="BL551" i="7"/>
  <c r="BO551" i="7" s="1"/>
  <c r="AT467" i="7"/>
  <c r="BL467" i="7"/>
  <c r="BO467" i="7" s="1"/>
  <c r="AT439" i="7"/>
  <c r="BL439" i="7"/>
  <c r="BO439" i="7" s="1"/>
  <c r="AT415" i="7"/>
  <c r="BL415" i="7"/>
  <c r="BO415" i="7" s="1"/>
  <c r="AT351" i="7"/>
  <c r="BL351" i="7"/>
  <c r="BO351" i="7" s="1"/>
  <c r="AT323" i="7"/>
  <c r="BL323" i="7"/>
  <c r="BO323" i="7" s="1"/>
  <c r="AT303" i="7"/>
  <c r="BL303" i="7"/>
  <c r="BO303" i="7" s="1"/>
  <c r="AT239" i="7"/>
  <c r="BL239" i="7"/>
  <c r="BO239" i="7" s="1"/>
  <c r="AT231" i="7"/>
  <c r="BL231" i="7"/>
  <c r="BO231" i="7" s="1"/>
  <c r="AT211" i="7"/>
  <c r="BL211" i="7"/>
  <c r="BO211" i="7" s="1"/>
  <c r="AT191" i="7"/>
  <c r="BL191" i="7"/>
  <c r="BO191" i="7" s="1"/>
  <c r="AT127" i="7"/>
  <c r="BL127" i="7"/>
  <c r="BO127" i="7" s="1"/>
  <c r="AT99" i="7"/>
  <c r="BL99" i="7"/>
  <c r="BO99" i="7" s="1"/>
  <c r="AT75" i="7"/>
  <c r="BL75" i="7"/>
  <c r="BO75" i="7" s="1"/>
  <c r="AT11" i="7"/>
  <c r="BL11" i="7"/>
  <c r="BO11" i="7" s="1"/>
  <c r="AT562" i="7"/>
  <c r="BL562" i="7"/>
  <c r="BO562" i="7" s="1"/>
  <c r="AT546" i="7"/>
  <c r="BL546" i="7"/>
  <c r="BO546" i="7" s="1"/>
  <c r="AT514" i="7"/>
  <c r="BL514" i="7"/>
  <c r="BO514" i="7" s="1"/>
  <c r="AT498" i="7"/>
  <c r="BL498" i="7"/>
  <c r="BO498" i="7" s="1"/>
  <c r="AT454" i="7"/>
  <c r="BL454" i="7"/>
  <c r="BO454" i="7" s="1"/>
  <c r="AT422" i="7"/>
  <c r="BL422" i="7"/>
  <c r="BO422" i="7" s="1"/>
  <c r="AT390" i="7"/>
  <c r="BL390" i="7"/>
  <c r="BO390" i="7" s="1"/>
  <c r="AT314" i="7"/>
  <c r="BL314" i="7"/>
  <c r="BO314" i="7" s="1"/>
  <c r="AT298" i="7"/>
  <c r="BL298" i="7"/>
  <c r="BO298" i="7" s="1"/>
  <c r="AT234" i="7"/>
  <c r="BL234" i="7"/>
  <c r="BO234" i="7" s="1"/>
  <c r="AT222" i="7"/>
  <c r="BL222" i="7"/>
  <c r="BO222" i="7" s="1"/>
  <c r="AT206" i="7"/>
  <c r="BL206" i="7"/>
  <c r="BO206" i="7" s="1"/>
  <c r="AT142" i="7"/>
  <c r="BL142" i="7"/>
  <c r="BO142" i="7" s="1"/>
  <c r="AT66" i="7"/>
  <c r="BL66" i="7"/>
  <c r="BO66" i="7" s="1"/>
  <c r="AT50" i="7"/>
  <c r="BL50" i="7"/>
  <c r="BO50" i="7" s="1"/>
  <c r="AT537" i="7"/>
  <c r="BL537" i="7"/>
  <c r="BO537" i="7" s="1"/>
  <c r="AT521" i="7"/>
  <c r="BL521" i="7"/>
  <c r="BO521" i="7" s="1"/>
  <c r="AT473" i="7"/>
  <c r="BL473" i="7"/>
  <c r="BO473" i="7" s="1"/>
  <c r="AT445" i="7"/>
  <c r="BL445" i="7"/>
  <c r="BO445" i="7" s="1"/>
  <c r="AT429" i="7"/>
  <c r="BL429" i="7"/>
  <c r="BO429" i="7" s="1"/>
  <c r="AT381" i="7"/>
  <c r="BL381" i="7"/>
  <c r="BO381" i="7" s="1"/>
  <c r="BP381" i="7" s="1"/>
  <c r="AT365" i="7"/>
  <c r="BL365" i="7"/>
  <c r="BO365" i="7" s="1"/>
  <c r="AT337" i="7"/>
  <c r="BL337" i="7"/>
  <c r="BO337" i="7" s="1"/>
  <c r="BP337" i="7" s="1"/>
  <c r="AT321" i="7"/>
  <c r="BL321" i="7"/>
  <c r="BO321" i="7" s="1"/>
  <c r="AT289" i="7"/>
  <c r="BL289" i="7"/>
  <c r="BO289" i="7" s="1"/>
  <c r="BP289" i="7" s="1"/>
  <c r="AT241" i="7"/>
  <c r="BL241" i="7"/>
  <c r="BO241" i="7" s="1"/>
  <c r="AT567" i="7"/>
  <c r="BL567" i="7"/>
  <c r="BO567" i="7" s="1"/>
  <c r="AT503" i="7"/>
  <c r="BL503" i="7"/>
  <c r="BO503" i="7" s="1"/>
  <c r="BP503" i="7" s="1"/>
  <c r="AT483" i="7"/>
  <c r="BL483" i="7"/>
  <c r="BO483" i="7" s="1"/>
  <c r="AT455" i="7"/>
  <c r="BL455" i="7"/>
  <c r="BO455" i="7" s="1"/>
  <c r="AT391" i="7"/>
  <c r="BL391" i="7"/>
  <c r="BO391" i="7" s="1"/>
  <c r="AT367" i="7"/>
  <c r="BL367" i="7"/>
  <c r="BO367" i="7" s="1"/>
  <c r="BP367" i="7" s="1"/>
  <c r="AT339" i="7"/>
  <c r="BL339" i="7"/>
  <c r="BO339" i="7" s="1"/>
  <c r="AT275" i="7"/>
  <c r="BL275" i="7"/>
  <c r="BO275" i="7" s="1"/>
  <c r="AT227" i="7"/>
  <c r="BL227" i="7"/>
  <c r="BO227" i="7" s="1"/>
  <c r="AT143" i="7"/>
  <c r="BL143" i="7"/>
  <c r="BO143" i="7" s="1"/>
  <c r="AT119" i="7"/>
  <c r="BL119" i="7"/>
  <c r="BO119" i="7" s="1"/>
  <c r="AT115" i="7"/>
  <c r="BL115" i="7"/>
  <c r="BO115" i="7" s="1"/>
  <c r="AT71" i="7"/>
  <c r="BL71" i="7"/>
  <c r="BO71" i="7" s="1"/>
  <c r="AT51" i="7"/>
  <c r="BL51" i="7"/>
  <c r="BO51" i="7" s="1"/>
  <c r="AT526" i="7"/>
  <c r="BL526" i="7"/>
  <c r="BO526" i="7" s="1"/>
  <c r="BP526" i="7" s="1"/>
  <c r="AT510" i="7"/>
  <c r="BL510" i="7"/>
  <c r="BO510" i="7" s="1"/>
  <c r="AT478" i="7"/>
  <c r="BL478" i="7"/>
  <c r="BO478" i="7" s="1"/>
  <c r="AT462" i="7"/>
  <c r="BL462" i="7"/>
  <c r="BO462" i="7" s="1"/>
  <c r="AT418" i="7"/>
  <c r="BL418" i="7"/>
  <c r="BO418" i="7" s="1"/>
  <c r="AT386" i="7"/>
  <c r="BL386" i="7"/>
  <c r="BO386" i="7" s="1"/>
  <c r="AT370" i="7"/>
  <c r="BL370" i="7"/>
  <c r="BO370" i="7" s="1"/>
  <c r="AT342" i="7"/>
  <c r="BL342" i="7"/>
  <c r="BO342" i="7" s="1"/>
  <c r="AT326" i="7"/>
  <c r="BL326" i="7"/>
  <c r="BO326" i="7" s="1"/>
  <c r="BP326" i="7" s="1"/>
  <c r="AT262" i="7"/>
  <c r="BL262" i="7"/>
  <c r="BO262" i="7" s="1"/>
  <c r="AT170" i="7"/>
  <c r="BL170" i="7"/>
  <c r="BO170" i="7" s="1"/>
  <c r="BP170" i="7" s="1"/>
  <c r="AT138" i="7"/>
  <c r="BL138" i="7"/>
  <c r="BO138" i="7" s="1"/>
  <c r="AT122" i="7"/>
  <c r="BL122" i="7"/>
  <c r="BO122" i="7" s="1"/>
  <c r="AT94" i="7"/>
  <c r="BL94" i="7"/>
  <c r="BO94" i="7" s="1"/>
  <c r="AT78" i="7"/>
  <c r="BL78" i="7"/>
  <c r="BO78" i="7" s="1"/>
  <c r="AT30" i="7"/>
  <c r="BL30" i="7"/>
  <c r="BO30" i="7" s="1"/>
  <c r="AT14" i="7"/>
  <c r="BL14" i="7"/>
  <c r="BO14" i="7" s="1"/>
  <c r="AT549" i="7"/>
  <c r="BL549" i="7"/>
  <c r="BO549" i="7" s="1"/>
  <c r="AT501" i="7"/>
  <c r="BL501" i="7"/>
  <c r="BO501" i="7" s="1"/>
  <c r="AT485" i="7"/>
  <c r="BL485" i="7"/>
  <c r="BO485" i="7" s="1"/>
  <c r="AT457" i="7"/>
  <c r="BL457" i="7"/>
  <c r="BO457" i="7" s="1"/>
  <c r="AT409" i="7"/>
  <c r="BL409" i="7"/>
  <c r="BO409" i="7" s="1"/>
  <c r="AT393" i="7"/>
  <c r="BL393" i="7"/>
  <c r="BO393" i="7" s="1"/>
  <c r="AT317" i="7"/>
  <c r="BL317" i="7"/>
  <c r="BO317" i="7" s="1"/>
  <c r="AT301" i="7"/>
  <c r="BL301" i="7"/>
  <c r="BO301" i="7" s="1"/>
  <c r="AT253" i="7"/>
  <c r="BL253" i="7"/>
  <c r="BO253" i="7" s="1"/>
  <c r="AT156" i="7"/>
  <c r="BL156" i="7"/>
  <c r="BO156" i="7" s="1"/>
  <c r="AT496" i="7"/>
  <c r="BL496" i="7"/>
  <c r="BO496" i="7" s="1"/>
  <c r="AT404" i="7"/>
  <c r="BL404" i="7"/>
  <c r="BO404" i="7" s="1"/>
  <c r="AT248" i="7"/>
  <c r="BL248" i="7"/>
  <c r="BO248" i="7" s="1"/>
  <c r="AT344" i="7"/>
  <c r="BL344" i="7"/>
  <c r="BO344" i="7" s="1"/>
  <c r="AT32" i="7"/>
  <c r="BL32" i="7"/>
  <c r="BO32" i="7" s="1"/>
  <c r="AT372" i="7"/>
  <c r="BL372" i="7"/>
  <c r="BO372" i="7" s="1"/>
  <c r="AT312" i="7"/>
  <c r="BL312" i="7"/>
  <c r="BO312" i="7" s="1"/>
  <c r="AT16" i="7"/>
  <c r="BL16" i="7"/>
  <c r="BO16" i="7" s="1"/>
  <c r="AT328" i="7"/>
  <c r="BL328" i="7"/>
  <c r="BO328" i="7" s="1"/>
  <c r="AT356" i="7"/>
  <c r="BL356" i="7"/>
  <c r="BO356" i="7" s="1"/>
  <c r="AT464" i="7"/>
  <c r="BL464" i="7"/>
  <c r="BO464" i="7" s="1"/>
  <c r="AT140" i="7"/>
  <c r="BL140" i="7"/>
  <c r="BO140" i="7" s="1"/>
  <c r="AT232" i="7"/>
  <c r="BL232" i="7"/>
  <c r="BO232" i="7" s="1"/>
  <c r="AT160" i="7"/>
  <c r="BL160" i="7"/>
  <c r="BO160" i="7" s="1"/>
  <c r="AT268" i="7"/>
  <c r="BL268" i="7"/>
  <c r="BO268" i="7" s="1"/>
  <c r="BP268" i="7" s="1"/>
  <c r="AT392" i="7"/>
  <c r="BL392" i="7"/>
  <c r="BO392" i="7" s="1"/>
  <c r="AT500" i="7"/>
  <c r="BL500" i="7"/>
  <c r="BO500" i="7" s="1"/>
  <c r="AT80" i="7"/>
  <c r="BL80" i="7"/>
  <c r="BO80" i="7" s="1"/>
  <c r="AT420" i="7"/>
  <c r="BL420" i="7"/>
  <c r="BO420" i="7" s="1"/>
  <c r="AT188" i="7"/>
  <c r="BL188" i="7"/>
  <c r="BO188" i="7" s="1"/>
  <c r="AT528" i="7"/>
  <c r="BL528" i="7"/>
  <c r="BO528" i="7" s="1"/>
  <c r="AT112" i="7"/>
  <c r="BL112" i="7"/>
  <c r="BO112" i="7" s="1"/>
  <c r="AT452" i="7"/>
  <c r="BL452" i="7"/>
  <c r="BO452" i="7" s="1"/>
  <c r="AT172" i="7"/>
  <c r="BL172" i="7"/>
  <c r="BO172" i="7" s="1"/>
  <c r="AT296" i="7"/>
  <c r="BL296" i="7"/>
  <c r="BO296" i="7" s="1"/>
  <c r="AT68" i="7"/>
  <c r="BL68" i="7"/>
  <c r="BO68" i="7" s="1"/>
  <c r="AT176" i="7"/>
  <c r="BL176" i="7"/>
  <c r="BO176" i="7" s="1"/>
  <c r="AT300" i="7"/>
  <c r="BL300" i="7"/>
  <c r="BO300" i="7" s="1"/>
  <c r="AT408" i="7"/>
  <c r="BL408" i="7"/>
  <c r="BO408" i="7" s="1"/>
  <c r="AT516" i="7"/>
  <c r="BL516" i="7"/>
  <c r="BO516" i="7" s="1"/>
  <c r="AT148" i="7"/>
  <c r="BL148" i="7"/>
  <c r="BO148" i="7" s="1"/>
  <c r="AT488" i="7"/>
  <c r="BL488" i="7"/>
  <c r="BO488" i="7" s="1"/>
  <c r="AT9" i="7"/>
  <c r="BL9" i="7"/>
  <c r="BO9" i="7" s="1"/>
  <c r="AT4" i="7"/>
  <c r="BL4" i="7"/>
  <c r="BO4" i="7" s="1"/>
  <c r="AT84" i="7"/>
  <c r="BL84" i="7"/>
  <c r="BO84" i="7" s="1"/>
  <c r="AT208" i="7"/>
  <c r="BL208" i="7"/>
  <c r="BO208" i="7" s="1"/>
  <c r="AT548" i="7"/>
  <c r="BL548" i="7"/>
  <c r="BO548" i="7" s="1"/>
  <c r="AT212" i="7"/>
  <c r="BL212" i="7"/>
  <c r="BO212" i="7" s="1"/>
  <c r="AT240" i="7"/>
  <c r="BL240" i="7"/>
  <c r="BO240" i="7" s="1"/>
  <c r="AT552" i="7"/>
  <c r="BL552" i="7"/>
  <c r="BO552" i="7" s="1"/>
  <c r="AT480" i="7"/>
  <c r="BL480" i="7"/>
  <c r="BO480" i="7" s="1"/>
  <c r="AT20" i="7"/>
  <c r="BL20" i="7"/>
  <c r="BO20" i="7" s="1"/>
  <c r="AT116" i="7"/>
  <c r="BL116" i="7"/>
  <c r="BO116" i="7" s="1"/>
  <c r="AT144" i="7"/>
  <c r="BL144" i="7"/>
  <c r="BO144" i="7" s="1"/>
  <c r="AT252" i="7"/>
  <c r="BL252" i="7"/>
  <c r="BO252" i="7" s="1"/>
  <c r="AT332" i="7"/>
  <c r="BL332" i="7"/>
  <c r="BO332" i="7" s="1"/>
  <c r="AT360" i="7"/>
  <c r="BL360" i="7"/>
  <c r="BO360" i="7" s="1"/>
  <c r="AT456" i="7"/>
  <c r="BL456" i="7"/>
  <c r="BO456" i="7" s="1"/>
  <c r="AT484" i="7"/>
  <c r="BL484" i="7"/>
  <c r="BO484" i="7" s="1"/>
  <c r="AT564" i="7"/>
  <c r="BL564" i="7"/>
  <c r="BO564" i="7" s="1"/>
  <c r="AT304" i="7"/>
  <c r="BL304" i="7"/>
  <c r="BO304" i="7" s="1"/>
  <c r="AT28" i="7"/>
  <c r="BL28" i="7"/>
  <c r="BO28" i="7" s="1"/>
  <c r="AT36" i="7"/>
  <c r="BL36" i="7"/>
  <c r="BO36" i="7" s="1"/>
  <c r="AT100" i="7"/>
  <c r="BL100" i="7"/>
  <c r="BO100" i="7" s="1"/>
  <c r="AT192" i="7"/>
  <c r="BL192" i="7"/>
  <c r="BO192" i="7" s="1"/>
  <c r="AT376" i="7"/>
  <c r="BL376" i="7"/>
  <c r="BO376" i="7" s="1"/>
  <c r="BP376" i="7" s="1"/>
  <c r="AT468" i="7"/>
  <c r="BL468" i="7"/>
  <c r="BO468" i="7" s="1"/>
  <c r="AT532" i="7"/>
  <c r="BL532" i="7"/>
  <c r="BO532" i="7" s="1"/>
  <c r="AT8" i="7"/>
  <c r="BL8" i="7"/>
  <c r="BO8" i="7" s="1"/>
  <c r="AT72" i="7"/>
  <c r="BL72" i="7"/>
  <c r="BO72" i="7" s="1"/>
  <c r="AT164" i="7"/>
  <c r="BL164" i="7"/>
  <c r="BO164" i="7" s="1"/>
  <c r="AT320" i="7"/>
  <c r="BL320" i="7"/>
  <c r="BO320" i="7" s="1"/>
  <c r="AT348" i="7"/>
  <c r="BL348" i="7"/>
  <c r="BO348" i="7" s="1"/>
  <c r="AT412" i="7"/>
  <c r="BL412" i="7"/>
  <c r="BO412" i="7" s="1"/>
  <c r="AT504" i="7"/>
  <c r="BL504" i="7"/>
  <c r="BO504" i="7" s="1"/>
  <c r="AT92" i="7"/>
  <c r="BL92" i="7"/>
  <c r="BO92" i="7" s="1"/>
  <c r="AT165" i="7"/>
  <c r="BL165" i="7"/>
  <c r="BO165" i="7" s="1"/>
  <c r="AT24" i="7"/>
  <c r="BL24" i="7"/>
  <c r="BO24" i="7" s="1"/>
  <c r="AT88" i="7"/>
  <c r="BL88" i="7"/>
  <c r="BO88" i="7" s="1"/>
  <c r="AT272" i="7"/>
  <c r="BL272" i="7"/>
  <c r="BO272" i="7" s="1"/>
  <c r="AT336" i="7"/>
  <c r="BL336" i="7"/>
  <c r="BO336" i="7" s="1"/>
  <c r="AT364" i="7"/>
  <c r="BL364" i="7"/>
  <c r="BO364" i="7" s="1"/>
  <c r="AT428" i="7"/>
  <c r="BL428" i="7"/>
  <c r="BO428" i="7" s="1"/>
  <c r="AT520" i="7"/>
  <c r="BL520" i="7"/>
  <c r="BO520" i="7" s="1"/>
  <c r="AT184" i="7"/>
  <c r="BL184" i="7"/>
  <c r="BO184" i="7" s="1"/>
  <c r="AT104" i="7"/>
  <c r="BL104" i="7"/>
  <c r="BO104" i="7" s="1"/>
  <c r="AT196" i="7"/>
  <c r="BL196" i="7"/>
  <c r="BO196" i="7" s="1"/>
  <c r="AT288" i="7"/>
  <c r="BL288" i="7"/>
  <c r="BO288" i="7" s="1"/>
  <c r="AT444" i="7"/>
  <c r="BL444" i="7"/>
  <c r="BO444" i="7" s="1"/>
  <c r="AT276" i="7"/>
  <c r="BL276" i="7"/>
  <c r="BO276" i="7" s="1"/>
  <c r="AT400" i="7"/>
  <c r="BL400" i="7"/>
  <c r="BO400" i="7" s="1"/>
  <c r="AT508" i="7"/>
  <c r="BL508" i="7"/>
  <c r="BO508" i="7" s="1"/>
  <c r="AT108" i="7"/>
  <c r="BL108" i="7"/>
  <c r="BO108" i="7" s="1"/>
  <c r="AT136" i="7"/>
  <c r="BL136" i="7"/>
  <c r="BO136" i="7" s="1"/>
  <c r="AT200" i="7"/>
  <c r="BL200" i="7"/>
  <c r="BO200" i="7" s="1"/>
  <c r="AT308" i="7"/>
  <c r="BL308" i="7"/>
  <c r="BO308" i="7" s="1"/>
  <c r="AT416" i="7"/>
  <c r="BL416" i="7"/>
  <c r="BO416" i="7" s="1"/>
  <c r="AT524" i="7"/>
  <c r="BL524" i="7"/>
  <c r="BO524" i="7" s="1"/>
  <c r="AT25" i="7"/>
  <c r="BL25" i="7"/>
  <c r="BO25" i="7" s="1"/>
  <c r="AT89" i="7"/>
  <c r="BL89" i="7"/>
  <c r="BO89" i="7" s="1"/>
  <c r="AT185" i="7"/>
  <c r="BL185" i="7"/>
  <c r="BO185" i="7" s="1"/>
  <c r="BP185" i="7" s="1"/>
  <c r="AT325" i="7"/>
  <c r="BL325" i="7"/>
  <c r="BO325" i="7" s="1"/>
  <c r="AT60" i="7"/>
  <c r="BL60" i="7"/>
  <c r="BO60" i="7" s="1"/>
  <c r="AT152" i="7"/>
  <c r="BL152" i="7"/>
  <c r="BO152" i="7" s="1"/>
  <c r="AT216" i="7"/>
  <c r="BL216" i="7"/>
  <c r="BO216" i="7" s="1"/>
  <c r="AT244" i="7"/>
  <c r="BL244" i="7"/>
  <c r="BO244" i="7" s="1"/>
  <c r="BP244" i="7" s="1"/>
  <c r="AT432" i="7"/>
  <c r="BL432" i="7"/>
  <c r="BO432" i="7" s="1"/>
  <c r="AT556" i="7"/>
  <c r="BL556" i="7"/>
  <c r="BO556" i="7" s="1"/>
  <c r="AT105" i="7"/>
  <c r="BL105" i="7"/>
  <c r="BO105" i="7" s="1"/>
  <c r="AT209" i="7"/>
  <c r="BL209" i="7"/>
  <c r="BO209" i="7" s="1"/>
  <c r="AT151" i="7"/>
  <c r="BL151" i="7"/>
  <c r="BO151" i="7" s="1"/>
  <c r="AT12" i="7"/>
  <c r="BL12" i="7"/>
  <c r="BO12" i="7" s="1"/>
  <c r="AT76" i="7"/>
  <c r="BL76" i="7"/>
  <c r="BO76" i="7" s="1"/>
  <c r="AT168" i="7"/>
  <c r="BL168" i="7"/>
  <c r="BO168" i="7" s="1"/>
  <c r="AT260" i="7"/>
  <c r="BL260" i="7"/>
  <c r="BO260" i="7" s="1"/>
  <c r="AT340" i="7"/>
  <c r="BL340" i="7"/>
  <c r="BO340" i="7" s="1"/>
  <c r="AT492" i="7"/>
  <c r="BL492" i="7"/>
  <c r="BO492" i="7" s="1"/>
  <c r="AT572" i="7"/>
  <c r="BL572" i="7"/>
  <c r="BO572" i="7" s="1"/>
  <c r="AT229" i="7"/>
  <c r="BL229" i="7"/>
  <c r="BO229" i="7" s="1"/>
  <c r="AT353" i="7"/>
  <c r="BL353" i="7"/>
  <c r="BO353" i="7" s="1"/>
  <c r="AT384" i="7"/>
  <c r="BL384" i="7"/>
  <c r="BO384" i="7" s="1"/>
  <c r="AT448" i="7"/>
  <c r="BL448" i="7"/>
  <c r="BO448" i="7" s="1"/>
  <c r="AT476" i="7"/>
  <c r="BL476" i="7"/>
  <c r="BO476" i="7" s="1"/>
  <c r="AT13" i="7"/>
  <c r="BL13" i="7"/>
  <c r="BO13" i="7" s="1"/>
  <c r="AT29" i="7"/>
  <c r="BL29" i="7"/>
  <c r="BO29" i="7" s="1"/>
  <c r="AT45" i="7"/>
  <c r="BL45" i="7"/>
  <c r="BO45" i="7" s="1"/>
  <c r="AT93" i="7"/>
  <c r="BL93" i="7"/>
  <c r="BO93" i="7" s="1"/>
  <c r="AT109" i="7"/>
  <c r="BL109" i="7"/>
  <c r="BO109" i="7" s="1"/>
  <c r="AT129" i="7"/>
  <c r="BL129" i="7"/>
  <c r="BO129" i="7" s="1"/>
  <c r="AT149" i="7"/>
  <c r="BL149" i="7"/>
  <c r="BO149" i="7" s="1"/>
  <c r="AT193" i="7"/>
  <c r="BL193" i="7"/>
  <c r="BO193" i="7" s="1"/>
  <c r="AT213" i="7"/>
  <c r="BL213" i="7"/>
  <c r="BO213" i="7" s="1"/>
  <c r="AT385" i="7"/>
  <c r="BL385" i="7"/>
  <c r="BO385" i="7" s="1"/>
  <c r="AT541" i="7"/>
  <c r="BL541" i="7"/>
  <c r="BO541" i="7" s="1"/>
  <c r="AT22" i="7"/>
  <c r="BL22" i="7"/>
  <c r="BO22" i="7" s="1"/>
  <c r="AT146" i="7"/>
  <c r="BL146" i="7"/>
  <c r="BO146" i="7" s="1"/>
  <c r="AT267" i="7"/>
  <c r="BL267" i="7"/>
  <c r="BO267" i="7" s="1"/>
  <c r="AT17" i="7"/>
  <c r="BL17" i="7"/>
  <c r="BO17" i="7" s="1"/>
  <c r="AT33" i="7"/>
  <c r="BL33" i="7"/>
  <c r="BO33" i="7" s="1"/>
  <c r="AT65" i="7"/>
  <c r="BL65" i="7"/>
  <c r="BO65" i="7" s="1"/>
  <c r="AT81" i="7"/>
  <c r="BL81" i="7"/>
  <c r="BO81" i="7" s="1"/>
  <c r="AT133" i="7"/>
  <c r="BL133" i="7"/>
  <c r="BO133" i="7" s="1"/>
  <c r="AT153" i="7"/>
  <c r="BL153" i="7"/>
  <c r="BO153" i="7" s="1"/>
  <c r="BP153" i="7" s="1"/>
  <c r="AT197" i="7"/>
  <c r="BL197" i="7"/>
  <c r="BO197" i="7" s="1"/>
  <c r="AT261" i="7"/>
  <c r="BL261" i="7"/>
  <c r="BO261" i="7" s="1"/>
  <c r="AT417" i="7"/>
  <c r="BL417" i="7"/>
  <c r="BO417" i="7" s="1"/>
  <c r="AT226" i="7"/>
  <c r="BL226" i="7"/>
  <c r="BO226" i="7" s="1"/>
  <c r="AT5" i="7"/>
  <c r="BL5" i="7"/>
  <c r="BO5" i="7" s="1"/>
  <c r="AT21" i="7"/>
  <c r="BL21" i="7"/>
  <c r="BO21" i="7" s="1"/>
  <c r="AT53" i="7"/>
  <c r="BL53" i="7"/>
  <c r="BO53" i="7" s="1"/>
  <c r="AT85" i="7"/>
  <c r="BL85" i="7"/>
  <c r="BO85" i="7" s="1"/>
  <c r="AT117" i="7"/>
  <c r="BL117" i="7"/>
  <c r="BO117" i="7" s="1"/>
  <c r="AT137" i="7"/>
  <c r="BL137" i="7"/>
  <c r="BO137" i="7" s="1"/>
  <c r="AT161" i="7"/>
  <c r="BL161" i="7"/>
  <c r="BO161" i="7" s="1"/>
  <c r="AT181" i="7"/>
  <c r="BL181" i="7"/>
  <c r="BO181" i="7" s="1"/>
  <c r="AT201" i="7"/>
  <c r="BL201" i="7"/>
  <c r="BO201" i="7" s="1"/>
  <c r="AT225" i="7"/>
  <c r="BL225" i="7"/>
  <c r="BO225" i="7" s="1"/>
  <c r="AT449" i="7"/>
  <c r="BL449" i="7"/>
  <c r="BO449" i="7" s="1"/>
  <c r="AT477" i="7"/>
  <c r="BL477" i="7"/>
  <c r="BO477" i="7" s="1"/>
  <c r="AT491" i="7"/>
  <c r="BL491" i="7"/>
  <c r="BO491" i="7" s="1"/>
  <c r="BP491" i="7" s="1"/>
  <c r="AT125" i="7"/>
  <c r="BL125" i="7"/>
  <c r="BO125" i="7" s="1"/>
  <c r="AT141" i="7"/>
  <c r="BL141" i="7"/>
  <c r="BO141" i="7" s="1"/>
  <c r="AT189" i="7"/>
  <c r="BL189" i="7"/>
  <c r="BO189" i="7" s="1"/>
  <c r="AT221" i="7"/>
  <c r="BL221" i="7"/>
  <c r="BO221" i="7" s="1"/>
  <c r="AT297" i="7"/>
  <c r="BL297" i="7"/>
  <c r="BO297" i="7" s="1"/>
  <c r="AT329" i="7"/>
  <c r="BL329" i="7"/>
  <c r="BO329" i="7" s="1"/>
  <c r="AT357" i="7"/>
  <c r="BL357" i="7"/>
  <c r="BO357" i="7" s="1"/>
  <c r="AT453" i="7"/>
  <c r="BL453" i="7"/>
  <c r="BO453" i="7" s="1"/>
  <c r="AT481" i="7"/>
  <c r="BL481" i="7"/>
  <c r="BO481" i="7" s="1"/>
  <c r="AT513" i="7"/>
  <c r="BL513" i="7"/>
  <c r="BO513" i="7" s="1"/>
  <c r="AT270" i="7"/>
  <c r="BL270" i="7"/>
  <c r="BO270" i="7" s="1"/>
  <c r="AT362" i="7"/>
  <c r="BL362" i="7"/>
  <c r="BO362" i="7" s="1"/>
  <c r="AT277" i="7"/>
  <c r="BL277" i="7"/>
  <c r="BO277" i="7" s="1"/>
  <c r="AT309" i="7"/>
  <c r="BL309" i="7"/>
  <c r="BO309" i="7" s="1"/>
  <c r="AT341" i="7"/>
  <c r="BL341" i="7"/>
  <c r="BO341" i="7" s="1"/>
  <c r="AT369" i="7"/>
  <c r="BL369" i="7"/>
  <c r="BO369" i="7" s="1"/>
  <c r="BP369" i="7" s="1"/>
  <c r="AT433" i="7"/>
  <c r="BL433" i="7"/>
  <c r="BO433" i="7" s="1"/>
  <c r="BP433" i="7" s="1"/>
  <c r="AT461" i="7"/>
  <c r="BL461" i="7"/>
  <c r="BO461" i="7" s="1"/>
  <c r="AT493" i="7"/>
  <c r="BL493" i="7"/>
  <c r="BO493" i="7" s="1"/>
  <c r="AT525" i="7"/>
  <c r="BL525" i="7"/>
  <c r="BO525" i="7" s="1"/>
  <c r="AT318" i="7"/>
  <c r="BL318" i="7"/>
  <c r="BO318" i="7" s="1"/>
  <c r="AT249" i="7"/>
  <c r="BL249" i="7"/>
  <c r="BO249" i="7" s="1"/>
  <c r="AT281" i="7"/>
  <c r="BL281" i="7"/>
  <c r="BO281" i="7" s="1"/>
  <c r="AT405" i="7"/>
  <c r="BL405" i="7"/>
  <c r="BO405" i="7" s="1"/>
  <c r="AT437" i="7"/>
  <c r="BL437" i="7"/>
  <c r="BO437" i="7" s="1"/>
  <c r="AT465" i="7"/>
  <c r="BL465" i="7"/>
  <c r="BO465" i="7" s="1"/>
  <c r="AT497" i="7"/>
  <c r="BL497" i="7"/>
  <c r="BO497" i="7" s="1"/>
  <c r="AT86" i="7"/>
  <c r="BL86" i="7"/>
  <c r="BO86" i="7" s="1"/>
  <c r="BP86" i="7" s="1"/>
  <c r="AT210" i="7"/>
  <c r="BL210" i="7"/>
  <c r="BO210" i="7" s="1"/>
  <c r="AT518" i="7"/>
  <c r="BL518" i="7"/>
  <c r="BO518" i="7" s="1"/>
  <c r="AT38" i="7"/>
  <c r="BL38" i="7"/>
  <c r="BO38" i="7" s="1"/>
  <c r="AT130" i="7"/>
  <c r="BL130" i="7"/>
  <c r="BO130" i="7" s="1"/>
  <c r="AT194" i="7"/>
  <c r="BL194" i="7"/>
  <c r="BO194" i="7" s="1"/>
  <c r="AT286" i="7"/>
  <c r="BL286" i="7"/>
  <c r="BO286" i="7" s="1"/>
  <c r="AT378" i="7"/>
  <c r="BL378" i="7"/>
  <c r="BO378" i="7" s="1"/>
  <c r="AT534" i="7"/>
  <c r="BL534" i="7"/>
  <c r="BO534" i="7" s="1"/>
  <c r="AT287" i="7"/>
  <c r="BL287" i="7"/>
  <c r="BO287" i="7" s="1"/>
  <c r="AT302" i="7"/>
  <c r="BL302" i="7"/>
  <c r="BO302" i="7" s="1"/>
  <c r="AT394" i="7"/>
  <c r="BL394" i="7"/>
  <c r="BO394" i="7" s="1"/>
  <c r="AT458" i="7"/>
  <c r="BL458" i="7"/>
  <c r="BO458" i="7" s="1"/>
  <c r="AT486" i="7"/>
  <c r="BL486" i="7"/>
  <c r="BO486" i="7" s="1"/>
  <c r="AT83" i="7"/>
  <c r="BL83" i="7"/>
  <c r="BO83" i="7" s="1"/>
  <c r="AT195" i="7"/>
  <c r="BL195" i="7"/>
  <c r="BO195" i="7" s="1"/>
  <c r="AT307" i="7"/>
  <c r="BL307" i="7"/>
  <c r="BO307" i="7" s="1"/>
  <c r="BP307" i="7" s="1"/>
  <c r="AT423" i="7"/>
  <c r="BL423" i="7"/>
  <c r="BO423" i="7" s="1"/>
  <c r="AT535" i="7"/>
  <c r="BL535" i="7"/>
  <c r="BO535" i="7" s="1"/>
  <c r="AT410" i="7"/>
  <c r="BL410" i="7"/>
  <c r="BO410" i="7" s="1"/>
  <c r="AT566" i="7"/>
  <c r="BL566" i="7"/>
  <c r="BO566" i="7" s="1"/>
  <c r="AT19" i="7"/>
  <c r="BL19" i="7"/>
  <c r="BO19" i="7" s="1"/>
  <c r="AT103" i="7"/>
  <c r="BL103" i="7"/>
  <c r="BO103" i="7" s="1"/>
  <c r="AT131" i="7"/>
  <c r="BL131" i="7"/>
  <c r="BO131" i="7" s="1"/>
  <c r="AT243" i="7"/>
  <c r="BL243" i="7"/>
  <c r="BO243" i="7" s="1"/>
  <c r="AT359" i="7"/>
  <c r="BL359" i="7"/>
  <c r="BO359" i="7" s="1"/>
  <c r="AT443" i="7"/>
  <c r="BL443" i="7"/>
  <c r="BO443" i="7" s="1"/>
  <c r="AT471" i="7"/>
  <c r="BL471" i="7"/>
  <c r="BO471" i="7" s="1"/>
  <c r="AT220" i="7"/>
  <c r="BL220" i="7"/>
  <c r="BO220" i="7" s="1"/>
  <c r="BM50" i="6"/>
  <c r="BO50" i="6"/>
  <c r="BM54" i="6"/>
  <c r="BN54" i="6" s="1"/>
  <c r="BO54" i="6"/>
  <c r="BO67" i="6"/>
  <c r="BO79" i="6"/>
  <c r="BM81" i="6"/>
  <c r="BM44" i="6"/>
  <c r="BN44" i="6" s="1"/>
  <c r="BO44" i="6"/>
  <c r="BM48" i="6"/>
  <c r="BM77" i="6"/>
  <c r="BO77" i="6"/>
  <c r="BM86" i="6"/>
  <c r="BN86" i="6" s="1"/>
  <c r="BO86" i="6"/>
  <c r="BM89" i="6"/>
  <c r="BN89" i="6" s="1"/>
  <c r="BO89" i="6"/>
  <c r="BM93" i="6"/>
  <c r="BO93" i="6"/>
  <c r="BO101" i="6"/>
  <c r="BM110" i="6"/>
  <c r="BN110" i="6" s="1"/>
  <c r="BO110" i="6"/>
  <c r="BM114" i="6"/>
  <c r="BN114" i="6" s="1"/>
  <c r="BO114" i="6"/>
  <c r="BM118" i="6"/>
  <c r="BN118" i="6" s="1"/>
  <c r="BO118" i="6"/>
  <c r="BM132" i="6"/>
  <c r="BN132" i="6" s="1"/>
  <c r="BO132" i="6"/>
  <c r="BM136" i="6"/>
  <c r="BN136" i="6" s="1"/>
  <c r="BO136" i="6"/>
  <c r="BM94" i="6"/>
  <c r="BO94" i="6"/>
  <c r="BM98" i="6"/>
  <c r="BN98" i="6" s="1"/>
  <c r="BO98" i="6"/>
  <c r="BM104" i="6"/>
  <c r="BN104" i="6" s="1"/>
  <c r="BO104" i="6"/>
  <c r="BM108" i="6"/>
  <c r="BN108" i="6" s="1"/>
  <c r="BO108" i="6"/>
  <c r="BM122" i="6"/>
  <c r="BN122" i="6" s="1"/>
  <c r="BO122" i="6"/>
  <c r="BM137" i="6"/>
  <c r="BN137" i="6" s="1"/>
  <c r="BO137" i="6"/>
  <c r="BM149" i="6"/>
  <c r="BO149" i="6"/>
  <c r="BM161" i="6"/>
  <c r="BO161" i="6"/>
  <c r="BM165" i="6"/>
  <c r="BN165" i="6" s="1"/>
  <c r="BO165" i="6"/>
  <c r="BM171" i="6"/>
  <c r="BN171" i="6" s="1"/>
  <c r="BO171" i="6"/>
  <c r="BM166" i="6"/>
  <c r="BO166" i="6"/>
  <c r="BM175" i="6"/>
  <c r="BN175" i="6" s="1"/>
  <c r="BO175" i="6"/>
  <c r="BM31" i="6"/>
  <c r="BN31" i="6" s="1"/>
  <c r="BO31" i="6"/>
  <c r="BM191" i="6"/>
  <c r="BN191" i="6" s="1"/>
  <c r="BO191" i="6"/>
  <c r="BM199" i="6"/>
  <c r="BN199" i="6" s="1"/>
  <c r="BO199" i="6"/>
  <c r="BM186" i="6"/>
  <c r="BO186" i="6"/>
  <c r="BM195" i="6"/>
  <c r="BN195" i="6" s="1"/>
  <c r="BM214" i="6"/>
  <c r="BM38" i="6"/>
  <c r="BN38" i="6" s="1"/>
  <c r="BO38" i="6"/>
  <c r="BM21" i="6"/>
  <c r="BO21" i="6"/>
  <c r="AA232" i="7"/>
  <c r="AB232" i="7" s="1"/>
  <c r="AC197" i="6"/>
  <c r="X197" i="6"/>
  <c r="X191" i="6"/>
  <c r="AC191" i="6"/>
  <c r="AC207" i="6"/>
  <c r="AC204" i="6"/>
  <c r="X204" i="6"/>
  <c r="AC14" i="6"/>
  <c r="X14" i="6"/>
  <c r="AC193" i="6"/>
  <c r="X193" i="6"/>
  <c r="AC199" i="6"/>
  <c r="X199" i="6"/>
  <c r="AC225" i="6"/>
  <c r="X225" i="6"/>
  <c r="X192" i="6"/>
  <c r="AC192" i="6"/>
  <c r="X16" i="6"/>
  <c r="AC16" i="6"/>
  <c r="AC221" i="6"/>
  <c r="X181" i="6"/>
  <c r="AC181" i="6"/>
  <c r="X220" i="6"/>
  <c r="AC220" i="6"/>
  <c r="AC208" i="6"/>
  <c r="X218" i="6"/>
  <c r="AC218" i="6"/>
  <c r="X200" i="6"/>
  <c r="AC200" i="6"/>
  <c r="X195" i="6"/>
  <c r="AC195" i="6"/>
  <c r="X183" i="6"/>
  <c r="AC183" i="6"/>
  <c r="X215" i="6"/>
  <c r="AC215" i="6"/>
  <c r="X185" i="6"/>
  <c r="AC185" i="6"/>
  <c r="X190" i="6"/>
  <c r="AC190" i="6"/>
  <c r="AC17" i="6"/>
  <c r="X17" i="6"/>
  <c r="AC194" i="6"/>
  <c r="X194" i="6"/>
  <c r="AC217" i="6"/>
  <c r="X217" i="6"/>
  <c r="AC222" i="6"/>
  <c r="AC206" i="6"/>
  <c r="X206" i="6"/>
  <c r="AC214" i="6"/>
  <c r="X214" i="6"/>
  <c r="X211" i="6"/>
  <c r="AC211" i="6"/>
  <c r="AC182" i="6"/>
  <c r="X182" i="6"/>
  <c r="AC223" i="6"/>
  <c r="AC202" i="6"/>
  <c r="X202" i="6"/>
  <c r="X212" i="6"/>
  <c r="AC212" i="6"/>
  <c r="X226" i="6"/>
  <c r="AC226" i="6"/>
  <c r="X210" i="6"/>
  <c r="AC210" i="6"/>
  <c r="X219" i="6"/>
  <c r="AC219" i="6"/>
  <c r="X186" i="6"/>
  <c r="AC186" i="6"/>
  <c r="AC189" i="6"/>
  <c r="X189" i="6"/>
  <c r="AC201" i="6"/>
  <c r="X201" i="6"/>
  <c r="AC216" i="6"/>
  <c r="X216" i="6"/>
  <c r="AC18" i="6"/>
  <c r="X18" i="6"/>
  <c r="X228" i="6"/>
  <c r="AC228" i="6"/>
  <c r="X213" i="6"/>
  <c r="AC213" i="6"/>
  <c r="AC203" i="6"/>
  <c r="X203" i="6"/>
  <c r="AC180" i="6"/>
  <c r="X180" i="6"/>
  <c r="AC196" i="6"/>
  <c r="X196" i="6"/>
  <c r="AC209" i="6"/>
  <c r="X209" i="6"/>
  <c r="AC15" i="6"/>
  <c r="X15" i="6"/>
  <c r="AC198" i="6"/>
  <c r="X198" i="6"/>
  <c r="AC184" i="6"/>
  <c r="X184" i="6"/>
  <c r="AC224" i="6"/>
  <c r="X224" i="6"/>
  <c r="X187" i="6"/>
  <c r="AC187" i="6"/>
  <c r="AC205" i="6"/>
  <c r="X205" i="6"/>
  <c r="X188" i="6"/>
  <c r="AC188" i="6"/>
  <c r="X227" i="6"/>
  <c r="AC227" i="6"/>
  <c r="T7" i="6"/>
  <c r="AI7" i="6" s="1"/>
  <c r="T191" i="6"/>
  <c r="U191" i="6" s="1"/>
  <c r="T199" i="6"/>
  <c r="T204" i="6"/>
  <c r="U204" i="6" s="1"/>
  <c r="T192" i="6"/>
  <c r="U192" i="6" s="1"/>
  <c r="T189" i="6"/>
  <c r="T195" i="6"/>
  <c r="AI195" i="6" s="1"/>
  <c r="T200" i="6"/>
  <c r="U200" i="6" s="1"/>
  <c r="AS214" i="6"/>
  <c r="AS216" i="6"/>
  <c r="AS218" i="6"/>
  <c r="T183" i="6"/>
  <c r="U183" i="6" s="1"/>
  <c r="T196" i="6"/>
  <c r="U196" i="6" s="1"/>
  <c r="T182" i="6"/>
  <c r="U182" i="6" s="1"/>
  <c r="AS188" i="6"/>
  <c r="T214" i="6"/>
  <c r="U214" i="6" s="1"/>
  <c r="T218" i="6"/>
  <c r="U218" i="6" s="1"/>
  <c r="T222" i="6"/>
  <c r="AI222" i="6" s="1"/>
  <c r="T226" i="6"/>
  <c r="U226" i="6" s="1"/>
  <c r="T227" i="6"/>
  <c r="T213" i="6"/>
  <c r="U213" i="6" s="1"/>
  <c r="T211" i="6"/>
  <c r="U211" i="6" s="1"/>
  <c r="AS217" i="6"/>
  <c r="T225" i="6"/>
  <c r="U225" i="6" s="1"/>
  <c r="AR365" i="7"/>
  <c r="AR347" i="7"/>
  <c r="AR251" i="7"/>
  <c r="AR232" i="7"/>
  <c r="AR42" i="7"/>
  <c r="AR157" i="7"/>
  <c r="AR328" i="7"/>
  <c r="AR290" i="7"/>
  <c r="AR23" i="7"/>
  <c r="AR480" i="7"/>
  <c r="AR119" i="7"/>
  <c r="AR80" i="7"/>
  <c r="AR176" i="7"/>
  <c r="AR517" i="7"/>
  <c r="AR43" i="7"/>
  <c r="AR498" i="7"/>
  <c r="AR309" i="7"/>
  <c r="AR460" i="7"/>
  <c r="AR385" i="7"/>
  <c r="AR81" i="7"/>
  <c r="AR270" i="7"/>
  <c r="AR61" i="7"/>
  <c r="AR62" i="7"/>
  <c r="AR423" i="7"/>
  <c r="Q85" i="6"/>
  <c r="AS85" i="6" s="1"/>
  <c r="T15" i="6"/>
  <c r="U15" i="6" s="1"/>
  <c r="T188" i="6"/>
  <c r="T194" i="6"/>
  <c r="U194" i="6" s="1"/>
  <c r="T14" i="6"/>
  <c r="T18" i="6"/>
  <c r="U18" i="6" s="1"/>
  <c r="T190" i="6"/>
  <c r="U190" i="6" s="1"/>
  <c r="T198" i="6"/>
  <c r="U198" i="6" s="1"/>
  <c r="T202" i="6"/>
  <c r="U202" i="6" s="1"/>
  <c r="T17" i="6"/>
  <c r="U17" i="6" s="1"/>
  <c r="T180" i="6"/>
  <c r="U180" i="6" s="1"/>
  <c r="T181" i="6"/>
  <c r="U181" i="6" s="1"/>
  <c r="T185" i="6"/>
  <c r="T193" i="6"/>
  <c r="T197" i="6"/>
  <c r="T201" i="6"/>
  <c r="T184" i="6"/>
  <c r="U184" i="6" s="1"/>
  <c r="T209" i="6"/>
  <c r="T210" i="6"/>
  <c r="U210" i="6" s="1"/>
  <c r="T215" i="6"/>
  <c r="T221" i="6"/>
  <c r="T223" i="6"/>
  <c r="U223" i="6" s="1"/>
  <c r="T224" i="6"/>
  <c r="U224" i="6" s="1"/>
  <c r="T206" i="6"/>
  <c r="U206" i="6" s="1"/>
  <c r="T205" i="6"/>
  <c r="T216" i="6"/>
  <c r="U216" i="6" s="1"/>
  <c r="T220" i="6"/>
  <c r="T228" i="6"/>
  <c r="AS94" i="6"/>
  <c r="AS113" i="6"/>
  <c r="AS38" i="6"/>
  <c r="Y52" i="7"/>
  <c r="AA52" i="7" s="1"/>
  <c r="AB52" i="7" s="1"/>
  <c r="AD11" i="6"/>
  <c r="AF11" i="6" s="1"/>
  <c r="Z482" i="7"/>
  <c r="Y371" i="7"/>
  <c r="AE505" i="7"/>
  <c r="AE428" i="7"/>
  <c r="Y510" i="7"/>
  <c r="Z233" i="7"/>
  <c r="AS41" i="6"/>
  <c r="AS20" i="6"/>
  <c r="U32" i="16"/>
  <c r="AI32" i="16" s="1"/>
  <c r="AJ32" i="16" s="1"/>
  <c r="AS7" i="6"/>
  <c r="U309" i="7"/>
  <c r="AI309" i="7" s="1"/>
  <c r="AJ309" i="7" s="1"/>
  <c r="U518" i="7"/>
  <c r="AI518" i="7" s="1"/>
  <c r="AJ518" i="7" s="1"/>
  <c r="AT236" i="7"/>
  <c r="AT128" i="7"/>
  <c r="AT59" i="7"/>
  <c r="AS128" i="6"/>
  <c r="AS142" i="6"/>
  <c r="AS156" i="6"/>
  <c r="AS98" i="6"/>
  <c r="AS114" i="6"/>
  <c r="AS122" i="6"/>
  <c r="AS146" i="6"/>
  <c r="AS177" i="6"/>
  <c r="AS173" i="6"/>
  <c r="Q151" i="6"/>
  <c r="AS151" i="6" s="1"/>
  <c r="AT540" i="7"/>
  <c r="Q161" i="6"/>
  <c r="AS161" i="6" s="1"/>
  <c r="AS158" i="6"/>
  <c r="AS171" i="6"/>
  <c r="AT388" i="7"/>
  <c r="U537" i="7"/>
  <c r="AI537" i="7" s="1"/>
  <c r="AK537" i="7" s="1"/>
  <c r="AT407" i="7"/>
  <c r="U46" i="7"/>
  <c r="AI46" i="7" s="1"/>
  <c r="AT273" i="7"/>
  <c r="U23" i="7"/>
  <c r="AI23" i="7" s="1"/>
  <c r="U432" i="7"/>
  <c r="AI432" i="7" s="1"/>
  <c r="AK432" i="7" s="1"/>
  <c r="U24" i="7"/>
  <c r="AI24" i="7" s="1"/>
  <c r="AT6" i="7"/>
  <c r="AT238" i="7"/>
  <c r="AS124" i="6"/>
  <c r="AS163" i="6"/>
  <c r="AS126" i="6"/>
  <c r="AT64" i="7"/>
  <c r="AT73" i="7"/>
  <c r="AT421" i="7"/>
  <c r="AT39" i="16"/>
  <c r="AS43" i="6"/>
  <c r="AS19" i="6"/>
  <c r="T41" i="6"/>
  <c r="AT269" i="7"/>
  <c r="AS33" i="6"/>
  <c r="U6" i="16"/>
  <c r="AI6" i="16" s="1"/>
  <c r="AK6" i="16" s="1"/>
  <c r="AS29" i="6"/>
  <c r="T28" i="6"/>
  <c r="AI28" i="6" s="1"/>
  <c r="T35" i="6"/>
  <c r="U35" i="6" s="1"/>
  <c r="AT158" i="7"/>
  <c r="AT163" i="7"/>
  <c r="AT434" i="7"/>
  <c r="AT278" i="7"/>
  <c r="T10" i="6"/>
  <c r="U10" i="6" s="1"/>
  <c r="AS42" i="6"/>
  <c r="U498" i="7"/>
  <c r="AI498" i="7" s="1"/>
  <c r="AT11" i="16"/>
  <c r="U142" i="7"/>
  <c r="AI142" i="7" s="1"/>
  <c r="AK142" i="7" s="1"/>
  <c r="AS166" i="6"/>
  <c r="AS149" i="6"/>
  <c r="AT34" i="16"/>
  <c r="U441" i="7"/>
  <c r="AI441" i="7" s="1"/>
  <c r="U407" i="7"/>
  <c r="AI407" i="7" s="1"/>
  <c r="AP407" i="7" s="1"/>
  <c r="AQ407" i="7" s="1"/>
  <c r="AS407" i="7" s="1"/>
  <c r="AT177" i="7"/>
  <c r="AT42" i="16"/>
  <c r="AS137" i="6"/>
  <c r="AT250" i="7"/>
  <c r="AS4" i="6"/>
  <c r="AS21" i="6"/>
  <c r="U33" i="7"/>
  <c r="AI33" i="7" s="1"/>
  <c r="AK33" i="7" s="1"/>
  <c r="U384" i="7"/>
  <c r="AI384" i="7" s="1"/>
  <c r="AT254" i="7"/>
  <c r="AS90" i="6"/>
  <c r="AS169" i="6"/>
  <c r="AS109" i="6"/>
  <c r="AS111" i="6"/>
  <c r="AS59" i="6"/>
  <c r="AS154" i="6"/>
  <c r="AT52" i="7"/>
  <c r="U321" i="7"/>
  <c r="AI321" i="7" s="1"/>
  <c r="AJ321" i="7" s="1"/>
  <c r="U460" i="7"/>
  <c r="AI460" i="7" s="1"/>
  <c r="AP460" i="7" s="1"/>
  <c r="AQ460" i="7" s="1"/>
  <c r="U233" i="7"/>
  <c r="AI233" i="7" s="1"/>
  <c r="U30" i="16"/>
  <c r="AI30" i="16" s="1"/>
  <c r="AP30" i="16" s="1"/>
  <c r="AQ30" i="16" s="1"/>
  <c r="AS69" i="6"/>
  <c r="AT256" i="7"/>
  <c r="AT568" i="7"/>
  <c r="AT120" i="7"/>
  <c r="AT180" i="7"/>
  <c r="AT40" i="7"/>
  <c r="AT380" i="7"/>
  <c r="AT121" i="7"/>
  <c r="AT57" i="7"/>
  <c r="AT113" i="7"/>
  <c r="AT217" i="7"/>
  <c r="AT101" i="7"/>
  <c r="AT389" i="7"/>
  <c r="AT162" i="7"/>
  <c r="AT178" i="7"/>
  <c r="AT345" i="7"/>
  <c r="AT373" i="7"/>
  <c r="AT529" i="7"/>
  <c r="AT442" i="7"/>
  <c r="AT550" i="7"/>
  <c r="AT215" i="7"/>
  <c r="AT555" i="7"/>
  <c r="AT43" i="16"/>
  <c r="AT159" i="7"/>
  <c r="AT43" i="7"/>
  <c r="AT90" i="7"/>
  <c r="AT26" i="7"/>
  <c r="AT79" i="7"/>
  <c r="AT171" i="7"/>
  <c r="AT263" i="7"/>
  <c r="AT327" i="7"/>
  <c r="AT355" i="7"/>
  <c r="AT511" i="7"/>
  <c r="AT395" i="7"/>
  <c r="AT167" i="7"/>
  <c r="AT466" i="7"/>
  <c r="AT282" i="7"/>
  <c r="AT98" i="7"/>
  <c r="AT547" i="7"/>
  <c r="AT431" i="7"/>
  <c r="AT235" i="7"/>
  <c r="AT207" i="7"/>
  <c r="AT91" i="7"/>
  <c r="AT558" i="7"/>
  <c r="AT402" i="7"/>
  <c r="AT310" i="7"/>
  <c r="AT154" i="7"/>
  <c r="AT441" i="7"/>
  <c r="AT285" i="7"/>
  <c r="AT38" i="16"/>
  <c r="AT563" i="7"/>
  <c r="AT475" i="7"/>
  <c r="AT335" i="7"/>
  <c r="AT223" i="7"/>
  <c r="AT23" i="7"/>
  <c r="AT570" i="7"/>
  <c r="AT10" i="7"/>
  <c r="AT279" i="7"/>
  <c r="AT371" i="7"/>
  <c r="AT527" i="7"/>
  <c r="U42" i="16"/>
  <c r="AI42" i="16" s="1"/>
  <c r="AK42" i="16" s="1"/>
  <c r="AT25" i="16"/>
  <c r="AT375" i="7"/>
  <c r="AT259" i="7"/>
  <c r="AT35" i="7"/>
  <c r="AT174" i="7"/>
  <c r="AT82" i="7"/>
  <c r="AT553" i="7"/>
  <c r="AT305" i="7"/>
  <c r="U9" i="16"/>
  <c r="AI9" i="16" s="1"/>
  <c r="AK9" i="16" s="1"/>
  <c r="AT523" i="7"/>
  <c r="AT411" i="7"/>
  <c r="AT299" i="7"/>
  <c r="AT183" i="7"/>
  <c r="AT294" i="7"/>
  <c r="AT202" i="7"/>
  <c r="AT46" i="7"/>
  <c r="AT425" i="7"/>
  <c r="AT361" i="7"/>
  <c r="AT544" i="7"/>
  <c r="AT292" i="7"/>
  <c r="AT169" i="7"/>
  <c r="AT573" i="7"/>
  <c r="AT37" i="7"/>
  <c r="AT39" i="7"/>
  <c r="AT173" i="7"/>
  <c r="AT545" i="7"/>
  <c r="AT245" i="7"/>
  <c r="AT334" i="7"/>
  <c r="AT346" i="7"/>
  <c r="AT331" i="7"/>
  <c r="Q118" i="6"/>
  <c r="AS118" i="6" s="1"/>
  <c r="Q60" i="6"/>
  <c r="AS60" i="6" s="1"/>
  <c r="Q36" i="6"/>
  <c r="AS36" i="6" s="1"/>
  <c r="Q70" i="6"/>
  <c r="AS70" i="6" s="1"/>
  <c r="AT182" i="7"/>
  <c r="AT15" i="7"/>
  <c r="AT419" i="7"/>
  <c r="AT55" i="7"/>
  <c r="AT190" i="7"/>
  <c r="AT569" i="7"/>
  <c r="AT257" i="7"/>
  <c r="AT7" i="7"/>
  <c r="AT533" i="7"/>
  <c r="U43" i="7"/>
  <c r="AI43" i="7" s="1"/>
  <c r="AP43" i="7" s="1"/>
  <c r="AQ43" i="7" s="1"/>
  <c r="Q108" i="6"/>
  <c r="AS108" i="6" s="1"/>
  <c r="AS144" i="6"/>
  <c r="AS155" i="6"/>
  <c r="AT560" i="7"/>
  <c r="AT48" i="7"/>
  <c r="AT396" i="7"/>
  <c r="AT280" i="7"/>
  <c r="AT284" i="7"/>
  <c r="AT41" i="7"/>
  <c r="AT509" i="7"/>
  <c r="AT145" i="7"/>
  <c r="AT49" i="7"/>
  <c r="AT233" i="7"/>
  <c r="AT557" i="7"/>
  <c r="AT102" i="7"/>
  <c r="AT271" i="7"/>
  <c r="AT274" i="7"/>
  <c r="AT507" i="7"/>
  <c r="AT438" i="7"/>
  <c r="AT413" i="7"/>
  <c r="AT347" i="7"/>
  <c r="AT246" i="7"/>
  <c r="AT62" i="7"/>
  <c r="AT469" i="7"/>
  <c r="AT377" i="7"/>
  <c r="AT251" i="7"/>
  <c r="AT322" i="7"/>
  <c r="AT230" i="7"/>
  <c r="AT31" i="7"/>
  <c r="AT343" i="7"/>
  <c r="AT435" i="7"/>
  <c r="AT571" i="7"/>
  <c r="AT487" i="7"/>
  <c r="AT147" i="7"/>
  <c r="AT358" i="7"/>
  <c r="AT266" i="7"/>
  <c r="AT18" i="7"/>
  <c r="AT489" i="7"/>
  <c r="AT450" i="7"/>
  <c r="U31" i="16"/>
  <c r="AI31" i="16" s="1"/>
  <c r="AJ31" i="16" s="1"/>
  <c r="U143" i="7"/>
  <c r="AI143" i="7" s="1"/>
  <c r="AJ143" i="7" s="1"/>
  <c r="AT264" i="7"/>
  <c r="U134" i="7"/>
  <c r="AI134" i="7" s="1"/>
  <c r="AP134" i="7" s="1"/>
  <c r="AQ134" i="7" s="1"/>
  <c r="AS134" i="7" s="1"/>
  <c r="U61" i="7"/>
  <c r="AI61" i="7" s="1"/>
  <c r="AP61" i="7" s="1"/>
  <c r="AQ61" i="7" s="1"/>
  <c r="U199" i="7"/>
  <c r="AI199" i="7" s="1"/>
  <c r="AJ199" i="7" s="1"/>
  <c r="U80" i="7"/>
  <c r="AI80" i="7" s="1"/>
  <c r="AK80" i="7" s="1"/>
  <c r="AS153" i="6"/>
  <c r="AS80" i="6"/>
  <c r="AS157" i="6"/>
  <c r="AS67" i="6"/>
  <c r="AS110" i="6"/>
  <c r="AS101" i="6"/>
  <c r="AS64" i="6"/>
  <c r="T79" i="6"/>
  <c r="AS104" i="6"/>
  <c r="T77" i="6"/>
  <c r="AS132" i="6"/>
  <c r="AS86" i="6"/>
  <c r="AS52" i="6"/>
  <c r="AS97" i="6"/>
  <c r="AS148" i="6"/>
  <c r="T127" i="6"/>
  <c r="AI127" i="6" s="1"/>
  <c r="AJ127" i="6" s="1"/>
  <c r="Q105" i="6"/>
  <c r="AS105" i="6" s="1"/>
  <c r="Q115" i="6"/>
  <c r="AS115" i="6" s="1"/>
  <c r="Q81" i="6"/>
  <c r="AS81" i="6" s="1"/>
  <c r="Q61" i="6"/>
  <c r="AS61" i="6" s="1"/>
  <c r="AT12" i="16"/>
  <c r="U58" i="7"/>
  <c r="AI58" i="7" s="1"/>
  <c r="AP58" i="7" s="1"/>
  <c r="AQ58" i="7" s="1"/>
  <c r="AT474" i="7"/>
  <c r="U75" i="7"/>
  <c r="AI75" i="7" s="1"/>
  <c r="AK75" i="7" s="1"/>
  <c r="U130" i="7"/>
  <c r="AI130" i="7" s="1"/>
  <c r="AP130" i="7" s="1"/>
  <c r="AQ130" i="7" s="1"/>
  <c r="U102" i="7"/>
  <c r="AI102" i="7" s="1"/>
  <c r="AP102" i="7" s="1"/>
  <c r="AQ102" i="7" s="1"/>
  <c r="U38" i="7"/>
  <c r="AI38" i="7" s="1"/>
  <c r="AJ38" i="7" s="1"/>
  <c r="U158" i="7"/>
  <c r="AI158" i="7" s="1"/>
  <c r="AP158" i="7" s="1"/>
  <c r="AQ158" i="7" s="1"/>
  <c r="U115" i="7"/>
  <c r="AI115" i="7" s="1"/>
  <c r="AK115" i="7" s="1"/>
  <c r="U7" i="16"/>
  <c r="AI7" i="16" s="1"/>
  <c r="AK7" i="16" s="1"/>
  <c r="U206" i="7"/>
  <c r="AI206" i="7" s="1"/>
  <c r="AP206" i="7" s="1"/>
  <c r="AQ206" i="7" s="1"/>
  <c r="AS30" i="6"/>
  <c r="AT515" i="7"/>
  <c r="AS162" i="6"/>
  <c r="AS179" i="6"/>
  <c r="U420" i="7"/>
  <c r="AI420" i="7" s="1"/>
  <c r="AK420" i="7" s="1"/>
  <c r="AT440" i="7"/>
  <c r="AT460" i="7"/>
  <c r="AT368" i="7"/>
  <c r="AT205" i="7"/>
  <c r="U81" i="7"/>
  <c r="AI81" i="7" s="1"/>
  <c r="AT424" i="7"/>
  <c r="U346" i="7"/>
  <c r="AI346" i="7" s="1"/>
  <c r="AS56" i="6"/>
  <c r="AS95" i="6"/>
  <c r="AS84" i="6"/>
  <c r="AS107" i="6"/>
  <c r="AS135" i="6"/>
  <c r="AS46" i="6"/>
  <c r="T108" i="6"/>
  <c r="AS127" i="6"/>
  <c r="AS160" i="6"/>
  <c r="AS100" i="6"/>
  <c r="AS119" i="6"/>
  <c r="AS99" i="6"/>
  <c r="AS112" i="6"/>
  <c r="AS138" i="6"/>
  <c r="U19" i="16"/>
  <c r="AI19" i="16" s="1"/>
  <c r="AK19" i="16" s="1"/>
  <c r="AT9" i="16"/>
  <c r="U51" i="7"/>
  <c r="AI51" i="7" s="1"/>
  <c r="AK51" i="7" s="1"/>
  <c r="U235" i="7"/>
  <c r="AI235" i="7" s="1"/>
  <c r="U299" i="7"/>
  <c r="AI299" i="7" s="1"/>
  <c r="AK299" i="7" s="1"/>
  <c r="AT29" i="16"/>
  <c r="U122" i="7"/>
  <c r="AI122" i="7" s="1"/>
  <c r="AK122" i="7" s="1"/>
  <c r="U87" i="7"/>
  <c r="AI87" i="7" s="1"/>
  <c r="AJ87" i="7" s="1"/>
  <c r="U179" i="7"/>
  <c r="AI179" i="7" s="1"/>
  <c r="AP179" i="7" s="1"/>
  <c r="AQ179" i="7" s="1"/>
  <c r="U266" i="7"/>
  <c r="AI266" i="7" s="1"/>
  <c r="AP266" i="7" s="1"/>
  <c r="AQ266" i="7" s="1"/>
  <c r="AS266" i="7" s="1"/>
  <c r="U491" i="7"/>
  <c r="AI491" i="7" s="1"/>
  <c r="AP491" i="7" s="1"/>
  <c r="AQ491" i="7" s="1"/>
  <c r="AS491" i="7" s="1"/>
  <c r="U389" i="7"/>
  <c r="AI389" i="7" s="1"/>
  <c r="AK389" i="7" s="1"/>
  <c r="U201" i="7"/>
  <c r="AI201" i="7" s="1"/>
  <c r="AT24" i="16"/>
  <c r="AS55" i="6"/>
  <c r="AS78" i="6"/>
  <c r="AS68" i="6"/>
  <c r="AS89" i="6"/>
  <c r="AS134" i="6"/>
  <c r="AS147" i="6"/>
  <c r="AS76" i="6"/>
  <c r="AS136" i="6"/>
  <c r="AS74" i="6"/>
  <c r="T114" i="6"/>
  <c r="U114" i="6" s="1"/>
  <c r="AS50" i="6"/>
  <c r="T103" i="6"/>
  <c r="U103" i="6" s="1"/>
  <c r="AS150" i="6"/>
  <c r="U47" i="16"/>
  <c r="AI47" i="16" s="1"/>
  <c r="AJ47" i="16" s="1"/>
  <c r="AT15" i="16"/>
  <c r="U323" i="7"/>
  <c r="AI323" i="7" s="1"/>
  <c r="U328" i="7"/>
  <c r="AI328" i="7" s="1"/>
  <c r="AP328" i="7" s="1"/>
  <c r="AQ328" i="7" s="1"/>
  <c r="U42" i="7"/>
  <c r="AI42" i="7" s="1"/>
  <c r="AS57" i="6"/>
  <c r="T87" i="6"/>
  <c r="U87" i="6" s="1"/>
  <c r="AS145" i="6"/>
  <c r="AS92" i="6"/>
  <c r="AS65" i="6"/>
  <c r="AS91" i="6"/>
  <c r="AS93" i="6"/>
  <c r="AS88" i="6"/>
  <c r="AS152" i="6"/>
  <c r="AS47" i="6"/>
  <c r="AS40" i="6"/>
  <c r="AS83" i="6"/>
  <c r="AS66" i="6"/>
  <c r="AS54" i="6"/>
  <c r="AS77" i="6"/>
  <c r="AT13" i="16"/>
  <c r="AS45" i="6"/>
  <c r="T75" i="6"/>
  <c r="U75" i="6" s="1"/>
  <c r="T74" i="6"/>
  <c r="AT44" i="7"/>
  <c r="AS44" i="6"/>
  <c r="T78" i="6"/>
  <c r="AS87" i="6"/>
  <c r="AS53" i="6"/>
  <c r="AS129" i="6"/>
  <c r="AS131" i="6"/>
  <c r="AS121" i="6"/>
  <c r="AS125" i="6"/>
  <c r="AS103" i="6"/>
  <c r="AS172" i="6"/>
  <c r="AS79" i="6"/>
  <c r="T52" i="6"/>
  <c r="AS49" i="6"/>
  <c r="AS117" i="6"/>
  <c r="AS143" i="6"/>
  <c r="AR441" i="7"/>
  <c r="Z5" i="7"/>
  <c r="U119" i="7"/>
  <c r="AI119" i="7" s="1"/>
  <c r="U62" i="7"/>
  <c r="AI62" i="7" s="1"/>
  <c r="AK62" i="7" s="1"/>
  <c r="U520" i="7"/>
  <c r="AI520" i="7" s="1"/>
  <c r="U428" i="7"/>
  <c r="AI428" i="7" s="1"/>
  <c r="U330" i="7"/>
  <c r="AI330" i="7" s="1"/>
  <c r="AJ330" i="7" s="1"/>
  <c r="U90" i="7"/>
  <c r="AI90" i="7" s="1"/>
  <c r="U19" i="7"/>
  <c r="AI19" i="7" s="1"/>
  <c r="AK19" i="7" s="1"/>
  <c r="U83" i="7"/>
  <c r="AI83" i="7" s="1"/>
  <c r="U267" i="7"/>
  <c r="AI267" i="7" s="1"/>
  <c r="AK267" i="7" s="1"/>
  <c r="U331" i="7"/>
  <c r="AI331" i="7" s="1"/>
  <c r="AK331" i="7" s="1"/>
  <c r="U50" i="7"/>
  <c r="AI50" i="7" s="1"/>
  <c r="AJ50" i="7" s="1"/>
  <c r="U166" i="7"/>
  <c r="AI166" i="7" s="1"/>
  <c r="AK166" i="7" s="1"/>
  <c r="U147" i="7"/>
  <c r="AI147" i="7" s="1"/>
  <c r="AP147" i="7" s="1"/>
  <c r="AQ147" i="7" s="1"/>
  <c r="U564" i="7"/>
  <c r="AI564" i="7" s="1"/>
  <c r="AJ564" i="7" s="1"/>
  <c r="U156" i="7"/>
  <c r="AI156" i="7" s="1"/>
  <c r="AP156" i="7" s="1"/>
  <c r="AQ156" i="7" s="1"/>
  <c r="U403" i="7"/>
  <c r="AI403" i="7" s="1"/>
  <c r="AJ403" i="7" s="1"/>
  <c r="U327" i="7"/>
  <c r="AI327" i="7" s="1"/>
  <c r="AK327" i="7" s="1"/>
  <c r="U383" i="7"/>
  <c r="AI383" i="7" s="1"/>
  <c r="AK383" i="7" s="1"/>
  <c r="U54" i="7"/>
  <c r="AI54" i="7" s="1"/>
  <c r="AJ54" i="7" s="1"/>
  <c r="U35" i="7"/>
  <c r="AI35" i="7" s="1"/>
  <c r="U191" i="7"/>
  <c r="AI191" i="7" s="1"/>
  <c r="AJ191" i="7" s="1"/>
  <c r="U283" i="7"/>
  <c r="AI283" i="7" s="1"/>
  <c r="AK283" i="7" s="1"/>
  <c r="U74" i="7"/>
  <c r="AI74" i="7" s="1"/>
  <c r="AJ74" i="7" s="1"/>
  <c r="U71" i="7"/>
  <c r="AI71" i="7" s="1"/>
  <c r="AP71" i="7" s="1"/>
  <c r="AQ71" i="7" s="1"/>
  <c r="U163" i="7"/>
  <c r="AI163" i="7" s="1"/>
  <c r="AP163" i="7" s="1"/>
  <c r="AQ163" i="7" s="1"/>
  <c r="U255" i="7"/>
  <c r="AI255" i="7" s="1"/>
  <c r="AK255" i="7" s="1"/>
  <c r="AC51" i="7"/>
  <c r="AD51" i="7" s="1"/>
  <c r="U190" i="7"/>
  <c r="AI190" i="7" s="1"/>
  <c r="AK190" i="7" s="1"/>
  <c r="U11" i="7"/>
  <c r="AI11" i="7" s="1"/>
  <c r="AK11" i="7" s="1"/>
  <c r="U66" i="7"/>
  <c r="AI66" i="7" s="1"/>
  <c r="U182" i="7"/>
  <c r="AI182" i="7" s="1"/>
  <c r="AP182" i="7" s="1"/>
  <c r="AQ182" i="7" s="1"/>
  <c r="U114" i="7"/>
  <c r="AI114" i="7" s="1"/>
  <c r="AK114" i="7" s="1"/>
  <c r="Y233" i="7"/>
  <c r="AT54" i="7"/>
  <c r="AT470" i="7"/>
  <c r="U411" i="7"/>
  <c r="AI411" i="7" s="1"/>
  <c r="AJ411" i="7" s="1"/>
  <c r="U207" i="7"/>
  <c r="AI207" i="7" s="1"/>
  <c r="AP207" i="7" s="1"/>
  <c r="AQ207" i="7" s="1"/>
  <c r="AT204" i="7"/>
  <c r="AT228" i="7"/>
  <c r="AT56" i="7"/>
  <c r="AT293" i="7"/>
  <c r="AT77" i="7"/>
  <c r="U27" i="7"/>
  <c r="AI27" i="7" s="1"/>
  <c r="U162" i="7"/>
  <c r="AI162" i="7" s="1"/>
  <c r="AP162" i="7" s="1"/>
  <c r="AQ162" i="7" s="1"/>
  <c r="U70" i="7"/>
  <c r="AI70" i="7" s="1"/>
  <c r="AK70" i="7" s="1"/>
  <c r="U202" i="7"/>
  <c r="AI202" i="7" s="1"/>
  <c r="AP202" i="7" s="1"/>
  <c r="AQ202" i="7" s="1"/>
  <c r="AT401" i="7"/>
  <c r="AC5" i="7"/>
  <c r="AE5" i="7" s="1"/>
  <c r="AT70" i="7"/>
  <c r="AT379" i="7"/>
  <c r="U210" i="7"/>
  <c r="AI210" i="7" s="1"/>
  <c r="AK210" i="7" s="1"/>
  <c r="U340" i="7"/>
  <c r="AI340" i="7" s="1"/>
  <c r="AC460" i="7"/>
  <c r="X460" i="7"/>
  <c r="U239" i="7"/>
  <c r="AI239" i="7" s="1"/>
  <c r="U303" i="7"/>
  <c r="AI303" i="7" s="1"/>
  <c r="AT97" i="7"/>
  <c r="AT324" i="7"/>
  <c r="U26" i="7"/>
  <c r="AI26" i="7" s="1"/>
  <c r="U110" i="7"/>
  <c r="AI110" i="7" s="1"/>
  <c r="AJ110" i="7" s="1"/>
  <c r="U222" i="7"/>
  <c r="AI222" i="7" s="1"/>
  <c r="AP222" i="7" s="1"/>
  <c r="AQ222" i="7" s="1"/>
  <c r="U127" i="7"/>
  <c r="AI127" i="7" s="1"/>
  <c r="AJ127" i="7" s="1"/>
  <c r="U319" i="7"/>
  <c r="AI319" i="7" s="1"/>
  <c r="AK319" i="7" s="1"/>
  <c r="AT316" i="7"/>
  <c r="X4" i="7"/>
  <c r="AC4" i="7"/>
  <c r="U178" i="7"/>
  <c r="AI178" i="7" s="1"/>
  <c r="AP178" i="7" s="1"/>
  <c r="AQ178" i="7" s="1"/>
  <c r="U67" i="7"/>
  <c r="AI67" i="7" s="1"/>
  <c r="AK67" i="7" s="1"/>
  <c r="U315" i="7"/>
  <c r="AI315" i="7" s="1"/>
  <c r="AJ315" i="7" s="1"/>
  <c r="U30" i="7"/>
  <c r="AI30" i="7" s="1"/>
  <c r="AP30" i="7" s="1"/>
  <c r="AQ30" i="7" s="1"/>
  <c r="U103" i="7"/>
  <c r="AI103" i="7" s="1"/>
  <c r="AP103" i="7" s="1"/>
  <c r="AQ103" i="7" s="1"/>
  <c r="AT512" i="7"/>
  <c r="AT313" i="7"/>
  <c r="AT61" i="7"/>
  <c r="AT157" i="7"/>
  <c r="AC233" i="7"/>
  <c r="AD233" i="7" s="1"/>
  <c r="U427" i="7"/>
  <c r="AI427" i="7" s="1"/>
  <c r="AJ427" i="7" s="1"/>
  <c r="U500" i="7"/>
  <c r="AI500" i="7" s="1"/>
  <c r="U503" i="7"/>
  <c r="AI503" i="7" s="1"/>
  <c r="AP503" i="7" s="1"/>
  <c r="AQ503" i="7" s="1"/>
  <c r="AS503" i="7" s="1"/>
  <c r="U273" i="7"/>
  <c r="AI273" i="7" s="1"/>
  <c r="AK273" i="7" s="1"/>
  <c r="U265" i="7"/>
  <c r="AI265" i="7" s="1"/>
  <c r="AJ265" i="7" s="1"/>
  <c r="U302" i="7"/>
  <c r="AI302" i="7" s="1"/>
  <c r="AJ302" i="7" s="1"/>
  <c r="U312" i="7"/>
  <c r="AI312" i="7" s="1"/>
  <c r="AP312" i="7" s="1"/>
  <c r="AQ312" i="7" s="1"/>
  <c r="U573" i="7"/>
  <c r="AI573" i="7" s="1"/>
  <c r="AK573" i="7" s="1"/>
  <c r="U53" i="7"/>
  <c r="AI53" i="7" s="1"/>
  <c r="AJ53" i="7" s="1"/>
  <c r="U116" i="7"/>
  <c r="AI116" i="7" s="1"/>
  <c r="Q82" i="6"/>
  <c r="AS82" i="6" s="1"/>
  <c r="Q123" i="6"/>
  <c r="AS123" i="6" s="1"/>
  <c r="T66" i="6"/>
  <c r="U66" i="6" s="1"/>
  <c r="T72" i="6"/>
  <c r="U72" i="6" s="1"/>
  <c r="T90" i="6"/>
  <c r="T54" i="6"/>
  <c r="U54" i="6" s="1"/>
  <c r="T62" i="6"/>
  <c r="U62" i="6" s="1"/>
  <c r="T81" i="6"/>
  <c r="U81" i="6" s="1"/>
  <c r="T44" i="6"/>
  <c r="U44" i="6" s="1"/>
  <c r="T58" i="6"/>
  <c r="U58" i="6" s="1"/>
  <c r="T109" i="6"/>
  <c r="T125" i="6"/>
  <c r="T135" i="6"/>
  <c r="T143" i="6"/>
  <c r="U143" i="6" s="1"/>
  <c r="T115" i="6"/>
  <c r="U115" i="6" s="1"/>
  <c r="T129" i="6"/>
  <c r="U129" i="6" s="1"/>
  <c r="T133" i="6"/>
  <c r="U133" i="6" s="1"/>
  <c r="T95" i="6"/>
  <c r="U95" i="6" s="1"/>
  <c r="T105" i="6"/>
  <c r="U105" i="6" s="1"/>
  <c r="T111" i="6"/>
  <c r="U111" i="6" s="1"/>
  <c r="T119" i="6"/>
  <c r="U119" i="6" s="1"/>
  <c r="T123" i="6"/>
  <c r="U123" i="6" s="1"/>
  <c r="T137" i="6"/>
  <c r="T139" i="6"/>
  <c r="T149" i="6"/>
  <c r="T170" i="6"/>
  <c r="U170" i="6" s="1"/>
  <c r="T178" i="6"/>
  <c r="U178" i="6" s="1"/>
  <c r="T179" i="6"/>
  <c r="U179" i="6" s="1"/>
  <c r="T162" i="6"/>
  <c r="U162" i="6" s="1"/>
  <c r="T172" i="6"/>
  <c r="U172" i="6" s="1"/>
  <c r="T166" i="6"/>
  <c r="T169" i="6"/>
  <c r="U169" i="6" s="1"/>
  <c r="T175" i="6"/>
  <c r="U175" i="6" s="1"/>
  <c r="H181" i="4"/>
  <c r="X222" i="6" s="1"/>
  <c r="H164" i="4"/>
  <c r="X117" i="6" s="1"/>
  <c r="Q130" i="6"/>
  <c r="AS130" i="6" s="1"/>
  <c r="Q75" i="6"/>
  <c r="AS75" i="6" s="1"/>
  <c r="T57" i="6"/>
  <c r="U57" i="6" s="1"/>
  <c r="T69" i="6"/>
  <c r="U69" i="6" s="1"/>
  <c r="T73" i="6"/>
  <c r="U73" i="6" s="1"/>
  <c r="T47" i="6"/>
  <c r="U47" i="6" s="1"/>
  <c r="T49" i="6"/>
  <c r="U49" i="6" s="1"/>
  <c r="T53" i="6"/>
  <c r="U53" i="6" s="1"/>
  <c r="T59" i="6"/>
  <c r="U59" i="6" s="1"/>
  <c r="T63" i="6"/>
  <c r="T82" i="6"/>
  <c r="T84" i="6"/>
  <c r="U84" i="6" s="1"/>
  <c r="T88" i="6"/>
  <c r="U88" i="6" s="1"/>
  <c r="T45" i="6"/>
  <c r="U45" i="6" s="1"/>
  <c r="T93" i="6"/>
  <c r="T100" i="6"/>
  <c r="U100" i="6" s="1"/>
  <c r="T126" i="6"/>
  <c r="U126" i="6" s="1"/>
  <c r="T116" i="6"/>
  <c r="T130" i="6"/>
  <c r="U130" i="6" s="1"/>
  <c r="T96" i="6"/>
  <c r="U96" i="6" s="1"/>
  <c r="T106" i="6"/>
  <c r="U106" i="6" s="1"/>
  <c r="T120" i="6"/>
  <c r="T99" i="6"/>
  <c r="U99" i="6" s="1"/>
  <c r="T112" i="6"/>
  <c r="U112" i="6" s="1"/>
  <c r="T138" i="6"/>
  <c r="U138" i="6" s="1"/>
  <c r="T140" i="6"/>
  <c r="U140" i="6" s="1"/>
  <c r="T148" i="6"/>
  <c r="U148" i="6" s="1"/>
  <c r="T150" i="6"/>
  <c r="U150" i="6" s="1"/>
  <c r="T154" i="6"/>
  <c r="U154" i="6" s="1"/>
  <c r="T159" i="6"/>
  <c r="U159" i="6" s="1"/>
  <c r="T163" i="6"/>
  <c r="U163" i="6" s="1"/>
  <c r="T173" i="6"/>
  <c r="U173" i="6" s="1"/>
  <c r="T153" i="6"/>
  <c r="U153" i="6" s="1"/>
  <c r="T167" i="6"/>
  <c r="U167" i="6" s="1"/>
  <c r="Q35" i="6"/>
  <c r="AS35" i="6" s="1"/>
  <c r="Y5" i="7"/>
  <c r="Q120" i="6"/>
  <c r="AS120" i="6" s="1"/>
  <c r="Q51" i="6"/>
  <c r="AS51" i="6" s="1"/>
  <c r="Q168" i="6"/>
  <c r="AS168" i="6" s="1"/>
  <c r="T70" i="6"/>
  <c r="T50" i="6"/>
  <c r="U50" i="6" s="1"/>
  <c r="T60" i="6"/>
  <c r="U60" i="6" s="1"/>
  <c r="T67" i="6"/>
  <c r="U67" i="6" s="1"/>
  <c r="T83" i="6"/>
  <c r="U83" i="6" s="1"/>
  <c r="T55" i="6"/>
  <c r="U55" i="6" s="1"/>
  <c r="T68" i="6"/>
  <c r="T85" i="6"/>
  <c r="U85" i="6" s="1"/>
  <c r="T65" i="6"/>
  <c r="U65" i="6" s="1"/>
  <c r="T89" i="6"/>
  <c r="U89" i="6" s="1"/>
  <c r="T145" i="6"/>
  <c r="U145" i="6" s="1"/>
  <c r="T110" i="6"/>
  <c r="U110" i="6" s="1"/>
  <c r="T117" i="6"/>
  <c r="U117" i="6" s="1"/>
  <c r="T131" i="6"/>
  <c r="U131" i="6" s="1"/>
  <c r="T136" i="6"/>
  <c r="T97" i="6"/>
  <c r="U97" i="6" s="1"/>
  <c r="T107" i="6"/>
  <c r="U107" i="6" s="1"/>
  <c r="T121" i="6"/>
  <c r="U121" i="6" s="1"/>
  <c r="T147" i="6"/>
  <c r="U147" i="6" s="1"/>
  <c r="T134" i="6"/>
  <c r="U134" i="6" s="1"/>
  <c r="T141" i="6"/>
  <c r="U141" i="6" s="1"/>
  <c r="T144" i="6"/>
  <c r="U144" i="6" s="1"/>
  <c r="T151" i="6"/>
  <c r="U151" i="6" s="1"/>
  <c r="T155" i="6"/>
  <c r="U155" i="6" s="1"/>
  <c r="T176" i="6"/>
  <c r="U176" i="6" s="1"/>
  <c r="T157" i="6"/>
  <c r="T160" i="6"/>
  <c r="U160" i="6" s="1"/>
  <c r="T164" i="6"/>
  <c r="U164" i="6" s="1"/>
  <c r="T168" i="6"/>
  <c r="U168" i="6" s="1"/>
  <c r="Q37" i="6"/>
  <c r="AS37" i="6" s="1"/>
  <c r="U554" i="7"/>
  <c r="AI554" i="7" s="1"/>
  <c r="Q96" i="6"/>
  <c r="AS96" i="6" s="1"/>
  <c r="Q106" i="6"/>
  <c r="AS106" i="6" s="1"/>
  <c r="Q178" i="6"/>
  <c r="AS178" i="6" s="1"/>
  <c r="Q133" i="6"/>
  <c r="AS133" i="6" s="1"/>
  <c r="T46" i="6"/>
  <c r="U46" i="6" s="1"/>
  <c r="T71" i="6"/>
  <c r="U71" i="6" s="1"/>
  <c r="T51" i="6"/>
  <c r="U51" i="6" s="1"/>
  <c r="T61" i="6"/>
  <c r="U61" i="6" s="1"/>
  <c r="T80" i="6"/>
  <c r="U80" i="6" s="1"/>
  <c r="T91" i="6"/>
  <c r="U91" i="6" s="1"/>
  <c r="T48" i="6"/>
  <c r="U48" i="6" s="1"/>
  <c r="T64" i="6"/>
  <c r="T76" i="6"/>
  <c r="U76" i="6" s="1"/>
  <c r="T86" i="6"/>
  <c r="U86" i="6" s="1"/>
  <c r="T92" i="6"/>
  <c r="U92" i="6" s="1"/>
  <c r="T56" i="6"/>
  <c r="T113" i="6"/>
  <c r="U113" i="6" s="1"/>
  <c r="T124" i="6"/>
  <c r="U124" i="6" s="1"/>
  <c r="T128" i="6"/>
  <c r="U128" i="6" s="1"/>
  <c r="T142" i="6"/>
  <c r="U142" i="6" s="1"/>
  <c r="T101" i="6"/>
  <c r="U101" i="6" s="1"/>
  <c r="T118" i="6"/>
  <c r="T132" i="6"/>
  <c r="U132" i="6" s="1"/>
  <c r="T146" i="6"/>
  <c r="U146" i="6" s="1"/>
  <c r="T94" i="6"/>
  <c r="U94" i="6" s="1"/>
  <c r="T98" i="6"/>
  <c r="U98" i="6" s="1"/>
  <c r="T104" i="6"/>
  <c r="U104" i="6" s="1"/>
  <c r="T122" i="6"/>
  <c r="T102" i="6"/>
  <c r="U102" i="6" s="1"/>
  <c r="T152" i="6"/>
  <c r="U152" i="6" s="1"/>
  <c r="T156" i="6"/>
  <c r="U156" i="6" s="1"/>
  <c r="T177" i="6"/>
  <c r="U177" i="6" s="1"/>
  <c r="T158" i="6"/>
  <c r="U158" i="6" s="1"/>
  <c r="T161" i="6"/>
  <c r="U161" i="6" s="1"/>
  <c r="T165" i="6"/>
  <c r="U165" i="6" s="1"/>
  <c r="T171" i="6"/>
  <c r="T174" i="6"/>
  <c r="U174" i="6" s="1"/>
  <c r="U326" i="7"/>
  <c r="AI326" i="7" s="1"/>
  <c r="AJ326" i="7" s="1"/>
  <c r="U522" i="7"/>
  <c r="AI522" i="7" s="1"/>
  <c r="U97" i="7"/>
  <c r="AI97" i="7" s="1"/>
  <c r="AP97" i="7" s="1"/>
  <c r="AQ97" i="7" s="1"/>
  <c r="AS97" i="7" s="1"/>
  <c r="AC73" i="6"/>
  <c r="AC116" i="6"/>
  <c r="X116" i="6"/>
  <c r="AC104" i="6"/>
  <c r="X104" i="6"/>
  <c r="X158" i="6"/>
  <c r="AC158" i="6"/>
  <c r="X45" i="6"/>
  <c r="AC45" i="6"/>
  <c r="X77" i="6"/>
  <c r="AC77" i="6"/>
  <c r="AC85" i="6"/>
  <c r="X85" i="6"/>
  <c r="X94" i="6"/>
  <c r="AC94" i="6"/>
  <c r="AC124" i="6"/>
  <c r="X124" i="6"/>
  <c r="AC155" i="6"/>
  <c r="X155" i="6"/>
  <c r="X160" i="6"/>
  <c r="AC160" i="6"/>
  <c r="AC179" i="6"/>
  <c r="X179" i="6"/>
  <c r="AC163" i="6"/>
  <c r="AC63" i="6"/>
  <c r="X63" i="6"/>
  <c r="AC74" i="6"/>
  <c r="X74" i="6"/>
  <c r="X57" i="6"/>
  <c r="AC57" i="6"/>
  <c r="AC164" i="6"/>
  <c r="AC131" i="6"/>
  <c r="X106" i="6"/>
  <c r="AC106" i="6"/>
  <c r="AC90" i="6"/>
  <c r="X90" i="6"/>
  <c r="X175" i="6"/>
  <c r="AC175" i="6"/>
  <c r="AC105" i="6"/>
  <c r="X105" i="6"/>
  <c r="X152" i="6"/>
  <c r="AC152" i="6"/>
  <c r="AC125" i="6"/>
  <c r="X125" i="6"/>
  <c r="AC59" i="6"/>
  <c r="X59" i="6"/>
  <c r="X114" i="6"/>
  <c r="AC114" i="6"/>
  <c r="X144" i="6"/>
  <c r="AC144" i="6"/>
  <c r="X170" i="6"/>
  <c r="AC170" i="6"/>
  <c r="X130" i="6"/>
  <c r="AC130" i="6"/>
  <c r="X98" i="6"/>
  <c r="AC98" i="6"/>
  <c r="AC123" i="6"/>
  <c r="X123" i="6"/>
  <c r="AC88" i="6"/>
  <c r="X89" i="6"/>
  <c r="AC89" i="6"/>
  <c r="X80" i="6"/>
  <c r="AC80" i="6"/>
  <c r="AC145" i="6"/>
  <c r="X145" i="6"/>
  <c r="AC79" i="6"/>
  <c r="X79" i="6"/>
  <c r="AC44" i="6"/>
  <c r="X44" i="6"/>
  <c r="AC55" i="6"/>
  <c r="X55" i="6"/>
  <c r="AC83" i="6"/>
  <c r="X83" i="6"/>
  <c r="AC172" i="6"/>
  <c r="X172" i="6"/>
  <c r="AC108" i="6"/>
  <c r="X108" i="6"/>
  <c r="AC171" i="6"/>
  <c r="X171" i="6"/>
  <c r="AC60" i="6"/>
  <c r="X60" i="6"/>
  <c r="X56" i="6"/>
  <c r="AC56" i="6"/>
  <c r="X103" i="6"/>
  <c r="AC103" i="6"/>
  <c r="X122" i="6"/>
  <c r="AC122" i="6"/>
  <c r="X96" i="6"/>
  <c r="AC96" i="6"/>
  <c r="X128" i="6"/>
  <c r="AC128" i="6"/>
  <c r="AC99" i="6"/>
  <c r="X99" i="6"/>
  <c r="AC150" i="6"/>
  <c r="X150" i="6"/>
  <c r="X147" i="6"/>
  <c r="AC147" i="6"/>
  <c r="X161" i="6"/>
  <c r="AC161" i="6"/>
  <c r="X126" i="6"/>
  <c r="AC126" i="6"/>
  <c r="AC112" i="6"/>
  <c r="X112" i="6"/>
  <c r="AC137" i="6"/>
  <c r="X137" i="6"/>
  <c r="AC178" i="6"/>
  <c r="X173" i="6"/>
  <c r="AC173" i="6"/>
  <c r="X135" i="6"/>
  <c r="AC135" i="6"/>
  <c r="X129" i="6"/>
  <c r="AC129" i="6"/>
  <c r="X70" i="6"/>
  <c r="AC70" i="6"/>
  <c r="AC136" i="6"/>
  <c r="X136" i="6"/>
  <c r="X69" i="6"/>
  <c r="AC69" i="6"/>
  <c r="X64" i="6"/>
  <c r="AC64" i="6"/>
  <c r="AC75" i="6"/>
  <c r="X75" i="6"/>
  <c r="AC87" i="6"/>
  <c r="X168" i="6"/>
  <c r="AC168" i="6"/>
  <c r="AC165" i="6"/>
  <c r="X165" i="6"/>
  <c r="X91" i="6"/>
  <c r="AC91" i="6"/>
  <c r="AC156" i="6"/>
  <c r="X156" i="6"/>
  <c r="X121" i="6"/>
  <c r="AC121" i="6"/>
  <c r="AC93" i="6"/>
  <c r="X93" i="6"/>
  <c r="X110" i="6"/>
  <c r="AC110" i="6"/>
  <c r="X51" i="6"/>
  <c r="AC51" i="6"/>
  <c r="AC109" i="6"/>
  <c r="X109" i="6"/>
  <c r="AC48" i="6"/>
  <c r="X48" i="6"/>
  <c r="X52" i="6"/>
  <c r="AC52" i="6"/>
  <c r="AC100" i="6"/>
  <c r="X100" i="6"/>
  <c r="X120" i="6"/>
  <c r="AC120" i="6"/>
  <c r="X65" i="6"/>
  <c r="AC65" i="6"/>
  <c r="AC53" i="6"/>
  <c r="X53" i="6"/>
  <c r="X71" i="6"/>
  <c r="AC71" i="6"/>
  <c r="AC72" i="6"/>
  <c r="AC54" i="6"/>
  <c r="X54" i="6"/>
  <c r="AC174" i="6"/>
  <c r="AC146" i="6"/>
  <c r="X146" i="6"/>
  <c r="AC140" i="6"/>
  <c r="X148" i="6"/>
  <c r="AC148" i="6"/>
  <c r="AC95" i="6"/>
  <c r="X95" i="6"/>
  <c r="X169" i="6"/>
  <c r="AC169" i="6"/>
  <c r="X82" i="6"/>
  <c r="AC82" i="6"/>
  <c r="AC141" i="6"/>
  <c r="X141" i="6"/>
  <c r="AC50" i="6"/>
  <c r="X50" i="6"/>
  <c r="AC61" i="6"/>
  <c r="X61" i="6"/>
  <c r="AC176" i="6"/>
  <c r="AC162" i="6"/>
  <c r="X111" i="6"/>
  <c r="AC111" i="6"/>
  <c r="AC153" i="6"/>
  <c r="X153" i="6"/>
  <c r="AC134" i="6"/>
  <c r="X134" i="6"/>
  <c r="X92" i="6"/>
  <c r="AC92" i="6"/>
  <c r="AC157" i="6"/>
  <c r="X157" i="6"/>
  <c r="AC115" i="6"/>
  <c r="X115" i="6"/>
  <c r="AC46" i="6"/>
  <c r="X46" i="6"/>
  <c r="X167" i="6"/>
  <c r="AC167" i="6"/>
  <c r="AC66" i="6"/>
  <c r="X66" i="6"/>
  <c r="X49" i="6"/>
  <c r="AC49" i="6"/>
  <c r="AC101" i="6"/>
  <c r="X101" i="6"/>
  <c r="AC139" i="6"/>
  <c r="X139" i="6"/>
  <c r="AC67" i="6"/>
  <c r="X67" i="6"/>
  <c r="AC97" i="6"/>
  <c r="X97" i="6"/>
  <c r="X154" i="6"/>
  <c r="AC154" i="6"/>
  <c r="AC159" i="6"/>
  <c r="X159" i="6"/>
  <c r="AC118" i="6"/>
  <c r="AC142" i="6"/>
  <c r="X142" i="6"/>
  <c r="AC138" i="6"/>
  <c r="X138" i="6"/>
  <c r="AC133" i="6"/>
  <c r="AC149" i="6"/>
  <c r="X149" i="6"/>
  <c r="AC119" i="6"/>
  <c r="X119" i="6"/>
  <c r="AC117" i="6"/>
  <c r="AC102" i="6"/>
  <c r="X102" i="6"/>
  <c r="AC78" i="6"/>
  <c r="X78" i="6"/>
  <c r="AC107" i="6"/>
  <c r="X107" i="6"/>
  <c r="AC177" i="6"/>
  <c r="AC127" i="6"/>
  <c r="X127" i="6"/>
  <c r="X143" i="6"/>
  <c r="AC143" i="6"/>
  <c r="AC68" i="6"/>
  <c r="X68" i="6"/>
  <c r="X166" i="6"/>
  <c r="AC166" i="6"/>
  <c r="X47" i="6"/>
  <c r="AC47" i="6"/>
  <c r="X76" i="6"/>
  <c r="AC76" i="6"/>
  <c r="AC132" i="6"/>
  <c r="X81" i="6"/>
  <c r="AC81" i="6"/>
  <c r="AC86" i="6"/>
  <c r="X58" i="6"/>
  <c r="AC58" i="6"/>
  <c r="X84" i="6"/>
  <c r="AC84" i="6"/>
  <c r="AC62" i="6"/>
  <c r="X62" i="6"/>
  <c r="AC113" i="6"/>
  <c r="X113" i="6"/>
  <c r="AC151" i="6"/>
  <c r="X151" i="6"/>
  <c r="X11" i="6"/>
  <c r="U34" i="7"/>
  <c r="AI34" i="7" s="1"/>
  <c r="AP34" i="7" s="1"/>
  <c r="AQ34" i="7" s="1"/>
  <c r="U230" i="7"/>
  <c r="AI230" i="7" s="1"/>
  <c r="AJ230" i="7" s="1"/>
  <c r="U146" i="7"/>
  <c r="AI146" i="7" s="1"/>
  <c r="AJ146" i="7" s="1"/>
  <c r="U7" i="7"/>
  <c r="AI7" i="7" s="1"/>
  <c r="AP7" i="7" s="1"/>
  <c r="AQ7" i="7" s="1"/>
  <c r="U227" i="7"/>
  <c r="AI227" i="7" s="1"/>
  <c r="AJ227" i="7" s="1"/>
  <c r="AT45" i="16"/>
  <c r="U548" i="7"/>
  <c r="AI548" i="7" s="1"/>
  <c r="U304" i="7"/>
  <c r="AI304" i="7" s="1"/>
  <c r="AK304" i="7" s="1"/>
  <c r="U571" i="7"/>
  <c r="AI571" i="7" s="1"/>
  <c r="AK571" i="7" s="1"/>
  <c r="U415" i="7"/>
  <c r="AI415" i="7" s="1"/>
  <c r="AP415" i="7" s="1"/>
  <c r="AQ415" i="7" s="1"/>
  <c r="AS415" i="7" s="1"/>
  <c r="AI21" i="6"/>
  <c r="AK21" i="6" s="1"/>
  <c r="U234" i="7"/>
  <c r="AI234" i="7" s="1"/>
  <c r="U333" i="7"/>
  <c r="AI333" i="7" s="1"/>
  <c r="U370" i="7"/>
  <c r="AI370" i="7" s="1"/>
  <c r="AK370" i="7" s="1"/>
  <c r="U231" i="7"/>
  <c r="AI231" i="7" s="1"/>
  <c r="AP231" i="7" s="1"/>
  <c r="AQ231" i="7" s="1"/>
  <c r="U507" i="7"/>
  <c r="AI507" i="7" s="1"/>
  <c r="AK507" i="7" s="1"/>
  <c r="U510" i="7"/>
  <c r="AI510" i="7" s="1"/>
  <c r="U494" i="7"/>
  <c r="AI494" i="7" s="1"/>
  <c r="U474" i="7"/>
  <c r="AI474" i="7" s="1"/>
  <c r="AJ474" i="7" s="1"/>
  <c r="U550" i="7"/>
  <c r="AI550" i="7" s="1"/>
  <c r="AK550" i="7" s="1"/>
  <c r="U545" i="7"/>
  <c r="AI545" i="7" s="1"/>
  <c r="U132" i="7"/>
  <c r="AI132" i="7" s="1"/>
  <c r="AJ132" i="7" s="1"/>
  <c r="U514" i="7"/>
  <c r="AI514" i="7" s="1"/>
  <c r="U317" i="7"/>
  <c r="AI317" i="7" s="1"/>
  <c r="AJ317" i="7" s="1"/>
  <c r="U505" i="7"/>
  <c r="AI505" i="7" s="1"/>
  <c r="U349" i="7"/>
  <c r="AI349" i="7" s="1"/>
  <c r="AP349" i="7" s="1"/>
  <c r="AQ349" i="7" s="1"/>
  <c r="AS349" i="7" s="1"/>
  <c r="U215" i="7"/>
  <c r="AI215" i="7" s="1"/>
  <c r="AK215" i="7" s="1"/>
  <c r="U44" i="7"/>
  <c r="AI44" i="7" s="1"/>
  <c r="U392" i="7"/>
  <c r="AI392" i="7" s="1"/>
  <c r="AP392" i="7" s="1"/>
  <c r="AQ392" i="7" s="1"/>
  <c r="AS392" i="7" s="1"/>
  <c r="U73" i="7"/>
  <c r="AI73" i="7" s="1"/>
  <c r="AK73" i="7" s="1"/>
  <c r="U387" i="7"/>
  <c r="AI387" i="7" s="1"/>
  <c r="AK387" i="7" s="1"/>
  <c r="U172" i="7"/>
  <c r="AI172" i="7" s="1"/>
  <c r="U475" i="7"/>
  <c r="AI475" i="7" s="1"/>
  <c r="AK475" i="7" s="1"/>
  <c r="U447" i="7"/>
  <c r="AI447" i="7" s="1"/>
  <c r="U91" i="7"/>
  <c r="AI91" i="7" s="1"/>
  <c r="AJ91" i="7" s="1"/>
  <c r="U48" i="7"/>
  <c r="AI48" i="7" s="1"/>
  <c r="AP48" i="7" s="1"/>
  <c r="AQ48" i="7" s="1"/>
  <c r="AS48" i="7" s="1"/>
  <c r="U27" i="16"/>
  <c r="AI27" i="16" s="1"/>
  <c r="AJ27" i="16" s="1"/>
  <c r="U381" i="7"/>
  <c r="AI381" i="7" s="1"/>
  <c r="AP381" i="7" s="1"/>
  <c r="AQ381" i="7" s="1"/>
  <c r="AS381" i="7" s="1"/>
  <c r="U196" i="7"/>
  <c r="AI196" i="7" s="1"/>
  <c r="U78" i="7"/>
  <c r="AI78" i="7" s="1"/>
  <c r="AK78" i="7" s="1"/>
  <c r="AT47" i="16"/>
  <c r="U335" i="7"/>
  <c r="AI335" i="7" s="1"/>
  <c r="U14" i="7"/>
  <c r="AI14" i="7" s="1"/>
  <c r="AJ14" i="7" s="1"/>
  <c r="U131" i="7"/>
  <c r="AI131" i="7" s="1"/>
  <c r="U10" i="7"/>
  <c r="AI10" i="7" s="1"/>
  <c r="AK10" i="7" s="1"/>
  <c r="U94" i="7"/>
  <c r="AI94" i="7" s="1"/>
  <c r="U98" i="7"/>
  <c r="AI98" i="7" s="1"/>
  <c r="AT30" i="16"/>
  <c r="U159" i="7"/>
  <c r="AI159" i="7" s="1"/>
  <c r="AJ159" i="7" s="1"/>
  <c r="U226" i="7"/>
  <c r="AI226" i="7" s="1"/>
  <c r="AK226" i="7" s="1"/>
  <c r="U38" i="6"/>
  <c r="U506" i="7"/>
  <c r="AI506" i="7" s="1"/>
  <c r="U324" i="7"/>
  <c r="AI324" i="7" s="1"/>
  <c r="AJ324" i="7" s="1"/>
  <c r="U69" i="7"/>
  <c r="AI69" i="7" s="1"/>
  <c r="AK69" i="7" s="1"/>
  <c r="AT96" i="7"/>
  <c r="AT426" i="7"/>
  <c r="AT436" i="7"/>
  <c r="AP479" i="7"/>
  <c r="AQ479" i="7" s="1"/>
  <c r="U334" i="7"/>
  <c r="AI334" i="7" s="1"/>
  <c r="AK334" i="7" s="1"/>
  <c r="U168" i="7"/>
  <c r="AI168" i="7" s="1"/>
  <c r="AJ168" i="7" s="1"/>
  <c r="U112" i="7"/>
  <c r="AI112" i="7" s="1"/>
  <c r="AJ112" i="7" s="1"/>
  <c r="U150" i="7"/>
  <c r="AI150" i="7" s="1"/>
  <c r="AP150" i="7" s="1"/>
  <c r="AQ150" i="7" s="1"/>
  <c r="U59" i="7"/>
  <c r="AI59" i="7" s="1"/>
  <c r="U6" i="7"/>
  <c r="AI6" i="7" s="1"/>
  <c r="AJ6" i="7" s="1"/>
  <c r="AT16" i="16"/>
  <c r="U24" i="16"/>
  <c r="AI24" i="16" s="1"/>
  <c r="U55" i="7"/>
  <c r="AI55" i="7" s="1"/>
  <c r="AP55" i="7" s="1"/>
  <c r="AQ55" i="7" s="1"/>
  <c r="U211" i="7"/>
  <c r="AI211" i="7" s="1"/>
  <c r="AK211" i="7" s="1"/>
  <c r="AT23" i="16"/>
  <c r="AT265" i="7"/>
  <c r="AT132" i="7"/>
  <c r="AJ479" i="7"/>
  <c r="AL479" i="7" s="1"/>
  <c r="AN479" i="7" s="1"/>
  <c r="AT472" i="7"/>
  <c r="AT561" i="7"/>
  <c r="AT26" i="16"/>
  <c r="U245" i="7"/>
  <c r="AI245" i="7" s="1"/>
  <c r="U434" i="7"/>
  <c r="AI434" i="7" s="1"/>
  <c r="U569" i="7"/>
  <c r="AI569" i="7" s="1"/>
  <c r="AK569" i="7" s="1"/>
  <c r="U198" i="7"/>
  <c r="AI198" i="7" s="1"/>
  <c r="AP198" i="7" s="1"/>
  <c r="AQ198" i="7" s="1"/>
  <c r="AS198" i="7" s="1"/>
  <c r="U568" i="7"/>
  <c r="AI568" i="7" s="1"/>
  <c r="U154" i="7"/>
  <c r="AI154" i="7" s="1"/>
  <c r="AK154" i="7" s="1"/>
  <c r="U362" i="7"/>
  <c r="AI362" i="7" s="1"/>
  <c r="U37" i="7"/>
  <c r="AI37" i="7" s="1"/>
  <c r="AJ37" i="7" s="1"/>
  <c r="U193" i="7"/>
  <c r="AI193" i="7" s="1"/>
  <c r="U512" i="7"/>
  <c r="AI512" i="7" s="1"/>
  <c r="AP512" i="7" s="1"/>
  <c r="AQ512" i="7" s="1"/>
  <c r="AS512" i="7" s="1"/>
  <c r="U249" i="7"/>
  <c r="AI249" i="7" s="1"/>
  <c r="AP249" i="7" s="1"/>
  <c r="AQ249" i="7" s="1"/>
  <c r="AS249" i="7" s="1"/>
  <c r="U129" i="7"/>
  <c r="AI129" i="7" s="1"/>
  <c r="AJ129" i="7" s="1"/>
  <c r="U454" i="7"/>
  <c r="AI454" i="7" s="1"/>
  <c r="AJ454" i="7" s="1"/>
  <c r="U382" i="7"/>
  <c r="AI382" i="7" s="1"/>
  <c r="U36" i="7"/>
  <c r="AI36" i="7" s="1"/>
  <c r="AJ36" i="7" s="1"/>
  <c r="U350" i="7"/>
  <c r="AI350" i="7" s="1"/>
  <c r="AJ350" i="7" s="1"/>
  <c r="U398" i="7"/>
  <c r="AI398" i="7" s="1"/>
  <c r="AK398" i="7" s="1"/>
  <c r="U458" i="7"/>
  <c r="AI458" i="7" s="1"/>
  <c r="U549" i="7"/>
  <c r="AI549" i="7" s="1"/>
  <c r="U209" i="7"/>
  <c r="AI209" i="7" s="1"/>
  <c r="AJ209" i="7" s="1"/>
  <c r="U481" i="7"/>
  <c r="AI481" i="7" s="1"/>
  <c r="AP481" i="7" s="1"/>
  <c r="AQ481" i="7" s="1"/>
  <c r="AS481" i="7" s="1"/>
  <c r="U189" i="7"/>
  <c r="AI189" i="7" s="1"/>
  <c r="AK189" i="7" s="1"/>
  <c r="U352" i="7"/>
  <c r="AI352" i="7" s="1"/>
  <c r="U281" i="7"/>
  <c r="AI281" i="7" s="1"/>
  <c r="U534" i="7"/>
  <c r="AI534" i="7" s="1"/>
  <c r="AK534" i="7" s="1"/>
  <c r="U561" i="7"/>
  <c r="AI561" i="7" s="1"/>
  <c r="AP561" i="7" s="1"/>
  <c r="AQ561" i="7" s="1"/>
  <c r="AS561" i="7" s="1"/>
  <c r="U546" i="7"/>
  <c r="AI546" i="7" s="1"/>
  <c r="AK546" i="7" s="1"/>
  <c r="U557" i="7"/>
  <c r="AI557" i="7" s="1"/>
  <c r="AJ557" i="7" s="1"/>
  <c r="U433" i="7"/>
  <c r="AI433" i="7" s="1"/>
  <c r="AJ433" i="7" s="1"/>
  <c r="U296" i="7"/>
  <c r="AI296" i="7" s="1"/>
  <c r="U77" i="7"/>
  <c r="AI77" i="7" s="1"/>
  <c r="AP77" i="7" s="1"/>
  <c r="AQ77" i="7" s="1"/>
  <c r="AS77" i="7" s="1"/>
  <c r="U489" i="7"/>
  <c r="AI489" i="7" s="1"/>
  <c r="AP489" i="7" s="1"/>
  <c r="AQ489" i="7" s="1"/>
  <c r="AS489" i="7" s="1"/>
  <c r="U372" i="7"/>
  <c r="AI372" i="7" s="1"/>
  <c r="AJ372" i="7" s="1"/>
  <c r="U135" i="7"/>
  <c r="AI135" i="7" s="1"/>
  <c r="AK135" i="7" s="1"/>
  <c r="U92" i="7"/>
  <c r="AI92" i="7" s="1"/>
  <c r="AP92" i="7" s="1"/>
  <c r="AQ92" i="7" s="1"/>
  <c r="U400" i="7"/>
  <c r="AI400" i="7" s="1"/>
  <c r="AJ400" i="7" s="1"/>
  <c r="U345" i="7"/>
  <c r="AI345" i="7" s="1"/>
  <c r="AP345" i="7" s="1"/>
  <c r="AQ345" i="7" s="1"/>
  <c r="AS345" i="7" s="1"/>
  <c r="U504" i="7"/>
  <c r="AI504" i="7" s="1"/>
  <c r="U165" i="7"/>
  <c r="AI165" i="7" s="1"/>
  <c r="AP165" i="7" s="1"/>
  <c r="AQ165" i="7" s="1"/>
  <c r="U153" i="7"/>
  <c r="AI153" i="7" s="1"/>
  <c r="AJ153" i="7" s="1"/>
  <c r="U307" i="7"/>
  <c r="AI307" i="7" s="1"/>
  <c r="AJ307" i="7" s="1"/>
  <c r="U139" i="7"/>
  <c r="AI139" i="7" s="1"/>
  <c r="AJ139" i="7" s="1"/>
  <c r="U56" i="7"/>
  <c r="AI56" i="7" s="1"/>
  <c r="AK56" i="7" s="1"/>
  <c r="U20" i="7"/>
  <c r="AI20" i="7" s="1"/>
  <c r="U275" i="7"/>
  <c r="AI275" i="7" s="1"/>
  <c r="AP275" i="7" s="1"/>
  <c r="AQ275" i="7" s="1"/>
  <c r="U107" i="7"/>
  <c r="AI107" i="7" s="1"/>
  <c r="U9" i="7"/>
  <c r="AI9" i="7" s="1"/>
  <c r="U544" i="7"/>
  <c r="AI544" i="7" s="1"/>
  <c r="AK544" i="7" s="1"/>
  <c r="U412" i="7"/>
  <c r="AI412" i="7" s="1"/>
  <c r="AK412" i="7" s="1"/>
  <c r="U276" i="7"/>
  <c r="AI276" i="7" s="1"/>
  <c r="U532" i="7"/>
  <c r="AI532" i="7" s="1"/>
  <c r="AK532" i="7" s="1"/>
  <c r="U440" i="7"/>
  <c r="AI440" i="7" s="1"/>
  <c r="AK440" i="7" s="1"/>
  <c r="U89" i="7"/>
  <c r="AI89" i="7" s="1"/>
  <c r="U63" i="7"/>
  <c r="AI63" i="7" s="1"/>
  <c r="U35" i="16"/>
  <c r="AI35" i="16" s="1"/>
  <c r="AP35" i="16" s="1"/>
  <c r="AQ35" i="16" s="1"/>
  <c r="U126" i="7"/>
  <c r="AI126" i="7" s="1"/>
  <c r="AK126" i="7" s="1"/>
  <c r="U86" i="7"/>
  <c r="AI86" i="7" s="1"/>
  <c r="AP86" i="7" s="1"/>
  <c r="AQ86" i="7" s="1"/>
  <c r="U22" i="7"/>
  <c r="AI22" i="7" s="1"/>
  <c r="AJ22" i="7" s="1"/>
  <c r="U186" i="7"/>
  <c r="AI186" i="7" s="1"/>
  <c r="U223" i="7"/>
  <c r="AI223" i="7" s="1"/>
  <c r="AK223" i="7" s="1"/>
  <c r="U39" i="7"/>
  <c r="AI39" i="7" s="1"/>
  <c r="AJ39" i="7" s="1"/>
  <c r="U287" i="7"/>
  <c r="AI287" i="7" s="1"/>
  <c r="AP287" i="7" s="1"/>
  <c r="AQ287" i="7" s="1"/>
  <c r="U4" i="16"/>
  <c r="AI4" i="16" s="1"/>
  <c r="AJ4" i="16" s="1"/>
  <c r="AT124" i="7"/>
  <c r="AT352" i="7"/>
  <c r="AT175" i="7"/>
  <c r="AT502" i="7"/>
  <c r="AT536" i="7"/>
  <c r="AT21" i="16"/>
  <c r="AT399" i="7"/>
  <c r="AT224" i="7"/>
  <c r="AT69" i="7"/>
  <c r="U85" i="7"/>
  <c r="AI85" i="7" s="1"/>
  <c r="AP85" i="7" s="1"/>
  <c r="AQ85" i="7" s="1"/>
  <c r="AS85" i="7" s="1"/>
  <c r="U101" i="7"/>
  <c r="AI101" i="7" s="1"/>
  <c r="AK101" i="7" s="1"/>
  <c r="U430" i="7"/>
  <c r="AI430" i="7" s="1"/>
  <c r="U394" i="7"/>
  <c r="AI394" i="7" s="1"/>
  <c r="AP394" i="7" s="1"/>
  <c r="AQ394" i="7" s="1"/>
  <c r="AS394" i="7" s="1"/>
  <c r="U117" i="7"/>
  <c r="AI117" i="7" s="1"/>
  <c r="U174" i="7"/>
  <c r="AI174" i="7" s="1"/>
  <c r="AK174" i="7" s="1"/>
  <c r="U260" i="7"/>
  <c r="AI260" i="7" s="1"/>
  <c r="AP260" i="7" s="1"/>
  <c r="AQ260" i="7" s="1"/>
  <c r="AS260" i="7" s="1"/>
  <c r="U161" i="7"/>
  <c r="AI161" i="7" s="1"/>
  <c r="U177" i="7"/>
  <c r="AI177" i="7" s="1"/>
  <c r="AJ177" i="7" s="1"/>
  <c r="U291" i="7"/>
  <c r="AI291" i="7" s="1"/>
  <c r="AP291" i="7" s="1"/>
  <c r="AQ291" i="7" s="1"/>
  <c r="AS291" i="7" s="1"/>
  <c r="U247" i="7"/>
  <c r="AI247" i="7" s="1"/>
  <c r="AP247" i="7" s="1"/>
  <c r="AQ247" i="7" s="1"/>
  <c r="AS247" i="7" s="1"/>
  <c r="U355" i="7"/>
  <c r="AI355" i="7" s="1"/>
  <c r="AJ355" i="7" s="1"/>
  <c r="U41" i="7"/>
  <c r="AI41" i="7" s="1"/>
  <c r="AK41" i="7" s="1"/>
  <c r="U187" i="7"/>
  <c r="AI187" i="7" s="1"/>
  <c r="AP187" i="7" s="1"/>
  <c r="AQ187" i="7" s="1"/>
  <c r="AS187" i="7" s="1"/>
  <c r="AU187" i="7" s="1"/>
  <c r="U15" i="7"/>
  <c r="AI15" i="7" s="1"/>
  <c r="AK15" i="7" s="1"/>
  <c r="U279" i="7"/>
  <c r="AI279" i="7" s="1"/>
  <c r="AP279" i="7" s="1"/>
  <c r="AQ279" i="7" s="1"/>
  <c r="AS279" i="7" s="1"/>
  <c r="U203" i="7"/>
  <c r="AI203" i="7" s="1"/>
  <c r="U492" i="7"/>
  <c r="AI492" i="7" s="1"/>
  <c r="AK492" i="7" s="1"/>
  <c r="U562" i="7"/>
  <c r="AI562" i="7" s="1"/>
  <c r="AP562" i="7" s="1"/>
  <c r="AQ562" i="7" s="1"/>
  <c r="AS562" i="7" s="1"/>
  <c r="U28" i="7"/>
  <c r="AI28" i="7" s="1"/>
  <c r="U253" i="7"/>
  <c r="AI253" i="7" s="1"/>
  <c r="AP253" i="7" s="1"/>
  <c r="AQ253" i="7" s="1"/>
  <c r="AS253" i="7" s="1"/>
  <c r="U88" i="7"/>
  <c r="AI88" i="7" s="1"/>
  <c r="AK88" i="7" s="1"/>
  <c r="U343" i="7"/>
  <c r="AI343" i="7" s="1"/>
  <c r="AJ343" i="7" s="1"/>
  <c r="U52" i="7"/>
  <c r="AI52" i="7" s="1"/>
  <c r="U47" i="7"/>
  <c r="AI47" i="7" s="1"/>
  <c r="AJ47" i="7" s="1"/>
  <c r="U95" i="7"/>
  <c r="AI95" i="7" s="1"/>
  <c r="AJ95" i="7" s="1"/>
  <c r="U482" i="7"/>
  <c r="AI482" i="7" s="1"/>
  <c r="AK482" i="7" s="1"/>
  <c r="U465" i="7"/>
  <c r="AI465" i="7" s="1"/>
  <c r="AP465" i="7" s="1"/>
  <c r="AQ465" i="7" s="1"/>
  <c r="AS465" i="7" s="1"/>
  <c r="U84" i="7"/>
  <c r="AI84" i="7" s="1"/>
  <c r="AP84" i="7" s="1"/>
  <c r="AQ84" i="7" s="1"/>
  <c r="AS84" i="7" s="1"/>
  <c r="U13" i="7"/>
  <c r="AI13" i="7" s="1"/>
  <c r="AJ13" i="7" s="1"/>
  <c r="U363" i="7"/>
  <c r="AI363" i="7" s="1"/>
  <c r="AK363" i="7" s="1"/>
  <c r="U359" i="7"/>
  <c r="AI359" i="7" s="1"/>
  <c r="AP359" i="7" s="1"/>
  <c r="AQ359" i="7" s="1"/>
  <c r="AS359" i="7" s="1"/>
  <c r="U219" i="7"/>
  <c r="AI219" i="7" s="1"/>
  <c r="AJ219" i="7" s="1"/>
  <c r="U72" i="7"/>
  <c r="AI72" i="7" s="1"/>
  <c r="U155" i="7"/>
  <c r="AI155" i="7" s="1"/>
  <c r="AK155" i="7" s="1"/>
  <c r="U151" i="7"/>
  <c r="AI151" i="7" s="1"/>
  <c r="AP151" i="7" s="1"/>
  <c r="AQ151" i="7" s="1"/>
  <c r="U167" i="7"/>
  <c r="AI167" i="7" s="1"/>
  <c r="AK167" i="7" s="1"/>
  <c r="U31" i="7"/>
  <c r="AI31" i="7" s="1"/>
  <c r="U390" i="7"/>
  <c r="AI390" i="7" s="1"/>
  <c r="U241" i="7"/>
  <c r="AI241" i="7" s="1"/>
  <c r="AP241" i="7" s="1"/>
  <c r="AQ241" i="7" s="1"/>
  <c r="AS241" i="7" s="1"/>
  <c r="U332" i="7"/>
  <c r="AI332" i="7" s="1"/>
  <c r="U354" i="7"/>
  <c r="AI354" i="7" s="1"/>
  <c r="U310" i="7"/>
  <c r="AI310" i="7" s="1"/>
  <c r="AP310" i="7" s="1"/>
  <c r="AQ310" i="7" s="1"/>
  <c r="AS310" i="7" s="1"/>
  <c r="U257" i="7"/>
  <c r="AI257" i="7" s="1"/>
  <c r="AK257" i="7" s="1"/>
  <c r="U378" i="7"/>
  <c r="AI378" i="7" s="1"/>
  <c r="AP378" i="7" s="1"/>
  <c r="AQ378" i="7" s="1"/>
  <c r="AS378" i="7" s="1"/>
  <c r="U316" i="7"/>
  <c r="AI316" i="7" s="1"/>
  <c r="AP316" i="7" s="1"/>
  <c r="AQ316" i="7" s="1"/>
  <c r="AS316" i="7" s="1"/>
  <c r="U405" i="7"/>
  <c r="AI405" i="7" s="1"/>
  <c r="AK405" i="7" s="1"/>
  <c r="U145" i="7"/>
  <c r="AI145" i="7" s="1"/>
  <c r="AJ145" i="7" s="1"/>
  <c r="U294" i="7"/>
  <c r="AI294" i="7" s="1"/>
  <c r="AK294" i="7" s="1"/>
  <c r="U421" i="7"/>
  <c r="AI421" i="7" s="1"/>
  <c r="AK421" i="7" s="1"/>
  <c r="U388" i="7"/>
  <c r="AI388" i="7" s="1"/>
  <c r="U329" i="7"/>
  <c r="AI329" i="7" s="1"/>
  <c r="AJ329" i="7" s="1"/>
  <c r="U565" i="7"/>
  <c r="AI565" i="7" s="1"/>
  <c r="U501" i="7"/>
  <c r="AI501" i="7" s="1"/>
  <c r="AP501" i="7" s="1"/>
  <c r="AQ501" i="7" s="1"/>
  <c r="AS501" i="7" s="1"/>
  <c r="U409" i="7"/>
  <c r="AI409" i="7" s="1"/>
  <c r="AK409" i="7" s="1"/>
  <c r="U272" i="7"/>
  <c r="AI272" i="7" s="1"/>
  <c r="AK272" i="7" s="1"/>
  <c r="U552" i="7"/>
  <c r="AI552" i="7" s="1"/>
  <c r="AP552" i="7" s="1"/>
  <c r="AQ552" i="7" s="1"/>
  <c r="AS552" i="7" s="1"/>
  <c r="U65" i="7"/>
  <c r="AI65" i="7" s="1"/>
  <c r="AK65" i="7" s="1"/>
  <c r="U524" i="7"/>
  <c r="AI524" i="7" s="1"/>
  <c r="U368" i="7"/>
  <c r="AI368" i="7" s="1"/>
  <c r="AK368" i="7" s="1"/>
  <c r="U444" i="7"/>
  <c r="AI444" i="7" s="1"/>
  <c r="AP444" i="7" s="1"/>
  <c r="AQ444" i="7" s="1"/>
  <c r="AS444" i="7" s="1"/>
  <c r="U318" i="7"/>
  <c r="AI318" i="7" s="1"/>
  <c r="AP318" i="7" s="1"/>
  <c r="AQ318" i="7" s="1"/>
  <c r="AS318" i="7" s="1"/>
  <c r="U169" i="7"/>
  <c r="AI169" i="7" s="1"/>
  <c r="U160" i="7"/>
  <c r="AI160" i="7" s="1"/>
  <c r="AP160" i="7" s="1"/>
  <c r="AQ160" i="7" s="1"/>
  <c r="AS160" i="7" s="1"/>
  <c r="U531" i="7"/>
  <c r="AI531" i="7" s="1"/>
  <c r="AJ531" i="7" s="1"/>
  <c r="U439" i="7"/>
  <c r="AI439" i="7" s="1"/>
  <c r="AP439" i="7" s="1"/>
  <c r="AQ439" i="7" s="1"/>
  <c r="AS439" i="7" s="1"/>
  <c r="U559" i="7"/>
  <c r="AI559" i="7" s="1"/>
  <c r="U264" i="7"/>
  <c r="AI264" i="7" s="1"/>
  <c r="U399" i="7"/>
  <c r="AI399" i="7" s="1"/>
  <c r="AP399" i="7" s="1"/>
  <c r="AQ399" i="7" s="1"/>
  <c r="AS399" i="7" s="1"/>
  <c r="U180" i="7"/>
  <c r="AI180" i="7" s="1"/>
  <c r="AK180" i="7" s="1"/>
  <c r="U144" i="7"/>
  <c r="AI144" i="7" s="1"/>
  <c r="AJ144" i="7" s="1"/>
  <c r="U18" i="7"/>
  <c r="AI18" i="7" s="1"/>
  <c r="AP18" i="7" s="1"/>
  <c r="AQ18" i="7" s="1"/>
  <c r="AS18" i="7" s="1"/>
  <c r="U284" i="7"/>
  <c r="AI284" i="7" s="1"/>
  <c r="AP284" i="7" s="1"/>
  <c r="AQ284" i="7" s="1"/>
  <c r="U374" i="7"/>
  <c r="AI374" i="7" s="1"/>
  <c r="AK374" i="7" s="1"/>
  <c r="U502" i="7"/>
  <c r="AI502" i="7" s="1"/>
  <c r="AJ502" i="7" s="1"/>
  <c r="U453" i="7"/>
  <c r="AI453" i="7" s="1"/>
  <c r="U496" i="7"/>
  <c r="AI496" i="7" s="1"/>
  <c r="AP496" i="7" s="1"/>
  <c r="AQ496" i="7" s="1"/>
  <c r="AS496" i="7" s="1"/>
  <c r="U236" i="7"/>
  <c r="AI236" i="7" s="1"/>
  <c r="AP236" i="7" s="1"/>
  <c r="AQ236" i="7" s="1"/>
  <c r="AS236" i="7" s="1"/>
  <c r="U357" i="7"/>
  <c r="AI357" i="7" s="1"/>
  <c r="U288" i="7"/>
  <c r="AI288" i="7" s="1"/>
  <c r="U358" i="7"/>
  <c r="AI358" i="7" s="1"/>
  <c r="AK358" i="7" s="1"/>
  <c r="U493" i="7"/>
  <c r="AI493" i="7" s="1"/>
  <c r="U413" i="7"/>
  <c r="AI413" i="7" s="1"/>
  <c r="AP413" i="7" s="1"/>
  <c r="AQ413" i="7" s="1"/>
  <c r="AS413" i="7" s="1"/>
  <c r="U250" i="7"/>
  <c r="AI250" i="7" s="1"/>
  <c r="U205" i="7"/>
  <c r="AI205" i="7" s="1"/>
  <c r="U416" i="7"/>
  <c r="AI416" i="7" s="1"/>
  <c r="AJ416" i="7" s="1"/>
  <c r="U395" i="7"/>
  <c r="AI395" i="7" s="1"/>
  <c r="U364" i="7"/>
  <c r="AI364" i="7" s="1"/>
  <c r="AP364" i="7" s="1"/>
  <c r="AQ364" i="7" s="1"/>
  <c r="AS364" i="7" s="1"/>
  <c r="U484" i="7"/>
  <c r="AI484" i="7" s="1"/>
  <c r="U515" i="7"/>
  <c r="AI515" i="7" s="1"/>
  <c r="AP515" i="7" s="1"/>
  <c r="AQ515" i="7" s="1"/>
  <c r="AS515" i="7" s="1"/>
  <c r="U539" i="7"/>
  <c r="AI539" i="7" s="1"/>
  <c r="AP539" i="7" s="1"/>
  <c r="AQ539" i="7" s="1"/>
  <c r="U128" i="7"/>
  <c r="AI128" i="7" s="1"/>
  <c r="AP128" i="7" s="1"/>
  <c r="AQ128" i="7" s="1"/>
  <c r="AS128" i="7" s="1"/>
  <c r="U418" i="7"/>
  <c r="AI418" i="7" s="1"/>
  <c r="AP418" i="7" s="1"/>
  <c r="AQ418" i="7" s="1"/>
  <c r="AS418" i="7" s="1"/>
  <c r="U542" i="7"/>
  <c r="AI542" i="7" s="1"/>
  <c r="U305" i="7"/>
  <c r="AI305" i="7" s="1"/>
  <c r="U526" i="7"/>
  <c r="AI526" i="7" s="1"/>
  <c r="U278" i="7"/>
  <c r="AI278" i="7" s="1"/>
  <c r="AJ278" i="7" s="1"/>
  <c r="U490" i="7"/>
  <c r="AI490" i="7" s="1"/>
  <c r="AK490" i="7" s="1"/>
  <c r="U566" i="7"/>
  <c r="AI566" i="7" s="1"/>
  <c r="U497" i="7"/>
  <c r="AI497" i="7" s="1"/>
  <c r="AP497" i="7" s="1"/>
  <c r="AQ497" i="7" s="1"/>
  <c r="AS497" i="7" s="1"/>
  <c r="U437" i="7"/>
  <c r="AI437" i="7" s="1"/>
  <c r="U268" i="7"/>
  <c r="AI268" i="7" s="1"/>
  <c r="U373" i="7"/>
  <c r="AI373" i="7" s="1"/>
  <c r="U538" i="7"/>
  <c r="AI538" i="7" s="1"/>
  <c r="U530" i="7"/>
  <c r="AI530" i="7" s="1"/>
  <c r="U406" i="7"/>
  <c r="AI406" i="7" s="1"/>
  <c r="AJ406" i="7" s="1"/>
  <c r="U246" i="7"/>
  <c r="AI246" i="7" s="1"/>
  <c r="U225" i="7"/>
  <c r="AI225" i="7" s="1"/>
  <c r="AK225" i="7" s="1"/>
  <c r="U477" i="7"/>
  <c r="AI477" i="7" s="1"/>
  <c r="AP477" i="7" s="1"/>
  <c r="AQ477" i="7" s="1"/>
  <c r="AS477" i="7" s="1"/>
  <c r="U449" i="7"/>
  <c r="AI449" i="7" s="1"/>
  <c r="AJ449" i="7" s="1"/>
  <c r="U49" i="7"/>
  <c r="AI49" i="7" s="1"/>
  <c r="AP49" i="7" s="1"/>
  <c r="AQ49" i="7" s="1"/>
  <c r="U314" i="7"/>
  <c r="AI314" i="7" s="1"/>
  <c r="AK314" i="7" s="1"/>
  <c r="U17" i="7"/>
  <c r="AI17" i="7" s="1"/>
  <c r="AK17" i="7" s="1"/>
  <c r="U184" i="7"/>
  <c r="AI184" i="7" s="1"/>
  <c r="AK184" i="7" s="1"/>
  <c r="U348" i="7"/>
  <c r="AI348" i="7" s="1"/>
  <c r="U376" i="7"/>
  <c r="AI376" i="7" s="1"/>
  <c r="AK376" i="7" s="1"/>
  <c r="U313" i="7"/>
  <c r="AI313" i="7" s="1"/>
  <c r="AJ313" i="7" s="1"/>
  <c r="U563" i="7"/>
  <c r="AI563" i="7" s="1"/>
  <c r="AJ563" i="7" s="1"/>
  <c r="U435" i="7"/>
  <c r="AI435" i="7" s="1"/>
  <c r="AJ435" i="7" s="1"/>
  <c r="U523" i="7"/>
  <c r="AI523" i="7" s="1"/>
  <c r="AK523" i="7" s="1"/>
  <c r="U148" i="7"/>
  <c r="AI148" i="7" s="1"/>
  <c r="AK148" i="7" s="1"/>
  <c r="U386" i="7"/>
  <c r="AI386" i="7" s="1"/>
  <c r="U402" i="7"/>
  <c r="AI402" i="7" s="1"/>
  <c r="AP402" i="7" s="1"/>
  <c r="AQ402" i="7" s="1"/>
  <c r="AS402" i="7" s="1"/>
  <c r="U337" i="7"/>
  <c r="AI337" i="7" s="1"/>
  <c r="AP337" i="7" s="1"/>
  <c r="AQ337" i="7" s="1"/>
  <c r="AS337" i="7" s="1"/>
  <c r="U342" i="7"/>
  <c r="AI342" i="7" s="1"/>
  <c r="U410" i="7"/>
  <c r="AI410" i="7" s="1"/>
  <c r="U470" i="7"/>
  <c r="AI470" i="7" s="1"/>
  <c r="U446" i="7"/>
  <c r="AI446" i="7" s="1"/>
  <c r="U426" i="7"/>
  <c r="AI426" i="7" s="1"/>
  <c r="AK426" i="7" s="1"/>
  <c r="U513" i="7"/>
  <c r="AI513" i="7" s="1"/>
  <c r="U525" i="7"/>
  <c r="AI525" i="7" s="1"/>
  <c r="AJ525" i="7" s="1"/>
  <c r="U473" i="7"/>
  <c r="AI473" i="7" s="1"/>
  <c r="AP473" i="7" s="1"/>
  <c r="AQ473" i="7" s="1"/>
  <c r="AS473" i="7" s="1"/>
  <c r="U445" i="7"/>
  <c r="AI445" i="7" s="1"/>
  <c r="AP445" i="7" s="1"/>
  <c r="AQ445" i="7" s="1"/>
  <c r="AS445" i="7" s="1"/>
  <c r="U293" i="7"/>
  <c r="AI293" i="7" s="1"/>
  <c r="U476" i="7"/>
  <c r="AI476" i="7" s="1"/>
  <c r="U448" i="7"/>
  <c r="AI448" i="7" s="1"/>
  <c r="AP448" i="7" s="1"/>
  <c r="AQ448" i="7" s="1"/>
  <c r="U238" i="7"/>
  <c r="AI238" i="7" s="1"/>
  <c r="AK238" i="7" s="1"/>
  <c r="U185" i="7"/>
  <c r="AI185" i="7" s="1"/>
  <c r="U551" i="7"/>
  <c r="AI551" i="7" s="1"/>
  <c r="AP551" i="7" s="1"/>
  <c r="AQ551" i="7" s="1"/>
  <c r="AS551" i="7" s="1"/>
  <c r="U488" i="7"/>
  <c r="AI488" i="7" s="1"/>
  <c r="AP488" i="7" s="1"/>
  <c r="AQ488" i="7" s="1"/>
  <c r="AS488" i="7" s="1"/>
  <c r="U455" i="7"/>
  <c r="AI455" i="7" s="1"/>
  <c r="AK455" i="7" s="1"/>
  <c r="U248" i="7"/>
  <c r="AI248" i="7" s="1"/>
  <c r="AJ248" i="7" s="1"/>
  <c r="U216" i="7"/>
  <c r="AI216" i="7" s="1"/>
  <c r="AP216" i="7" s="1"/>
  <c r="AQ216" i="7" s="1"/>
  <c r="U40" i="7"/>
  <c r="AI40" i="7" s="1"/>
  <c r="AJ40" i="7" s="1"/>
  <c r="U106" i="7"/>
  <c r="AI106" i="7" s="1"/>
  <c r="U541" i="7"/>
  <c r="AI541" i="7" s="1"/>
  <c r="U325" i="7"/>
  <c r="AI325" i="7" s="1"/>
  <c r="AP325" i="7" s="1"/>
  <c r="AQ325" i="7" s="1"/>
  <c r="AS325" i="7" s="1"/>
  <c r="AU325" i="7" s="1"/>
  <c r="U240" i="7"/>
  <c r="AI240" i="7" s="1"/>
  <c r="AJ240" i="7" s="1"/>
  <c r="U173" i="7"/>
  <c r="AI173" i="7" s="1"/>
  <c r="AK173" i="7" s="1"/>
  <c r="U553" i="7"/>
  <c r="AI553" i="7" s="1"/>
  <c r="AK553" i="7" s="1"/>
  <c r="U397" i="7"/>
  <c r="AI397" i="7" s="1"/>
  <c r="AP397" i="7" s="1"/>
  <c r="AQ397" i="7" s="1"/>
  <c r="AS397" i="7" s="1"/>
  <c r="U341" i="7"/>
  <c r="AI341" i="7" s="1"/>
  <c r="AJ341" i="7" s="1"/>
  <c r="U256" i="7"/>
  <c r="AI256" i="7" s="1"/>
  <c r="AK256" i="7" s="1"/>
  <c r="U113" i="7"/>
  <c r="AI113" i="7" s="1"/>
  <c r="U109" i="7"/>
  <c r="AI109" i="7" s="1"/>
  <c r="AJ109" i="7" s="1"/>
  <c r="U204" i="7"/>
  <c r="AI204" i="7" s="1"/>
  <c r="U533" i="7"/>
  <c r="AI533" i="7" s="1"/>
  <c r="AP533" i="7" s="1"/>
  <c r="AQ533" i="7" s="1"/>
  <c r="AS533" i="7" s="1"/>
  <c r="U469" i="7"/>
  <c r="AI469" i="7" s="1"/>
  <c r="AK469" i="7" s="1"/>
  <c r="U377" i="7"/>
  <c r="AI377" i="7" s="1"/>
  <c r="U125" i="7"/>
  <c r="AI125" i="7" s="1"/>
  <c r="U567" i="7"/>
  <c r="AI567" i="7" s="1"/>
  <c r="AJ567" i="7" s="1"/>
  <c r="U221" i="7"/>
  <c r="AI221" i="7" s="1"/>
  <c r="AK221" i="7" s="1"/>
  <c r="U471" i="7"/>
  <c r="AI471" i="7" s="1"/>
  <c r="AJ471" i="7" s="1"/>
  <c r="U443" i="7"/>
  <c r="AI443" i="7" s="1"/>
  <c r="AP443" i="7" s="1"/>
  <c r="AQ443" i="7" s="1"/>
  <c r="AS443" i="7" s="1"/>
  <c r="U468" i="7"/>
  <c r="AI468" i="7" s="1"/>
  <c r="AK468" i="7" s="1"/>
  <c r="U120" i="7"/>
  <c r="AI120" i="7" s="1"/>
  <c r="AK120" i="7" s="1"/>
  <c r="U269" i="7"/>
  <c r="AI269" i="7" s="1"/>
  <c r="U200" i="7"/>
  <c r="AI200" i="7" s="1"/>
  <c r="AP200" i="7" s="1"/>
  <c r="AQ200" i="7" s="1"/>
  <c r="AS200" i="7" s="1"/>
  <c r="U12" i="7"/>
  <c r="AI12" i="7" s="1"/>
  <c r="U527" i="7"/>
  <c r="AI527" i="7" s="1"/>
  <c r="AP527" i="7" s="1"/>
  <c r="AQ527" i="7" s="1"/>
  <c r="AS527" i="7" s="1"/>
  <c r="U463" i="7"/>
  <c r="AI463" i="7" s="1"/>
  <c r="AJ463" i="7" s="1"/>
  <c r="U371" i="7"/>
  <c r="AI371" i="7" s="1"/>
  <c r="AP371" i="7" s="1"/>
  <c r="AQ371" i="7" s="1"/>
  <c r="AS371" i="7" s="1"/>
  <c r="U306" i="7"/>
  <c r="AI306" i="7" s="1"/>
  <c r="U133" i="7"/>
  <c r="AI133" i="7" s="1"/>
  <c r="U105" i="7"/>
  <c r="AI105" i="7" s="1"/>
  <c r="U152" i="7"/>
  <c r="AI152" i="7" s="1"/>
  <c r="AK152" i="7" s="1"/>
  <c r="U431" i="7"/>
  <c r="AI431" i="7" s="1"/>
  <c r="U367" i="7"/>
  <c r="AI367" i="7" s="1"/>
  <c r="AJ367" i="7" s="1"/>
  <c r="U301" i="7"/>
  <c r="AI301" i="7" s="1"/>
  <c r="AK301" i="7" s="1"/>
  <c r="U136" i="7"/>
  <c r="AI136" i="7" s="1"/>
  <c r="AJ136" i="7" s="1"/>
  <c r="U108" i="7"/>
  <c r="AI108" i="7" s="1"/>
  <c r="AP108" i="7" s="1"/>
  <c r="AQ108" i="7" s="1"/>
  <c r="U212" i="7"/>
  <c r="AI212" i="7" s="1"/>
  <c r="AK212" i="7" s="1"/>
  <c r="U311" i="7"/>
  <c r="AI311" i="7" s="1"/>
  <c r="U124" i="7"/>
  <c r="AI124" i="7" s="1"/>
  <c r="U96" i="7"/>
  <c r="AI96" i="7" s="1"/>
  <c r="AJ96" i="7" s="1"/>
  <c r="U32" i="7"/>
  <c r="AI32" i="7" s="1"/>
  <c r="AJ32" i="7" s="1"/>
  <c r="U263" i="7"/>
  <c r="AI263" i="7" s="1"/>
  <c r="U123" i="7"/>
  <c r="AI123" i="7" s="1"/>
  <c r="U452" i="7"/>
  <c r="AI452" i="7" s="1"/>
  <c r="AJ452" i="7" s="1"/>
  <c r="U320" i="7"/>
  <c r="AI320" i="7" s="1"/>
  <c r="AP320" i="7" s="1"/>
  <c r="AQ320" i="7" s="1"/>
  <c r="AS320" i="7" s="1"/>
  <c r="U141" i="7"/>
  <c r="AI141" i="7" s="1"/>
  <c r="AJ141" i="7" s="1"/>
  <c r="U560" i="7"/>
  <c r="AI560" i="7" s="1"/>
  <c r="U425" i="7"/>
  <c r="AI425" i="7" s="1"/>
  <c r="AP425" i="7" s="1"/>
  <c r="AQ425" i="7" s="1"/>
  <c r="AS425" i="7" s="1"/>
  <c r="U361" i="7"/>
  <c r="AI361" i="7" s="1"/>
  <c r="AP361" i="7" s="1"/>
  <c r="AQ361" i="7" s="1"/>
  <c r="U356" i="7"/>
  <c r="AI356" i="7" s="1"/>
  <c r="AK356" i="7" s="1"/>
  <c r="U286" i="7"/>
  <c r="AI286" i="7" s="1"/>
  <c r="U540" i="7"/>
  <c r="AI540" i="7" s="1"/>
  <c r="U396" i="7"/>
  <c r="AI396" i="7" s="1"/>
  <c r="AP396" i="7" s="1"/>
  <c r="AQ396" i="7" s="1"/>
  <c r="AS396" i="7" s="1"/>
  <c r="U254" i="7"/>
  <c r="AI254" i="7" s="1"/>
  <c r="AJ254" i="7" s="1"/>
  <c r="U379" i="7"/>
  <c r="AI379" i="7" s="1"/>
  <c r="AK379" i="7" s="1"/>
  <c r="U516" i="7"/>
  <c r="AI516" i="7" s="1"/>
  <c r="AK516" i="7" s="1"/>
  <c r="U424" i="7"/>
  <c r="AI424" i="7" s="1"/>
  <c r="AP424" i="7" s="1"/>
  <c r="AQ424" i="7" s="1"/>
  <c r="AS424" i="7" s="1"/>
  <c r="U360" i="7"/>
  <c r="AI360" i="7" s="1"/>
  <c r="AK360" i="7" s="1"/>
  <c r="U292" i="7"/>
  <c r="AI292" i="7" s="1"/>
  <c r="AK292" i="7" s="1"/>
  <c r="U519" i="7"/>
  <c r="AI519" i="7" s="1"/>
  <c r="U547" i="7"/>
  <c r="AI547" i="7" s="1"/>
  <c r="U483" i="7"/>
  <c r="AI483" i="7" s="1"/>
  <c r="AK483" i="7" s="1"/>
  <c r="U391" i="7"/>
  <c r="AI391" i="7" s="1"/>
  <c r="AP391" i="7" s="1"/>
  <c r="AQ391" i="7" s="1"/>
  <c r="AS391" i="7" s="1"/>
  <c r="U511" i="7"/>
  <c r="AI511" i="7" s="1"/>
  <c r="AP511" i="7" s="1"/>
  <c r="AQ511" i="7" s="1"/>
  <c r="AS511" i="7" s="1"/>
  <c r="U419" i="7"/>
  <c r="AI419" i="7" s="1"/>
  <c r="U285" i="7"/>
  <c r="AI285" i="7" s="1"/>
  <c r="AK285" i="7" s="1"/>
  <c r="U60" i="7"/>
  <c r="AI60" i="7" s="1"/>
  <c r="U351" i="7"/>
  <c r="AI351" i="7" s="1"/>
  <c r="U280" i="7"/>
  <c r="AI280" i="7" s="1"/>
  <c r="AJ280" i="7" s="1"/>
  <c r="U25" i="7"/>
  <c r="AI25" i="7" s="1"/>
  <c r="AJ25" i="7" s="1"/>
  <c r="U208" i="7"/>
  <c r="AI208" i="7" s="1"/>
  <c r="AK208" i="7" s="1"/>
  <c r="U13" i="16"/>
  <c r="AI13" i="16" s="1"/>
  <c r="U104" i="7"/>
  <c r="AI104" i="7" s="1"/>
  <c r="AK104" i="7" s="1"/>
  <c r="U82" i="7"/>
  <c r="AI82" i="7" s="1"/>
  <c r="AK82" i="7" s="1"/>
  <c r="U16" i="7"/>
  <c r="AI16" i="7" s="1"/>
  <c r="U243" i="7"/>
  <c r="AI243" i="7" s="1"/>
  <c r="AP243" i="7" s="1"/>
  <c r="AQ243" i="7" s="1"/>
  <c r="AS243" i="7" s="1"/>
  <c r="U111" i="7"/>
  <c r="AI111" i="7" s="1"/>
  <c r="AP111" i="7" s="1"/>
  <c r="AQ111" i="7" s="1"/>
  <c r="AS111" i="7" s="1"/>
  <c r="U259" i="7"/>
  <c r="AI259" i="7" s="1"/>
  <c r="AJ259" i="7" s="1"/>
  <c r="U218" i="7"/>
  <c r="AI218" i="7" s="1"/>
  <c r="AK218" i="7" s="1"/>
  <c r="U509" i="7"/>
  <c r="AI509" i="7" s="1"/>
  <c r="AP509" i="7" s="1"/>
  <c r="AQ509" i="7" s="1"/>
  <c r="AS509" i="7" s="1"/>
  <c r="U417" i="7"/>
  <c r="AI417" i="7" s="1"/>
  <c r="U353" i="7"/>
  <c r="AI353" i="7" s="1"/>
  <c r="U282" i="7"/>
  <c r="AI282" i="7" s="1"/>
  <c r="AJ282" i="7" s="1"/>
  <c r="U521" i="7"/>
  <c r="AI521" i="7" s="1"/>
  <c r="U429" i="7"/>
  <c r="AI429" i="7" s="1"/>
  <c r="U298" i="7"/>
  <c r="AI298" i="7" s="1"/>
  <c r="U528" i="7"/>
  <c r="AI528" i="7" s="1"/>
  <c r="AJ528" i="7" s="1"/>
  <c r="U121" i="7"/>
  <c r="AI121" i="7" s="1"/>
  <c r="AK121" i="7" s="1"/>
  <c r="U93" i="7"/>
  <c r="AI93" i="7" s="1"/>
  <c r="U487" i="7"/>
  <c r="AI487" i="7" s="1"/>
  <c r="AP487" i="7" s="1"/>
  <c r="AQ487" i="7" s="1"/>
  <c r="U459" i="7"/>
  <c r="AI459" i="7" s="1"/>
  <c r="AJ459" i="7" s="1"/>
  <c r="U229" i="7"/>
  <c r="AI229" i="7" s="1"/>
  <c r="AK229" i="7" s="1"/>
  <c r="U472" i="7"/>
  <c r="AI472" i="7" s="1"/>
  <c r="U408" i="7"/>
  <c r="AI408" i="7" s="1"/>
  <c r="AK408" i="7" s="1"/>
  <c r="U467" i="7"/>
  <c r="AI467" i="7" s="1"/>
  <c r="AP467" i="7" s="1"/>
  <c r="AQ467" i="7" s="1"/>
  <c r="AS467" i="7" s="1"/>
  <c r="U375" i="7"/>
  <c r="AI375" i="7" s="1"/>
  <c r="AK375" i="7" s="1"/>
  <c r="U149" i="7"/>
  <c r="AI149" i="7" s="1"/>
  <c r="AJ149" i="7" s="1"/>
  <c r="U495" i="7"/>
  <c r="AI495" i="7" s="1"/>
  <c r="AP495" i="7" s="1"/>
  <c r="AQ495" i="7" s="1"/>
  <c r="AS495" i="7" s="1"/>
  <c r="U192" i="7"/>
  <c r="AI192" i="7" s="1"/>
  <c r="U344" i="7"/>
  <c r="AI344" i="7" s="1"/>
  <c r="AJ344" i="7" s="1"/>
  <c r="U258" i="7"/>
  <c r="AI258" i="7" s="1"/>
  <c r="AK258" i="7" s="1"/>
  <c r="U188" i="7"/>
  <c r="AI188" i="7" s="1"/>
  <c r="U64" i="7"/>
  <c r="AI64" i="7" s="1"/>
  <c r="AK64" i="7" s="1"/>
  <c r="U79" i="7"/>
  <c r="AI79" i="7" s="1"/>
  <c r="U171" i="7"/>
  <c r="AI171" i="7" s="1"/>
  <c r="U401" i="7"/>
  <c r="AI401" i="7" s="1"/>
  <c r="AK401" i="7" s="1"/>
  <c r="U244" i="7"/>
  <c r="AI244" i="7" s="1"/>
  <c r="AK244" i="7" s="1"/>
  <c r="U277" i="7"/>
  <c r="AI277" i="7" s="1"/>
  <c r="U464" i="7"/>
  <c r="AI464" i="7" s="1"/>
  <c r="AP464" i="7" s="1"/>
  <c r="AQ464" i="7" s="1"/>
  <c r="U436" i="7"/>
  <c r="AI436" i="7" s="1"/>
  <c r="AJ436" i="7" s="1"/>
  <c r="U485" i="7"/>
  <c r="AI485" i="7" s="1"/>
  <c r="AJ485" i="7" s="1"/>
  <c r="U457" i="7"/>
  <c r="AI457" i="7" s="1"/>
  <c r="U393" i="7"/>
  <c r="AI393" i="7" s="1"/>
  <c r="AJ393" i="7" s="1"/>
  <c r="U336" i="7"/>
  <c r="AI336" i="7" s="1"/>
  <c r="U572" i="7"/>
  <c r="AI572" i="7" s="1"/>
  <c r="AP572" i="7" s="1"/>
  <c r="AQ572" i="7" s="1"/>
  <c r="U508" i="7"/>
  <c r="AI508" i="7" s="1"/>
  <c r="U29" i="7"/>
  <c r="AI29" i="7" s="1"/>
  <c r="AP29" i="7" s="1"/>
  <c r="AQ29" i="7" s="1"/>
  <c r="AS29" i="7" s="1"/>
  <c r="AU29" i="7" s="1"/>
  <c r="U338" i="7"/>
  <c r="AI338" i="7" s="1"/>
  <c r="U297" i="7"/>
  <c r="AI297" i="7" s="1"/>
  <c r="U535" i="7"/>
  <c r="AI535" i="7" s="1"/>
  <c r="AJ535" i="7" s="1"/>
  <c r="U456" i="7"/>
  <c r="AI456" i="7" s="1"/>
  <c r="AJ456" i="7" s="1"/>
  <c r="U224" i="7"/>
  <c r="AI224" i="7" s="1"/>
  <c r="AK224" i="7" s="1"/>
  <c r="U57" i="7"/>
  <c r="AI57" i="7" s="1"/>
  <c r="AP57" i="7" s="1"/>
  <c r="AQ57" i="7" s="1"/>
  <c r="AS57" i="7" s="1"/>
  <c r="U220" i="7"/>
  <c r="AI220" i="7" s="1"/>
  <c r="U76" i="7"/>
  <c r="AI76" i="7" s="1"/>
  <c r="AK76" i="7" s="1"/>
  <c r="U543" i="7"/>
  <c r="AI543" i="7" s="1"/>
  <c r="AK543" i="7" s="1"/>
  <c r="U451" i="7"/>
  <c r="AI451" i="7" s="1"/>
  <c r="AP451" i="7" s="1"/>
  <c r="AQ451" i="7" s="1"/>
  <c r="AS451" i="7" s="1"/>
  <c r="U242" i="7"/>
  <c r="AI242" i="7" s="1"/>
  <c r="U197" i="7"/>
  <c r="AI197" i="7" s="1"/>
  <c r="AP197" i="7" s="1"/>
  <c r="AQ197" i="7" s="1"/>
  <c r="AS197" i="7" s="1"/>
  <c r="U322" i="7"/>
  <c r="AI322" i="7" s="1"/>
  <c r="AP322" i="7" s="1"/>
  <c r="AQ322" i="7" s="1"/>
  <c r="AS322" i="7" s="1"/>
  <c r="U237" i="7"/>
  <c r="AI237" i="7" s="1"/>
  <c r="U181" i="7"/>
  <c r="AI181" i="7" s="1"/>
  <c r="AP181" i="7" s="1"/>
  <c r="AQ181" i="7" s="1"/>
  <c r="AS181" i="7" s="1"/>
  <c r="U228" i="7"/>
  <c r="AI228" i="7" s="1"/>
  <c r="U164" i="7"/>
  <c r="AI164" i="7" s="1"/>
  <c r="AP164" i="7" s="1"/>
  <c r="AQ164" i="7" s="1"/>
  <c r="AS164" i="7" s="1"/>
  <c r="U8" i="7"/>
  <c r="AI8" i="7" s="1"/>
  <c r="U140" i="7"/>
  <c r="AI140" i="7" s="1"/>
  <c r="U295" i="7"/>
  <c r="AI295" i="7" s="1"/>
  <c r="U5" i="16"/>
  <c r="AI5" i="16" s="1"/>
  <c r="AP5" i="16" s="1"/>
  <c r="AQ5" i="16" s="1"/>
  <c r="AI6" i="6"/>
  <c r="AJ6" i="6" s="1"/>
  <c r="U45" i="16"/>
  <c r="AI45" i="16" s="1"/>
  <c r="AK45" i="16" s="1"/>
  <c r="U14" i="16"/>
  <c r="AI14" i="16" s="1"/>
  <c r="AP14" i="16" s="1"/>
  <c r="AQ14" i="16" s="1"/>
  <c r="U38" i="16"/>
  <c r="AI38" i="16" s="1"/>
  <c r="U29" i="16"/>
  <c r="AI29" i="16" s="1"/>
  <c r="AP29" i="16" s="1"/>
  <c r="AQ29" i="16" s="1"/>
  <c r="U18" i="16"/>
  <c r="AI18" i="16" s="1"/>
  <c r="AK18" i="16" s="1"/>
  <c r="U28" i="16"/>
  <c r="AI28" i="16" s="1"/>
  <c r="AP28" i="16" s="1"/>
  <c r="AQ28" i="16" s="1"/>
  <c r="U16" i="16"/>
  <c r="AI16" i="16" s="1"/>
  <c r="AP16" i="16" s="1"/>
  <c r="AQ16" i="16" s="1"/>
  <c r="U8" i="16"/>
  <c r="AI8" i="16" s="1"/>
  <c r="U21" i="16"/>
  <c r="AI21" i="16" s="1"/>
  <c r="AP21" i="16" s="1"/>
  <c r="AQ21" i="16" s="1"/>
  <c r="U23" i="16"/>
  <c r="AI23" i="16" s="1"/>
  <c r="AJ23" i="16" s="1"/>
  <c r="U11" i="16"/>
  <c r="AI11" i="16" s="1"/>
  <c r="AP11" i="16" s="1"/>
  <c r="AQ11" i="16" s="1"/>
  <c r="U24" i="6"/>
  <c r="U42" i="6"/>
  <c r="X22" i="6"/>
  <c r="AC482" i="7"/>
  <c r="Y482" i="7"/>
  <c r="X119" i="7"/>
  <c r="AC119" i="7"/>
  <c r="AC37" i="7"/>
  <c r="X37" i="7"/>
  <c r="AC510" i="7"/>
  <c r="X385" i="7"/>
  <c r="Y385" i="7" s="1"/>
  <c r="X349" i="7"/>
  <c r="AC349" i="7"/>
  <c r="AC254" i="7"/>
  <c r="AC279" i="7"/>
  <c r="X428" i="7"/>
  <c r="Z279" i="7"/>
  <c r="Y279" i="7"/>
  <c r="X505" i="7"/>
  <c r="Z254" i="7"/>
  <c r="Z510" i="7"/>
  <c r="Y254" i="7"/>
  <c r="AA346" i="7"/>
  <c r="AB346" i="7" s="1"/>
  <c r="AA118" i="7"/>
  <c r="AB118" i="7" s="1"/>
  <c r="AE385" i="7"/>
  <c r="AD505" i="7"/>
  <c r="AD385" i="7"/>
  <c r="AC464" i="7"/>
  <c r="AC371" i="7"/>
  <c r="AD118" i="7"/>
  <c r="AE118" i="7"/>
  <c r="AD232" i="7"/>
  <c r="AE232" i="7"/>
  <c r="AD428" i="7"/>
  <c r="Z371" i="7"/>
  <c r="Y464" i="7"/>
  <c r="Z464" i="7"/>
  <c r="X48" i="16"/>
  <c r="AC48" i="16"/>
  <c r="AC98" i="7"/>
  <c r="X98" i="7"/>
  <c r="X28" i="16"/>
  <c r="AC28" i="16"/>
  <c r="X264" i="7"/>
  <c r="AC264" i="7"/>
  <c r="X518" i="7"/>
  <c r="AC518" i="7"/>
  <c r="X407" i="7"/>
  <c r="AC407" i="7"/>
  <c r="X382" i="7"/>
  <c r="AC382" i="7"/>
  <c r="X265" i="7"/>
  <c r="AC265" i="7"/>
  <c r="AC244" i="7"/>
  <c r="X244" i="7"/>
  <c r="X23" i="7"/>
  <c r="AC23" i="7"/>
  <c r="AC218" i="7"/>
  <c r="X218" i="7"/>
  <c r="AC129" i="7"/>
  <c r="X129" i="7"/>
  <c r="AC101" i="7"/>
  <c r="X101" i="7"/>
  <c r="AC80" i="7"/>
  <c r="X80" i="7"/>
  <c r="AC182" i="7"/>
  <c r="X182" i="7"/>
  <c r="AC65" i="7"/>
  <c r="X65" i="7"/>
  <c r="AC44" i="7"/>
  <c r="X44" i="7"/>
  <c r="X15" i="7"/>
  <c r="AC15" i="7"/>
  <c r="AC210" i="7"/>
  <c r="X210" i="7"/>
  <c r="X121" i="7"/>
  <c r="AC121" i="7"/>
  <c r="AC93" i="7"/>
  <c r="X93" i="7"/>
  <c r="AC72" i="7"/>
  <c r="X72" i="7"/>
  <c r="AC59" i="7"/>
  <c r="X59" i="7"/>
  <c r="AC165" i="7"/>
  <c r="X165" i="7"/>
  <c r="X144" i="7"/>
  <c r="AC144" i="7"/>
  <c r="X116" i="7"/>
  <c r="AC116" i="7"/>
  <c r="AC32" i="16"/>
  <c r="X32" i="16"/>
  <c r="X27" i="16"/>
  <c r="AC27" i="16"/>
  <c r="AC6" i="16"/>
  <c r="X6" i="16"/>
  <c r="AC420" i="7"/>
  <c r="X420" i="7"/>
  <c r="X559" i="7"/>
  <c r="AC559" i="7"/>
  <c r="AC477" i="7"/>
  <c r="X477" i="7"/>
  <c r="AC564" i="7"/>
  <c r="X564" i="7"/>
  <c r="X315" i="7"/>
  <c r="AC315" i="7"/>
  <c r="X421" i="7"/>
  <c r="AC421" i="7"/>
  <c r="X400" i="7"/>
  <c r="AC400" i="7"/>
  <c r="X62" i="7"/>
  <c r="AC62" i="7"/>
  <c r="X143" i="7"/>
  <c r="AC143" i="7"/>
  <c r="X115" i="7"/>
  <c r="AC115" i="7"/>
  <c r="X26" i="7"/>
  <c r="AC26" i="7"/>
  <c r="X221" i="7"/>
  <c r="AC221" i="7"/>
  <c r="AC200" i="7"/>
  <c r="X200" i="7"/>
  <c r="AC171" i="7"/>
  <c r="X171" i="7"/>
  <c r="X54" i="7"/>
  <c r="AC54" i="7"/>
  <c r="X164" i="7"/>
  <c r="AC164" i="7"/>
  <c r="AC151" i="7"/>
  <c r="X151" i="7"/>
  <c r="AC126" i="7"/>
  <c r="X126" i="7"/>
  <c r="AC73" i="7"/>
  <c r="X73" i="7"/>
  <c r="AC35" i="16"/>
  <c r="X35" i="16"/>
  <c r="X520" i="7"/>
  <c r="AC520" i="7"/>
  <c r="X257" i="7"/>
  <c r="AC257" i="7"/>
  <c r="X402" i="7"/>
  <c r="AC402" i="7"/>
  <c r="X515" i="7"/>
  <c r="AC515" i="7"/>
  <c r="X456" i="7"/>
  <c r="AC456" i="7"/>
  <c r="X285" i="7"/>
  <c r="AC285" i="7"/>
  <c r="AC215" i="7"/>
  <c r="X215" i="7"/>
  <c r="AC229" i="7"/>
  <c r="X229" i="7"/>
  <c r="AC41" i="6"/>
  <c r="X41" i="6"/>
  <c r="X26" i="6"/>
  <c r="AC26" i="6"/>
  <c r="X38" i="6"/>
  <c r="AC38" i="6"/>
  <c r="AC569" i="7"/>
  <c r="X569" i="7"/>
  <c r="AC343" i="7"/>
  <c r="X343" i="7"/>
  <c r="AC356" i="7"/>
  <c r="X356" i="7"/>
  <c r="X179" i="7"/>
  <c r="AC179" i="7"/>
  <c r="X154" i="7"/>
  <c r="AC154" i="7"/>
  <c r="X172" i="7"/>
  <c r="AC172" i="7"/>
  <c r="X90" i="7"/>
  <c r="AC90" i="7"/>
  <c r="AC37" i="6"/>
  <c r="X37" i="6"/>
  <c r="X12" i="6"/>
  <c r="AC12" i="6"/>
  <c r="X449" i="7"/>
  <c r="AC449" i="7"/>
  <c r="X374" i="7"/>
  <c r="AC374" i="7"/>
  <c r="AC236" i="7"/>
  <c r="X236" i="7"/>
  <c r="AC541" i="7"/>
  <c r="X541" i="7"/>
  <c r="AC29" i="7"/>
  <c r="X29" i="7"/>
  <c r="AC33" i="16"/>
  <c r="X33" i="16"/>
  <c r="AC42" i="6"/>
  <c r="AC546" i="7"/>
  <c r="X546" i="7"/>
  <c r="X435" i="7"/>
  <c r="AC435" i="7"/>
  <c r="X318" i="7"/>
  <c r="AC318" i="7"/>
  <c r="X243" i="7"/>
  <c r="AC243" i="7"/>
  <c r="X300" i="7"/>
  <c r="AC300" i="7"/>
  <c r="AC497" i="7"/>
  <c r="X497" i="7"/>
  <c r="AC271" i="7"/>
  <c r="X271" i="7"/>
  <c r="AC377" i="7"/>
  <c r="X377" i="7"/>
  <c r="AC251" i="7"/>
  <c r="X251" i="7"/>
  <c r="X357" i="7"/>
  <c r="AC357" i="7"/>
  <c r="X308" i="7"/>
  <c r="AC308" i="7"/>
  <c r="AC87" i="7"/>
  <c r="X87" i="7"/>
  <c r="X207" i="7"/>
  <c r="AC207" i="7"/>
  <c r="X146" i="7"/>
  <c r="AC146" i="7"/>
  <c r="AC41" i="16"/>
  <c r="X41" i="16"/>
  <c r="X29" i="6"/>
  <c r="AC29" i="6"/>
  <c r="AC34" i="6"/>
  <c r="X34" i="6"/>
  <c r="X487" i="7"/>
  <c r="AC487" i="7"/>
  <c r="AC492" i="7"/>
  <c r="X492" i="7"/>
  <c r="X438" i="7"/>
  <c r="AC438" i="7"/>
  <c r="AC321" i="7"/>
  <c r="X321" i="7"/>
  <c r="AC193" i="7"/>
  <c r="X193" i="7"/>
  <c r="X157" i="7"/>
  <c r="AC157" i="7"/>
  <c r="AC108" i="7"/>
  <c r="X108" i="7"/>
  <c r="X9" i="7"/>
  <c r="AC9" i="7"/>
  <c r="X523" i="7"/>
  <c r="AC523" i="7"/>
  <c r="AC364" i="7"/>
  <c r="X364" i="7"/>
  <c r="X336" i="7"/>
  <c r="AC336" i="7"/>
  <c r="X533" i="7"/>
  <c r="AC533" i="7"/>
  <c r="X399" i="7"/>
  <c r="AC399" i="7"/>
  <c r="AC282" i="7"/>
  <c r="X282" i="7"/>
  <c r="AC392" i="7"/>
  <c r="X392" i="7"/>
  <c r="AC538" i="7"/>
  <c r="X538" i="7"/>
  <c r="X427" i="7"/>
  <c r="AC427" i="7"/>
  <c r="X310" i="7"/>
  <c r="AC310" i="7"/>
  <c r="AC290" i="7"/>
  <c r="X290" i="7"/>
  <c r="X136" i="7"/>
  <c r="AC136" i="7"/>
  <c r="AC79" i="7"/>
  <c r="X79" i="7"/>
  <c r="X185" i="7"/>
  <c r="AC185" i="7"/>
  <c r="AC34" i="7"/>
  <c r="X34" i="7"/>
  <c r="AC208" i="7"/>
  <c r="X208" i="7"/>
  <c r="AC25" i="16"/>
  <c r="X25" i="16"/>
  <c r="X528" i="7"/>
  <c r="AC528" i="7"/>
  <c r="AC410" i="7"/>
  <c r="X410" i="7"/>
  <c r="X293" i="7"/>
  <c r="AC293" i="7"/>
  <c r="X272" i="7"/>
  <c r="AC272" i="7"/>
  <c r="X551" i="7"/>
  <c r="AC551" i="7"/>
  <c r="AC469" i="7"/>
  <c r="X469" i="7"/>
  <c r="X556" i="7"/>
  <c r="AC556" i="7"/>
  <c r="AC307" i="7"/>
  <c r="X307" i="7"/>
  <c r="AC413" i="7"/>
  <c r="X413" i="7"/>
  <c r="X474" i="7"/>
  <c r="AC474" i="7"/>
  <c r="X561" i="7"/>
  <c r="AC561" i="7"/>
  <c r="X363" i="7"/>
  <c r="AC363" i="7"/>
  <c r="AC335" i="7"/>
  <c r="X335" i="7"/>
  <c r="X246" i="7"/>
  <c r="AC246" i="7"/>
  <c r="AC441" i="7"/>
  <c r="X441" i="7"/>
  <c r="AC328" i="7"/>
  <c r="X328" i="7"/>
  <c r="X495" i="7"/>
  <c r="AC495" i="7"/>
  <c r="AC500" i="7"/>
  <c r="X500" i="7"/>
  <c r="X446" i="7"/>
  <c r="AC446" i="7"/>
  <c r="AC329" i="7"/>
  <c r="X329" i="7"/>
  <c r="AC16" i="7"/>
  <c r="X16" i="7"/>
  <c r="X228" i="7"/>
  <c r="AC228" i="7"/>
  <c r="AC8" i="7"/>
  <c r="X8" i="7"/>
  <c r="AC190" i="7"/>
  <c r="X190" i="7"/>
  <c r="X5" i="16"/>
  <c r="AC5" i="16"/>
  <c r="X12" i="16"/>
  <c r="AC12" i="16"/>
  <c r="Z51" i="7"/>
  <c r="Y51" i="7"/>
  <c r="AJ252" i="7"/>
  <c r="AL252" i="7" s="1"/>
  <c r="AN252" i="7" s="1"/>
  <c r="AJ422" i="7"/>
  <c r="AS262" i="7"/>
  <c r="AK558" i="7"/>
  <c r="AP44" i="7"/>
  <c r="AQ44" i="7" s="1"/>
  <c r="AS44" i="7" s="1"/>
  <c r="AP538" i="7"/>
  <c r="AQ538" i="7" s="1"/>
  <c r="AS538" i="7" s="1"/>
  <c r="AJ262" i="7"/>
  <c r="AP423" i="7"/>
  <c r="AQ423" i="7" s="1"/>
  <c r="AK423" i="7"/>
  <c r="AJ423" i="7"/>
  <c r="AJ347" i="7"/>
  <c r="X11" i="16"/>
  <c r="AC11" i="16"/>
  <c r="AC4" i="16"/>
  <c r="X4" i="16"/>
  <c r="X40" i="16"/>
  <c r="AC40" i="16"/>
  <c r="AC45" i="16"/>
  <c r="X45" i="16"/>
  <c r="X176" i="7"/>
  <c r="AC176" i="7"/>
  <c r="X158" i="7"/>
  <c r="AC158" i="7"/>
  <c r="AC104" i="7"/>
  <c r="X104" i="7"/>
  <c r="X196" i="7"/>
  <c r="AC196" i="7"/>
  <c r="X86" i="7"/>
  <c r="AC86" i="7"/>
  <c r="AC203" i="7"/>
  <c r="X203" i="7"/>
  <c r="AC97" i="7"/>
  <c r="X97" i="7"/>
  <c r="X125" i="7"/>
  <c r="AC125" i="7"/>
  <c r="X214" i="7"/>
  <c r="AC214" i="7"/>
  <c r="AC19" i="7"/>
  <c r="X19" i="7"/>
  <c r="AC112" i="7"/>
  <c r="X112" i="7"/>
  <c r="X140" i="7"/>
  <c r="AC140" i="7"/>
  <c r="X94" i="7"/>
  <c r="AC94" i="7"/>
  <c r="X122" i="7"/>
  <c r="AC122" i="7"/>
  <c r="AC276" i="7"/>
  <c r="X276" i="7"/>
  <c r="X453" i="7"/>
  <c r="AC453" i="7"/>
  <c r="X258" i="7"/>
  <c r="AC258" i="7"/>
  <c r="X439" i="7"/>
  <c r="AC439" i="7"/>
  <c r="AC468" i="7"/>
  <c r="X468" i="7"/>
  <c r="X550" i="7"/>
  <c r="AC550" i="7"/>
  <c r="X463" i="7"/>
  <c r="AC463" i="7"/>
  <c r="X317" i="7"/>
  <c r="AC317" i="7"/>
  <c r="X434" i="7"/>
  <c r="AC434" i="7"/>
  <c r="AC239" i="7"/>
  <c r="X239" i="7"/>
  <c r="AC552" i="7"/>
  <c r="X552" i="7"/>
  <c r="AC465" i="7"/>
  <c r="X465" i="7"/>
  <c r="X547" i="7"/>
  <c r="AC547" i="7"/>
  <c r="X268" i="7"/>
  <c r="AC268" i="7"/>
  <c r="X360" i="7"/>
  <c r="AC360" i="7"/>
  <c r="X445" i="7"/>
  <c r="AC445" i="7"/>
  <c r="AC250" i="7"/>
  <c r="X250" i="7"/>
  <c r="X339" i="7"/>
  <c r="AC339" i="7"/>
  <c r="X367" i="7"/>
  <c r="AC367" i="7"/>
  <c r="AC542" i="7"/>
  <c r="X542" i="7"/>
  <c r="X325" i="7"/>
  <c r="AC325" i="7"/>
  <c r="X353" i="7"/>
  <c r="AC353" i="7"/>
  <c r="X442" i="7"/>
  <c r="AC442" i="7"/>
  <c r="X247" i="7"/>
  <c r="AC247" i="7"/>
  <c r="AC560" i="7"/>
  <c r="X560" i="7"/>
  <c r="AC473" i="7"/>
  <c r="X473" i="7"/>
  <c r="X555" i="7"/>
  <c r="AC555" i="7"/>
  <c r="H165" i="4"/>
  <c r="X163" i="6" s="1"/>
  <c r="H182" i="4"/>
  <c r="X88" i="6" s="1"/>
  <c r="X47" i="16"/>
  <c r="AC47" i="16"/>
  <c r="X36" i="16"/>
  <c r="AC36" i="16"/>
  <c r="AC31" i="16"/>
  <c r="X31" i="16"/>
  <c r="X23" i="16"/>
  <c r="AC23" i="16"/>
  <c r="AC36" i="7"/>
  <c r="X36" i="7"/>
  <c r="AC149" i="7"/>
  <c r="X149" i="7"/>
  <c r="AC43" i="7"/>
  <c r="X43" i="7"/>
  <c r="X148" i="7"/>
  <c r="AC148" i="7"/>
  <c r="X38" i="7"/>
  <c r="AC38" i="7"/>
  <c r="AC155" i="7"/>
  <c r="X155" i="7"/>
  <c r="AC184" i="7"/>
  <c r="X184" i="7"/>
  <c r="X74" i="7"/>
  <c r="AC74" i="7"/>
  <c r="X191" i="7"/>
  <c r="AC191" i="7"/>
  <c r="AC85" i="7"/>
  <c r="X85" i="7"/>
  <c r="X202" i="7"/>
  <c r="AC202" i="7"/>
  <c r="X7" i="7"/>
  <c r="AC7" i="7"/>
  <c r="AC292" i="7"/>
  <c r="X292" i="7"/>
  <c r="AC405" i="7"/>
  <c r="X405" i="7"/>
  <c r="AC299" i="7"/>
  <c r="X299" i="7"/>
  <c r="X525" i="7"/>
  <c r="AC525" i="7"/>
  <c r="AC312" i="7"/>
  <c r="X312" i="7"/>
  <c r="X425" i="7"/>
  <c r="AC425" i="7"/>
  <c r="AC319" i="7"/>
  <c r="X319" i="7"/>
  <c r="X347" i="7"/>
  <c r="AC347" i="7"/>
  <c r="X545" i="7"/>
  <c r="AC545" i="7"/>
  <c r="AC376" i="7"/>
  <c r="X376" i="7"/>
  <c r="AC266" i="7"/>
  <c r="X266" i="7"/>
  <c r="X383" i="7"/>
  <c r="AC383" i="7"/>
  <c r="X494" i="7"/>
  <c r="AC494" i="7"/>
  <c r="AC412" i="7"/>
  <c r="X412" i="7"/>
  <c r="X302" i="7"/>
  <c r="AC302" i="7"/>
  <c r="X419" i="7"/>
  <c r="AC419" i="7"/>
  <c r="X530" i="7"/>
  <c r="AC530" i="7"/>
  <c r="AC9" i="6"/>
  <c r="X9" i="6"/>
  <c r="AC25" i="6"/>
  <c r="X25" i="6"/>
  <c r="X40" i="6"/>
  <c r="AC40" i="6"/>
  <c r="X10" i="16"/>
  <c r="AC10" i="16"/>
  <c r="AC19" i="16"/>
  <c r="X19" i="16"/>
  <c r="X7" i="16"/>
  <c r="AC7" i="16"/>
  <c r="X21" i="16"/>
  <c r="AC21" i="16"/>
  <c r="X37" i="16"/>
  <c r="AC37" i="16"/>
  <c r="AC224" i="7"/>
  <c r="X224" i="7"/>
  <c r="AC25" i="7"/>
  <c r="X25" i="7"/>
  <c r="X114" i="7"/>
  <c r="AC114" i="7"/>
  <c r="X142" i="7"/>
  <c r="AC142" i="7"/>
  <c r="X231" i="7"/>
  <c r="AC231" i="7"/>
  <c r="AC24" i="7"/>
  <c r="X24" i="7"/>
  <c r="AC109" i="7"/>
  <c r="X109" i="7"/>
  <c r="X137" i="7"/>
  <c r="AC137" i="7"/>
  <c r="X226" i="7"/>
  <c r="AC226" i="7"/>
  <c r="X31" i="7"/>
  <c r="AC31" i="7"/>
  <c r="AC60" i="7"/>
  <c r="X60" i="7"/>
  <c r="X173" i="7"/>
  <c r="AC173" i="7"/>
  <c r="AC67" i="7"/>
  <c r="X67" i="7"/>
  <c r="X188" i="7"/>
  <c r="AC188" i="7"/>
  <c r="X78" i="7"/>
  <c r="AC78" i="7"/>
  <c r="X195" i="7"/>
  <c r="AC195" i="7"/>
  <c r="AC281" i="7"/>
  <c r="X281" i="7"/>
  <c r="X398" i="7"/>
  <c r="AC398" i="7"/>
  <c r="AC516" i="7"/>
  <c r="X516" i="7"/>
  <c r="X511" i="7"/>
  <c r="AC511" i="7"/>
  <c r="X280" i="7"/>
  <c r="AC280" i="7"/>
  <c r="AC393" i="7"/>
  <c r="X393" i="7"/>
  <c r="X287" i="7"/>
  <c r="AC287" i="7"/>
  <c r="X513" i="7"/>
  <c r="AC513" i="7"/>
  <c r="X316" i="7"/>
  <c r="AC316" i="7"/>
  <c r="X429" i="7"/>
  <c r="AC429" i="7"/>
  <c r="X234" i="7"/>
  <c r="AC234" i="7"/>
  <c r="X323" i="7"/>
  <c r="AC323" i="7"/>
  <c r="X351" i="7"/>
  <c r="AC351" i="7"/>
  <c r="AC549" i="7"/>
  <c r="X549" i="7"/>
  <c r="AC462" i="7"/>
  <c r="X462" i="7"/>
  <c r="X380" i="7"/>
  <c r="AC380" i="7"/>
  <c r="AC270" i="7"/>
  <c r="X270" i="7"/>
  <c r="X387" i="7"/>
  <c r="AC387" i="7"/>
  <c r="X498" i="7"/>
  <c r="AC498" i="7"/>
  <c r="X475" i="7"/>
  <c r="AC475" i="7"/>
  <c r="AC7" i="6"/>
  <c r="X7" i="6"/>
  <c r="AC6" i="6"/>
  <c r="X6" i="6"/>
  <c r="X13" i="16"/>
  <c r="AC13" i="16"/>
  <c r="X44" i="16"/>
  <c r="AC44" i="16"/>
  <c r="AC41" i="7"/>
  <c r="X41" i="7"/>
  <c r="AC133" i="7"/>
  <c r="X133" i="7"/>
  <c r="X222" i="7"/>
  <c r="AC222" i="7"/>
  <c r="AC27" i="7"/>
  <c r="X27" i="7"/>
  <c r="AC61" i="7"/>
  <c r="X61" i="7"/>
  <c r="X178" i="7"/>
  <c r="AC178" i="7"/>
  <c r="X12" i="7"/>
  <c r="AC12" i="7"/>
  <c r="X189" i="7"/>
  <c r="AC189" i="7"/>
  <c r="X83" i="7"/>
  <c r="AC83" i="7"/>
  <c r="X204" i="7"/>
  <c r="AC204" i="7"/>
  <c r="AC69" i="7"/>
  <c r="X69" i="7"/>
  <c r="X186" i="7"/>
  <c r="AC186" i="7"/>
  <c r="X340" i="7"/>
  <c r="AC340" i="7"/>
  <c r="AC368" i="7"/>
  <c r="X368" i="7"/>
  <c r="X322" i="7"/>
  <c r="AC322" i="7"/>
  <c r="AC350" i="7"/>
  <c r="X350" i="7"/>
  <c r="AC532" i="7"/>
  <c r="X532" i="7"/>
  <c r="AC527" i="7"/>
  <c r="X527" i="7"/>
  <c r="AC296" i="7"/>
  <c r="X296" i="7"/>
  <c r="AC409" i="7"/>
  <c r="X409" i="7"/>
  <c r="X303" i="7"/>
  <c r="AC303" i="7"/>
  <c r="AC529" i="7"/>
  <c r="X529" i="7"/>
  <c r="X332" i="7"/>
  <c r="AC332" i="7"/>
  <c r="AC424" i="7"/>
  <c r="X424" i="7"/>
  <c r="X314" i="7"/>
  <c r="AC314" i="7"/>
  <c r="X431" i="7"/>
  <c r="AC431" i="7"/>
  <c r="X524" i="7"/>
  <c r="AC524" i="7"/>
  <c r="AC519" i="7"/>
  <c r="X519" i="7"/>
  <c r="X240" i="7"/>
  <c r="AC240" i="7"/>
  <c r="X417" i="7"/>
  <c r="AC417" i="7"/>
  <c r="AC311" i="7"/>
  <c r="X311" i="7"/>
  <c r="X537" i="7"/>
  <c r="AC537" i="7"/>
  <c r="AC35" i="6"/>
  <c r="X35" i="6"/>
  <c r="AC36" i="6"/>
  <c r="X36" i="6"/>
  <c r="AC42" i="16"/>
  <c r="X42" i="16"/>
  <c r="X43" i="16"/>
  <c r="AC43" i="16"/>
  <c r="X8" i="16"/>
  <c r="AC8" i="16"/>
  <c r="AC46" i="16"/>
  <c r="X46" i="16"/>
  <c r="AC100" i="7"/>
  <c r="X100" i="7"/>
  <c r="X128" i="7"/>
  <c r="AC128" i="7"/>
  <c r="AC213" i="7"/>
  <c r="X213" i="7"/>
  <c r="X18" i="7"/>
  <c r="AC18" i="7"/>
  <c r="AC107" i="7"/>
  <c r="X107" i="7"/>
  <c r="X135" i="7"/>
  <c r="AC135" i="7"/>
  <c r="X212" i="7"/>
  <c r="AC212" i="7"/>
  <c r="AC13" i="7"/>
  <c r="X13" i="7"/>
  <c r="X102" i="7"/>
  <c r="AC102" i="7"/>
  <c r="X130" i="7"/>
  <c r="AC130" i="7"/>
  <c r="X219" i="7"/>
  <c r="AC219" i="7"/>
  <c r="AC49" i="7"/>
  <c r="X49" i="7"/>
  <c r="X166" i="7"/>
  <c r="AC166" i="7"/>
  <c r="AC64" i="7"/>
  <c r="X64" i="7"/>
  <c r="AC177" i="7"/>
  <c r="X177" i="7"/>
  <c r="AC71" i="7"/>
  <c r="X71" i="7"/>
  <c r="AC384" i="7"/>
  <c r="X384" i="7"/>
  <c r="AC274" i="7"/>
  <c r="X274" i="7"/>
  <c r="X391" i="7"/>
  <c r="AC391" i="7"/>
  <c r="X502" i="7"/>
  <c r="AC502" i="7"/>
  <c r="AC404" i="7"/>
  <c r="X404" i="7"/>
  <c r="AC294" i="7"/>
  <c r="X294" i="7"/>
  <c r="X411" i="7"/>
  <c r="AC411" i="7"/>
  <c r="X522" i="7"/>
  <c r="AC522" i="7"/>
  <c r="AC440" i="7"/>
  <c r="X440" i="7"/>
  <c r="AC241" i="7"/>
  <c r="X241" i="7"/>
  <c r="X330" i="7"/>
  <c r="AC330" i="7"/>
  <c r="AC358" i="7"/>
  <c r="X358" i="7"/>
  <c r="X447" i="7"/>
  <c r="AC447" i="7"/>
  <c r="AC476" i="7"/>
  <c r="X476" i="7"/>
  <c r="X558" i="7"/>
  <c r="AC558" i="7"/>
  <c r="X471" i="7"/>
  <c r="AC471" i="7"/>
  <c r="X277" i="7"/>
  <c r="AC277" i="7"/>
  <c r="X394" i="7"/>
  <c r="AC394" i="7"/>
  <c r="AC512" i="7"/>
  <c r="X512" i="7"/>
  <c r="X507" i="7"/>
  <c r="AC507" i="7"/>
  <c r="AC13" i="6"/>
  <c r="X13" i="6"/>
  <c r="X19" i="6"/>
  <c r="AC19" i="6"/>
  <c r="AC16" i="16"/>
  <c r="X16" i="16"/>
  <c r="X30" i="16"/>
  <c r="AC30" i="16"/>
  <c r="AC9" i="16"/>
  <c r="X9" i="16"/>
  <c r="AC89" i="7"/>
  <c r="X89" i="7"/>
  <c r="AC206" i="7"/>
  <c r="X206" i="7"/>
  <c r="AC11" i="7"/>
  <c r="X11" i="7"/>
  <c r="AC88" i="7"/>
  <c r="X88" i="7"/>
  <c r="X201" i="7"/>
  <c r="AC201" i="7"/>
  <c r="X6" i="7"/>
  <c r="AC6" i="7"/>
  <c r="AC95" i="7"/>
  <c r="X95" i="7"/>
  <c r="X123" i="7"/>
  <c r="AC123" i="7"/>
  <c r="AC152" i="7"/>
  <c r="X152" i="7"/>
  <c r="X42" i="7"/>
  <c r="AC42" i="7"/>
  <c r="X159" i="7"/>
  <c r="AC159" i="7"/>
  <c r="AC53" i="7"/>
  <c r="X53" i="7"/>
  <c r="AC170" i="7"/>
  <c r="X170" i="7"/>
  <c r="X260" i="7"/>
  <c r="AC260" i="7"/>
  <c r="AC345" i="7"/>
  <c r="X345" i="7"/>
  <c r="AC373" i="7"/>
  <c r="X373" i="7"/>
  <c r="X267" i="7"/>
  <c r="AC267" i="7"/>
  <c r="AC493" i="7"/>
  <c r="X493" i="7"/>
  <c r="AC344" i="7"/>
  <c r="X344" i="7"/>
  <c r="X372" i="7"/>
  <c r="AC372" i="7"/>
  <c r="AC457" i="7"/>
  <c r="X457" i="7"/>
  <c r="X262" i="7"/>
  <c r="AC262" i="7"/>
  <c r="X379" i="7"/>
  <c r="AC379" i="7"/>
  <c r="X490" i="7"/>
  <c r="AC490" i="7"/>
  <c r="AC408" i="7"/>
  <c r="X408" i="7"/>
  <c r="X298" i="7"/>
  <c r="AC298" i="7"/>
  <c r="X415" i="7"/>
  <c r="AC415" i="7"/>
  <c r="X526" i="7"/>
  <c r="AC526" i="7"/>
  <c r="X444" i="7"/>
  <c r="AC444" i="7"/>
  <c r="AC245" i="7"/>
  <c r="X245" i="7"/>
  <c r="X334" i="7"/>
  <c r="AC334" i="7"/>
  <c r="X362" i="7"/>
  <c r="AC362" i="7"/>
  <c r="X451" i="7"/>
  <c r="AC451" i="7"/>
  <c r="AC480" i="7"/>
  <c r="X480" i="7"/>
  <c r="AC562" i="7"/>
  <c r="X562" i="7"/>
  <c r="X539" i="7"/>
  <c r="AC539" i="7"/>
  <c r="AC8" i="6"/>
  <c r="X8" i="6"/>
  <c r="AC30" i="6"/>
  <c r="X30" i="6"/>
  <c r="AC5" i="6"/>
  <c r="X5" i="6"/>
  <c r="AC21" i="6"/>
  <c r="X21" i="6"/>
  <c r="AC20" i="16"/>
  <c r="X20" i="16"/>
  <c r="AC15" i="16"/>
  <c r="X15" i="16"/>
  <c r="AC20" i="7"/>
  <c r="X20" i="7"/>
  <c r="AC105" i="7"/>
  <c r="X105" i="7"/>
  <c r="X197" i="7"/>
  <c r="AC197" i="7"/>
  <c r="AC91" i="7"/>
  <c r="X91" i="7"/>
  <c r="X183" i="7"/>
  <c r="AC183" i="7"/>
  <c r="X153" i="7"/>
  <c r="AC153" i="7"/>
  <c r="X47" i="7"/>
  <c r="AC47" i="7"/>
  <c r="AC76" i="7"/>
  <c r="X76" i="7"/>
  <c r="X58" i="7"/>
  <c r="AC58" i="7"/>
  <c r="X175" i="7"/>
  <c r="AC175" i="7"/>
  <c r="AC161" i="7"/>
  <c r="X161" i="7"/>
  <c r="AC55" i="7"/>
  <c r="X55" i="7"/>
  <c r="X147" i="7"/>
  <c r="AC147" i="7"/>
  <c r="AC432" i="7"/>
  <c r="X432" i="7"/>
  <c r="AC297" i="7"/>
  <c r="X297" i="7"/>
  <c r="AC414" i="7"/>
  <c r="X414" i="7"/>
  <c r="AC509" i="7"/>
  <c r="X509" i="7"/>
  <c r="X388" i="7"/>
  <c r="AC388" i="7"/>
  <c r="AC278" i="7"/>
  <c r="X278" i="7"/>
  <c r="X395" i="7"/>
  <c r="AC395" i="7"/>
  <c r="X506" i="7"/>
  <c r="AC506" i="7"/>
  <c r="AC289" i="7"/>
  <c r="X289" i="7"/>
  <c r="X406" i="7"/>
  <c r="AC406" i="7"/>
  <c r="AC501" i="7"/>
  <c r="X501" i="7"/>
  <c r="AC304" i="7"/>
  <c r="X304" i="7"/>
  <c r="AC286" i="7"/>
  <c r="X286" i="7"/>
  <c r="X403" i="7"/>
  <c r="AC403" i="7"/>
  <c r="AC514" i="7"/>
  <c r="X514" i="7"/>
  <c r="AC20" i="6"/>
  <c r="X20" i="6"/>
  <c r="X33" i="6"/>
  <c r="AC33" i="6"/>
  <c r="AC14" i="16"/>
  <c r="X14" i="16"/>
  <c r="X17" i="16"/>
  <c r="AC17" i="16"/>
  <c r="X192" i="7"/>
  <c r="AC192" i="7"/>
  <c r="X82" i="7"/>
  <c r="AC82" i="7"/>
  <c r="X199" i="7"/>
  <c r="AC199" i="7"/>
  <c r="AC77" i="7"/>
  <c r="X77" i="7"/>
  <c r="X194" i="7"/>
  <c r="AC194" i="7"/>
  <c r="X28" i="7"/>
  <c r="AC28" i="7"/>
  <c r="AC113" i="7"/>
  <c r="X113" i="7"/>
  <c r="X141" i="7"/>
  <c r="AC141" i="7"/>
  <c r="AC230" i="7"/>
  <c r="X230" i="7"/>
  <c r="AC35" i="7"/>
  <c r="X35" i="7"/>
  <c r="X156" i="7"/>
  <c r="AC156" i="7"/>
  <c r="X46" i="7"/>
  <c r="AC46" i="7"/>
  <c r="X163" i="7"/>
  <c r="AC163" i="7"/>
  <c r="X448" i="7"/>
  <c r="AC448" i="7"/>
  <c r="X249" i="7"/>
  <c r="AC249" i="7"/>
  <c r="X338" i="7"/>
  <c r="AC338" i="7"/>
  <c r="AC366" i="7"/>
  <c r="X366" i="7"/>
  <c r="X455" i="7"/>
  <c r="AC455" i="7"/>
  <c r="AC484" i="7"/>
  <c r="X484" i="7"/>
  <c r="X566" i="7"/>
  <c r="AC566" i="7"/>
  <c r="X479" i="7"/>
  <c r="AC479" i="7"/>
  <c r="X269" i="7"/>
  <c r="AC269" i="7"/>
  <c r="AC386" i="7"/>
  <c r="X386" i="7"/>
  <c r="AC504" i="7"/>
  <c r="X504" i="7"/>
  <c r="X499" i="7"/>
  <c r="AC499" i="7"/>
  <c r="AC305" i="7"/>
  <c r="X305" i="7"/>
  <c r="AC422" i="7"/>
  <c r="X422" i="7"/>
  <c r="AC540" i="7"/>
  <c r="X540" i="7"/>
  <c r="X535" i="7"/>
  <c r="AC535" i="7"/>
  <c r="X256" i="7"/>
  <c r="AC256" i="7"/>
  <c r="X341" i="7"/>
  <c r="AC341" i="7"/>
  <c r="X369" i="7"/>
  <c r="AC369" i="7"/>
  <c r="X458" i="7"/>
  <c r="AC458" i="7"/>
  <c r="X263" i="7"/>
  <c r="AC263" i="7"/>
  <c r="AC489" i="7"/>
  <c r="X489" i="7"/>
  <c r="X571" i="7"/>
  <c r="AC571" i="7"/>
  <c r="X39" i="6"/>
  <c r="AC39" i="6"/>
  <c r="X24" i="6"/>
  <c r="AC24" i="6"/>
  <c r="AC18" i="16"/>
  <c r="X18" i="16"/>
  <c r="X68" i="7"/>
  <c r="AC68" i="7"/>
  <c r="AC181" i="7"/>
  <c r="X181" i="7"/>
  <c r="AC75" i="7"/>
  <c r="X75" i="7"/>
  <c r="X180" i="7"/>
  <c r="AC180" i="7"/>
  <c r="X70" i="7"/>
  <c r="AC70" i="7"/>
  <c r="AC187" i="7"/>
  <c r="X187" i="7"/>
  <c r="X216" i="7"/>
  <c r="AC216" i="7"/>
  <c r="AC17" i="7"/>
  <c r="X17" i="7"/>
  <c r="X106" i="7"/>
  <c r="AC106" i="7"/>
  <c r="X134" i="7"/>
  <c r="AC134" i="7"/>
  <c r="X223" i="7"/>
  <c r="AC223" i="7"/>
  <c r="AC32" i="7"/>
  <c r="X32" i="7"/>
  <c r="AC117" i="7"/>
  <c r="X117" i="7"/>
  <c r="AC145" i="7"/>
  <c r="X145" i="7"/>
  <c r="AC39" i="7"/>
  <c r="X39" i="7"/>
  <c r="X324" i="7"/>
  <c r="AC324" i="7"/>
  <c r="AC352" i="7"/>
  <c r="X352" i="7"/>
  <c r="X437" i="7"/>
  <c r="AC437" i="7"/>
  <c r="AC242" i="7"/>
  <c r="X242" i="7"/>
  <c r="X331" i="7"/>
  <c r="AC331" i="7"/>
  <c r="X359" i="7"/>
  <c r="AC359" i="7"/>
  <c r="AC557" i="7"/>
  <c r="X557" i="7"/>
  <c r="X470" i="7"/>
  <c r="AC470" i="7"/>
  <c r="AC436" i="7"/>
  <c r="X436" i="7"/>
  <c r="AC237" i="7"/>
  <c r="X237" i="7"/>
  <c r="X326" i="7"/>
  <c r="AC326" i="7"/>
  <c r="AC354" i="7"/>
  <c r="X354" i="7"/>
  <c r="X443" i="7"/>
  <c r="AC443" i="7"/>
  <c r="AC472" i="7"/>
  <c r="X472" i="7"/>
  <c r="AC554" i="7"/>
  <c r="X554" i="7"/>
  <c r="X467" i="7"/>
  <c r="AC467" i="7"/>
  <c r="AC273" i="7"/>
  <c r="X273" i="7"/>
  <c r="X390" i="7"/>
  <c r="AC390" i="7"/>
  <c r="AC508" i="7"/>
  <c r="X508" i="7"/>
  <c r="X503" i="7"/>
  <c r="AC503" i="7"/>
  <c r="X309" i="7"/>
  <c r="AC309" i="7"/>
  <c r="X426" i="7"/>
  <c r="AC426" i="7"/>
  <c r="AC544" i="7"/>
  <c r="X544" i="7"/>
  <c r="X4" i="6"/>
  <c r="AC4" i="6"/>
  <c r="AC23" i="6"/>
  <c r="X23" i="6"/>
  <c r="AC39" i="16"/>
  <c r="X39" i="16"/>
  <c r="X26" i="16"/>
  <c r="AC26" i="16"/>
  <c r="AC84" i="7"/>
  <c r="X84" i="7"/>
  <c r="X66" i="7"/>
  <c r="AC66" i="7"/>
  <c r="AC40" i="7"/>
  <c r="X40" i="7"/>
  <c r="X132" i="7"/>
  <c r="AC132" i="7"/>
  <c r="AC217" i="7"/>
  <c r="X217" i="7"/>
  <c r="X22" i="7"/>
  <c r="AC22" i="7"/>
  <c r="AC111" i="7"/>
  <c r="X111" i="7"/>
  <c r="X139" i="7"/>
  <c r="AC139" i="7"/>
  <c r="AC168" i="7"/>
  <c r="X168" i="7"/>
  <c r="AC33" i="7"/>
  <c r="X33" i="7"/>
  <c r="AC150" i="7"/>
  <c r="X150" i="7"/>
  <c r="AC48" i="7"/>
  <c r="X48" i="7"/>
  <c r="AC225" i="7"/>
  <c r="X225" i="7"/>
  <c r="X30" i="7"/>
  <c r="AC30" i="7"/>
  <c r="X211" i="7"/>
  <c r="AC211" i="7"/>
  <c r="X389" i="7"/>
  <c r="AC389" i="7"/>
  <c r="AC283" i="7"/>
  <c r="X283" i="7"/>
  <c r="X375" i="7"/>
  <c r="AC375" i="7"/>
  <c r="AC573" i="7"/>
  <c r="X573" i="7"/>
  <c r="X486" i="7"/>
  <c r="AC486" i="7"/>
  <c r="AC452" i="7"/>
  <c r="X452" i="7"/>
  <c r="AC253" i="7"/>
  <c r="X253" i="7"/>
  <c r="X342" i="7"/>
  <c r="AC342" i="7"/>
  <c r="X370" i="7"/>
  <c r="AC370" i="7"/>
  <c r="X459" i="7"/>
  <c r="AC459" i="7"/>
  <c r="AC488" i="7"/>
  <c r="X488" i="7"/>
  <c r="X570" i="7"/>
  <c r="AC570" i="7"/>
  <c r="X483" i="7"/>
  <c r="AC483" i="7"/>
  <c r="X381" i="7"/>
  <c r="AC381" i="7"/>
  <c r="X275" i="7"/>
  <c r="AC275" i="7"/>
  <c r="AC565" i="7"/>
  <c r="X565" i="7"/>
  <c r="X478" i="7"/>
  <c r="AC478" i="7"/>
  <c r="AC396" i="7"/>
  <c r="X396" i="7"/>
  <c r="AC261" i="7"/>
  <c r="X261" i="7"/>
  <c r="AC378" i="7"/>
  <c r="X378" i="7"/>
  <c r="AC496" i="7"/>
  <c r="X496" i="7"/>
  <c r="X491" i="7"/>
  <c r="AC491" i="7"/>
  <c r="X32" i="6"/>
  <c r="AC32" i="6"/>
  <c r="AC43" i="6"/>
  <c r="X43" i="6"/>
  <c r="AC24" i="16"/>
  <c r="X24" i="16"/>
  <c r="AC57" i="7"/>
  <c r="X57" i="7"/>
  <c r="X174" i="7"/>
  <c r="AC174" i="7"/>
  <c r="AC56" i="7"/>
  <c r="X56" i="7"/>
  <c r="X169" i="7"/>
  <c r="AC169" i="7"/>
  <c r="X63" i="7"/>
  <c r="AC63" i="7"/>
  <c r="AC92" i="7"/>
  <c r="X92" i="7"/>
  <c r="X120" i="7"/>
  <c r="AC120" i="7"/>
  <c r="X205" i="7"/>
  <c r="AC205" i="7"/>
  <c r="X10" i="7"/>
  <c r="AC10" i="7"/>
  <c r="X99" i="7"/>
  <c r="AC99" i="7"/>
  <c r="X127" i="7"/>
  <c r="AC127" i="7"/>
  <c r="X220" i="7"/>
  <c r="AC220" i="7"/>
  <c r="AC21" i="7"/>
  <c r="X21" i="7"/>
  <c r="X110" i="7"/>
  <c r="AC110" i="7"/>
  <c r="X138" i="7"/>
  <c r="AC138" i="7"/>
  <c r="X227" i="7"/>
  <c r="AC227" i="7"/>
  <c r="AC313" i="7"/>
  <c r="X313" i="7"/>
  <c r="X430" i="7"/>
  <c r="AC430" i="7"/>
  <c r="X235" i="7"/>
  <c r="AC235" i="7"/>
  <c r="AC548" i="7"/>
  <c r="X548" i="7"/>
  <c r="AC461" i="7"/>
  <c r="X461" i="7"/>
  <c r="AC543" i="7"/>
  <c r="X543" i="7"/>
  <c r="X248" i="7"/>
  <c r="AC248" i="7"/>
  <c r="X333" i="7"/>
  <c r="AC333" i="7"/>
  <c r="X361" i="7"/>
  <c r="AC361" i="7"/>
  <c r="X450" i="7"/>
  <c r="AC450" i="7"/>
  <c r="X255" i="7"/>
  <c r="AC255" i="7"/>
  <c r="AC568" i="7"/>
  <c r="X568" i="7"/>
  <c r="AC481" i="7"/>
  <c r="X481" i="7"/>
  <c r="X563" i="7"/>
  <c r="AC563" i="7"/>
  <c r="AC284" i="7"/>
  <c r="X284" i="7"/>
  <c r="AC397" i="7"/>
  <c r="X397" i="7"/>
  <c r="AC291" i="7"/>
  <c r="X291" i="7"/>
  <c r="X517" i="7"/>
  <c r="AC517" i="7"/>
  <c r="AC320" i="7"/>
  <c r="X320" i="7"/>
  <c r="AC348" i="7"/>
  <c r="X348" i="7"/>
  <c r="X433" i="7"/>
  <c r="AC433" i="7"/>
  <c r="AC238" i="7"/>
  <c r="X238" i="7"/>
  <c r="AC327" i="7"/>
  <c r="X327" i="7"/>
  <c r="X355" i="7"/>
  <c r="AC355" i="7"/>
  <c r="X553" i="7"/>
  <c r="AC553" i="7"/>
  <c r="X466" i="7"/>
  <c r="AC466" i="7"/>
  <c r="X31" i="6"/>
  <c r="AC31" i="6"/>
  <c r="AC38" i="16"/>
  <c r="X38" i="16"/>
  <c r="AC29" i="16"/>
  <c r="X29" i="16"/>
  <c r="AC34" i="16"/>
  <c r="X34" i="16"/>
  <c r="X22" i="16"/>
  <c r="AC22" i="16"/>
  <c r="X160" i="7"/>
  <c r="AC160" i="7"/>
  <c r="X50" i="7"/>
  <c r="AC50" i="7"/>
  <c r="X167" i="7"/>
  <c r="AC167" i="7"/>
  <c r="AC45" i="7"/>
  <c r="X45" i="7"/>
  <c r="AC162" i="7"/>
  <c r="X162" i="7"/>
  <c r="AC81" i="7"/>
  <c r="X81" i="7"/>
  <c r="X198" i="7"/>
  <c r="AC198" i="7"/>
  <c r="AC96" i="7"/>
  <c r="X96" i="7"/>
  <c r="X124" i="7"/>
  <c r="AC124" i="7"/>
  <c r="AC209" i="7"/>
  <c r="X209" i="7"/>
  <c r="X14" i="7"/>
  <c r="AC14" i="7"/>
  <c r="AC103" i="7"/>
  <c r="X103" i="7"/>
  <c r="X131" i="7"/>
  <c r="AC131" i="7"/>
  <c r="X416" i="7"/>
  <c r="AC416" i="7"/>
  <c r="X306" i="7"/>
  <c r="AC306" i="7"/>
  <c r="X423" i="7"/>
  <c r="AC423" i="7"/>
  <c r="X534" i="7"/>
  <c r="AC534" i="7"/>
  <c r="X301" i="7"/>
  <c r="AC301" i="7"/>
  <c r="X418" i="7"/>
  <c r="AC418" i="7"/>
  <c r="AC536" i="7"/>
  <c r="X536" i="7"/>
  <c r="AC531" i="7"/>
  <c r="X531" i="7"/>
  <c r="X252" i="7"/>
  <c r="AC252" i="7"/>
  <c r="AC337" i="7"/>
  <c r="X337" i="7"/>
  <c r="AC365" i="7"/>
  <c r="X365" i="7"/>
  <c r="X454" i="7"/>
  <c r="AC454" i="7"/>
  <c r="X259" i="7"/>
  <c r="AC259" i="7"/>
  <c r="AC572" i="7"/>
  <c r="X572" i="7"/>
  <c r="AC485" i="7"/>
  <c r="X485" i="7"/>
  <c r="X567" i="7"/>
  <c r="AC567" i="7"/>
  <c r="X288" i="7"/>
  <c r="AC288" i="7"/>
  <c r="X401" i="7"/>
  <c r="AC401" i="7"/>
  <c r="X295" i="7"/>
  <c r="AC295" i="7"/>
  <c r="AC521" i="7"/>
  <c r="X521" i="7"/>
  <c r="AC10" i="6"/>
  <c r="X10" i="6"/>
  <c r="AD346" i="7"/>
  <c r="AE346" i="7"/>
  <c r="AE28" i="6"/>
  <c r="AD28" i="6"/>
  <c r="AE27" i="6"/>
  <c r="AD27" i="6"/>
  <c r="U20" i="6"/>
  <c r="AI20" i="6"/>
  <c r="U27" i="6"/>
  <c r="U29" i="6"/>
  <c r="Q34" i="6"/>
  <c r="AS34" i="6" s="1"/>
  <c r="AT5" i="16"/>
  <c r="AT10" i="16"/>
  <c r="AT126" i="7"/>
  <c r="AT110" i="7"/>
  <c r="AT114" i="7"/>
  <c r="AT494" i="7"/>
  <c r="AT237" i="7"/>
  <c r="AT123" i="7"/>
  <c r="AT319" i="7"/>
  <c r="AT517" i="7"/>
  <c r="AT333" i="7"/>
  <c r="AT463" i="7"/>
  <c r="AT505" i="7"/>
  <c r="AT6" i="16"/>
  <c r="AT31" i="16"/>
  <c r="U40" i="16"/>
  <c r="AI40" i="16" s="1"/>
  <c r="U37" i="16"/>
  <c r="AI37" i="16" s="1"/>
  <c r="U20" i="16"/>
  <c r="AI20" i="16" s="1"/>
  <c r="U46" i="16"/>
  <c r="AI46" i="16" s="1"/>
  <c r="U34" i="16"/>
  <c r="AI34" i="16" s="1"/>
  <c r="U15" i="16"/>
  <c r="AI15" i="16" s="1"/>
  <c r="U12" i="16"/>
  <c r="AI12" i="16" s="1"/>
  <c r="AT27" i="16"/>
  <c r="U25" i="16"/>
  <c r="AI25" i="16" s="1"/>
  <c r="AT4" i="16"/>
  <c r="U36" i="16"/>
  <c r="AI36" i="16" s="1"/>
  <c r="AT22" i="16"/>
  <c r="AT34" i="7"/>
  <c r="AT283" i="7"/>
  <c r="AT495" i="7"/>
  <c r="AT218" i="7"/>
  <c r="AT397" i="7"/>
  <c r="AT186" i="7"/>
  <c r="T12" i="6"/>
  <c r="U12" i="6" s="1"/>
  <c r="AT32" i="16"/>
  <c r="AJ34" i="7"/>
  <c r="AK34" i="7"/>
  <c r="AJ194" i="7"/>
  <c r="U22" i="16"/>
  <c r="AI22" i="16" s="1"/>
  <c r="AP115" i="7"/>
  <c r="AQ115" i="7" s="1"/>
  <c r="AJ115" i="7"/>
  <c r="AK143" i="7"/>
  <c r="AP143" i="7"/>
  <c r="AQ143" i="7" s="1"/>
  <c r="U41" i="16"/>
  <c r="AI41" i="16" s="1"/>
  <c r="U43" i="16"/>
  <c r="AI43" i="16" s="1"/>
  <c r="AT44" i="16"/>
  <c r="AT37" i="16"/>
  <c r="AT41" i="16"/>
  <c r="AT306" i="7"/>
  <c r="AT374" i="7"/>
  <c r="T5" i="6"/>
  <c r="U5" i="6" s="1"/>
  <c r="T4" i="6"/>
  <c r="U4" i="6" s="1"/>
  <c r="AT490" i="7"/>
  <c r="AT354" i="7"/>
  <c r="AT20" i="16"/>
  <c r="AK178" i="7"/>
  <c r="U26" i="16"/>
  <c r="AI26" i="16" s="1"/>
  <c r="U48" i="16"/>
  <c r="AI48" i="16" s="1"/>
  <c r="U33" i="16"/>
  <c r="AI33" i="16" s="1"/>
  <c r="AK103" i="7"/>
  <c r="AJ103" i="7"/>
  <c r="AT35" i="16"/>
  <c r="AT19" i="16"/>
  <c r="U39" i="16"/>
  <c r="AI39" i="16" s="1"/>
  <c r="U17" i="16"/>
  <c r="AI17" i="16" s="1"/>
  <c r="AT18" i="16"/>
  <c r="U44" i="16"/>
  <c r="AI44" i="16" s="1"/>
  <c r="AT36" i="16"/>
  <c r="AT482" i="7"/>
  <c r="AT531" i="7"/>
  <c r="AT565" i="7"/>
  <c r="AT349" i="7"/>
  <c r="AT247" i="7"/>
  <c r="AT542" i="7"/>
  <c r="AT530" i="7"/>
  <c r="AT27" i="7"/>
  <c r="T37" i="6"/>
  <c r="U37" i="6" s="1"/>
  <c r="AT406" i="7"/>
  <c r="AT295" i="7"/>
  <c r="T19" i="6"/>
  <c r="U19" i="6" s="1"/>
  <c r="AT522" i="7"/>
  <c r="AT199" i="7"/>
  <c r="AT255" i="7"/>
  <c r="AT46" i="16"/>
  <c r="AT7" i="16"/>
  <c r="AE22" i="6"/>
  <c r="AD22" i="6"/>
  <c r="X131" i="6" l="1"/>
  <c r="X86" i="6"/>
  <c r="X132" i="6"/>
  <c r="Z132" i="6" s="1"/>
  <c r="X176" i="6"/>
  <c r="Z176" i="6" s="1"/>
  <c r="AI203" i="6"/>
  <c r="AJ203" i="6" s="1"/>
  <c r="BM176" i="6"/>
  <c r="BN176" i="6" s="1"/>
  <c r="BM55" i="6"/>
  <c r="BN55" i="6" s="1"/>
  <c r="BO141" i="6"/>
  <c r="AJ114" i="7"/>
  <c r="AP442" i="7"/>
  <c r="AQ442" i="7" s="1"/>
  <c r="AJ287" i="7"/>
  <c r="BM109" i="6"/>
  <c r="BN109" i="6" s="1"/>
  <c r="BO34" i="6"/>
  <c r="AI8" i="6"/>
  <c r="AI10" i="6"/>
  <c r="AJ10" i="6" s="1"/>
  <c r="AK300" i="7"/>
  <c r="AL300" i="7" s="1"/>
  <c r="AN300" i="7" s="1"/>
  <c r="AJ440" i="7"/>
  <c r="AJ151" i="7"/>
  <c r="AI34" i="6"/>
  <c r="AP34" i="6" s="1"/>
  <c r="AQ34" i="6" s="1"/>
  <c r="AR34" i="6" s="1"/>
  <c r="BM185" i="6"/>
  <c r="BN185" i="6" s="1"/>
  <c r="BP185" i="6" s="1"/>
  <c r="BO26" i="6"/>
  <c r="BO223" i="6"/>
  <c r="BP223" i="6" s="1"/>
  <c r="BM201" i="6"/>
  <c r="BN201" i="6" s="1"/>
  <c r="BO60" i="6"/>
  <c r="AJ222" i="7"/>
  <c r="AP214" i="7"/>
  <c r="AQ214" i="7" s="1"/>
  <c r="AS214" i="7" s="1"/>
  <c r="AU214" i="7" s="1"/>
  <c r="AJ418" i="7"/>
  <c r="AI43" i="6"/>
  <c r="AJ43" i="6" s="1"/>
  <c r="BO142" i="6"/>
  <c r="AU181" i="7"/>
  <c r="AU444" i="7"/>
  <c r="AU451" i="7"/>
  <c r="AU394" i="7"/>
  <c r="AU378" i="7"/>
  <c r="AU84" i="7"/>
  <c r="AU262" i="7"/>
  <c r="AU200" i="7"/>
  <c r="AU473" i="7"/>
  <c r="AU164" i="7"/>
  <c r="AU260" i="7"/>
  <c r="AU134" i="7"/>
  <c r="AK461" i="7"/>
  <c r="AL461" i="7" s="1"/>
  <c r="AN461" i="7" s="1"/>
  <c r="AO461" i="7" s="1"/>
  <c r="AU197" i="7"/>
  <c r="AU320" i="7"/>
  <c r="BO152" i="6"/>
  <c r="AJ99" i="7"/>
  <c r="U32" i="6"/>
  <c r="AI39" i="6"/>
  <c r="AK39" i="6" s="1"/>
  <c r="AJ517" i="7"/>
  <c r="AK460" i="7"/>
  <c r="U13" i="6"/>
  <c r="U7" i="6"/>
  <c r="AU345" i="7"/>
  <c r="BM211" i="6"/>
  <c r="BN211" i="6" s="1"/>
  <c r="BP211" i="6" s="1"/>
  <c r="BO198" i="6"/>
  <c r="BM18" i="6"/>
  <c r="BO177" i="6"/>
  <c r="BM113" i="6"/>
  <c r="BN113" i="6" s="1"/>
  <c r="BO111" i="6"/>
  <c r="BM106" i="6"/>
  <c r="BN106" i="6" s="1"/>
  <c r="BO46" i="6"/>
  <c r="BO82" i="6"/>
  <c r="BM51" i="6"/>
  <c r="BN51" i="6" s="1"/>
  <c r="BM47" i="6"/>
  <c r="BN47" i="6" s="1"/>
  <c r="BP47" i="6" s="1"/>
  <c r="AP223" i="7"/>
  <c r="AQ223" i="7" s="1"/>
  <c r="AJ75" i="7"/>
  <c r="AL75" i="7" s="1"/>
  <c r="AN75" i="7" s="1"/>
  <c r="AP385" i="7"/>
  <c r="AQ385" i="7" s="1"/>
  <c r="AU501" i="7"/>
  <c r="BO170" i="6"/>
  <c r="AP19" i="16"/>
  <c r="AQ19" i="16" s="1"/>
  <c r="AR19" i="16" s="1"/>
  <c r="AU19" i="16" s="1"/>
  <c r="AK99" i="7"/>
  <c r="AP365" i="7"/>
  <c r="AQ365" i="7" s="1"/>
  <c r="AS365" i="7" s="1"/>
  <c r="AU365" i="7" s="1"/>
  <c r="AK462" i="7"/>
  <c r="BO15" i="6"/>
  <c r="BO33" i="6"/>
  <c r="BO155" i="6"/>
  <c r="BO102" i="6"/>
  <c r="BP102" i="6" s="1"/>
  <c r="BM72" i="6"/>
  <c r="BM78" i="6"/>
  <c r="BO80" i="6"/>
  <c r="BO53" i="6"/>
  <c r="BM30" i="6"/>
  <c r="AI186" i="6"/>
  <c r="AP186" i="6" s="1"/>
  <c r="AQ186" i="6" s="1"/>
  <c r="AR186" i="6" s="1"/>
  <c r="BO184" i="6"/>
  <c r="BO25" i="6"/>
  <c r="AJ67" i="7"/>
  <c r="AJ178" i="7"/>
  <c r="AJ10" i="16"/>
  <c r="AL10" i="16" s="1"/>
  <c r="AN10" i="16" s="1"/>
  <c r="AI33" i="6"/>
  <c r="AJ33" i="6" s="1"/>
  <c r="AI40" i="6"/>
  <c r="AJ40" i="6" s="1"/>
  <c r="AJ462" i="7"/>
  <c r="AP461" i="7"/>
  <c r="AQ461" i="7" s="1"/>
  <c r="AS461" i="7" s="1"/>
  <c r="AU461" i="7" s="1"/>
  <c r="AJ183" i="7"/>
  <c r="AL183" i="7" s="1"/>
  <c r="AN183" i="7" s="1"/>
  <c r="AU243" i="7"/>
  <c r="AU445" i="7"/>
  <c r="AU418" i="7"/>
  <c r="AU249" i="7"/>
  <c r="U26" i="6"/>
  <c r="AI217" i="6"/>
  <c r="AJ217" i="6" s="1"/>
  <c r="BO112" i="6"/>
  <c r="BM59" i="6"/>
  <c r="BN59" i="6" s="1"/>
  <c r="AP67" i="7"/>
  <c r="AQ67" i="7" s="1"/>
  <c r="AS67" i="7" s="1"/>
  <c r="AU67" i="7" s="1"/>
  <c r="AP271" i="7"/>
  <c r="AQ271" i="7" s="1"/>
  <c r="AS271" i="7" s="1"/>
  <c r="AU271" i="7" s="1"/>
  <c r="AK302" i="7"/>
  <c r="AI22" i="6"/>
  <c r="AJ22" i="6" s="1"/>
  <c r="AK195" i="7"/>
  <c r="AK102" i="7"/>
  <c r="AJ255" i="7"/>
  <c r="AJ283" i="7"/>
  <c r="AP331" i="7"/>
  <c r="AQ331" i="7" s="1"/>
  <c r="AS331" i="7" s="1"/>
  <c r="AU331" i="7" s="1"/>
  <c r="U36" i="6"/>
  <c r="AK262" i="7"/>
  <c r="AK385" i="7"/>
  <c r="AP422" i="7"/>
  <c r="AQ422" i="7" s="1"/>
  <c r="AS422" i="7" s="1"/>
  <c r="AU422" i="7" s="1"/>
  <c r="AP183" i="7"/>
  <c r="AQ183" i="7" s="1"/>
  <c r="AS183" i="7" s="1"/>
  <c r="AJ460" i="7"/>
  <c r="AU467" i="7"/>
  <c r="AU443" i="7"/>
  <c r="AU488" i="7"/>
  <c r="AU337" i="7"/>
  <c r="AU128" i="7"/>
  <c r="AU364" i="7"/>
  <c r="BO188" i="6"/>
  <c r="BO95" i="6"/>
  <c r="BO57" i="6"/>
  <c r="AE52" i="7"/>
  <c r="X118" i="6"/>
  <c r="Y118" i="6" s="1"/>
  <c r="AD52" i="7"/>
  <c r="AP114" i="7"/>
  <c r="AQ114" i="7" s="1"/>
  <c r="AK214" i="7"/>
  <c r="AL214" i="7" s="1"/>
  <c r="AN214" i="7" s="1"/>
  <c r="AK43" i="7"/>
  <c r="AP54" i="7"/>
  <c r="AQ54" i="7" s="1"/>
  <c r="AS54" i="7" s="1"/>
  <c r="AU54" i="7" s="1"/>
  <c r="AP19" i="7"/>
  <c r="AQ19" i="7" s="1"/>
  <c r="AK347" i="7"/>
  <c r="AL347" i="7" s="1"/>
  <c r="AN347" i="7" s="1"/>
  <c r="AP300" i="7"/>
  <c r="AQ300" i="7" s="1"/>
  <c r="AS300" i="7" s="1"/>
  <c r="AJ339" i="7"/>
  <c r="AL339" i="7" s="1"/>
  <c r="AN339" i="7" s="1"/>
  <c r="AJ232" i="7"/>
  <c r="AL232" i="7" s="1"/>
  <c r="AN232" i="7" s="1"/>
  <c r="AO232" i="7" s="1"/>
  <c r="AK134" i="7"/>
  <c r="AK30" i="7"/>
  <c r="AK86" i="7"/>
  <c r="AK271" i="7"/>
  <c r="AK54" i="7"/>
  <c r="AK175" i="7"/>
  <c r="AS442" i="7"/>
  <c r="AU442" i="7" s="1"/>
  <c r="AJ43" i="7"/>
  <c r="AP289" i="7"/>
  <c r="AQ289" i="7" s="1"/>
  <c r="AS289" i="7" s="1"/>
  <c r="AU289" i="7" s="1"/>
  <c r="AK159" i="7"/>
  <c r="AL159" i="7" s="1"/>
  <c r="AN159" i="7" s="1"/>
  <c r="AK47" i="16"/>
  <c r="AJ6" i="16"/>
  <c r="AJ363" i="7"/>
  <c r="AL363" i="7" s="1"/>
  <c r="AN363" i="7" s="1"/>
  <c r="AK61" i="7"/>
  <c r="AL61" i="7" s="1"/>
  <c r="AN61" i="7" s="1"/>
  <c r="AP315" i="7"/>
  <c r="AQ315" i="7" s="1"/>
  <c r="AS315" i="7" s="1"/>
  <c r="AU315" i="7" s="1"/>
  <c r="AP159" i="7"/>
  <c r="AQ159" i="7" s="1"/>
  <c r="AK206" i="7"/>
  <c r="AL206" i="7" s="1"/>
  <c r="AN206" i="7" s="1"/>
  <c r="AJ51" i="7"/>
  <c r="AL51" i="7" s="1"/>
  <c r="AN51" i="7" s="1"/>
  <c r="AJ102" i="7"/>
  <c r="AL102" i="7" s="1"/>
  <c r="AN102" i="7" s="1"/>
  <c r="AP47" i="16"/>
  <c r="AQ47" i="16" s="1"/>
  <c r="AR47" i="16" s="1"/>
  <c r="AU47" i="16" s="1"/>
  <c r="AJ175" i="7"/>
  <c r="AK118" i="7"/>
  <c r="AP157" i="7"/>
  <c r="AQ157" i="7" s="1"/>
  <c r="AS157" i="7" s="1"/>
  <c r="AJ61" i="7"/>
  <c r="AP544" i="7"/>
  <c r="AQ544" i="7" s="1"/>
  <c r="AS544" i="7" s="1"/>
  <c r="AP339" i="7"/>
  <c r="AQ339" i="7" s="1"/>
  <c r="AS339" i="7" s="1"/>
  <c r="AP261" i="7"/>
  <c r="AQ261" i="7" s="1"/>
  <c r="AS261" i="7" s="1"/>
  <c r="AU261" i="7" s="1"/>
  <c r="AP440" i="7"/>
  <c r="AQ440" i="7" s="1"/>
  <c r="AK403" i="7"/>
  <c r="AL403" i="7" s="1"/>
  <c r="AN403" i="7" s="1"/>
  <c r="AJ134" i="7"/>
  <c r="AK289" i="7"/>
  <c r="AL289" i="7" s="1"/>
  <c r="AN289" i="7" s="1"/>
  <c r="AP4" i="7"/>
  <c r="AQ4" i="7" s="1"/>
  <c r="AJ142" i="7"/>
  <c r="AL142" i="7" s="1"/>
  <c r="AN142" i="7" s="1"/>
  <c r="AJ30" i="7"/>
  <c r="AL30" i="7" s="1"/>
  <c r="AN30" i="7" s="1"/>
  <c r="AK315" i="7"/>
  <c r="AL315" i="7" s="1"/>
  <c r="AN315" i="7" s="1"/>
  <c r="AJ206" i="7"/>
  <c r="AJ166" i="7"/>
  <c r="AL166" i="7" s="1"/>
  <c r="AN166" i="7" s="1"/>
  <c r="AJ42" i="16"/>
  <c r="AL42" i="16" s="1"/>
  <c r="AN42" i="16" s="1"/>
  <c r="AJ370" i="7"/>
  <c r="AK442" i="7"/>
  <c r="AJ366" i="7"/>
  <c r="AL366" i="7" s="1"/>
  <c r="AN366" i="7" s="1"/>
  <c r="AK517" i="7"/>
  <c r="AL517" i="7" s="1"/>
  <c r="AN517" i="7" s="1"/>
  <c r="AK309" i="7"/>
  <c r="AL309" i="7" s="1"/>
  <c r="AN309" i="7" s="1"/>
  <c r="AO309" i="7" s="1"/>
  <c r="AK217" i="7"/>
  <c r="AP403" i="7"/>
  <c r="AQ403" i="7" s="1"/>
  <c r="AS403" i="7" s="1"/>
  <c r="AU403" i="7" s="1"/>
  <c r="AJ217" i="7"/>
  <c r="AL217" i="7" s="1"/>
  <c r="AN217" i="7" s="1"/>
  <c r="AO217" i="7" s="1"/>
  <c r="AP252" i="7"/>
  <c r="AQ252" i="7" s="1"/>
  <c r="AS252" i="7" s="1"/>
  <c r="AU252" i="7" s="1"/>
  <c r="AJ19" i="16"/>
  <c r="AK32" i="16"/>
  <c r="AL32" i="16" s="1"/>
  <c r="AN32" i="16" s="1"/>
  <c r="AP6" i="16"/>
  <c r="AQ6" i="16" s="1"/>
  <c r="AR6" i="16" s="1"/>
  <c r="AU6" i="16" s="1"/>
  <c r="AP42" i="16"/>
  <c r="AQ42" i="16" s="1"/>
  <c r="AR42" i="16" s="1"/>
  <c r="AU42" i="16" s="1"/>
  <c r="AP32" i="16"/>
  <c r="AQ32" i="16" s="1"/>
  <c r="AR32" i="16" s="1"/>
  <c r="AU32" i="16" s="1"/>
  <c r="AP10" i="16"/>
  <c r="AQ10" i="16" s="1"/>
  <c r="AR10" i="16" s="1"/>
  <c r="AU10" i="16" s="1"/>
  <c r="AI35" i="6"/>
  <c r="AJ35" i="6" s="1"/>
  <c r="AI23" i="6"/>
  <c r="AP23" i="6" s="1"/>
  <c r="AQ23" i="6" s="1"/>
  <c r="AR23" i="6" s="1"/>
  <c r="AU23" i="6" s="1"/>
  <c r="BM23" i="6"/>
  <c r="BN23" i="6" s="1"/>
  <c r="BP23" i="6" s="1"/>
  <c r="BM35" i="6"/>
  <c r="BN35" i="6" s="1"/>
  <c r="BM227" i="6"/>
  <c r="BM192" i="6"/>
  <c r="BN192" i="6" s="1"/>
  <c r="BP192" i="6" s="1"/>
  <c r="BO135" i="6"/>
  <c r="BO99" i="6"/>
  <c r="BO69" i="6"/>
  <c r="BM197" i="6"/>
  <c r="BO14" i="6"/>
  <c r="BP14" i="6" s="1"/>
  <c r="AP226" i="7"/>
  <c r="AQ226" i="7" s="1"/>
  <c r="AS226" i="7" s="1"/>
  <c r="AU226" i="7" s="1"/>
  <c r="AP255" i="7"/>
  <c r="AQ255" i="7" s="1"/>
  <c r="AS255" i="7" s="1"/>
  <c r="AU255" i="7" s="1"/>
  <c r="AP283" i="7"/>
  <c r="AQ283" i="7" s="1"/>
  <c r="AS283" i="7" s="1"/>
  <c r="AU283" i="7" s="1"/>
  <c r="AJ331" i="7"/>
  <c r="AP369" i="7"/>
  <c r="AQ369" i="7" s="1"/>
  <c r="AS369" i="7" s="1"/>
  <c r="AU369" i="7" s="1"/>
  <c r="AP38" i="6"/>
  <c r="AQ38" i="6" s="1"/>
  <c r="AJ291" i="7"/>
  <c r="AL291" i="7" s="1"/>
  <c r="AN291" i="7" s="1"/>
  <c r="AK291" i="7"/>
  <c r="AK22" i="7"/>
  <c r="AL22" i="7" s="1"/>
  <c r="AN22" i="7" s="1"/>
  <c r="AP22" i="7"/>
  <c r="AQ22" i="7" s="1"/>
  <c r="AJ4" i="7"/>
  <c r="AL4" i="7" s="1"/>
  <c r="AN4" i="7" s="1"/>
  <c r="AJ233" i="7"/>
  <c r="AP233" i="7"/>
  <c r="AQ233" i="7" s="1"/>
  <c r="AS233" i="7" s="1"/>
  <c r="AK23" i="7"/>
  <c r="AJ23" i="7"/>
  <c r="AP138" i="7"/>
  <c r="AQ138" i="7" s="1"/>
  <c r="AK138" i="7"/>
  <c r="AP251" i="7"/>
  <c r="AQ251" i="7" s="1"/>
  <c r="AK251" i="7"/>
  <c r="AP137" i="7"/>
  <c r="AQ137" i="7" s="1"/>
  <c r="AS137" i="7" s="1"/>
  <c r="AU137" i="7" s="1"/>
  <c r="AK137" i="7"/>
  <c r="AL137" i="7" s="1"/>
  <c r="AN137" i="7" s="1"/>
  <c r="AJ486" i="7"/>
  <c r="AP486" i="7"/>
  <c r="AQ486" i="7" s="1"/>
  <c r="AS486" i="7" s="1"/>
  <c r="AU486" i="7" s="1"/>
  <c r="AP21" i="7"/>
  <c r="AQ21" i="7" s="1"/>
  <c r="AK21" i="7"/>
  <c r="AJ213" i="7"/>
  <c r="AP213" i="7"/>
  <c r="AQ213" i="7" s="1"/>
  <c r="AS213" i="7" s="1"/>
  <c r="AU213" i="7" s="1"/>
  <c r="AK213" i="7"/>
  <c r="AP555" i="7"/>
  <c r="AQ555" i="7" s="1"/>
  <c r="AS555" i="7" s="1"/>
  <c r="AU555" i="7" s="1"/>
  <c r="AK555" i="7"/>
  <c r="AS347" i="7"/>
  <c r="AU347" i="7" s="1"/>
  <c r="AP570" i="7"/>
  <c r="AQ570" i="7" s="1"/>
  <c r="AS570" i="7" s="1"/>
  <c r="AU570" i="7" s="1"/>
  <c r="AK570" i="7"/>
  <c r="AL570" i="7" s="1"/>
  <c r="AN570" i="7" s="1"/>
  <c r="AK45" i="7"/>
  <c r="AL45" i="7" s="1"/>
  <c r="AN45" i="7" s="1"/>
  <c r="AO45" i="7" s="1"/>
  <c r="AP45" i="7"/>
  <c r="AQ45" i="7" s="1"/>
  <c r="AS45" i="7" s="1"/>
  <c r="AU45" i="7" s="1"/>
  <c r="AK170" i="7"/>
  <c r="AP170" i="7"/>
  <c r="AQ170" i="7" s="1"/>
  <c r="AS170" i="7" s="1"/>
  <c r="AU170" i="7" s="1"/>
  <c r="AP536" i="7"/>
  <c r="AQ536" i="7" s="1"/>
  <c r="AS536" i="7" s="1"/>
  <c r="AU536" i="7" s="1"/>
  <c r="AK536" i="7"/>
  <c r="AP380" i="7"/>
  <c r="AQ380" i="7" s="1"/>
  <c r="AK380" i="7"/>
  <c r="AP274" i="7"/>
  <c r="AQ274" i="7" s="1"/>
  <c r="AK274" i="7"/>
  <c r="AJ158" i="7"/>
  <c r="AJ118" i="7"/>
  <c r="AJ21" i="7"/>
  <c r="AJ157" i="7"/>
  <c r="AL157" i="7" s="1"/>
  <c r="AN157" i="7" s="1"/>
  <c r="AJ570" i="7"/>
  <c r="AJ274" i="7"/>
  <c r="AJ536" i="7"/>
  <c r="AJ380" i="7"/>
  <c r="AJ499" i="7"/>
  <c r="AK352" i="7"/>
  <c r="AJ352" i="7"/>
  <c r="AJ335" i="7"/>
  <c r="AP335" i="7"/>
  <c r="AQ335" i="7" s="1"/>
  <c r="AK335" i="7"/>
  <c r="AP196" i="7"/>
  <c r="AQ196" i="7" s="1"/>
  <c r="AJ196" i="7"/>
  <c r="AJ507" i="7"/>
  <c r="AP507" i="7"/>
  <c r="AQ507" i="7" s="1"/>
  <c r="AS507" i="7" s="1"/>
  <c r="AK27" i="7"/>
  <c r="AP27" i="7"/>
  <c r="AQ27" i="7" s="1"/>
  <c r="AS27" i="7" s="1"/>
  <c r="AU27" i="7" s="1"/>
  <c r="AK66" i="7"/>
  <c r="AP66" i="7"/>
  <c r="AQ66" i="7" s="1"/>
  <c r="AJ66" i="7"/>
  <c r="AP75" i="7"/>
  <c r="AQ75" i="7" s="1"/>
  <c r="AS75" i="7" s="1"/>
  <c r="AU75" i="7" s="1"/>
  <c r="AK158" i="7"/>
  <c r="AJ27" i="7"/>
  <c r="AK365" i="7"/>
  <c r="AJ555" i="7"/>
  <c r="AK486" i="7"/>
  <c r="AJ186" i="7"/>
  <c r="AK186" i="7"/>
  <c r="AP499" i="7"/>
  <c r="AQ499" i="7" s="1"/>
  <c r="AS499" i="7" s="1"/>
  <c r="AK20" i="7"/>
  <c r="AJ20" i="7"/>
  <c r="AP20" i="7"/>
  <c r="AQ20" i="7" s="1"/>
  <c r="AS20" i="7" s="1"/>
  <c r="AU20" i="7" s="1"/>
  <c r="AS479" i="7"/>
  <c r="AU479" i="7" s="1"/>
  <c r="AS385" i="7"/>
  <c r="AU385" i="7" s="1"/>
  <c r="AS556" i="7"/>
  <c r="AU556" i="7" s="1"/>
  <c r="AK46" i="7"/>
  <c r="AP46" i="7"/>
  <c r="AQ46" i="7" s="1"/>
  <c r="AS46" i="7" s="1"/>
  <c r="AU46" i="7" s="1"/>
  <c r="AP176" i="7"/>
  <c r="AQ176" i="7" s="1"/>
  <c r="AS176" i="7" s="1"/>
  <c r="AJ176" i="7"/>
  <c r="AL176" i="7" s="1"/>
  <c r="AN176" i="7" s="1"/>
  <c r="AP23" i="7"/>
  <c r="AQ23" i="7" s="1"/>
  <c r="AK321" i="7"/>
  <c r="AL321" i="7" s="1"/>
  <c r="AN321" i="7" s="1"/>
  <c r="AS4" i="7"/>
  <c r="AU4" i="7" s="1"/>
  <c r="AJ83" i="7"/>
  <c r="AP83" i="7"/>
  <c r="AQ83" i="7" s="1"/>
  <c r="AP201" i="7"/>
  <c r="AQ201" i="7" s="1"/>
  <c r="AS201" i="7" s="1"/>
  <c r="AK201" i="7"/>
  <c r="AK480" i="7"/>
  <c r="AL480" i="7" s="1"/>
  <c r="AN480" i="7" s="1"/>
  <c r="AP480" i="7"/>
  <c r="AQ480" i="7" s="1"/>
  <c r="AS480" i="7" s="1"/>
  <c r="AU480" i="7" s="1"/>
  <c r="AJ195" i="7"/>
  <c r="AK191" i="7"/>
  <c r="AP438" i="7"/>
  <c r="AQ438" i="7" s="1"/>
  <c r="AS438" i="7" s="1"/>
  <c r="AJ251" i="7"/>
  <c r="AP31" i="16"/>
  <c r="AQ31" i="16" s="1"/>
  <c r="AR31" i="16" s="1"/>
  <c r="AU31" i="16" s="1"/>
  <c r="AP191" i="7"/>
  <c r="AQ191" i="7" s="1"/>
  <c r="AK83" i="7"/>
  <c r="AP68" i="7"/>
  <c r="AQ68" i="7" s="1"/>
  <c r="AS68" i="7" s="1"/>
  <c r="AU68" i="7" s="1"/>
  <c r="AK38" i="6"/>
  <c r="AL38" i="6" s="1"/>
  <c r="AN38" i="6" s="1"/>
  <c r="AK438" i="7"/>
  <c r="AL438" i="7" s="1"/>
  <c r="AN438" i="7" s="1"/>
  <c r="AP321" i="7"/>
  <c r="AQ321" i="7" s="1"/>
  <c r="AS321" i="7" s="1"/>
  <c r="AS328" i="7"/>
  <c r="AU328" i="7" s="1"/>
  <c r="AK130" i="7"/>
  <c r="AJ130" i="7"/>
  <c r="AK199" i="7"/>
  <c r="AL199" i="7" s="1"/>
  <c r="AN199" i="7" s="1"/>
  <c r="AP199" i="7"/>
  <c r="AQ199" i="7" s="1"/>
  <c r="AS199" i="7" s="1"/>
  <c r="AU199" i="7" s="1"/>
  <c r="AJ529" i="7"/>
  <c r="AL529" i="7" s="1"/>
  <c r="AN529" i="7" s="1"/>
  <c r="AP529" i="7"/>
  <c r="AQ529" i="7" s="1"/>
  <c r="AS529" i="7" s="1"/>
  <c r="AU529" i="7" s="1"/>
  <c r="AP166" i="7"/>
  <c r="AQ166" i="7" s="1"/>
  <c r="AS166" i="7" s="1"/>
  <c r="AU166" i="7" s="1"/>
  <c r="AJ68" i="7"/>
  <c r="AL68" i="7" s="1"/>
  <c r="AN68" i="7" s="1"/>
  <c r="AK404" i="7"/>
  <c r="AJ46" i="7"/>
  <c r="AK31" i="16"/>
  <c r="AL31" i="16" s="1"/>
  <c r="AN31" i="16" s="1"/>
  <c r="AJ138" i="7"/>
  <c r="AJ369" i="7"/>
  <c r="AL369" i="7" s="1"/>
  <c r="AN369" i="7" s="1"/>
  <c r="AK233" i="7"/>
  <c r="AJ404" i="7"/>
  <c r="AK247" i="7"/>
  <c r="AJ247" i="7"/>
  <c r="AK4" i="16"/>
  <c r="AP4" i="16"/>
  <c r="AQ4" i="16" s="1"/>
  <c r="AR4" i="16" s="1"/>
  <c r="AU4" i="16" s="1"/>
  <c r="AK165" i="7"/>
  <c r="AJ165" i="7"/>
  <c r="AJ154" i="7"/>
  <c r="AL154" i="7" s="1"/>
  <c r="AN154" i="7" s="1"/>
  <c r="AP154" i="7"/>
  <c r="AQ154" i="7" s="1"/>
  <c r="AS154" i="7" s="1"/>
  <c r="AP127" i="7"/>
  <c r="AQ127" i="7" s="1"/>
  <c r="AK127" i="7"/>
  <c r="AL127" i="7" s="1"/>
  <c r="AN127" i="7" s="1"/>
  <c r="AK110" i="7"/>
  <c r="AP110" i="7"/>
  <c r="AQ110" i="7" s="1"/>
  <c r="AS110" i="7" s="1"/>
  <c r="AU110" i="7" s="1"/>
  <c r="AJ304" i="7"/>
  <c r="AL304" i="7" s="1"/>
  <c r="AN304" i="7" s="1"/>
  <c r="AP352" i="7"/>
  <c r="AQ352" i="7" s="1"/>
  <c r="AS352" i="7" s="1"/>
  <c r="AP525" i="7"/>
  <c r="AQ525" i="7" s="1"/>
  <c r="AS525" i="7" s="1"/>
  <c r="AU525" i="7" s="1"/>
  <c r="AJ85" i="7"/>
  <c r="AK169" i="7"/>
  <c r="AJ169" i="7"/>
  <c r="AJ63" i="7"/>
  <c r="AK63" i="7"/>
  <c r="AK55" i="7"/>
  <c r="AJ55" i="7"/>
  <c r="AK250" i="7"/>
  <c r="AP250" i="7"/>
  <c r="AQ250" i="7" s="1"/>
  <c r="AK287" i="7"/>
  <c r="AL287" i="7" s="1"/>
  <c r="AN287" i="7" s="1"/>
  <c r="AJ223" i="7"/>
  <c r="AL223" i="7" s="1"/>
  <c r="AN223" i="7" s="1"/>
  <c r="AJ86" i="7"/>
  <c r="AJ544" i="7"/>
  <c r="AL544" i="7" s="1"/>
  <c r="AN544" i="7" s="1"/>
  <c r="AK196" i="7"/>
  <c r="AK123" i="7"/>
  <c r="AJ123" i="7"/>
  <c r="AJ52" i="7"/>
  <c r="AK52" i="7"/>
  <c r="AP433" i="7"/>
  <c r="AQ433" i="7" s="1"/>
  <c r="AS433" i="7" s="1"/>
  <c r="AU433" i="7" s="1"/>
  <c r="AK433" i="7"/>
  <c r="AL433" i="7" s="1"/>
  <c r="AN433" i="7" s="1"/>
  <c r="AP317" i="7"/>
  <c r="AQ317" i="7" s="1"/>
  <c r="AS317" i="7" s="1"/>
  <c r="AK317" i="7"/>
  <c r="AL317" i="7" s="1"/>
  <c r="AN317" i="7" s="1"/>
  <c r="AJ231" i="7"/>
  <c r="AK231" i="7"/>
  <c r="AP80" i="7"/>
  <c r="AQ80" i="7" s="1"/>
  <c r="AS80" i="7" s="1"/>
  <c r="AU80" i="7" s="1"/>
  <c r="AJ80" i="7"/>
  <c r="AL80" i="7" s="1"/>
  <c r="AN80" i="7" s="1"/>
  <c r="AP9" i="16"/>
  <c r="AQ9" i="16" s="1"/>
  <c r="AR9" i="16" s="1"/>
  <c r="AU9" i="16" s="1"/>
  <c r="AJ9" i="16"/>
  <c r="AJ30" i="16"/>
  <c r="AK30" i="16"/>
  <c r="AJ537" i="7"/>
  <c r="AL537" i="7" s="1"/>
  <c r="AN537" i="7" s="1"/>
  <c r="AP537" i="7"/>
  <c r="AQ537" i="7" s="1"/>
  <c r="AS537" i="7" s="1"/>
  <c r="AU537" i="7" s="1"/>
  <c r="AP518" i="7"/>
  <c r="AQ518" i="7" s="1"/>
  <c r="AS518" i="7" s="1"/>
  <c r="AU518" i="7" s="1"/>
  <c r="AK518" i="7"/>
  <c r="AL518" i="7" s="1"/>
  <c r="AN518" i="7" s="1"/>
  <c r="AU551" i="7"/>
  <c r="AU318" i="7"/>
  <c r="AU552" i="7"/>
  <c r="AU253" i="7"/>
  <c r="AP232" i="7"/>
  <c r="AQ232" i="7" s="1"/>
  <c r="AS232" i="7" s="1"/>
  <c r="AU232" i="7" s="1"/>
  <c r="AI187" i="6"/>
  <c r="BO219" i="6"/>
  <c r="BM207" i="6"/>
  <c r="BN207" i="6" s="1"/>
  <c r="BP207" i="6" s="1"/>
  <c r="BM178" i="6"/>
  <c r="BN178" i="6" s="1"/>
  <c r="BM145" i="6"/>
  <c r="BN12" i="6"/>
  <c r="AK49" i="7"/>
  <c r="AP167" i="7"/>
  <c r="AQ167" i="7" s="1"/>
  <c r="AK390" i="7"/>
  <c r="AP390" i="7"/>
  <c r="AQ390" i="7" s="1"/>
  <c r="AS390" i="7" s="1"/>
  <c r="AK539" i="7"/>
  <c r="AJ512" i="7"/>
  <c r="AK512" i="7"/>
  <c r="AP56" i="7"/>
  <c r="AQ56" i="7" s="1"/>
  <c r="AS56" i="7" s="1"/>
  <c r="AJ56" i="7"/>
  <c r="AL56" i="7" s="1"/>
  <c r="AN56" i="7" s="1"/>
  <c r="AO56" i="7" s="1"/>
  <c r="AK92" i="7"/>
  <c r="AJ92" i="7"/>
  <c r="AK296" i="7"/>
  <c r="AP296" i="7"/>
  <c r="AQ296" i="7" s="1"/>
  <c r="AS296" i="7" s="1"/>
  <c r="AU296" i="7" s="1"/>
  <c r="AJ362" i="7"/>
  <c r="AK362" i="7"/>
  <c r="AP362" i="7"/>
  <c r="AQ362" i="7" s="1"/>
  <c r="AS362" i="7" s="1"/>
  <c r="AU362" i="7" s="1"/>
  <c r="AP434" i="7"/>
  <c r="AQ434" i="7" s="1"/>
  <c r="AS434" i="7" s="1"/>
  <c r="AK434" i="7"/>
  <c r="AJ434" i="7"/>
  <c r="AJ211" i="7"/>
  <c r="AL211" i="7" s="1"/>
  <c r="AN211" i="7" s="1"/>
  <c r="AP211" i="7"/>
  <c r="AQ211" i="7" s="1"/>
  <c r="AS211" i="7" s="1"/>
  <c r="AU211" i="7" s="1"/>
  <c r="AJ94" i="7"/>
  <c r="AP94" i="7"/>
  <c r="AQ94" i="7" s="1"/>
  <c r="AS94" i="7" s="1"/>
  <c r="AU94" i="7" s="1"/>
  <c r="AK94" i="7"/>
  <c r="AP554" i="7"/>
  <c r="AQ554" i="7" s="1"/>
  <c r="AS554" i="7" s="1"/>
  <c r="AJ554" i="7"/>
  <c r="AJ239" i="7"/>
  <c r="AK239" i="7"/>
  <c r="AK182" i="7"/>
  <c r="AJ182" i="7"/>
  <c r="AJ163" i="7"/>
  <c r="AK163" i="7"/>
  <c r="AJ71" i="7"/>
  <c r="AK71" i="7"/>
  <c r="AK74" i="7"/>
  <c r="AL74" i="7" s="1"/>
  <c r="AN74" i="7" s="1"/>
  <c r="AP74" i="7"/>
  <c r="AQ74" i="7" s="1"/>
  <c r="AS74" i="7" s="1"/>
  <c r="AU74" i="7" s="1"/>
  <c r="AP7" i="16"/>
  <c r="AQ7" i="16" s="1"/>
  <c r="AJ7" i="16"/>
  <c r="AL7" i="16" s="1"/>
  <c r="AN7" i="16" s="1"/>
  <c r="BO12" i="6"/>
  <c r="BO20" i="6"/>
  <c r="BO209" i="6"/>
  <c r="BM181" i="6"/>
  <c r="BN181" i="6" s="1"/>
  <c r="BP181" i="6" s="1"/>
  <c r="BM128" i="6"/>
  <c r="BM100" i="6"/>
  <c r="BO150" i="6"/>
  <c r="BM88" i="6"/>
  <c r="BN88" i="6" s="1"/>
  <c r="BO221" i="6"/>
  <c r="BM76" i="6"/>
  <c r="AU439" i="7"/>
  <c r="AU359" i="7"/>
  <c r="AU85" i="7"/>
  <c r="AU481" i="7"/>
  <c r="BO196" i="6"/>
  <c r="BM173" i="6"/>
  <c r="BO96" i="6"/>
  <c r="BO90" i="6"/>
  <c r="AJ384" i="7"/>
  <c r="AP384" i="7"/>
  <c r="AQ384" i="7" s="1"/>
  <c r="AS384" i="7" s="1"/>
  <c r="AU384" i="7" s="1"/>
  <c r="BN183" i="6"/>
  <c r="BM154" i="6"/>
  <c r="BO154" i="6"/>
  <c r="BM140" i="6"/>
  <c r="BO140" i="6"/>
  <c r="BO71" i="6"/>
  <c r="BM71" i="6"/>
  <c r="BM63" i="6"/>
  <c r="BO63" i="6"/>
  <c r="BM225" i="6"/>
  <c r="BO225" i="6"/>
  <c r="BO203" i="6"/>
  <c r="BM203" i="6"/>
  <c r="BN203" i="6" s="1"/>
  <c r="BO187" i="6"/>
  <c r="BM187" i="6"/>
  <c r="BO202" i="6"/>
  <c r="BM202" i="6"/>
  <c r="BN202" i="6" s="1"/>
  <c r="BM182" i="6"/>
  <c r="BN182" i="6" s="1"/>
  <c r="BO182" i="6"/>
  <c r="BO124" i="6"/>
  <c r="BM124" i="6"/>
  <c r="BN120" i="6"/>
  <c r="BM116" i="6"/>
  <c r="BO116" i="6"/>
  <c r="BO206" i="6"/>
  <c r="BM206" i="6"/>
  <c r="BO167" i="6"/>
  <c r="BM167" i="6"/>
  <c r="BN167" i="6" s="1"/>
  <c r="BM138" i="6"/>
  <c r="BO138" i="6"/>
  <c r="BO45" i="6"/>
  <c r="BM45" i="6"/>
  <c r="BO91" i="6"/>
  <c r="BM91" i="6"/>
  <c r="BO52" i="6"/>
  <c r="BM52" i="6"/>
  <c r="BM216" i="6"/>
  <c r="BN216" i="6" s="1"/>
  <c r="BO216" i="6"/>
  <c r="U219" i="6"/>
  <c r="AI219" i="6"/>
  <c r="AK219" i="6" s="1"/>
  <c r="BM28" i="6"/>
  <c r="BO28" i="6"/>
  <c r="BN162" i="6"/>
  <c r="BM143" i="6"/>
  <c r="BO143" i="6"/>
  <c r="BM144" i="6"/>
  <c r="BO144" i="6"/>
  <c r="BM121" i="6"/>
  <c r="BO121" i="6"/>
  <c r="BM129" i="6"/>
  <c r="BO129" i="6"/>
  <c r="BM92" i="6"/>
  <c r="BO92" i="6"/>
  <c r="BP45" i="16"/>
  <c r="BM37" i="6"/>
  <c r="BO37" i="6"/>
  <c r="BM61" i="6"/>
  <c r="BO61" i="6"/>
  <c r="BM10" i="6"/>
  <c r="BO10" i="6"/>
  <c r="BN83" i="6"/>
  <c r="BM222" i="6"/>
  <c r="BO222" i="6"/>
  <c r="BN36" i="6"/>
  <c r="AK418" i="7"/>
  <c r="AL418" i="7" s="1"/>
  <c r="AN418" i="7" s="1"/>
  <c r="AO418" i="7" s="1"/>
  <c r="AP169" i="7"/>
  <c r="AQ169" i="7" s="1"/>
  <c r="AK378" i="7"/>
  <c r="AK284" i="7"/>
  <c r="AK525" i="7"/>
  <c r="AK384" i="7"/>
  <c r="BO36" i="6"/>
  <c r="BM159" i="6"/>
  <c r="BN159" i="6" s="1"/>
  <c r="BN81" i="6"/>
  <c r="BN34" i="6"/>
  <c r="AU491" i="7"/>
  <c r="BM22" i="6"/>
  <c r="BM210" i="6"/>
  <c r="BO162" i="6"/>
  <c r="BM97" i="6"/>
  <c r="BN94" i="6"/>
  <c r="BN93" i="6"/>
  <c r="BP93" i="6" s="1"/>
  <c r="BO83" i="6"/>
  <c r="BM27" i="6"/>
  <c r="BO213" i="6"/>
  <c r="BM194" i="6"/>
  <c r="BN194" i="6" s="1"/>
  <c r="BP194" i="6" s="1"/>
  <c r="BO183" i="6"/>
  <c r="BO120" i="6"/>
  <c r="BO58" i="6"/>
  <c r="AU477" i="7"/>
  <c r="AU160" i="7"/>
  <c r="AU241" i="7"/>
  <c r="AU465" i="7"/>
  <c r="AU291" i="7"/>
  <c r="AU186" i="6"/>
  <c r="AS100" i="7"/>
  <c r="AU100" i="7" s="1"/>
  <c r="BP54" i="6"/>
  <c r="AK453" i="7"/>
  <c r="AP453" i="7"/>
  <c r="AQ453" i="7" s="1"/>
  <c r="AS453" i="7" s="1"/>
  <c r="AU453" i="7" s="1"/>
  <c r="BN166" i="6"/>
  <c r="BN57" i="6"/>
  <c r="BO218" i="6"/>
  <c r="BM218" i="6"/>
  <c r="BN218" i="6" s="1"/>
  <c r="BM169" i="6"/>
  <c r="BO169" i="6"/>
  <c r="BO200" i="6"/>
  <c r="BM200" i="6"/>
  <c r="BN200" i="6" s="1"/>
  <c r="BO164" i="6"/>
  <c r="BM164" i="6"/>
  <c r="BO157" i="6"/>
  <c r="BM157" i="6"/>
  <c r="BO103" i="6"/>
  <c r="BM103" i="6"/>
  <c r="BM123" i="6"/>
  <c r="BO123" i="6"/>
  <c r="BM105" i="6"/>
  <c r="BO105" i="6"/>
  <c r="BO65" i="6"/>
  <c r="BM65" i="6"/>
  <c r="BM64" i="6"/>
  <c r="BO64" i="6"/>
  <c r="AJ270" i="7"/>
  <c r="AK270" i="7"/>
  <c r="BM146" i="6"/>
  <c r="BO146" i="6"/>
  <c r="U25" i="6"/>
  <c r="AI25" i="6"/>
  <c r="AK25" i="6" s="1"/>
  <c r="AJ5" i="7"/>
  <c r="AP5" i="7"/>
  <c r="AQ5" i="7" s="1"/>
  <c r="AS5" i="7" s="1"/>
  <c r="AU5" i="7" s="1"/>
  <c r="BO8" i="6"/>
  <c r="BM8" i="6"/>
  <c r="BN8" i="6" s="1"/>
  <c r="BO41" i="6"/>
  <c r="BM41" i="6"/>
  <c r="BM168" i="6"/>
  <c r="BN168" i="6" s="1"/>
  <c r="BO168" i="6"/>
  <c r="BM68" i="6"/>
  <c r="BO68" i="6"/>
  <c r="BO40" i="6"/>
  <c r="BM40" i="6"/>
  <c r="BM43" i="6"/>
  <c r="BO43" i="6"/>
  <c r="AP466" i="7"/>
  <c r="AQ466" i="7" s="1"/>
  <c r="AS466" i="7" s="1"/>
  <c r="AK466" i="7"/>
  <c r="AJ466" i="7"/>
  <c r="BM134" i="6"/>
  <c r="BO134" i="6"/>
  <c r="AP142" i="7"/>
  <c r="AQ142" i="7" s="1"/>
  <c r="AS142" i="7" s="1"/>
  <c r="AU142" i="7" s="1"/>
  <c r="AP87" i="7"/>
  <c r="AQ87" i="7" s="1"/>
  <c r="AS87" i="7" s="1"/>
  <c r="AU87" i="7" s="1"/>
  <c r="AJ299" i="7"/>
  <c r="AL299" i="7" s="1"/>
  <c r="AN299" i="7" s="1"/>
  <c r="AP51" i="7"/>
  <c r="AQ51" i="7" s="1"/>
  <c r="AS51" i="7" s="1"/>
  <c r="AU51" i="7" s="1"/>
  <c r="AP194" i="7"/>
  <c r="AQ194" i="7" s="1"/>
  <c r="AK554" i="7"/>
  <c r="AJ18" i="7"/>
  <c r="AJ167" i="7"/>
  <c r="AL167" i="7" s="1"/>
  <c r="AN167" i="7" s="1"/>
  <c r="AP363" i="7"/>
  <c r="AQ363" i="7" s="1"/>
  <c r="AS363" i="7" s="1"/>
  <c r="AK253" i="7"/>
  <c r="AP177" i="7"/>
  <c r="AQ177" i="7" s="1"/>
  <c r="AS177" i="7" s="1"/>
  <c r="AU177" i="7" s="1"/>
  <c r="AP366" i="7"/>
  <c r="AQ366" i="7" s="1"/>
  <c r="AS366" i="7" s="1"/>
  <c r="AJ399" i="7"/>
  <c r="AJ558" i="7"/>
  <c r="AK100" i="7"/>
  <c r="AP376" i="7"/>
  <c r="AQ376" i="7" s="1"/>
  <c r="AS376" i="7" s="1"/>
  <c r="AU376" i="7" s="1"/>
  <c r="AJ148" i="7"/>
  <c r="AL148" i="7" s="1"/>
  <c r="AN148" i="7" s="1"/>
  <c r="AJ376" i="7"/>
  <c r="AL376" i="7" s="1"/>
  <c r="AN376" i="7" s="1"/>
  <c r="AP270" i="7"/>
  <c r="AQ270" i="7" s="1"/>
  <c r="AS270" i="7" s="1"/>
  <c r="AU270" i="7" s="1"/>
  <c r="U31" i="6"/>
  <c r="BM6" i="6"/>
  <c r="BO226" i="6"/>
  <c r="BO131" i="6"/>
  <c r="BN50" i="6"/>
  <c r="AK87" i="7"/>
  <c r="AP299" i="7"/>
  <c r="AQ299" i="7" s="1"/>
  <c r="AK7" i="7"/>
  <c r="AP239" i="7"/>
  <c r="AQ239" i="7" s="1"/>
  <c r="AS239" i="7" s="1"/>
  <c r="AU239" i="7" s="1"/>
  <c r="AJ312" i="7"/>
  <c r="AK503" i="7"/>
  <c r="AK18" i="7"/>
  <c r="AK248" i="7"/>
  <c r="AL248" i="7" s="1"/>
  <c r="AN248" i="7" s="1"/>
  <c r="AJ448" i="7"/>
  <c r="AJ253" i="7"/>
  <c r="AJ49" i="7"/>
  <c r="AJ284" i="7"/>
  <c r="AK279" i="7"/>
  <c r="AJ453" i="7"/>
  <c r="AJ450" i="7"/>
  <c r="AL450" i="7" s="1"/>
  <c r="AN450" i="7" s="1"/>
  <c r="AO450" i="7" s="1"/>
  <c r="AK399" i="7"/>
  <c r="AP148" i="7"/>
  <c r="AQ148" i="7" s="1"/>
  <c r="AS148" i="7" s="1"/>
  <c r="AU148" i="7" s="1"/>
  <c r="AJ539" i="7"/>
  <c r="AJ308" i="7"/>
  <c r="AL308" i="7" s="1"/>
  <c r="AN308" i="7" s="1"/>
  <c r="AO308" i="7" s="1"/>
  <c r="AJ100" i="7"/>
  <c r="BM9" i="6"/>
  <c r="BN26" i="6"/>
  <c r="BP26" i="6" s="1"/>
  <c r="BN184" i="6"/>
  <c r="AJ395" i="7"/>
  <c r="AK395" i="7"/>
  <c r="AP409" i="7"/>
  <c r="AQ409" i="7" s="1"/>
  <c r="AS409" i="7" s="1"/>
  <c r="AU409" i="7" s="1"/>
  <c r="AJ409" i="7"/>
  <c r="AL409" i="7" s="1"/>
  <c r="AN409" i="7" s="1"/>
  <c r="AK312" i="7"/>
  <c r="AJ503" i="7"/>
  <c r="AP248" i="7"/>
  <c r="AQ248" i="7" s="1"/>
  <c r="AS248" i="7" s="1"/>
  <c r="AU248" i="7" s="1"/>
  <c r="AS423" i="7"/>
  <c r="AU423" i="7" s="1"/>
  <c r="AK448" i="7"/>
  <c r="AP149" i="7"/>
  <c r="AQ149" i="7" s="1"/>
  <c r="AS149" i="7" s="1"/>
  <c r="AU149" i="7" s="1"/>
  <c r="AJ378" i="7"/>
  <c r="AJ279" i="7"/>
  <c r="AL279" i="7" s="1"/>
  <c r="AN279" i="7" s="1"/>
  <c r="AK177" i="7"/>
  <c r="AL177" i="7" s="1"/>
  <c r="AN177" i="7" s="1"/>
  <c r="AP395" i="7"/>
  <c r="AQ395" i="7" s="1"/>
  <c r="AS395" i="7" s="1"/>
  <c r="AJ390" i="7"/>
  <c r="AK151" i="7"/>
  <c r="AL151" i="7" s="1"/>
  <c r="AN151" i="7" s="1"/>
  <c r="AJ491" i="7"/>
  <c r="AJ261" i="7"/>
  <c r="AL261" i="7" s="1"/>
  <c r="AN261" i="7" s="1"/>
  <c r="AO261" i="7" s="1"/>
  <c r="AP308" i="7"/>
  <c r="AQ308" i="7" s="1"/>
  <c r="AS308" i="7" s="1"/>
  <c r="AU308" i="7" s="1"/>
  <c r="AJ201" i="7"/>
  <c r="AL201" i="7" s="1"/>
  <c r="AN201" i="7" s="1"/>
  <c r="AK5" i="7"/>
  <c r="AI11" i="6"/>
  <c r="AJ11" i="6" s="1"/>
  <c r="AP450" i="7"/>
  <c r="AQ450" i="7" s="1"/>
  <c r="AS450" i="7" s="1"/>
  <c r="U30" i="6"/>
  <c r="AK44" i="7"/>
  <c r="AJ44" i="7"/>
  <c r="AJ420" i="7"/>
  <c r="AL420" i="7" s="1"/>
  <c r="AN420" i="7" s="1"/>
  <c r="AP420" i="7"/>
  <c r="AQ420" i="7" s="1"/>
  <c r="AS420" i="7" s="1"/>
  <c r="AU420" i="7" s="1"/>
  <c r="BN161" i="6"/>
  <c r="BM19" i="6"/>
  <c r="BM16" i="6"/>
  <c r="BN186" i="6"/>
  <c r="BP186" i="6" s="1"/>
  <c r="BM180" i="6"/>
  <c r="BM160" i="6"/>
  <c r="BM127" i="6"/>
  <c r="BN127" i="6" s="1"/>
  <c r="BO119" i="6"/>
  <c r="BM87" i="6"/>
  <c r="BN37" i="6"/>
  <c r="BN214" i="6"/>
  <c r="BP214" i="6" s="1"/>
  <c r="BO4" i="6"/>
  <c r="BP4" i="6" s="1"/>
  <c r="BM220" i="6"/>
  <c r="BM217" i="6"/>
  <c r="BN217" i="6" s="1"/>
  <c r="BP217" i="6" s="1"/>
  <c r="BO151" i="6"/>
  <c r="BO117" i="6"/>
  <c r="BN25" i="6"/>
  <c r="BO66" i="6"/>
  <c r="BM66" i="6"/>
  <c r="BN53" i="6"/>
  <c r="U212" i="6"/>
  <c r="AI212" i="6"/>
  <c r="BP199" i="6"/>
  <c r="BP175" i="7"/>
  <c r="BO189" i="6"/>
  <c r="BM189" i="6"/>
  <c r="BO73" i="6"/>
  <c r="BM73" i="6"/>
  <c r="BO215" i="6"/>
  <c r="BM215" i="6"/>
  <c r="BN215" i="6" s="1"/>
  <c r="BO193" i="6"/>
  <c r="BM193" i="6"/>
  <c r="BN193" i="6" s="1"/>
  <c r="BO17" i="6"/>
  <c r="BM17" i="6"/>
  <c r="BO130" i="6"/>
  <c r="BM130" i="6"/>
  <c r="U208" i="6"/>
  <c r="AI208" i="6"/>
  <c r="AJ208" i="6" s="1"/>
  <c r="U16" i="6"/>
  <c r="AI16" i="6"/>
  <c r="AK16" i="6" s="1"/>
  <c r="BO224" i="6"/>
  <c r="BM224" i="6"/>
  <c r="U207" i="6"/>
  <c r="AI207" i="6"/>
  <c r="AP290" i="7"/>
  <c r="AQ290" i="7" s="1"/>
  <c r="AS290" i="7" s="1"/>
  <c r="AU290" i="7" s="1"/>
  <c r="AK290" i="7"/>
  <c r="AL290" i="7" s="1"/>
  <c r="AN290" i="7" s="1"/>
  <c r="AO290" i="7" s="1"/>
  <c r="AJ478" i="7"/>
  <c r="AK478" i="7"/>
  <c r="AP478" i="7"/>
  <c r="AQ478" i="7" s="1"/>
  <c r="AS478" i="7" s="1"/>
  <c r="AU478" i="7" s="1"/>
  <c r="BO205" i="6"/>
  <c r="BM205" i="6"/>
  <c r="BM172" i="6"/>
  <c r="BN172" i="6" s="1"/>
  <c r="BO172" i="6"/>
  <c r="BM125" i="6"/>
  <c r="BN125" i="6" s="1"/>
  <c r="BO125" i="6"/>
  <c r="BO147" i="6"/>
  <c r="BM147" i="6"/>
  <c r="BO115" i="6"/>
  <c r="BM115" i="6"/>
  <c r="BM85" i="6"/>
  <c r="BO85" i="6"/>
  <c r="BO208" i="6"/>
  <c r="BM208" i="6"/>
  <c r="BO204" i="6"/>
  <c r="BM204" i="6"/>
  <c r="BN204" i="6" s="1"/>
  <c r="AK556" i="7"/>
  <c r="AJ556" i="7"/>
  <c r="AK414" i="7"/>
  <c r="AJ414" i="7"/>
  <c r="BM158" i="6"/>
  <c r="BN158" i="6" s="1"/>
  <c r="BO158" i="6"/>
  <c r="BM5" i="6"/>
  <c r="BO5" i="6"/>
  <c r="BN42" i="6"/>
  <c r="AJ524" i="7"/>
  <c r="AP524" i="7"/>
  <c r="AQ524" i="7" s="1"/>
  <c r="AS524" i="7" s="1"/>
  <c r="AU524" i="7" s="1"/>
  <c r="AP354" i="7"/>
  <c r="AQ354" i="7" s="1"/>
  <c r="AS354" i="7" s="1"/>
  <c r="AJ354" i="7"/>
  <c r="AJ126" i="7"/>
  <c r="AL126" i="7" s="1"/>
  <c r="AN126" i="7" s="1"/>
  <c r="AP126" i="7"/>
  <c r="AQ126" i="7" s="1"/>
  <c r="AS126" i="7" s="1"/>
  <c r="AU126" i="7" s="1"/>
  <c r="AJ412" i="7"/>
  <c r="AL412" i="7" s="1"/>
  <c r="AN412" i="7" s="1"/>
  <c r="AP412" i="7"/>
  <c r="AQ412" i="7" s="1"/>
  <c r="AS412" i="7" s="1"/>
  <c r="AU412" i="7" s="1"/>
  <c r="AJ107" i="7"/>
  <c r="AK107" i="7"/>
  <c r="AP504" i="7"/>
  <c r="AQ504" i="7" s="1"/>
  <c r="AS504" i="7" s="1"/>
  <c r="AU504" i="7" s="1"/>
  <c r="AK504" i="7"/>
  <c r="AJ24" i="7"/>
  <c r="AP24" i="7"/>
  <c r="AQ24" i="7" s="1"/>
  <c r="AS24" i="7" s="1"/>
  <c r="AU24" i="7" s="1"/>
  <c r="AK24" i="7"/>
  <c r="AJ432" i="7"/>
  <c r="AP432" i="7"/>
  <c r="AQ432" i="7" s="1"/>
  <c r="AS432" i="7" s="1"/>
  <c r="AU432" i="7" s="1"/>
  <c r="BN69" i="6"/>
  <c r="BN151" i="6"/>
  <c r="BN149" i="6"/>
  <c r="BN141" i="6"/>
  <c r="BN112" i="6"/>
  <c r="AK506" i="7"/>
  <c r="AP506" i="7"/>
  <c r="AQ506" i="7" s="1"/>
  <c r="AS506" i="7" s="1"/>
  <c r="AU506" i="7" s="1"/>
  <c r="AP131" i="7"/>
  <c r="AQ131" i="7" s="1"/>
  <c r="AK131" i="7"/>
  <c r="AK474" i="7"/>
  <c r="AL474" i="7" s="1"/>
  <c r="AN474" i="7" s="1"/>
  <c r="AO474" i="7" s="1"/>
  <c r="AP474" i="7"/>
  <c r="AQ474" i="7" s="1"/>
  <c r="AS474" i="7" s="1"/>
  <c r="AU474" i="7" s="1"/>
  <c r="AK162" i="7"/>
  <c r="AJ162" i="7"/>
  <c r="AJ35" i="7"/>
  <c r="AK35" i="7"/>
  <c r="AP90" i="7"/>
  <c r="AQ90" i="7" s="1"/>
  <c r="AJ90" i="7"/>
  <c r="AP389" i="7"/>
  <c r="AQ389" i="7" s="1"/>
  <c r="AS389" i="7" s="1"/>
  <c r="AU389" i="7" s="1"/>
  <c r="AJ389" i="7"/>
  <c r="AK179" i="7"/>
  <c r="AJ179" i="7"/>
  <c r="AK38" i="7"/>
  <c r="AP38" i="7"/>
  <c r="AQ38" i="7" s="1"/>
  <c r="AK58" i="7"/>
  <c r="AJ58" i="7"/>
  <c r="BN20" i="6"/>
  <c r="BM228" i="6"/>
  <c r="BO228" i="6"/>
  <c r="BM7" i="6"/>
  <c r="BO7" i="6"/>
  <c r="AJ492" i="7"/>
  <c r="AL492" i="7" s="1"/>
  <c r="AN492" i="7" s="1"/>
  <c r="AU424" i="7"/>
  <c r="BM32" i="6"/>
  <c r="BM75" i="6"/>
  <c r="BN48" i="6"/>
  <c r="AP550" i="7"/>
  <c r="AQ550" i="7" s="1"/>
  <c r="AJ550" i="7"/>
  <c r="AL550" i="7" s="1"/>
  <c r="AN550" i="7" s="1"/>
  <c r="AK346" i="7"/>
  <c r="AJ346" i="7"/>
  <c r="BN21" i="6"/>
  <c r="BP21" i="6" s="1"/>
  <c r="BN227" i="6"/>
  <c r="BP227" i="6" s="1"/>
  <c r="BN77" i="6"/>
  <c r="AS43" i="7"/>
  <c r="AU43" i="7" s="1"/>
  <c r="AS404" i="7"/>
  <c r="AU404" i="7" s="1"/>
  <c r="AI9" i="6"/>
  <c r="AJ9" i="6" s="1"/>
  <c r="BN117" i="6"/>
  <c r="BN90" i="6"/>
  <c r="AS156" i="7"/>
  <c r="AU156" i="7" s="1"/>
  <c r="BM29" i="6"/>
  <c r="BO24" i="6"/>
  <c r="BN24" i="6"/>
  <c r="U222" i="6"/>
  <c r="BN156" i="6"/>
  <c r="BN148" i="6"/>
  <c r="BN56" i="6"/>
  <c r="BN49" i="6"/>
  <c r="BN190" i="6"/>
  <c r="BN163" i="6"/>
  <c r="BN126" i="6"/>
  <c r="BN153" i="6"/>
  <c r="BN84" i="6"/>
  <c r="BN212" i="6"/>
  <c r="BN174" i="6"/>
  <c r="BN139" i="6"/>
  <c r="BN70" i="6"/>
  <c r="BN74" i="6"/>
  <c r="BN62" i="6"/>
  <c r="BN179" i="6"/>
  <c r="BN107" i="6"/>
  <c r="BN133" i="6"/>
  <c r="BN68" i="6"/>
  <c r="AI226" i="6"/>
  <c r="AP226" i="6" s="1"/>
  <c r="AQ226" i="6" s="1"/>
  <c r="AR226" i="6" s="1"/>
  <c r="AU226" i="6" s="1"/>
  <c r="AI213" i="6"/>
  <c r="AP213" i="6" s="1"/>
  <c r="AQ213" i="6" s="1"/>
  <c r="BO212" i="6"/>
  <c r="BO148" i="6"/>
  <c r="BO139" i="6"/>
  <c r="BO153" i="6"/>
  <c r="BO107" i="6"/>
  <c r="BO133" i="6"/>
  <c r="BO70" i="6"/>
  <c r="BO190" i="6"/>
  <c r="BO156" i="6"/>
  <c r="BO174" i="6"/>
  <c r="BO163" i="6"/>
  <c r="BO179" i="6"/>
  <c r="BO126" i="6"/>
  <c r="BO56" i="6"/>
  <c r="BO84" i="6"/>
  <c r="BO74" i="6"/>
  <c r="BO62" i="6"/>
  <c r="BO49" i="6"/>
  <c r="U195" i="6"/>
  <c r="AI200" i="6"/>
  <c r="AP200" i="6" s="1"/>
  <c r="AQ200" i="6" s="1"/>
  <c r="AR200" i="6" s="1"/>
  <c r="AU200" i="6" s="1"/>
  <c r="BM13" i="6"/>
  <c r="BO13" i="6"/>
  <c r="BO11" i="6"/>
  <c r="BM11" i="6"/>
  <c r="AI192" i="6"/>
  <c r="AK192" i="6" s="1"/>
  <c r="BM39" i="6"/>
  <c r="BO39" i="6"/>
  <c r="BN15" i="6"/>
  <c r="BN135" i="6"/>
  <c r="BN198" i="6"/>
  <c r="BN177" i="6"/>
  <c r="BN142" i="6"/>
  <c r="BN46" i="6"/>
  <c r="BP46" i="6" s="1"/>
  <c r="BN188" i="6"/>
  <c r="BN170" i="6"/>
  <c r="BN152" i="6"/>
  <c r="BN82" i="6"/>
  <c r="BN58" i="6"/>
  <c r="AK186" i="6"/>
  <c r="AJ186" i="6"/>
  <c r="AI210" i="6"/>
  <c r="AJ210" i="6" s="1"/>
  <c r="AI180" i="6"/>
  <c r="AP180" i="6" s="1"/>
  <c r="AQ180" i="6" s="1"/>
  <c r="BP38" i="6"/>
  <c r="BP195" i="6"/>
  <c r="BP201" i="6"/>
  <c r="BP191" i="6"/>
  <c r="AI202" i="6"/>
  <c r="AI18" i="6"/>
  <c r="AK18" i="6" s="1"/>
  <c r="AI191" i="6"/>
  <c r="AP191" i="6" s="1"/>
  <c r="AQ191" i="6" s="1"/>
  <c r="AR191" i="6" s="1"/>
  <c r="AU191" i="6" s="1"/>
  <c r="AI165" i="6"/>
  <c r="AJ165" i="6" s="1"/>
  <c r="AI204" i="6"/>
  <c r="AK204" i="6" s="1"/>
  <c r="X42" i="6"/>
  <c r="Y42" i="6" s="1"/>
  <c r="AA371" i="7"/>
  <c r="AB371" i="7" s="1"/>
  <c r="AE233" i="7"/>
  <c r="AF233" i="7" s="1"/>
  <c r="X177" i="6"/>
  <c r="X87" i="6"/>
  <c r="AA482" i="7"/>
  <c r="AB482" i="7" s="1"/>
  <c r="X223" i="6"/>
  <c r="X178" i="6"/>
  <c r="Z178" i="6" s="1"/>
  <c r="X133" i="6"/>
  <c r="Z133" i="6" s="1"/>
  <c r="X28" i="6"/>
  <c r="Y28" i="6" s="1"/>
  <c r="X208" i="6"/>
  <c r="X73" i="6"/>
  <c r="X207" i="6"/>
  <c r="X162" i="6"/>
  <c r="Y162" i="6" s="1"/>
  <c r="X27" i="6"/>
  <c r="X72" i="6"/>
  <c r="Z72" i="6" s="1"/>
  <c r="Y222" i="6"/>
  <c r="Z222" i="6"/>
  <c r="Y227" i="6"/>
  <c r="Z227" i="6"/>
  <c r="AE205" i="6"/>
  <c r="AD205" i="6"/>
  <c r="AD184" i="6"/>
  <c r="AE184" i="6"/>
  <c r="AE198" i="6"/>
  <c r="AD198" i="6"/>
  <c r="AE196" i="6"/>
  <c r="AD196" i="6"/>
  <c r="AD203" i="6"/>
  <c r="AE203" i="6"/>
  <c r="AD216" i="6"/>
  <c r="AE216" i="6"/>
  <c r="AE189" i="6"/>
  <c r="AD189" i="6"/>
  <c r="Z186" i="6"/>
  <c r="Y186" i="6"/>
  <c r="Z219" i="6"/>
  <c r="Y219" i="6"/>
  <c r="Z212" i="6"/>
  <c r="Y212" i="6"/>
  <c r="Y182" i="6"/>
  <c r="Z182" i="6"/>
  <c r="AE211" i="6"/>
  <c r="AD211" i="6"/>
  <c r="AE222" i="6"/>
  <c r="AD222" i="6"/>
  <c r="Y217" i="6"/>
  <c r="Z217" i="6"/>
  <c r="AD190" i="6"/>
  <c r="AE190" i="6"/>
  <c r="AD215" i="6"/>
  <c r="AE215" i="6"/>
  <c r="AE183" i="6"/>
  <c r="AD183" i="6"/>
  <c r="AE220" i="6"/>
  <c r="AD220" i="6"/>
  <c r="Z221" i="6"/>
  <c r="Y221" i="6"/>
  <c r="AD16" i="6"/>
  <c r="AE16" i="6"/>
  <c r="Y225" i="6"/>
  <c r="Z225" i="6"/>
  <c r="Y193" i="6"/>
  <c r="Z193" i="6"/>
  <c r="Y14" i="6"/>
  <c r="Z14" i="6"/>
  <c r="Y204" i="6"/>
  <c r="Z204" i="6"/>
  <c r="Z197" i="6"/>
  <c r="Y197" i="6"/>
  <c r="AE188" i="6"/>
  <c r="AD188" i="6"/>
  <c r="AD187" i="6"/>
  <c r="AE187" i="6"/>
  <c r="Z224" i="6"/>
  <c r="Y224" i="6"/>
  <c r="Y15" i="6"/>
  <c r="Z15" i="6"/>
  <c r="Z209" i="6"/>
  <c r="Y209" i="6"/>
  <c r="Y180" i="6"/>
  <c r="Z180" i="6"/>
  <c r="AE213" i="6"/>
  <c r="AD213" i="6"/>
  <c r="AE228" i="6"/>
  <c r="AD228" i="6"/>
  <c r="Y18" i="6"/>
  <c r="Z18" i="6"/>
  <c r="Z201" i="6"/>
  <c r="Y201" i="6"/>
  <c r="AE210" i="6"/>
  <c r="AD210" i="6"/>
  <c r="AE226" i="6"/>
  <c r="AD226" i="6"/>
  <c r="Y202" i="6"/>
  <c r="Z202" i="6"/>
  <c r="AD223" i="6"/>
  <c r="AE223" i="6"/>
  <c r="AD182" i="6"/>
  <c r="AE182" i="6"/>
  <c r="Z211" i="6"/>
  <c r="Y211" i="6"/>
  <c r="AD217" i="6"/>
  <c r="AE217" i="6"/>
  <c r="Z190" i="6"/>
  <c r="Y190" i="6"/>
  <c r="Y215" i="6"/>
  <c r="Z215" i="6"/>
  <c r="Z183" i="6"/>
  <c r="Y183" i="6"/>
  <c r="Z220" i="6"/>
  <c r="Y220" i="6"/>
  <c r="AE221" i="6"/>
  <c r="AD221" i="6"/>
  <c r="Z16" i="6"/>
  <c r="Y16" i="6"/>
  <c r="AE225" i="6"/>
  <c r="AD225" i="6"/>
  <c r="AD193" i="6"/>
  <c r="AE193" i="6"/>
  <c r="AD14" i="6"/>
  <c r="AE14" i="6"/>
  <c r="AE204" i="6"/>
  <c r="AD204" i="6"/>
  <c r="AE197" i="6"/>
  <c r="AD197" i="6"/>
  <c r="Z188" i="6"/>
  <c r="Y188" i="6"/>
  <c r="Y187" i="6"/>
  <c r="Z187" i="6"/>
  <c r="AD224" i="6"/>
  <c r="AE224" i="6"/>
  <c r="AE15" i="6"/>
  <c r="AD15" i="6"/>
  <c r="AE209" i="6"/>
  <c r="AD209" i="6"/>
  <c r="AD180" i="6"/>
  <c r="AE180" i="6"/>
  <c r="Y213" i="6"/>
  <c r="Z213" i="6"/>
  <c r="Z228" i="6"/>
  <c r="Y228" i="6"/>
  <c r="AD18" i="6"/>
  <c r="AE18" i="6"/>
  <c r="AD201" i="6"/>
  <c r="AE201" i="6"/>
  <c r="Y210" i="6"/>
  <c r="Z210" i="6"/>
  <c r="Z226" i="6"/>
  <c r="Y226" i="6"/>
  <c r="AE202" i="6"/>
  <c r="AD202" i="6"/>
  <c r="Z214" i="6"/>
  <c r="Y214" i="6"/>
  <c r="Y206" i="6"/>
  <c r="Z206" i="6"/>
  <c r="Z194" i="6"/>
  <c r="Y194" i="6"/>
  <c r="Y17" i="6"/>
  <c r="Z17" i="6"/>
  <c r="AE185" i="6"/>
  <c r="AD185" i="6"/>
  <c r="AE195" i="6"/>
  <c r="AD195" i="6"/>
  <c r="AD200" i="6"/>
  <c r="AE200" i="6"/>
  <c r="AD218" i="6"/>
  <c r="AE218" i="6"/>
  <c r="AD208" i="6"/>
  <c r="AE208" i="6"/>
  <c r="AD181" i="6"/>
  <c r="AE181" i="6"/>
  <c r="AD192" i="6"/>
  <c r="AE192" i="6"/>
  <c r="Y199" i="6"/>
  <c r="Z199" i="6"/>
  <c r="AD191" i="6"/>
  <c r="AE191" i="6"/>
  <c r="AD227" i="6"/>
  <c r="AE227" i="6"/>
  <c r="Z205" i="6"/>
  <c r="Y205" i="6"/>
  <c r="Z184" i="6"/>
  <c r="Y184" i="6"/>
  <c r="Z198" i="6"/>
  <c r="Y198" i="6"/>
  <c r="Z196" i="6"/>
  <c r="Y196" i="6"/>
  <c r="Z203" i="6"/>
  <c r="Y203" i="6"/>
  <c r="Z216" i="6"/>
  <c r="Y216" i="6"/>
  <c r="Y189" i="6"/>
  <c r="Z189" i="6"/>
  <c r="AE186" i="6"/>
  <c r="AD186" i="6"/>
  <c r="AD219" i="6"/>
  <c r="AE219" i="6"/>
  <c r="AE212" i="6"/>
  <c r="AD212" i="6"/>
  <c r="AE214" i="6"/>
  <c r="AD214" i="6"/>
  <c r="AD206" i="6"/>
  <c r="AE206" i="6"/>
  <c r="AD194" i="6"/>
  <c r="AE194" i="6"/>
  <c r="AD17" i="6"/>
  <c r="AE17" i="6"/>
  <c r="Z185" i="6"/>
  <c r="Y185" i="6"/>
  <c r="Z195" i="6"/>
  <c r="Y195" i="6"/>
  <c r="Z200" i="6"/>
  <c r="Y200" i="6"/>
  <c r="Y218" i="6"/>
  <c r="Z218" i="6"/>
  <c r="Z181" i="6"/>
  <c r="Y181" i="6"/>
  <c r="Z192" i="6"/>
  <c r="Y192" i="6"/>
  <c r="AE199" i="6"/>
  <c r="AD199" i="6"/>
  <c r="AD207" i="6"/>
  <c r="AE207" i="6"/>
  <c r="Y191" i="6"/>
  <c r="Z191" i="6"/>
  <c r="AP38" i="16"/>
  <c r="AQ38" i="16" s="1"/>
  <c r="AR38" i="16" s="1"/>
  <c r="AU38" i="16" s="1"/>
  <c r="AK38" i="16"/>
  <c r="AP24" i="16"/>
  <c r="AQ24" i="16" s="1"/>
  <c r="AR24" i="16" s="1"/>
  <c r="AU24" i="16" s="1"/>
  <c r="AJ24" i="16"/>
  <c r="AP59" i="7"/>
  <c r="AQ59" i="7" s="1"/>
  <c r="AS59" i="7" s="1"/>
  <c r="AU59" i="7" s="1"/>
  <c r="AJ59" i="7"/>
  <c r="AP327" i="7"/>
  <c r="AQ327" i="7" s="1"/>
  <c r="AS327" i="7" s="1"/>
  <c r="AU327" i="7" s="1"/>
  <c r="AJ327" i="7"/>
  <c r="AL327" i="7" s="1"/>
  <c r="AN327" i="7" s="1"/>
  <c r="AJ267" i="7"/>
  <c r="AP267" i="7"/>
  <c r="AQ267" i="7" s="1"/>
  <c r="AS267" i="7" s="1"/>
  <c r="AU267" i="7" s="1"/>
  <c r="AP235" i="7"/>
  <c r="AQ235" i="7" s="1"/>
  <c r="AS235" i="7" s="1"/>
  <c r="AU235" i="7" s="1"/>
  <c r="AJ235" i="7"/>
  <c r="AK441" i="7"/>
  <c r="AJ441" i="7"/>
  <c r="AP441" i="7"/>
  <c r="AQ441" i="7" s="1"/>
  <c r="AS441" i="7" s="1"/>
  <c r="AU441" i="7" s="1"/>
  <c r="AP498" i="7"/>
  <c r="AQ498" i="7" s="1"/>
  <c r="AS498" i="7" s="1"/>
  <c r="AU498" i="7" s="1"/>
  <c r="AJ498" i="7"/>
  <c r="AK498" i="7"/>
  <c r="AP301" i="7"/>
  <c r="AQ301" i="7" s="1"/>
  <c r="AS301" i="7" s="1"/>
  <c r="AU301" i="7" s="1"/>
  <c r="AJ301" i="7"/>
  <c r="AL301" i="7" s="1"/>
  <c r="AN301" i="7" s="1"/>
  <c r="AO301" i="7" s="1"/>
  <c r="AP410" i="7"/>
  <c r="AQ410" i="7" s="1"/>
  <c r="AS410" i="7" s="1"/>
  <c r="AU410" i="7" s="1"/>
  <c r="AJ410" i="7"/>
  <c r="AJ523" i="7"/>
  <c r="AP523" i="7"/>
  <c r="AQ523" i="7" s="1"/>
  <c r="AS523" i="7" s="1"/>
  <c r="AP398" i="7"/>
  <c r="AQ398" i="7" s="1"/>
  <c r="AS398" i="7" s="1"/>
  <c r="AU398" i="7" s="1"/>
  <c r="AJ398" i="7"/>
  <c r="AP23" i="16"/>
  <c r="AQ23" i="16" s="1"/>
  <c r="AR23" i="16" s="1"/>
  <c r="AU23" i="16" s="1"/>
  <c r="AK111" i="7"/>
  <c r="AJ111" i="7"/>
  <c r="AJ425" i="7"/>
  <c r="AK425" i="7"/>
  <c r="AK410" i="7"/>
  <c r="AJ250" i="7"/>
  <c r="AK59" i="7"/>
  <c r="AK24" i="16"/>
  <c r="AK467" i="7"/>
  <c r="AP256" i="7"/>
  <c r="AQ256" i="7" s="1"/>
  <c r="AS256" i="7" s="1"/>
  <c r="AU256" i="7" s="1"/>
  <c r="AK77" i="7"/>
  <c r="AJ77" i="7"/>
  <c r="AJ45" i="16"/>
  <c r="AL45" i="16" s="1"/>
  <c r="AN45" i="16" s="1"/>
  <c r="AP263" i="7"/>
  <c r="AQ263" i="7" s="1"/>
  <c r="AS263" i="7" s="1"/>
  <c r="AK263" i="7"/>
  <c r="AK311" i="7"/>
  <c r="AP311" i="7"/>
  <c r="AQ311" i="7" s="1"/>
  <c r="AS311" i="7" s="1"/>
  <c r="AJ65" i="7"/>
  <c r="AL65" i="7" s="1"/>
  <c r="AN65" i="7" s="1"/>
  <c r="AP65" i="7"/>
  <c r="AQ65" i="7" s="1"/>
  <c r="AS65" i="7" s="1"/>
  <c r="AU65" i="7" s="1"/>
  <c r="AP272" i="7"/>
  <c r="AQ272" i="7" s="1"/>
  <c r="AS272" i="7" s="1"/>
  <c r="AU272" i="7" s="1"/>
  <c r="AJ272" i="7"/>
  <c r="AL272" i="7" s="1"/>
  <c r="AN272" i="7" s="1"/>
  <c r="AJ98" i="7"/>
  <c r="AP98" i="7"/>
  <c r="AQ98" i="7" s="1"/>
  <c r="AS98" i="7" s="1"/>
  <c r="AU98" i="7" s="1"/>
  <c r="AP500" i="7"/>
  <c r="AQ500" i="7" s="1"/>
  <c r="AS500" i="7" s="1"/>
  <c r="AU500" i="7" s="1"/>
  <c r="AJ500" i="7"/>
  <c r="AP319" i="7"/>
  <c r="AQ319" i="7" s="1"/>
  <c r="AS319" i="7" s="1"/>
  <c r="AU319" i="7" s="1"/>
  <c r="AJ319" i="7"/>
  <c r="AL319" i="7" s="1"/>
  <c r="AN319" i="7" s="1"/>
  <c r="AP190" i="7"/>
  <c r="AQ190" i="7" s="1"/>
  <c r="AJ190" i="7"/>
  <c r="AL190" i="7" s="1"/>
  <c r="AN190" i="7" s="1"/>
  <c r="AP50" i="7"/>
  <c r="AQ50" i="7" s="1"/>
  <c r="AS50" i="7" s="1"/>
  <c r="AU50" i="7" s="1"/>
  <c r="AK50" i="7"/>
  <c r="AL50" i="7" s="1"/>
  <c r="AN50" i="7" s="1"/>
  <c r="AK28" i="16"/>
  <c r="AJ446" i="7"/>
  <c r="AP446" i="7"/>
  <c r="AQ446" i="7" s="1"/>
  <c r="AS446" i="7" s="1"/>
  <c r="AJ64" i="7"/>
  <c r="AL64" i="7" s="1"/>
  <c r="AN64" i="7" s="1"/>
  <c r="AP406" i="7"/>
  <c r="AQ406" i="7" s="1"/>
  <c r="AJ397" i="7"/>
  <c r="AK397" i="7"/>
  <c r="AK329" i="7"/>
  <c r="AL329" i="7" s="1"/>
  <c r="AN329" i="7" s="1"/>
  <c r="AK187" i="7"/>
  <c r="AP107" i="7"/>
  <c r="AQ107" i="7" s="1"/>
  <c r="AS107" i="7" s="1"/>
  <c r="AU107" i="7" s="1"/>
  <c r="AP309" i="7"/>
  <c r="AQ309" i="7" s="1"/>
  <c r="AS309" i="7" s="1"/>
  <c r="AU309" i="7" s="1"/>
  <c r="U209" i="6"/>
  <c r="AI209" i="6"/>
  <c r="AK209" i="6" s="1"/>
  <c r="U14" i="6"/>
  <c r="AI14" i="6"/>
  <c r="AP14" i="6" s="1"/>
  <c r="AQ14" i="6" s="1"/>
  <c r="AR14" i="6" s="1"/>
  <c r="AU14" i="6" s="1"/>
  <c r="AI216" i="6"/>
  <c r="AJ216" i="6" s="1"/>
  <c r="AI224" i="6"/>
  <c r="AP224" i="6" s="1"/>
  <c r="AQ224" i="6" s="1"/>
  <c r="AR224" i="6" s="1"/>
  <c r="AU224" i="6" s="1"/>
  <c r="U189" i="6"/>
  <c r="AI189" i="6"/>
  <c r="AJ189" i="6" s="1"/>
  <c r="BP8" i="16"/>
  <c r="BP36" i="16"/>
  <c r="AK259" i="7"/>
  <c r="AL259" i="7" s="1"/>
  <c r="AN259" i="7" s="1"/>
  <c r="AJ18" i="16"/>
  <c r="AL18" i="16" s="1"/>
  <c r="AN18" i="16" s="1"/>
  <c r="AJ311" i="7"/>
  <c r="AJ16" i="16"/>
  <c r="AP45" i="16"/>
  <c r="AQ45" i="16" s="1"/>
  <c r="AR45" i="16" s="1"/>
  <c r="AU45" i="16" s="1"/>
  <c r="AJ263" i="7"/>
  <c r="AJ361" i="7"/>
  <c r="AJ424" i="7"/>
  <c r="AJ229" i="7"/>
  <c r="AL229" i="7" s="1"/>
  <c r="AN229" i="7" s="1"/>
  <c r="AK406" i="7"/>
  <c r="AL406" i="7" s="1"/>
  <c r="AN406" i="7" s="1"/>
  <c r="AP52" i="7"/>
  <c r="AQ52" i="7" s="1"/>
  <c r="AP123" i="7"/>
  <c r="AQ123" i="7" s="1"/>
  <c r="AS123" i="7" s="1"/>
  <c r="AP218" i="7"/>
  <c r="AQ218" i="7" s="1"/>
  <c r="AS218" i="7" s="1"/>
  <c r="AP329" i="7"/>
  <c r="AQ329" i="7" s="1"/>
  <c r="AS329" i="7" s="1"/>
  <c r="AU329" i="7" s="1"/>
  <c r="AJ296" i="7"/>
  <c r="U205" i="6"/>
  <c r="AI205" i="6"/>
  <c r="AJ205" i="6" s="1"/>
  <c r="AJ542" i="7"/>
  <c r="AK542" i="7"/>
  <c r="AK117" i="7"/>
  <c r="AP117" i="7"/>
  <c r="AQ117" i="7" s="1"/>
  <c r="AS117" i="7" s="1"/>
  <c r="AU117" i="7" s="1"/>
  <c r="U201" i="6"/>
  <c r="AI201" i="6"/>
  <c r="AK201" i="6" s="1"/>
  <c r="U199" i="6"/>
  <c r="AI199" i="6"/>
  <c r="AP383" i="7"/>
  <c r="AQ383" i="7" s="1"/>
  <c r="AS383" i="7" s="1"/>
  <c r="AU383" i="7" s="1"/>
  <c r="AJ383" i="7"/>
  <c r="U227" i="6"/>
  <c r="AI227" i="6"/>
  <c r="AJ29" i="16"/>
  <c r="AK29" i="16"/>
  <c r="AP563" i="7"/>
  <c r="AQ563" i="7" s="1"/>
  <c r="AS563" i="7" s="1"/>
  <c r="AJ337" i="7"/>
  <c r="AK527" i="7"/>
  <c r="AP513" i="7"/>
  <c r="AQ513" i="7" s="1"/>
  <c r="AS513" i="7" s="1"/>
  <c r="AU513" i="7" s="1"/>
  <c r="AK513" i="7"/>
  <c r="AP257" i="7"/>
  <c r="AQ257" i="7" s="1"/>
  <c r="AS257" i="7" s="1"/>
  <c r="AU257" i="7" s="1"/>
  <c r="AJ257" i="7"/>
  <c r="AL257" i="7" s="1"/>
  <c r="AN257" i="7" s="1"/>
  <c r="AP203" i="6"/>
  <c r="AQ203" i="6" s="1"/>
  <c r="AR203" i="6" s="1"/>
  <c r="AU203" i="6" s="1"/>
  <c r="AK203" i="6"/>
  <c r="AL203" i="6" s="1"/>
  <c r="AN203" i="6" s="1"/>
  <c r="AK489" i="7"/>
  <c r="BP386" i="7"/>
  <c r="AI184" i="6"/>
  <c r="AJ184" i="6" s="1"/>
  <c r="AI218" i="6"/>
  <c r="AI48" i="6"/>
  <c r="AJ48" i="6" s="1"/>
  <c r="AI225" i="6"/>
  <c r="AI214" i="6"/>
  <c r="AI182" i="6"/>
  <c r="AI194" i="6"/>
  <c r="AK194" i="6" s="1"/>
  <c r="AI211" i="6"/>
  <c r="AI196" i="6"/>
  <c r="AI183" i="6"/>
  <c r="AI206" i="6"/>
  <c r="AP206" i="6" s="1"/>
  <c r="AQ206" i="6" s="1"/>
  <c r="AR206" i="6" s="1"/>
  <c r="AU206" i="6" s="1"/>
  <c r="AI181" i="6"/>
  <c r="AK181" i="6" s="1"/>
  <c r="AI17" i="6"/>
  <c r="AP17" i="6" s="1"/>
  <c r="AQ17" i="6" s="1"/>
  <c r="AI198" i="6"/>
  <c r="AP198" i="6" s="1"/>
  <c r="AQ198" i="6" s="1"/>
  <c r="AR198" i="6" s="1"/>
  <c r="AU198" i="6" s="1"/>
  <c r="AS517" i="7"/>
  <c r="AU517" i="7" s="1"/>
  <c r="AS61" i="7"/>
  <c r="AU61" i="7" s="1"/>
  <c r="AS460" i="7"/>
  <c r="AU460" i="7" s="1"/>
  <c r="AK11" i="16"/>
  <c r="AJ11" i="16"/>
  <c r="AP258" i="7"/>
  <c r="AQ258" i="7" s="1"/>
  <c r="AS258" i="7" s="1"/>
  <c r="AJ258" i="7"/>
  <c r="AL258" i="7" s="1"/>
  <c r="AN258" i="7" s="1"/>
  <c r="AK521" i="7"/>
  <c r="AJ521" i="7"/>
  <c r="AK400" i="7"/>
  <c r="AL400" i="7" s="1"/>
  <c r="AN400" i="7" s="1"/>
  <c r="AP400" i="7"/>
  <c r="AQ400" i="7" s="1"/>
  <c r="AJ193" i="7"/>
  <c r="AP193" i="7"/>
  <c r="AQ193" i="7" s="1"/>
  <c r="AS193" i="7" s="1"/>
  <c r="AU193" i="7" s="1"/>
  <c r="AK245" i="7"/>
  <c r="AJ245" i="7"/>
  <c r="AK6" i="7"/>
  <c r="AL6" i="7" s="1"/>
  <c r="AN6" i="7" s="1"/>
  <c r="AP6" i="7"/>
  <c r="AQ6" i="7" s="1"/>
  <c r="AS6" i="7" s="1"/>
  <c r="AU6" i="7" s="1"/>
  <c r="AK168" i="7"/>
  <c r="AL168" i="7" s="1"/>
  <c r="AN168" i="7" s="1"/>
  <c r="AP168" i="7"/>
  <c r="AQ168" i="7" s="1"/>
  <c r="AJ303" i="7"/>
  <c r="AP303" i="7"/>
  <c r="AQ303" i="7" s="1"/>
  <c r="AS303" i="7" s="1"/>
  <c r="AU303" i="7" s="1"/>
  <c r="AJ147" i="7"/>
  <c r="AK147" i="7"/>
  <c r="AK428" i="7"/>
  <c r="AJ428" i="7"/>
  <c r="AU266" i="7"/>
  <c r="AU533" i="7"/>
  <c r="AU489" i="7"/>
  <c r="U228" i="6"/>
  <c r="AI228" i="6"/>
  <c r="AK228" i="6" s="1"/>
  <c r="U220" i="6"/>
  <c r="AI220" i="6"/>
  <c r="AK220" i="6" s="1"/>
  <c r="U221" i="6"/>
  <c r="AI221" i="6"/>
  <c r="AP221" i="6" s="1"/>
  <c r="AQ221" i="6" s="1"/>
  <c r="U215" i="6"/>
  <c r="AI215" i="6"/>
  <c r="AK215" i="6" s="1"/>
  <c r="AI223" i="6"/>
  <c r="AK223" i="6" s="1"/>
  <c r="U193" i="6"/>
  <c r="AI193" i="6"/>
  <c r="AK193" i="6" s="1"/>
  <c r="U188" i="6"/>
  <c r="AI188" i="6"/>
  <c r="U197" i="6"/>
  <c r="AI197" i="6"/>
  <c r="AK197" i="6" s="1"/>
  <c r="U185" i="6"/>
  <c r="AI185" i="6"/>
  <c r="AJ185" i="6" s="1"/>
  <c r="AI190" i="6"/>
  <c r="AK190" i="6" s="1"/>
  <c r="AI15" i="6"/>
  <c r="AK15" i="6" s="1"/>
  <c r="AP222" i="6"/>
  <c r="AQ222" i="6" s="1"/>
  <c r="AR222" i="6" s="1"/>
  <c r="AU222" i="6" s="1"/>
  <c r="AK222" i="6"/>
  <c r="AJ222" i="6"/>
  <c r="AP217" i="6"/>
  <c r="AQ217" i="6" s="1"/>
  <c r="AR217" i="6" s="1"/>
  <c r="AU217" i="6" s="1"/>
  <c r="AK184" i="6"/>
  <c r="AP195" i="6"/>
  <c r="AQ195" i="6" s="1"/>
  <c r="AR195" i="6" s="1"/>
  <c r="AU195" i="6" s="1"/>
  <c r="AK195" i="6"/>
  <c r="AJ195" i="6"/>
  <c r="AU509" i="7"/>
  <c r="AU396" i="7"/>
  <c r="AU310" i="7"/>
  <c r="BP452" i="7"/>
  <c r="AU236" i="7"/>
  <c r="AU322" i="7"/>
  <c r="AE109" i="6"/>
  <c r="AD109" i="6"/>
  <c r="AD126" i="6"/>
  <c r="AE126" i="6"/>
  <c r="AE162" i="6"/>
  <c r="AD162" i="6"/>
  <c r="Z157" i="6"/>
  <c r="Y157" i="6"/>
  <c r="AE157" i="6"/>
  <c r="AD157" i="6"/>
  <c r="Z109" i="6"/>
  <c r="Y109" i="6"/>
  <c r="AD128" i="6"/>
  <c r="AE128" i="6"/>
  <c r="Z172" i="6"/>
  <c r="Y172" i="6"/>
  <c r="Y114" i="6"/>
  <c r="Z114" i="6"/>
  <c r="AD124" i="6"/>
  <c r="AE124" i="6"/>
  <c r="Z104" i="6"/>
  <c r="Y104" i="6"/>
  <c r="Z126" i="6"/>
  <c r="Y126" i="6"/>
  <c r="Z128" i="6"/>
  <c r="Y128" i="6"/>
  <c r="AD172" i="6"/>
  <c r="AE172" i="6"/>
  <c r="AD80" i="6"/>
  <c r="AE80" i="6"/>
  <c r="AD152" i="6"/>
  <c r="AE152" i="6"/>
  <c r="AE160" i="6"/>
  <c r="AD160" i="6"/>
  <c r="AD104" i="6"/>
  <c r="AE104" i="6"/>
  <c r="AI58" i="6"/>
  <c r="AJ58" i="6" s="1"/>
  <c r="Z150" i="6"/>
  <c r="Y150" i="6"/>
  <c r="Z80" i="6"/>
  <c r="Y80" i="6"/>
  <c r="Z152" i="6"/>
  <c r="Y152" i="6"/>
  <c r="Y160" i="6"/>
  <c r="Z160" i="6"/>
  <c r="AI141" i="6"/>
  <c r="AJ141" i="6" s="1"/>
  <c r="AI175" i="6"/>
  <c r="AD150" i="6"/>
  <c r="AE150" i="6"/>
  <c r="AE114" i="6"/>
  <c r="AD114" i="6"/>
  <c r="Z124" i="6"/>
  <c r="Y124" i="6"/>
  <c r="AI170" i="6"/>
  <c r="AJ170" i="6" s="1"/>
  <c r="U28" i="6"/>
  <c r="AJ234" i="7"/>
  <c r="AK234" i="7"/>
  <c r="AJ226" i="7"/>
  <c r="AL226" i="7" s="1"/>
  <c r="AN226" i="7" s="1"/>
  <c r="AJ7" i="7"/>
  <c r="AK98" i="7"/>
  <c r="AK303" i="7"/>
  <c r="AJ78" i="7"/>
  <c r="AK222" i="7"/>
  <c r="AL222" i="7" s="1"/>
  <c r="AN222" i="7" s="1"/>
  <c r="AJ5" i="16"/>
  <c r="AK415" i="7"/>
  <c r="AP304" i="7"/>
  <c r="AQ304" i="7" s="1"/>
  <c r="AS304" i="7" s="1"/>
  <c r="AU304" i="7" s="1"/>
  <c r="AP234" i="7"/>
  <c r="AQ234" i="7" s="1"/>
  <c r="AS234" i="7" s="1"/>
  <c r="AU234" i="7" s="1"/>
  <c r="AK324" i="7"/>
  <c r="AL324" i="7" s="1"/>
  <c r="AN324" i="7" s="1"/>
  <c r="AK8" i="16"/>
  <c r="AJ8" i="16"/>
  <c r="AP210" i="7"/>
  <c r="AQ210" i="7" s="1"/>
  <c r="AJ210" i="7"/>
  <c r="AL210" i="7" s="1"/>
  <c r="AN210" i="7" s="1"/>
  <c r="AJ415" i="7"/>
  <c r="AL415" i="7" s="1"/>
  <c r="AN415" i="7" s="1"/>
  <c r="AK219" i="7"/>
  <c r="AL219" i="7" s="1"/>
  <c r="AN219" i="7" s="1"/>
  <c r="AO219" i="7" s="1"/>
  <c r="AP219" i="7"/>
  <c r="AQ219" i="7" s="1"/>
  <c r="AS219" i="7" s="1"/>
  <c r="AU219" i="7" s="1"/>
  <c r="AP88" i="7"/>
  <c r="AQ88" i="7" s="1"/>
  <c r="AS88" i="7" s="1"/>
  <c r="AU88" i="7" s="1"/>
  <c r="AJ88" i="7"/>
  <c r="AL88" i="7" s="1"/>
  <c r="AN88" i="7" s="1"/>
  <c r="AP9" i="7"/>
  <c r="AQ9" i="7" s="1"/>
  <c r="AS9" i="7" s="1"/>
  <c r="AU9" i="7" s="1"/>
  <c r="AK9" i="7"/>
  <c r="AP307" i="7"/>
  <c r="AQ307" i="7" s="1"/>
  <c r="AS307" i="7" s="1"/>
  <c r="AU307" i="7" s="1"/>
  <c r="AK307" i="7"/>
  <c r="AL307" i="7" s="1"/>
  <c r="AN307" i="7" s="1"/>
  <c r="AO307" i="7" s="1"/>
  <c r="AJ345" i="7"/>
  <c r="AK345" i="7"/>
  <c r="AP534" i="7"/>
  <c r="AQ534" i="7" s="1"/>
  <c r="AS534" i="7" s="1"/>
  <c r="AU534" i="7" s="1"/>
  <c r="AJ534" i="7"/>
  <c r="AL534" i="7" s="1"/>
  <c r="AN534" i="7" s="1"/>
  <c r="AK209" i="7"/>
  <c r="AL209" i="7" s="1"/>
  <c r="AN209" i="7" s="1"/>
  <c r="AP209" i="7"/>
  <c r="AQ209" i="7" s="1"/>
  <c r="AS209" i="7" s="1"/>
  <c r="AU209" i="7" s="1"/>
  <c r="AP356" i="7"/>
  <c r="AQ356" i="7" s="1"/>
  <c r="AS356" i="7" s="1"/>
  <c r="AU356" i="7" s="1"/>
  <c r="AJ156" i="7"/>
  <c r="AK39" i="7"/>
  <c r="AL39" i="7" s="1"/>
  <c r="AN39" i="7" s="1"/>
  <c r="AJ35" i="16"/>
  <c r="AP186" i="7"/>
  <c r="AQ186" i="7" s="1"/>
  <c r="AS186" i="7" s="1"/>
  <c r="AU186" i="7" s="1"/>
  <c r="AK21" i="16"/>
  <c r="AK277" i="7"/>
  <c r="AJ277" i="7"/>
  <c r="AJ560" i="7"/>
  <c r="AK560" i="7"/>
  <c r="AK325" i="7"/>
  <c r="AJ325" i="7"/>
  <c r="AJ470" i="7"/>
  <c r="AK470" i="7"/>
  <c r="AK216" i="7"/>
  <c r="AJ216" i="7"/>
  <c r="AK497" i="7"/>
  <c r="AJ497" i="7"/>
  <c r="AP324" i="7"/>
  <c r="AQ324" i="7" s="1"/>
  <c r="AS324" i="7" s="1"/>
  <c r="AP245" i="7"/>
  <c r="AQ245" i="7" s="1"/>
  <c r="AA233" i="7"/>
  <c r="AB233" i="7" s="1"/>
  <c r="AD5" i="7"/>
  <c r="AF5" i="7" s="1"/>
  <c r="AF505" i="7"/>
  <c r="AF428" i="7"/>
  <c r="Z460" i="7"/>
  <c r="AE51" i="7"/>
  <c r="AF51" i="7" s="1"/>
  <c r="AA510" i="7"/>
  <c r="AB510" i="7" s="1"/>
  <c r="AA5" i="7"/>
  <c r="AB5" i="7" s="1"/>
  <c r="Y460" i="7"/>
  <c r="Z469" i="7"/>
  <c r="AD293" i="7"/>
  <c r="Z25" i="16"/>
  <c r="AD25" i="16"/>
  <c r="Y208" i="7"/>
  <c r="Z79" i="7"/>
  <c r="Z538" i="7"/>
  <c r="AE533" i="7"/>
  <c r="AE9" i="7"/>
  <c r="Z108" i="7"/>
  <c r="Y41" i="16"/>
  <c r="AE41" i="16"/>
  <c r="AD243" i="7"/>
  <c r="AD435" i="7"/>
  <c r="Z236" i="7"/>
  <c r="AE374" i="7"/>
  <c r="AD449" i="7"/>
  <c r="Y215" i="7"/>
  <c r="AD456" i="7"/>
  <c r="Y73" i="7"/>
  <c r="AE115" i="7"/>
  <c r="AD400" i="7"/>
  <c r="AD27" i="16"/>
  <c r="AD144" i="7"/>
  <c r="Y144" i="7"/>
  <c r="Y59" i="7"/>
  <c r="Z210" i="7"/>
  <c r="AD210" i="7"/>
  <c r="Y65" i="7"/>
  <c r="AE407" i="7"/>
  <c r="AE518" i="7"/>
  <c r="Z28" i="16"/>
  <c r="Y48" i="16"/>
  <c r="AE464" i="7"/>
  <c r="AE254" i="7"/>
  <c r="AE510" i="7"/>
  <c r="AE482" i="7"/>
  <c r="BP242" i="7"/>
  <c r="BP47" i="16"/>
  <c r="BP40" i="16"/>
  <c r="AJ28" i="16"/>
  <c r="AK5" i="16"/>
  <c r="AP8" i="16"/>
  <c r="AQ8" i="16" s="1"/>
  <c r="AR8" i="16" s="1"/>
  <c r="AU8" i="16" s="1"/>
  <c r="AP546" i="7"/>
  <c r="AQ546" i="7" s="1"/>
  <c r="AS546" i="7" s="1"/>
  <c r="AK491" i="7"/>
  <c r="AJ469" i="7"/>
  <c r="AL469" i="7" s="1"/>
  <c r="AN469" i="7" s="1"/>
  <c r="AJ407" i="7"/>
  <c r="AK407" i="7"/>
  <c r="AJ488" i="7"/>
  <c r="AK488" i="7"/>
  <c r="AJ402" i="7"/>
  <c r="AK402" i="7"/>
  <c r="AP225" i="7"/>
  <c r="AQ225" i="7" s="1"/>
  <c r="AS225" i="7" s="1"/>
  <c r="AU225" i="7" s="1"/>
  <c r="AJ225" i="7"/>
  <c r="AL225" i="7" s="1"/>
  <c r="AN225" i="7" s="1"/>
  <c r="AK413" i="7"/>
  <c r="AJ413" i="7"/>
  <c r="AJ374" i="7"/>
  <c r="AL374" i="7" s="1"/>
  <c r="AN374" i="7" s="1"/>
  <c r="AP374" i="7"/>
  <c r="AQ374" i="7" s="1"/>
  <c r="AS374" i="7" s="1"/>
  <c r="AU374" i="7" s="1"/>
  <c r="AP294" i="7"/>
  <c r="AQ294" i="7" s="1"/>
  <c r="AS294" i="7" s="1"/>
  <c r="AU294" i="7" s="1"/>
  <c r="AJ294" i="7"/>
  <c r="AK145" i="7"/>
  <c r="AL145" i="7" s="1"/>
  <c r="AN145" i="7" s="1"/>
  <c r="AP145" i="7"/>
  <c r="AQ145" i="7" s="1"/>
  <c r="AS145" i="7" s="1"/>
  <c r="AU145" i="7" s="1"/>
  <c r="AP31" i="7"/>
  <c r="AQ31" i="7" s="1"/>
  <c r="AS31" i="7" s="1"/>
  <c r="AK31" i="7"/>
  <c r="AP340" i="7"/>
  <c r="AQ340" i="7" s="1"/>
  <c r="AS340" i="7" s="1"/>
  <c r="AU340" i="7" s="1"/>
  <c r="AK340" i="7"/>
  <c r="AJ328" i="7"/>
  <c r="AK328" i="7"/>
  <c r="AP560" i="7"/>
  <c r="AQ560" i="7" s="1"/>
  <c r="AS560" i="7" s="1"/>
  <c r="AU560" i="7" s="1"/>
  <c r="AP212" i="7"/>
  <c r="AQ212" i="7" s="1"/>
  <c r="AS212" i="7" s="1"/>
  <c r="AJ513" i="7"/>
  <c r="AU515" i="7"/>
  <c r="BP270" i="7"/>
  <c r="AP338" i="7"/>
  <c r="AQ338" i="7" s="1"/>
  <c r="AS338" i="7" s="1"/>
  <c r="AK338" i="7"/>
  <c r="AP417" i="7"/>
  <c r="AQ417" i="7" s="1"/>
  <c r="AS417" i="7" s="1"/>
  <c r="AU417" i="7" s="1"/>
  <c r="AK417" i="7"/>
  <c r="AP293" i="7"/>
  <c r="AQ293" i="7" s="1"/>
  <c r="AS293" i="7" s="1"/>
  <c r="AU293" i="7" s="1"/>
  <c r="AK293" i="7"/>
  <c r="AJ566" i="7"/>
  <c r="AK566" i="7"/>
  <c r="AP205" i="7"/>
  <c r="AQ205" i="7" s="1"/>
  <c r="AS205" i="7" s="1"/>
  <c r="AU205" i="7" s="1"/>
  <c r="AJ205" i="7"/>
  <c r="AJ357" i="7"/>
  <c r="AK357" i="7"/>
  <c r="AJ559" i="7"/>
  <c r="AP559" i="7"/>
  <c r="AQ559" i="7" s="1"/>
  <c r="AS559" i="7" s="1"/>
  <c r="AK13" i="7"/>
  <c r="AL13" i="7" s="1"/>
  <c r="AN13" i="7" s="1"/>
  <c r="AP13" i="7"/>
  <c r="AQ13" i="7" s="1"/>
  <c r="AS13" i="7" s="1"/>
  <c r="AU13" i="7" s="1"/>
  <c r="AK355" i="7"/>
  <c r="AL355" i="7" s="1"/>
  <c r="AN355" i="7" s="1"/>
  <c r="AP355" i="7"/>
  <c r="AQ355" i="7" s="1"/>
  <c r="AS355" i="7" s="1"/>
  <c r="AU355" i="7" s="1"/>
  <c r="AK91" i="7"/>
  <c r="AL91" i="7" s="1"/>
  <c r="AN91" i="7" s="1"/>
  <c r="AP91" i="7"/>
  <c r="AQ91" i="7" s="1"/>
  <c r="AS91" i="7" s="1"/>
  <c r="AU91" i="7" s="1"/>
  <c r="AP447" i="7"/>
  <c r="AQ447" i="7" s="1"/>
  <c r="AS447" i="7" s="1"/>
  <c r="AU447" i="7" s="1"/>
  <c r="AK447" i="7"/>
  <c r="AJ447" i="7"/>
  <c r="AP387" i="7"/>
  <c r="AQ387" i="7" s="1"/>
  <c r="AS387" i="7" s="1"/>
  <c r="AU387" i="7" s="1"/>
  <c r="AJ387" i="7"/>
  <c r="AL387" i="7" s="1"/>
  <c r="AN387" i="7" s="1"/>
  <c r="AO387" i="7" s="1"/>
  <c r="AP132" i="7"/>
  <c r="AQ132" i="7" s="1"/>
  <c r="AS132" i="7" s="1"/>
  <c r="AU132" i="7" s="1"/>
  <c r="AK132" i="7"/>
  <c r="AL132" i="7" s="1"/>
  <c r="AN132" i="7" s="1"/>
  <c r="AK230" i="7"/>
  <c r="AL230" i="7" s="1"/>
  <c r="AN230" i="7" s="1"/>
  <c r="AP230" i="7"/>
  <c r="AQ230" i="7" s="1"/>
  <c r="AS230" i="7" s="1"/>
  <c r="AU230" i="7" s="1"/>
  <c r="AJ116" i="7"/>
  <c r="AK116" i="7"/>
  <c r="AP116" i="7"/>
  <c r="AQ116" i="7" s="1"/>
  <c r="AS116" i="7" s="1"/>
  <c r="AU116" i="7" s="1"/>
  <c r="AJ573" i="7"/>
  <c r="AL573" i="7" s="1"/>
  <c r="AN573" i="7" s="1"/>
  <c r="AP573" i="7"/>
  <c r="AQ573" i="7" s="1"/>
  <c r="AS573" i="7" s="1"/>
  <c r="AK265" i="7"/>
  <c r="AL265" i="7" s="1"/>
  <c r="AN265" i="7" s="1"/>
  <c r="AP265" i="7"/>
  <c r="AQ265" i="7" s="1"/>
  <c r="AS265" i="7" s="1"/>
  <c r="AK427" i="7"/>
  <c r="AL427" i="7" s="1"/>
  <c r="AN427" i="7" s="1"/>
  <c r="AO427" i="7" s="1"/>
  <c r="AP427" i="7"/>
  <c r="AQ427" i="7" s="1"/>
  <c r="AK202" i="7"/>
  <c r="AJ202" i="7"/>
  <c r="AK207" i="7"/>
  <c r="AJ207" i="7"/>
  <c r="AP429" i="7"/>
  <c r="AQ429" i="7" s="1"/>
  <c r="AS429" i="7" s="1"/>
  <c r="AU429" i="7" s="1"/>
  <c r="AK429" i="7"/>
  <c r="AJ572" i="7"/>
  <c r="AJ21" i="16"/>
  <c r="AK463" i="7"/>
  <c r="AL463" i="7" s="1"/>
  <c r="AN463" i="7" s="1"/>
  <c r="AK416" i="7"/>
  <c r="AL416" i="7" s="1"/>
  <c r="AN416" i="7" s="1"/>
  <c r="AJ38" i="16"/>
  <c r="AK23" i="16"/>
  <c r="AL23" i="16" s="1"/>
  <c r="AN23" i="16" s="1"/>
  <c r="AP426" i="7"/>
  <c r="AQ426" i="7" s="1"/>
  <c r="AS426" i="7" s="1"/>
  <c r="AU426" i="7" s="1"/>
  <c r="AP141" i="7"/>
  <c r="AQ141" i="7" s="1"/>
  <c r="AS141" i="7" s="1"/>
  <c r="AU141" i="7" s="1"/>
  <c r="AP520" i="7"/>
  <c r="AQ520" i="7" s="1"/>
  <c r="AS520" i="7" s="1"/>
  <c r="AU520" i="7" s="1"/>
  <c r="AK520" i="7"/>
  <c r="AP81" i="7"/>
  <c r="AQ81" i="7" s="1"/>
  <c r="AS81" i="7" s="1"/>
  <c r="AU81" i="7" s="1"/>
  <c r="AK81" i="7"/>
  <c r="AJ81" i="7"/>
  <c r="AJ511" i="7"/>
  <c r="AK511" i="7"/>
  <c r="AK458" i="7"/>
  <c r="AP458" i="7"/>
  <c r="AQ458" i="7" s="1"/>
  <c r="AS458" i="7" s="1"/>
  <c r="AU458" i="7" s="1"/>
  <c r="AP382" i="7"/>
  <c r="AQ382" i="7" s="1"/>
  <c r="AS382" i="7" s="1"/>
  <c r="AU382" i="7" s="1"/>
  <c r="AK382" i="7"/>
  <c r="AJ382" i="7"/>
  <c r="AP33" i="7"/>
  <c r="AQ33" i="7" s="1"/>
  <c r="AS33" i="7" s="1"/>
  <c r="AU33" i="7" s="1"/>
  <c r="AJ33" i="7"/>
  <c r="AL33" i="7" s="1"/>
  <c r="AN33" i="7" s="1"/>
  <c r="AJ520" i="7"/>
  <c r="AP229" i="7"/>
  <c r="AQ229" i="7" s="1"/>
  <c r="AS229" i="7" s="1"/>
  <c r="AU229" i="7" s="1"/>
  <c r="AP379" i="7"/>
  <c r="AQ379" i="7" s="1"/>
  <c r="AS379" i="7" s="1"/>
  <c r="AP532" i="7"/>
  <c r="AQ532" i="7" s="1"/>
  <c r="AS532" i="7" s="1"/>
  <c r="AU532" i="7" s="1"/>
  <c r="AK361" i="7"/>
  <c r="AP469" i="7"/>
  <c r="AQ469" i="7" s="1"/>
  <c r="AS469" i="7" s="1"/>
  <c r="AU469" i="7" s="1"/>
  <c r="AJ238" i="7"/>
  <c r="AL238" i="7" s="1"/>
  <c r="AN238" i="7" s="1"/>
  <c r="AU217" i="7"/>
  <c r="AU57" i="7"/>
  <c r="AJ218" i="7"/>
  <c r="AL218" i="7" s="1"/>
  <c r="AN218" i="7" s="1"/>
  <c r="AJ379" i="7"/>
  <c r="AL379" i="7" s="1"/>
  <c r="AN379" i="7" s="1"/>
  <c r="AO379" i="7" s="1"/>
  <c r="AK446" i="7"/>
  <c r="AK322" i="7"/>
  <c r="AJ527" i="7"/>
  <c r="AK391" i="7"/>
  <c r="AJ101" i="7"/>
  <c r="AL101" i="7" s="1"/>
  <c r="AN101" i="7" s="1"/>
  <c r="AP101" i="7"/>
  <c r="AQ101" i="7" s="1"/>
  <c r="AS101" i="7" s="1"/>
  <c r="AU101" i="7" s="1"/>
  <c r="AJ31" i="7"/>
  <c r="AK295" i="7"/>
  <c r="AP295" i="7"/>
  <c r="AQ295" i="7" s="1"/>
  <c r="AS295" i="7" s="1"/>
  <c r="AP136" i="7"/>
  <c r="AQ136" i="7" s="1"/>
  <c r="AS136" i="7" s="1"/>
  <c r="AU136" i="7" s="1"/>
  <c r="AK136" i="7"/>
  <c r="AL136" i="7" s="1"/>
  <c r="AN136" i="7" s="1"/>
  <c r="AJ551" i="7"/>
  <c r="AK551" i="7"/>
  <c r="AK501" i="7"/>
  <c r="AJ501" i="7"/>
  <c r="AJ69" i="7"/>
  <c r="AL69" i="7" s="1"/>
  <c r="AN69" i="7" s="1"/>
  <c r="AP69" i="7"/>
  <c r="AQ69" i="7" s="1"/>
  <c r="AS69" i="7" s="1"/>
  <c r="AU69" i="7" s="1"/>
  <c r="AK53" i="7"/>
  <c r="AL53" i="7" s="1"/>
  <c r="AN53" i="7" s="1"/>
  <c r="AP53" i="7"/>
  <c r="AQ53" i="7" s="1"/>
  <c r="AS53" i="7" s="1"/>
  <c r="AU53" i="7" s="1"/>
  <c r="BP12" i="16"/>
  <c r="BP14" i="16"/>
  <c r="AJ266" i="7"/>
  <c r="AK266" i="7"/>
  <c r="BP24" i="16"/>
  <c r="AK200" i="7"/>
  <c r="AJ200" i="7"/>
  <c r="AK377" i="7"/>
  <c r="AP377" i="7"/>
  <c r="AQ377" i="7" s="1"/>
  <c r="AS377" i="7" s="1"/>
  <c r="AU377" i="7" s="1"/>
  <c r="AJ445" i="7"/>
  <c r="AK445" i="7"/>
  <c r="AJ322" i="7"/>
  <c r="AJ356" i="7"/>
  <c r="AL356" i="7" s="1"/>
  <c r="AN356" i="7" s="1"/>
  <c r="AO356" i="7" s="1"/>
  <c r="AK337" i="7"/>
  <c r="AP238" i="7"/>
  <c r="AQ238" i="7" s="1"/>
  <c r="AS238" i="7" s="1"/>
  <c r="AJ340" i="7"/>
  <c r="AJ487" i="7"/>
  <c r="AJ117" i="7"/>
  <c r="AP346" i="7"/>
  <c r="AQ346" i="7" s="1"/>
  <c r="AS346" i="7" s="1"/>
  <c r="AU346" i="7" s="1"/>
  <c r="AK85" i="7"/>
  <c r="AJ9" i="7"/>
  <c r="AU48" i="7"/>
  <c r="BP176" i="7"/>
  <c r="BP313" i="7"/>
  <c r="BP528" i="7"/>
  <c r="BP56" i="7"/>
  <c r="BP105" i="7"/>
  <c r="BP320" i="7"/>
  <c r="BP16" i="7"/>
  <c r="BP502" i="7"/>
  <c r="BP297" i="7"/>
  <c r="BP428" i="7"/>
  <c r="BP124" i="7"/>
  <c r="BP44" i="7"/>
  <c r="BP281" i="7"/>
  <c r="BP28" i="7"/>
  <c r="BP151" i="7"/>
  <c r="BP516" i="7"/>
  <c r="BP20" i="7"/>
  <c r="BP552" i="7"/>
  <c r="U79" i="6"/>
  <c r="AI79" i="6"/>
  <c r="AJ79" i="6" s="1"/>
  <c r="BP432" i="7"/>
  <c r="BP222" i="7"/>
  <c r="BP436" i="7"/>
  <c r="AP564" i="7"/>
  <c r="AQ564" i="7" s="1"/>
  <c r="AS564" i="7" s="1"/>
  <c r="AU564" i="7" s="1"/>
  <c r="AK564" i="7"/>
  <c r="AL564" i="7" s="1"/>
  <c r="AN564" i="7" s="1"/>
  <c r="BP35" i="16"/>
  <c r="BP300" i="7"/>
  <c r="BP71" i="7"/>
  <c r="BP24" i="7"/>
  <c r="BP359" i="7"/>
  <c r="BP306" i="7"/>
  <c r="BP5" i="16"/>
  <c r="BP157" i="7"/>
  <c r="BP512" i="7"/>
  <c r="BP11" i="7"/>
  <c r="BP357" i="7"/>
  <c r="BP418" i="7"/>
  <c r="BP140" i="7"/>
  <c r="BP453" i="7"/>
  <c r="BP9" i="16"/>
  <c r="BP448" i="7"/>
  <c r="BP147" i="7"/>
  <c r="BP311" i="7"/>
  <c r="BP463" i="7"/>
  <c r="BP519" i="7"/>
  <c r="BP352" i="7"/>
  <c r="U41" i="6"/>
  <c r="AI41" i="6"/>
  <c r="AP348" i="7"/>
  <c r="AQ348" i="7" s="1"/>
  <c r="AS348" i="7" s="1"/>
  <c r="AU348" i="7" s="1"/>
  <c r="AJ348" i="7"/>
  <c r="BP467" i="7"/>
  <c r="AK156" i="7"/>
  <c r="BP449" i="7"/>
  <c r="BP186" i="7"/>
  <c r="BP96" i="7"/>
  <c r="BP293" i="7"/>
  <c r="BP226" i="7"/>
  <c r="BP451" i="7"/>
  <c r="BP496" i="7"/>
  <c r="BP429" i="7"/>
  <c r="BP536" i="7"/>
  <c r="BP422" i="7"/>
  <c r="BP184" i="7"/>
  <c r="BP437" i="7"/>
  <c r="BP68" i="7"/>
  <c r="BP312" i="7"/>
  <c r="BP137" i="7"/>
  <c r="BP492" i="7"/>
  <c r="BP63" i="7"/>
  <c r="BP493" i="7"/>
  <c r="BP27" i="7"/>
  <c r="BP258" i="7"/>
  <c r="BP524" i="7"/>
  <c r="BP142" i="7"/>
  <c r="BP476" i="7"/>
  <c r="BP179" i="7"/>
  <c r="BP342" i="7"/>
  <c r="BP255" i="7"/>
  <c r="BP406" i="7"/>
  <c r="BP495" i="7"/>
  <c r="BP482" i="7"/>
  <c r="BP267" i="7"/>
  <c r="BP8" i="7"/>
  <c r="BP414" i="7"/>
  <c r="BP486" i="7"/>
  <c r="BP535" i="7"/>
  <c r="BP187" i="7"/>
  <c r="BP132" i="7"/>
  <c r="BP224" i="7"/>
  <c r="BP21" i="7"/>
  <c r="BP275" i="7"/>
  <c r="BP383" i="7"/>
  <c r="BP402" i="7"/>
  <c r="BP333" i="7"/>
  <c r="BP531" i="7"/>
  <c r="BP204" i="7"/>
  <c r="BP471" i="7"/>
  <c r="BP125" i="7"/>
  <c r="AI87" i="6"/>
  <c r="BP372" i="7"/>
  <c r="BP510" i="7"/>
  <c r="BP409" i="7"/>
  <c r="BP324" i="7"/>
  <c r="BP426" i="7"/>
  <c r="BP97" i="7"/>
  <c r="BP458" i="7"/>
  <c r="BP365" i="7"/>
  <c r="BP468" i="7"/>
  <c r="BP15" i="16"/>
  <c r="BP6" i="16"/>
  <c r="BP542" i="7"/>
  <c r="AI115" i="6"/>
  <c r="AJ115" i="6" s="1"/>
  <c r="BP10" i="16"/>
  <c r="AI75" i="6"/>
  <c r="AJ75" i="6" s="1"/>
  <c r="AL460" i="7"/>
  <c r="AN460" i="7" s="1"/>
  <c r="AO460" i="7" s="1"/>
  <c r="BP111" i="7"/>
  <c r="BP229" i="7"/>
  <c r="BP532" i="7"/>
  <c r="BP551" i="7"/>
  <c r="BP139" i="7"/>
  <c r="BP58" i="7"/>
  <c r="BP378" i="7"/>
  <c r="BP78" i="7"/>
  <c r="BP53" i="7"/>
  <c r="BP385" i="7"/>
  <c r="BP172" i="7"/>
  <c r="BP67" i="7"/>
  <c r="BP444" i="7"/>
  <c r="BP393" i="7"/>
  <c r="BP404" i="7"/>
  <c r="BP127" i="7"/>
  <c r="BP390" i="7"/>
  <c r="BP83" i="7"/>
  <c r="BP261" i="7"/>
  <c r="BP214" i="7"/>
  <c r="BP370" i="7"/>
  <c r="BP14" i="7"/>
  <c r="BP538" i="7"/>
  <c r="BP325" i="7"/>
  <c r="BP212" i="7"/>
  <c r="BP339" i="7"/>
  <c r="BP141" i="7"/>
  <c r="BP227" i="7"/>
  <c r="BP108" i="7"/>
  <c r="BP340" i="7"/>
  <c r="BP364" i="7"/>
  <c r="BP262" i="7"/>
  <c r="BP116" i="7"/>
  <c r="BP17" i="16"/>
  <c r="BP156" i="7"/>
  <c r="BP483" i="7"/>
  <c r="BP198" i="7"/>
  <c r="BP473" i="7"/>
  <c r="BP460" i="7"/>
  <c r="BP447" i="7"/>
  <c r="BP506" i="7"/>
  <c r="BP295" i="7"/>
  <c r="BP264" i="7"/>
  <c r="BP498" i="7"/>
  <c r="BP290" i="7"/>
  <c r="BP189" i="7"/>
  <c r="BP328" i="7"/>
  <c r="BP100" i="7"/>
  <c r="BP465" i="7"/>
  <c r="BP461" i="7"/>
  <c r="BP160" i="7"/>
  <c r="BP323" i="7"/>
  <c r="BP501" i="7"/>
  <c r="BP194" i="7"/>
  <c r="BP253" i="7"/>
  <c r="BP353" i="7"/>
  <c r="BP287" i="7"/>
  <c r="BP348" i="7"/>
  <c r="BP488" i="7"/>
  <c r="BP150" i="7"/>
  <c r="BP420" i="7"/>
  <c r="BP11" i="16"/>
  <c r="BP39" i="16"/>
  <c r="BP490" i="7"/>
  <c r="BP163" i="7"/>
  <c r="BP269" i="7"/>
  <c r="BP236" i="7"/>
  <c r="BP459" i="7"/>
  <c r="BP350" i="7"/>
  <c r="BP540" i="7"/>
  <c r="BP31" i="16"/>
  <c r="BP247" i="7"/>
  <c r="BP30" i="16"/>
  <c r="BP366" i="7"/>
  <c r="BP200" i="7"/>
  <c r="BP241" i="7"/>
  <c r="BP374" i="7"/>
  <c r="BP489" i="7"/>
  <c r="BP266" i="7"/>
  <c r="BP571" i="7"/>
  <c r="BP530" i="7"/>
  <c r="BP377" i="7"/>
  <c r="BP62" i="7"/>
  <c r="BP347" i="7"/>
  <c r="BP413" i="7"/>
  <c r="BP102" i="7"/>
  <c r="BP233" i="7"/>
  <c r="BP145" i="7"/>
  <c r="BP41" i="7"/>
  <c r="BP280" i="7"/>
  <c r="BP48" i="7"/>
  <c r="BP533" i="7"/>
  <c r="BP257" i="7"/>
  <c r="BP190" i="7"/>
  <c r="BP419" i="7"/>
  <c r="BP182" i="7"/>
  <c r="BP60" i="7"/>
  <c r="BP130" i="7"/>
  <c r="BP166" i="7"/>
  <c r="BP397" i="7"/>
  <c r="BP411" i="7"/>
  <c r="BP570" i="7"/>
  <c r="BP223" i="7"/>
  <c r="BP475" i="7"/>
  <c r="BP38" i="16"/>
  <c r="BP441" i="7"/>
  <c r="BP310" i="7"/>
  <c r="BP98" i="7"/>
  <c r="BP466" i="7"/>
  <c r="BP395" i="7"/>
  <c r="BP511" i="7"/>
  <c r="BP327" i="7"/>
  <c r="BP171" i="7"/>
  <c r="BP480" i="7"/>
  <c r="BP427" i="7"/>
  <c r="BP181" i="7"/>
  <c r="BP206" i="7"/>
  <c r="BP29" i="7"/>
  <c r="BP155" i="7"/>
  <c r="BP93" i="7"/>
  <c r="BP30" i="7"/>
  <c r="BP518" i="7"/>
  <c r="BP462" i="7"/>
  <c r="BP51" i="7"/>
  <c r="BP272" i="7"/>
  <c r="BP213" i="7"/>
  <c r="BP260" i="7"/>
  <c r="BP225" i="7"/>
  <c r="BP556" i="7"/>
  <c r="BP136" i="7"/>
  <c r="BP541" i="7"/>
  <c r="BP521" i="7"/>
  <c r="BP250" i="7"/>
  <c r="BP158" i="7"/>
  <c r="BP278" i="7"/>
  <c r="BP254" i="7"/>
  <c r="BP20" i="16"/>
  <c r="BP387" i="7"/>
  <c r="BP115" i="7"/>
  <c r="BP99" i="7"/>
  <c r="BP72" i="7"/>
  <c r="BP446" i="7"/>
  <c r="BP291" i="7"/>
  <c r="BP89" i="7"/>
  <c r="BP239" i="7"/>
  <c r="BP455" i="7"/>
  <c r="BP211" i="7"/>
  <c r="BP554" i="7"/>
  <c r="BP329" i="7"/>
  <c r="BP351" i="7"/>
  <c r="BP134" i="7"/>
  <c r="BP479" i="7"/>
  <c r="BP232" i="7"/>
  <c r="BP485" i="7"/>
  <c r="BP9" i="7"/>
  <c r="BP273" i="7"/>
  <c r="BP407" i="7"/>
  <c r="BP338" i="7"/>
  <c r="BP128" i="7"/>
  <c r="BP13" i="16"/>
  <c r="BP188" i="7"/>
  <c r="BP146" i="7"/>
  <c r="BP400" i="7"/>
  <c r="BP112" i="7"/>
  <c r="BP302" i="7"/>
  <c r="BP36" i="7"/>
  <c r="BP25" i="7"/>
  <c r="BP296" i="7"/>
  <c r="BP497" i="7"/>
  <c r="BP417" i="7"/>
  <c r="BP131" i="7"/>
  <c r="BP384" i="7"/>
  <c r="BP88" i="7"/>
  <c r="BP203" i="7"/>
  <c r="BP362" i="7"/>
  <c r="BP317" i="7"/>
  <c r="BP344" i="7"/>
  <c r="BP332" i="7"/>
  <c r="BP219" i="7"/>
  <c r="BP64" i="7"/>
  <c r="BP73" i="7"/>
  <c r="BP517" i="7"/>
  <c r="BP399" i="7"/>
  <c r="BP41" i="16"/>
  <c r="BP23" i="16"/>
  <c r="BP477" i="7"/>
  <c r="BP343" i="7"/>
  <c r="BP230" i="7"/>
  <c r="BP251" i="7"/>
  <c r="BP274" i="7"/>
  <c r="BP133" i="7"/>
  <c r="BP363" i="7"/>
  <c r="BP28" i="16"/>
  <c r="BP346" i="7"/>
  <c r="BP245" i="7"/>
  <c r="BP173" i="7"/>
  <c r="BP169" i="7"/>
  <c r="BP544" i="7"/>
  <c r="BP520" i="7"/>
  <c r="BP119" i="7"/>
  <c r="BP123" i="7"/>
  <c r="BP4" i="16"/>
  <c r="BP361" i="7"/>
  <c r="BP46" i="7"/>
  <c r="BP294" i="7"/>
  <c r="BP299" i="7"/>
  <c r="BP305" i="7"/>
  <c r="BP82" i="7"/>
  <c r="BP35" i="7"/>
  <c r="BP375" i="7"/>
  <c r="BP371" i="7"/>
  <c r="BP10" i="7"/>
  <c r="BP91" i="7"/>
  <c r="BP235" i="7"/>
  <c r="BP547" i="7"/>
  <c r="BP26" i="7"/>
  <c r="BP43" i="7"/>
  <c r="BP43" i="16"/>
  <c r="BP248" i="7"/>
  <c r="BP555" i="7"/>
  <c r="BP550" i="7"/>
  <c r="BP529" i="7"/>
  <c r="BP345" i="7"/>
  <c r="BP162" i="7"/>
  <c r="BP101" i="7"/>
  <c r="BP113" i="7"/>
  <c r="BP121" i="7"/>
  <c r="BP40" i="7"/>
  <c r="BP120" i="7"/>
  <c r="BP256" i="7"/>
  <c r="BP308" i="7"/>
  <c r="BP191" i="7"/>
  <c r="BP195" i="7"/>
  <c r="BP403" i="7"/>
  <c r="BP566" i="7"/>
  <c r="BP410" i="7"/>
  <c r="BP196" i="7"/>
  <c r="BP94" i="7"/>
  <c r="BP391" i="7"/>
  <c r="BP356" i="7"/>
  <c r="BP234" i="7"/>
  <c r="BP168" i="7"/>
  <c r="BP481" i="7"/>
  <c r="BP152" i="7"/>
  <c r="BP504" i="7"/>
  <c r="BP416" i="7"/>
  <c r="BP412" i="7"/>
  <c r="BP34" i="16"/>
  <c r="BP42" i="16"/>
  <c r="BP193" i="7"/>
  <c r="BP394" i="7"/>
  <c r="BP398" i="7"/>
  <c r="BP33" i="7"/>
  <c r="BP22" i="7"/>
  <c r="BP38" i="7"/>
  <c r="BP543" i="7"/>
  <c r="BP80" i="7"/>
  <c r="BP149" i="7"/>
  <c r="BP341" i="7"/>
  <c r="BP143" i="7"/>
  <c r="BP392" i="7"/>
  <c r="BP129" i="7"/>
  <c r="BP221" i="7"/>
  <c r="BP66" i="7"/>
  <c r="BP456" i="7"/>
  <c r="BP84" i="7"/>
  <c r="BP309" i="7"/>
  <c r="BP33" i="16"/>
  <c r="BP47" i="7"/>
  <c r="BP48" i="16"/>
  <c r="BP388" i="7"/>
  <c r="BP4" i="7"/>
  <c r="BP534" i="7"/>
  <c r="BP208" i="7"/>
  <c r="BP109" i="7"/>
  <c r="BP19" i="7"/>
  <c r="BP92" i="7"/>
  <c r="BP122" i="7"/>
  <c r="BP513" i="7"/>
  <c r="BP415" i="7"/>
  <c r="BP276" i="7"/>
  <c r="BP249" i="7"/>
  <c r="BP277" i="7"/>
  <c r="BP454" i="7"/>
  <c r="BP220" i="7"/>
  <c r="BP42" i="7"/>
  <c r="BP148" i="7"/>
  <c r="BP445" i="7"/>
  <c r="BP304" i="7"/>
  <c r="BP559" i="7"/>
  <c r="BP440" i="7"/>
  <c r="BP330" i="7"/>
  <c r="BP135" i="7"/>
  <c r="BP424" i="7"/>
  <c r="BP199" i="7"/>
  <c r="BP561" i="7"/>
  <c r="BP319" i="7"/>
  <c r="BP228" i="7"/>
  <c r="BP34" i="7"/>
  <c r="BP18" i="16"/>
  <c r="BP379" i="7"/>
  <c r="BP22" i="16"/>
  <c r="BP27" i="16"/>
  <c r="BP450" i="7"/>
  <c r="BP18" i="7"/>
  <c r="BP358" i="7"/>
  <c r="BP487" i="7"/>
  <c r="BP469" i="7"/>
  <c r="BP246" i="7"/>
  <c r="BP438" i="7"/>
  <c r="BP557" i="7"/>
  <c r="BP49" i="7"/>
  <c r="BP509" i="7"/>
  <c r="BP284" i="7"/>
  <c r="BP396" i="7"/>
  <c r="BP560" i="7"/>
  <c r="BP201" i="7"/>
  <c r="BP74" i="7"/>
  <c r="BP54" i="7"/>
  <c r="BP283" i="7"/>
  <c r="BP7" i="7"/>
  <c r="BP569" i="7"/>
  <c r="BP55" i="7"/>
  <c r="BP15" i="7"/>
  <c r="BP500" i="7"/>
  <c r="BP37" i="7"/>
  <c r="BP443" i="7"/>
  <c r="BP103" i="7"/>
  <c r="BP321" i="7"/>
  <c r="BP430" i="7"/>
  <c r="BP401" i="7"/>
  <c r="BP110" i="7"/>
  <c r="BP523" i="7"/>
  <c r="BP23" i="7"/>
  <c r="BP335" i="7"/>
  <c r="BP563" i="7"/>
  <c r="BP349" i="7"/>
  <c r="BP285" i="7"/>
  <c r="BP154" i="7"/>
  <c r="BP282" i="7"/>
  <c r="BP167" i="7"/>
  <c r="BP355" i="7"/>
  <c r="BP263" i="7"/>
  <c r="BP52" i="7"/>
  <c r="BP216" i="7"/>
  <c r="BP117" i="7"/>
  <c r="BP75" i="7"/>
  <c r="BP567" i="7"/>
  <c r="BP301" i="7"/>
  <c r="BP144" i="7"/>
  <c r="BP288" i="7"/>
  <c r="BP298" i="7"/>
  <c r="BP104" i="7"/>
  <c r="BP562" i="7"/>
  <c r="BP161" i="7"/>
  <c r="BP286" i="7"/>
  <c r="BP464" i="7"/>
  <c r="BP546" i="7"/>
  <c r="BP564" i="7"/>
  <c r="BP572" i="7"/>
  <c r="BP405" i="7"/>
  <c r="BP434" i="7"/>
  <c r="BP177" i="7"/>
  <c r="BP7" i="16"/>
  <c r="BP494" i="7"/>
  <c r="BP44" i="16"/>
  <c r="BP315" i="7"/>
  <c r="BP252" i="7"/>
  <c r="BP537" i="7"/>
  <c r="BP423" i="7"/>
  <c r="BP197" i="7"/>
  <c r="BP85" i="7"/>
  <c r="BP12" i="7"/>
  <c r="BP240" i="7"/>
  <c r="BP539" i="7"/>
  <c r="BP457" i="7"/>
  <c r="BP106" i="7"/>
  <c r="BP243" i="7"/>
  <c r="BP210" i="7"/>
  <c r="BP548" i="7"/>
  <c r="BP525" i="7"/>
  <c r="BP382" i="7"/>
  <c r="BP209" i="7"/>
  <c r="BP5" i="7"/>
  <c r="BP439" i="7"/>
  <c r="BP238" i="7"/>
  <c r="BP6" i="7"/>
  <c r="BP59" i="7"/>
  <c r="BP336" i="7"/>
  <c r="BP65" i="7"/>
  <c r="BP303" i="7"/>
  <c r="BP484" i="7"/>
  <c r="BP192" i="7"/>
  <c r="BP165" i="7"/>
  <c r="BP164" i="7"/>
  <c r="BP318" i="7"/>
  <c r="BP408" i="7"/>
  <c r="BP360" i="7"/>
  <c r="BP32" i="7"/>
  <c r="BP508" i="7"/>
  <c r="BP314" i="7"/>
  <c r="BP45" i="7"/>
  <c r="BP81" i="7"/>
  <c r="BP50" i="7"/>
  <c r="BP17" i="7"/>
  <c r="BP549" i="7"/>
  <c r="BP87" i="7"/>
  <c r="BP421" i="7"/>
  <c r="BP368" i="7"/>
  <c r="BP95" i="7"/>
  <c r="BP205" i="7"/>
  <c r="BP474" i="7"/>
  <c r="BP26" i="16"/>
  <c r="BP46" i="16"/>
  <c r="BP77" i="7"/>
  <c r="BP515" i="7"/>
  <c r="BP237" i="7"/>
  <c r="BP126" i="7"/>
  <c r="BP522" i="7"/>
  <c r="BP70" i="7"/>
  <c r="BP37" i="16"/>
  <c r="BP13" i="7"/>
  <c r="BP478" i="7"/>
  <c r="BP107" i="7"/>
  <c r="BP435" i="7"/>
  <c r="BP31" i="7"/>
  <c r="BP322" i="7"/>
  <c r="BP470" i="7"/>
  <c r="BP507" i="7"/>
  <c r="BP271" i="7"/>
  <c r="BP499" i="7"/>
  <c r="BP505" i="7"/>
  <c r="BP331" i="7"/>
  <c r="BP334" i="7"/>
  <c r="BP545" i="7"/>
  <c r="BP39" i="7"/>
  <c r="BP573" i="7"/>
  <c r="BP292" i="7"/>
  <c r="BP138" i="7"/>
  <c r="BP231" i="7"/>
  <c r="BP76" i="7"/>
  <c r="BP514" i="7"/>
  <c r="BP218" i="7"/>
  <c r="BP425" i="7"/>
  <c r="BP202" i="7"/>
  <c r="BP183" i="7"/>
  <c r="BP553" i="7"/>
  <c r="BP174" i="7"/>
  <c r="BP259" i="7"/>
  <c r="BP25" i="16"/>
  <c r="BP527" i="7"/>
  <c r="BP279" i="7"/>
  <c r="BP19" i="16"/>
  <c r="BP558" i="7"/>
  <c r="BP207" i="7"/>
  <c r="BP431" i="7"/>
  <c r="BP79" i="7"/>
  <c r="BP90" i="7"/>
  <c r="BP159" i="7"/>
  <c r="BP215" i="7"/>
  <c r="BP442" i="7"/>
  <c r="BP373" i="7"/>
  <c r="BP178" i="7"/>
  <c r="BP389" i="7"/>
  <c r="BP217" i="7"/>
  <c r="BP57" i="7"/>
  <c r="BP380" i="7"/>
  <c r="BP180" i="7"/>
  <c r="BP568" i="7"/>
  <c r="U108" i="6"/>
  <c r="AI108" i="6"/>
  <c r="AJ108" i="6" s="1"/>
  <c r="AI114" i="6"/>
  <c r="AJ114" i="6" s="1"/>
  <c r="AI103" i="6"/>
  <c r="BP55" i="6"/>
  <c r="U77" i="6"/>
  <c r="AI77" i="6"/>
  <c r="AJ77" i="6" s="1"/>
  <c r="U127" i="6"/>
  <c r="BP101" i="6"/>
  <c r="U52" i="6"/>
  <c r="AI52" i="6"/>
  <c r="AJ52" i="6" s="1"/>
  <c r="U78" i="6"/>
  <c r="AI78" i="6"/>
  <c r="AJ78" i="6" s="1"/>
  <c r="BP44" i="6"/>
  <c r="AJ34" i="6"/>
  <c r="AK34" i="6"/>
  <c r="BP67" i="6"/>
  <c r="AD26" i="6"/>
  <c r="AD12" i="6"/>
  <c r="Y11" i="6"/>
  <c r="AI105" i="6"/>
  <c r="AP8" i="7"/>
  <c r="AQ8" i="7" s="1"/>
  <c r="AS8" i="7" s="1"/>
  <c r="AU8" i="7" s="1"/>
  <c r="AJ8" i="7"/>
  <c r="AP228" i="7"/>
  <c r="AQ228" i="7" s="1"/>
  <c r="AS228" i="7" s="1"/>
  <c r="AU228" i="7" s="1"/>
  <c r="AK228" i="7"/>
  <c r="AP472" i="7"/>
  <c r="AQ472" i="7" s="1"/>
  <c r="AS472" i="7" s="1"/>
  <c r="AU472" i="7" s="1"/>
  <c r="AJ472" i="7"/>
  <c r="AJ12" i="7"/>
  <c r="AP12" i="7"/>
  <c r="AQ12" i="7" s="1"/>
  <c r="AS12" i="7" s="1"/>
  <c r="AU12" i="7" s="1"/>
  <c r="AJ541" i="7"/>
  <c r="AK541" i="7"/>
  <c r="AP386" i="7"/>
  <c r="AQ386" i="7" s="1"/>
  <c r="AS386" i="7" s="1"/>
  <c r="AU386" i="7" s="1"/>
  <c r="AJ386" i="7"/>
  <c r="AK515" i="7"/>
  <c r="AJ515" i="7"/>
  <c r="AK359" i="7"/>
  <c r="AJ359" i="7"/>
  <c r="AK372" i="7"/>
  <c r="AL372" i="7" s="1"/>
  <c r="AN372" i="7" s="1"/>
  <c r="AP372" i="7"/>
  <c r="AQ372" i="7" s="1"/>
  <c r="AS372" i="7" s="1"/>
  <c r="AU372" i="7" s="1"/>
  <c r="AJ273" i="7"/>
  <c r="AL273" i="7" s="1"/>
  <c r="AN273" i="7" s="1"/>
  <c r="AP273" i="7"/>
  <c r="AQ273" i="7" s="1"/>
  <c r="AS273" i="7" s="1"/>
  <c r="AU273" i="7" s="1"/>
  <c r="AP122" i="7"/>
  <c r="AQ122" i="7" s="1"/>
  <c r="AS122" i="7" s="1"/>
  <c r="AU122" i="7" s="1"/>
  <c r="AJ150" i="7"/>
  <c r="AP35" i="7"/>
  <c r="AQ35" i="7" s="1"/>
  <c r="AS35" i="7" s="1"/>
  <c r="AU35" i="7" s="1"/>
  <c r="AJ19" i="7"/>
  <c r="AL19" i="7" s="1"/>
  <c r="AN19" i="7" s="1"/>
  <c r="AJ11" i="7"/>
  <c r="AL11" i="7" s="1"/>
  <c r="AN11" i="7" s="1"/>
  <c r="AP78" i="7"/>
  <c r="AQ78" i="7" s="1"/>
  <c r="AS78" i="7" s="1"/>
  <c r="AU78" i="7" s="1"/>
  <c r="AK14" i="16"/>
  <c r="AJ48" i="7"/>
  <c r="AJ504" i="7"/>
  <c r="AL504" i="7" s="1"/>
  <c r="AN504" i="7" s="1"/>
  <c r="AK454" i="7"/>
  <c r="AL454" i="7" s="1"/>
  <c r="AN454" i="7" s="1"/>
  <c r="AP302" i="7"/>
  <c r="AQ302" i="7" s="1"/>
  <c r="AS302" i="7" s="1"/>
  <c r="AU302" i="7" s="1"/>
  <c r="AP470" i="7"/>
  <c r="AQ470" i="7" s="1"/>
  <c r="AS470" i="7" s="1"/>
  <c r="AU470" i="7" s="1"/>
  <c r="AK487" i="7"/>
  <c r="AP416" i="7"/>
  <c r="AQ416" i="7" s="1"/>
  <c r="AS416" i="7" s="1"/>
  <c r="AU416" i="7" s="1"/>
  <c r="AP82" i="7"/>
  <c r="AQ82" i="7" s="1"/>
  <c r="AS82" i="7" s="1"/>
  <c r="AU82" i="7" s="1"/>
  <c r="AP541" i="7"/>
  <c r="AQ541" i="7" s="1"/>
  <c r="AS541" i="7" s="1"/>
  <c r="AU541" i="7" s="1"/>
  <c r="AK456" i="7"/>
  <c r="AL456" i="7" s="1"/>
  <c r="AN456" i="7" s="1"/>
  <c r="AO456" i="7" s="1"/>
  <c r="AP456" i="7"/>
  <c r="AQ456" i="7" s="1"/>
  <c r="AS456" i="7" s="1"/>
  <c r="AU456" i="7" s="1"/>
  <c r="AK192" i="7"/>
  <c r="AJ192" i="7"/>
  <c r="AP192" i="7"/>
  <c r="AQ192" i="7" s="1"/>
  <c r="AS192" i="7" s="1"/>
  <c r="AU192" i="7" s="1"/>
  <c r="AP25" i="7"/>
  <c r="AQ25" i="7" s="1"/>
  <c r="AS25" i="7" s="1"/>
  <c r="AU25" i="7" s="1"/>
  <c r="AK25" i="7"/>
  <c r="AL25" i="7" s="1"/>
  <c r="AN25" i="7" s="1"/>
  <c r="AJ351" i="7"/>
  <c r="AP351" i="7"/>
  <c r="AQ351" i="7" s="1"/>
  <c r="AS351" i="7" s="1"/>
  <c r="AU351" i="7" s="1"/>
  <c r="AP286" i="7"/>
  <c r="AQ286" i="7" s="1"/>
  <c r="AS286" i="7" s="1"/>
  <c r="AU286" i="7" s="1"/>
  <c r="AJ286" i="7"/>
  <c r="AK286" i="7"/>
  <c r="AP124" i="7"/>
  <c r="AQ124" i="7" s="1"/>
  <c r="AS124" i="7" s="1"/>
  <c r="AU124" i="7" s="1"/>
  <c r="AJ124" i="7"/>
  <c r="AK124" i="7"/>
  <c r="AJ306" i="7"/>
  <c r="AK306" i="7"/>
  <c r="AP306" i="7"/>
  <c r="AQ306" i="7" s="1"/>
  <c r="AS306" i="7" s="1"/>
  <c r="AU306" i="7" s="1"/>
  <c r="AJ185" i="7"/>
  <c r="AK185" i="7"/>
  <c r="AP342" i="7"/>
  <c r="AQ342" i="7" s="1"/>
  <c r="AS342" i="7" s="1"/>
  <c r="AU342" i="7" s="1"/>
  <c r="AJ342" i="7"/>
  <c r="AP246" i="7"/>
  <c r="AQ246" i="7" s="1"/>
  <c r="AS246" i="7" s="1"/>
  <c r="AU246" i="7" s="1"/>
  <c r="AJ246" i="7"/>
  <c r="AK437" i="7"/>
  <c r="AP437" i="7"/>
  <c r="AQ437" i="7" s="1"/>
  <c r="AS437" i="7" s="1"/>
  <c r="AU437" i="7" s="1"/>
  <c r="AP526" i="7"/>
  <c r="AQ526" i="7" s="1"/>
  <c r="AS526" i="7" s="1"/>
  <c r="AU526" i="7" s="1"/>
  <c r="AK526" i="7"/>
  <c r="AK305" i="7"/>
  <c r="AJ305" i="7"/>
  <c r="AP305" i="7"/>
  <c r="AQ305" i="7" s="1"/>
  <c r="AS305" i="7" s="1"/>
  <c r="AU305" i="7" s="1"/>
  <c r="AP493" i="7"/>
  <c r="AQ493" i="7" s="1"/>
  <c r="AS493" i="7" s="1"/>
  <c r="AU493" i="7" s="1"/>
  <c r="AJ493" i="7"/>
  <c r="AK493" i="7"/>
  <c r="AJ565" i="7"/>
  <c r="AK565" i="7"/>
  <c r="AP565" i="7"/>
  <c r="AQ565" i="7" s="1"/>
  <c r="AS565" i="7" s="1"/>
  <c r="AU565" i="7" s="1"/>
  <c r="AK568" i="7"/>
  <c r="AP568" i="7"/>
  <c r="AQ568" i="7" s="1"/>
  <c r="AS568" i="7" s="1"/>
  <c r="AU568" i="7" s="1"/>
  <c r="AP333" i="7"/>
  <c r="AQ333" i="7" s="1"/>
  <c r="AS333" i="7" s="1"/>
  <c r="AU333" i="7" s="1"/>
  <c r="AK333" i="7"/>
  <c r="AK500" i="7"/>
  <c r="AJ444" i="7"/>
  <c r="AJ426" i="7"/>
  <c r="AL426" i="7" s="1"/>
  <c r="AN426" i="7" s="1"/>
  <c r="AO426" i="7" s="1"/>
  <c r="AK386" i="7"/>
  <c r="AK141" i="7"/>
  <c r="AL141" i="7" s="1"/>
  <c r="AN141" i="7" s="1"/>
  <c r="AP104" i="7"/>
  <c r="AQ104" i="7" s="1"/>
  <c r="AS104" i="7" s="1"/>
  <c r="AU104" i="7" s="1"/>
  <c r="AJ429" i="7"/>
  <c r="AK282" i="7"/>
  <c r="AL282" i="7" s="1"/>
  <c r="AN282" i="7" s="1"/>
  <c r="AO282" i="7" s="1"/>
  <c r="AJ293" i="7"/>
  <c r="AP341" i="7"/>
  <c r="AQ341" i="7" s="1"/>
  <c r="AS341" i="7" s="1"/>
  <c r="AU341" i="7" s="1"/>
  <c r="AJ131" i="7"/>
  <c r="AP39" i="7"/>
  <c r="AQ39" i="7" s="1"/>
  <c r="AS39" i="7" s="1"/>
  <c r="AU39" i="7" s="1"/>
  <c r="AJ122" i="7"/>
  <c r="AL122" i="7" s="1"/>
  <c r="AN122" i="7" s="1"/>
  <c r="AK235" i="7"/>
  <c r="AK150" i="7"/>
  <c r="AK35" i="16"/>
  <c r="AK90" i="7"/>
  <c r="AP11" i="7"/>
  <c r="AQ11" i="7" s="1"/>
  <c r="AS11" i="7" s="1"/>
  <c r="AU11" i="7" s="1"/>
  <c r="AJ14" i="16"/>
  <c r="AP370" i="7"/>
  <c r="AQ370" i="7" s="1"/>
  <c r="AS370" i="7" s="1"/>
  <c r="AK48" i="7"/>
  <c r="AJ180" i="7"/>
  <c r="AL180" i="7" s="1"/>
  <c r="AN180" i="7" s="1"/>
  <c r="AO180" i="7" s="1"/>
  <c r="AK444" i="7"/>
  <c r="AJ360" i="7"/>
  <c r="AL360" i="7" s="1"/>
  <c r="AN360" i="7" s="1"/>
  <c r="AO360" i="7" s="1"/>
  <c r="AP454" i="7"/>
  <c r="AQ454" i="7" s="1"/>
  <c r="AS454" i="7" s="1"/>
  <c r="AU454" i="7" s="1"/>
  <c r="AJ104" i="7"/>
  <c r="AL104" i="7" s="1"/>
  <c r="AN104" i="7" s="1"/>
  <c r="AO104" i="7" s="1"/>
  <c r="AK139" i="7"/>
  <c r="AL139" i="7" s="1"/>
  <c r="AN139" i="7" s="1"/>
  <c r="AO139" i="7" s="1"/>
  <c r="AK449" i="7"/>
  <c r="AJ338" i="7"/>
  <c r="AK451" i="7"/>
  <c r="AP282" i="7"/>
  <c r="AQ282" i="7" s="1"/>
  <c r="AS282" i="7" s="1"/>
  <c r="AU282" i="7" s="1"/>
  <c r="AK381" i="7"/>
  <c r="AK205" i="7"/>
  <c r="AK341" i="7"/>
  <c r="AL341" i="7" s="1"/>
  <c r="AN341" i="7" s="1"/>
  <c r="AO341" i="7" s="1"/>
  <c r="AP357" i="7"/>
  <c r="AQ357" i="7" s="1"/>
  <c r="AS357" i="7" s="1"/>
  <c r="AU357" i="7" s="1"/>
  <c r="AK243" i="7"/>
  <c r="AK12" i="7"/>
  <c r="AJ82" i="7"/>
  <c r="AL82" i="7" s="1"/>
  <c r="AN82" i="7" s="1"/>
  <c r="AJ297" i="7"/>
  <c r="AP297" i="7"/>
  <c r="AQ297" i="7" s="1"/>
  <c r="AS297" i="7" s="1"/>
  <c r="AU297" i="7" s="1"/>
  <c r="AP79" i="7"/>
  <c r="AQ79" i="7" s="1"/>
  <c r="AS79" i="7" s="1"/>
  <c r="AU79" i="7" s="1"/>
  <c r="AK79" i="7"/>
  <c r="AP516" i="7"/>
  <c r="AQ516" i="7" s="1"/>
  <c r="AS516" i="7" s="1"/>
  <c r="AU516" i="7" s="1"/>
  <c r="AJ516" i="7"/>
  <c r="AL516" i="7" s="1"/>
  <c r="AN516" i="7" s="1"/>
  <c r="AK559" i="7"/>
  <c r="AK524" i="7"/>
  <c r="AP180" i="7"/>
  <c r="AQ180" i="7" s="1"/>
  <c r="AS180" i="7" s="1"/>
  <c r="AU180" i="7" s="1"/>
  <c r="AP566" i="7"/>
  <c r="AQ566" i="7" s="1"/>
  <c r="AS566" i="7" s="1"/>
  <c r="AU566" i="7" s="1"/>
  <c r="AP360" i="7"/>
  <c r="AQ360" i="7" s="1"/>
  <c r="AS360" i="7" s="1"/>
  <c r="AU360" i="7" s="1"/>
  <c r="AJ458" i="7"/>
  <c r="AJ417" i="7"/>
  <c r="AJ546" i="7"/>
  <c r="AL546" i="7" s="1"/>
  <c r="AN546" i="7" s="1"/>
  <c r="AP492" i="7"/>
  <c r="AQ492" i="7" s="1"/>
  <c r="AS492" i="7" s="1"/>
  <c r="AU492" i="7" s="1"/>
  <c r="AP463" i="7"/>
  <c r="AQ463" i="7" s="1"/>
  <c r="AS463" i="7" s="1"/>
  <c r="AU463" i="7" s="1"/>
  <c r="AP139" i="7"/>
  <c r="AQ139" i="7" s="1"/>
  <c r="AS139" i="7" s="1"/>
  <c r="AU139" i="7" s="1"/>
  <c r="AK572" i="7"/>
  <c r="AP449" i="7"/>
  <c r="AQ449" i="7" s="1"/>
  <c r="AS449" i="7" s="1"/>
  <c r="AU449" i="7" s="1"/>
  <c r="AJ451" i="7"/>
  <c r="AL451" i="7" s="1"/>
  <c r="AN451" i="7" s="1"/>
  <c r="AK297" i="7"/>
  <c r="AK354" i="7"/>
  <c r="AL354" i="7" s="1"/>
  <c r="AN354" i="7" s="1"/>
  <c r="AO354" i="7" s="1"/>
  <c r="AK342" i="7"/>
  <c r="AK472" i="7"/>
  <c r="AP344" i="7"/>
  <c r="AQ344" i="7" s="1"/>
  <c r="AS344" i="7" s="1"/>
  <c r="AU344" i="7" s="1"/>
  <c r="AJ120" i="7"/>
  <c r="AL120" i="7" s="1"/>
  <c r="AN120" i="7" s="1"/>
  <c r="AP120" i="7"/>
  <c r="AQ120" i="7" s="1"/>
  <c r="AS120" i="7" s="1"/>
  <c r="AU120" i="7" s="1"/>
  <c r="AJ437" i="7"/>
  <c r="AK220" i="7"/>
  <c r="AJ220" i="7"/>
  <c r="AP220" i="7"/>
  <c r="AQ220" i="7" s="1"/>
  <c r="AS220" i="7" s="1"/>
  <c r="AU220" i="7" s="1"/>
  <c r="AP93" i="7"/>
  <c r="AQ93" i="7" s="1"/>
  <c r="AS93" i="7" s="1"/>
  <c r="AU93" i="7" s="1"/>
  <c r="AJ93" i="7"/>
  <c r="AJ212" i="7"/>
  <c r="AL212" i="7" s="1"/>
  <c r="AN212" i="7" s="1"/>
  <c r="AP32" i="7"/>
  <c r="AQ32" i="7" s="1"/>
  <c r="AS32" i="7" s="1"/>
  <c r="AU32" i="7" s="1"/>
  <c r="AJ215" i="7"/>
  <c r="AL215" i="7" s="1"/>
  <c r="AN215" i="7" s="1"/>
  <c r="AP215" i="7"/>
  <c r="AQ215" i="7" s="1"/>
  <c r="AS215" i="7" s="1"/>
  <c r="AU215" i="7" s="1"/>
  <c r="AK514" i="7"/>
  <c r="AP514" i="7"/>
  <c r="AQ514" i="7" s="1"/>
  <c r="AS514" i="7" s="1"/>
  <c r="AU514" i="7" s="1"/>
  <c r="AK510" i="7"/>
  <c r="AP510" i="7"/>
  <c r="AQ510" i="7" s="1"/>
  <c r="AS510" i="7" s="1"/>
  <c r="AU510" i="7" s="1"/>
  <c r="AK97" i="7"/>
  <c r="AJ97" i="7"/>
  <c r="AJ62" i="7"/>
  <c r="AL62" i="7" s="1"/>
  <c r="AN62" i="7" s="1"/>
  <c r="AP62" i="7"/>
  <c r="AQ62" i="7" s="1"/>
  <c r="AS62" i="7" s="1"/>
  <c r="AU62" i="7" s="1"/>
  <c r="AJ42" i="7"/>
  <c r="AP42" i="7"/>
  <c r="AQ42" i="7" s="1"/>
  <c r="AS42" i="7" s="1"/>
  <c r="AU42" i="7" s="1"/>
  <c r="AJ323" i="7"/>
  <c r="AK323" i="7"/>
  <c r="AP323" i="7"/>
  <c r="AQ323" i="7" s="1"/>
  <c r="AS323" i="7" s="1"/>
  <c r="AU323" i="7" s="1"/>
  <c r="AJ514" i="7"/>
  <c r="AK330" i="7"/>
  <c r="AL330" i="7" s="1"/>
  <c r="AN330" i="7" s="1"/>
  <c r="AJ381" i="7"/>
  <c r="AP475" i="7"/>
  <c r="AQ475" i="7" s="1"/>
  <c r="AS475" i="7" s="1"/>
  <c r="AU475" i="7" s="1"/>
  <c r="AP330" i="7"/>
  <c r="AQ330" i="7" s="1"/>
  <c r="AS330" i="7" s="1"/>
  <c r="AU330" i="7" s="1"/>
  <c r="AJ333" i="7"/>
  <c r="AJ510" i="7"/>
  <c r="AJ475" i="7"/>
  <c r="AL475" i="7" s="1"/>
  <c r="AN475" i="7" s="1"/>
  <c r="AK452" i="7"/>
  <c r="AL452" i="7" s="1"/>
  <c r="AN452" i="7" s="1"/>
  <c r="AP452" i="7"/>
  <c r="AQ452" i="7" s="1"/>
  <c r="AS452" i="7" s="1"/>
  <c r="AU452" i="7" s="1"/>
  <c r="AK133" i="7"/>
  <c r="AJ133" i="7"/>
  <c r="AK371" i="7"/>
  <c r="AJ371" i="7"/>
  <c r="AJ538" i="7"/>
  <c r="AK538" i="7"/>
  <c r="AP278" i="7"/>
  <c r="AQ278" i="7" s="1"/>
  <c r="AS278" i="7" s="1"/>
  <c r="AU278" i="7" s="1"/>
  <c r="AK278" i="7"/>
  <c r="AL278" i="7" s="1"/>
  <c r="AN278" i="7" s="1"/>
  <c r="AJ388" i="7"/>
  <c r="AK388" i="7"/>
  <c r="AJ316" i="7"/>
  <c r="AK316" i="7"/>
  <c r="AP28" i="7"/>
  <c r="AQ28" i="7" s="1"/>
  <c r="AS28" i="7" s="1"/>
  <c r="AU28" i="7" s="1"/>
  <c r="AK28" i="7"/>
  <c r="AK562" i="7"/>
  <c r="AJ562" i="7"/>
  <c r="AJ135" i="7"/>
  <c r="AL135" i="7" s="1"/>
  <c r="AN135" i="7" s="1"/>
  <c r="AO135" i="7" s="1"/>
  <c r="AP135" i="7"/>
  <c r="AQ135" i="7" s="1"/>
  <c r="AS135" i="7" s="1"/>
  <c r="AU135" i="7" s="1"/>
  <c r="AP36" i="7"/>
  <c r="AQ36" i="7" s="1"/>
  <c r="AS36" i="7" s="1"/>
  <c r="AU36" i="7" s="1"/>
  <c r="AK36" i="7"/>
  <c r="AL36" i="7" s="1"/>
  <c r="AN36" i="7" s="1"/>
  <c r="AJ198" i="7"/>
  <c r="AK198" i="7"/>
  <c r="AK42" i="7"/>
  <c r="AJ228" i="7"/>
  <c r="AI76" i="6"/>
  <c r="AJ76" i="6" s="1"/>
  <c r="AI83" i="6"/>
  <c r="AK344" i="7"/>
  <c r="AL344" i="7" s="1"/>
  <c r="AN344" i="7" s="1"/>
  <c r="AK351" i="7"/>
  <c r="AJ526" i="7"/>
  <c r="AP185" i="7"/>
  <c r="AQ185" i="7" s="1"/>
  <c r="AS185" i="7" s="1"/>
  <c r="AU185" i="7" s="1"/>
  <c r="U56" i="6"/>
  <c r="AI56" i="6"/>
  <c r="U136" i="6"/>
  <c r="AI136" i="6"/>
  <c r="AJ136" i="6" s="1"/>
  <c r="U116" i="6"/>
  <c r="AI116" i="6"/>
  <c r="AJ60" i="7"/>
  <c r="AP60" i="7"/>
  <c r="AQ60" i="7" s="1"/>
  <c r="AS60" i="7" s="1"/>
  <c r="AU60" i="7" s="1"/>
  <c r="AJ237" i="7"/>
  <c r="AK237" i="7"/>
  <c r="AP76" i="7"/>
  <c r="AQ76" i="7" s="1"/>
  <c r="AS76" i="7" s="1"/>
  <c r="AU76" i="7" s="1"/>
  <c r="AJ76" i="7"/>
  <c r="AL76" i="7" s="1"/>
  <c r="AN76" i="7" s="1"/>
  <c r="AK393" i="7"/>
  <c r="AL393" i="7" s="1"/>
  <c r="AN393" i="7" s="1"/>
  <c r="AP393" i="7"/>
  <c r="AQ393" i="7" s="1"/>
  <c r="AS393" i="7" s="1"/>
  <c r="AU393" i="7" s="1"/>
  <c r="AP221" i="7"/>
  <c r="AQ221" i="7" s="1"/>
  <c r="AS221" i="7" s="1"/>
  <c r="AU221" i="7" s="1"/>
  <c r="AJ221" i="7"/>
  <c r="AL221" i="7" s="1"/>
  <c r="AN221" i="7" s="1"/>
  <c r="AJ455" i="7"/>
  <c r="AL455" i="7" s="1"/>
  <c r="AN455" i="7" s="1"/>
  <c r="AP455" i="7"/>
  <c r="AQ455" i="7" s="1"/>
  <c r="AS455" i="7" s="1"/>
  <c r="AU455" i="7" s="1"/>
  <c r="AJ496" i="7"/>
  <c r="AK496" i="7"/>
  <c r="AJ405" i="7"/>
  <c r="AL405" i="7" s="1"/>
  <c r="AN405" i="7" s="1"/>
  <c r="AP405" i="7"/>
  <c r="AQ405" i="7" s="1"/>
  <c r="AP155" i="7"/>
  <c r="AQ155" i="7" s="1"/>
  <c r="AS155" i="7" s="1"/>
  <c r="AU155" i="7" s="1"/>
  <c r="AJ155" i="7"/>
  <c r="AL155" i="7" s="1"/>
  <c r="AN155" i="7" s="1"/>
  <c r="AO155" i="7" s="1"/>
  <c r="AK95" i="7"/>
  <c r="AL95" i="7" s="1"/>
  <c r="AN95" i="7" s="1"/>
  <c r="AP95" i="7"/>
  <c r="AQ95" i="7" s="1"/>
  <c r="AP343" i="7"/>
  <c r="AQ343" i="7" s="1"/>
  <c r="AS343" i="7" s="1"/>
  <c r="AU343" i="7" s="1"/>
  <c r="AK343" i="7"/>
  <c r="AL343" i="7" s="1"/>
  <c r="AN343" i="7" s="1"/>
  <c r="AP37" i="7"/>
  <c r="AQ37" i="7" s="1"/>
  <c r="AS37" i="7" s="1"/>
  <c r="AU37" i="7" s="1"/>
  <c r="AK37" i="7"/>
  <c r="AL37" i="7" s="1"/>
  <c r="AN37" i="7" s="1"/>
  <c r="U157" i="6"/>
  <c r="AI157" i="6"/>
  <c r="AP157" i="6" s="1"/>
  <c r="AQ157" i="6" s="1"/>
  <c r="AR157" i="6" s="1"/>
  <c r="AU157" i="6" s="1"/>
  <c r="U93" i="6"/>
  <c r="AI93" i="6"/>
  <c r="AJ93" i="6" s="1"/>
  <c r="AJ358" i="7"/>
  <c r="AL358" i="7" s="1"/>
  <c r="AN358" i="7" s="1"/>
  <c r="AI177" i="6"/>
  <c r="AK177" i="6" s="1"/>
  <c r="AI151" i="6"/>
  <c r="AJ151" i="6" s="1"/>
  <c r="AI110" i="6"/>
  <c r="AJ110" i="6" s="1"/>
  <c r="AI67" i="6"/>
  <c r="AJ67" i="6" s="1"/>
  <c r="AI167" i="6"/>
  <c r="AJ167" i="6" s="1"/>
  <c r="AI174" i="6"/>
  <c r="AJ174" i="6" s="1"/>
  <c r="AI92" i="6"/>
  <c r="AJ92" i="6" s="1"/>
  <c r="AI107" i="6"/>
  <c r="AI89" i="6"/>
  <c r="AJ89" i="6" s="1"/>
  <c r="U171" i="6"/>
  <c r="AI171" i="6"/>
  <c r="AJ171" i="6" s="1"/>
  <c r="U120" i="6"/>
  <c r="AI120" i="6"/>
  <c r="AJ120" i="6" s="1"/>
  <c r="AP119" i="7"/>
  <c r="AQ119" i="7" s="1"/>
  <c r="AS119" i="7" s="1"/>
  <c r="AU119" i="7" s="1"/>
  <c r="AJ119" i="7"/>
  <c r="AK119" i="7"/>
  <c r="U74" i="6"/>
  <c r="AI74" i="6"/>
  <c r="AJ74" i="6" s="1"/>
  <c r="AP63" i="7"/>
  <c r="AQ63" i="7" s="1"/>
  <c r="AS63" i="7" s="1"/>
  <c r="AU63" i="7" s="1"/>
  <c r="AJ197" i="7"/>
  <c r="AJ57" i="7"/>
  <c r="AP298" i="7"/>
  <c r="AQ298" i="7" s="1"/>
  <c r="AS298" i="7" s="1"/>
  <c r="AU298" i="7" s="1"/>
  <c r="AK298" i="7"/>
  <c r="AP468" i="7"/>
  <c r="AQ468" i="7" s="1"/>
  <c r="AS468" i="7" s="1"/>
  <c r="AU468" i="7" s="1"/>
  <c r="AJ468" i="7"/>
  <c r="AL468" i="7" s="1"/>
  <c r="AN468" i="7" s="1"/>
  <c r="AK552" i="7"/>
  <c r="AJ552" i="7"/>
  <c r="AK465" i="7"/>
  <c r="AJ465" i="7"/>
  <c r="U68" i="6"/>
  <c r="AI68" i="6"/>
  <c r="AJ68" i="6" s="1"/>
  <c r="U82" i="6"/>
  <c r="AI82" i="6"/>
  <c r="AJ82" i="6" s="1"/>
  <c r="U137" i="6"/>
  <c r="AI137" i="6"/>
  <c r="AJ137" i="6" s="1"/>
  <c r="U135" i="6"/>
  <c r="AI135" i="6"/>
  <c r="AJ135" i="6" s="1"/>
  <c r="U125" i="6"/>
  <c r="AI125" i="6"/>
  <c r="AJ125" i="6" s="1"/>
  <c r="AK181" i="7"/>
  <c r="AP428" i="7"/>
  <c r="AQ428" i="7" s="1"/>
  <c r="AS428" i="7" s="1"/>
  <c r="AU428" i="7" s="1"/>
  <c r="AP350" i="7"/>
  <c r="AQ350" i="7" s="1"/>
  <c r="AS350" i="7" s="1"/>
  <c r="AU350" i="7" s="1"/>
  <c r="AK350" i="7"/>
  <c r="AL350" i="7" s="1"/>
  <c r="AN350" i="7" s="1"/>
  <c r="U64" i="6"/>
  <c r="AI64" i="6"/>
  <c r="AJ64" i="6" s="1"/>
  <c r="U70" i="6"/>
  <c r="AI70" i="6"/>
  <c r="AJ70" i="6" s="1"/>
  <c r="AK197" i="7"/>
  <c r="U139" i="6"/>
  <c r="AI139" i="6"/>
  <c r="AJ139" i="6" s="1"/>
  <c r="U109" i="6"/>
  <c r="AI109" i="6"/>
  <c r="AJ109" i="6" s="1"/>
  <c r="U90" i="6"/>
  <c r="AI90" i="6"/>
  <c r="AI101" i="6"/>
  <c r="AJ101" i="6" s="1"/>
  <c r="AI124" i="6"/>
  <c r="AJ124" i="6" s="1"/>
  <c r="AI164" i="6"/>
  <c r="AJ164" i="6" s="1"/>
  <c r="AI176" i="6"/>
  <c r="AJ176" i="6" s="1"/>
  <c r="AI144" i="6"/>
  <c r="AJ144" i="6" s="1"/>
  <c r="AI121" i="6"/>
  <c r="AJ121" i="6" s="1"/>
  <c r="AI60" i="6"/>
  <c r="AJ60" i="6" s="1"/>
  <c r="AI49" i="6"/>
  <c r="AJ49" i="6" s="1"/>
  <c r="AI169" i="6"/>
  <c r="AJ169" i="6" s="1"/>
  <c r="AI172" i="6"/>
  <c r="AJ172" i="6" s="1"/>
  <c r="AI179" i="6"/>
  <c r="AJ179" i="6" s="1"/>
  <c r="AI143" i="6"/>
  <c r="AI44" i="6"/>
  <c r="AI72" i="6"/>
  <c r="AK519" i="7"/>
  <c r="AP519" i="7"/>
  <c r="AQ519" i="7" s="1"/>
  <c r="AS519" i="7" s="1"/>
  <c r="AU519" i="7" s="1"/>
  <c r="AP18" i="16"/>
  <c r="AQ18" i="16" s="1"/>
  <c r="AR18" i="16" s="1"/>
  <c r="AU18" i="16" s="1"/>
  <c r="AK149" i="7"/>
  <c r="AL149" i="7" s="1"/>
  <c r="AN149" i="7" s="1"/>
  <c r="AP64" i="7"/>
  <c r="AQ64" i="7" s="1"/>
  <c r="AS64" i="7" s="1"/>
  <c r="AU64" i="7" s="1"/>
  <c r="AK16" i="16"/>
  <c r="AL16" i="16" s="1"/>
  <c r="AN16" i="16" s="1"/>
  <c r="AP277" i="7"/>
  <c r="AQ277" i="7" s="1"/>
  <c r="AS277" i="7" s="1"/>
  <c r="AU277" i="7" s="1"/>
  <c r="AP521" i="7"/>
  <c r="AQ521" i="7" s="1"/>
  <c r="AS521" i="7" s="1"/>
  <c r="AU521" i="7" s="1"/>
  <c r="AJ519" i="7"/>
  <c r="AK509" i="7"/>
  <c r="AJ334" i="7"/>
  <c r="AL334" i="7" s="1"/>
  <c r="AN334" i="7" s="1"/>
  <c r="AP334" i="7"/>
  <c r="AQ334" i="7" s="1"/>
  <c r="AS334" i="7" s="1"/>
  <c r="AJ73" i="7"/>
  <c r="AL73" i="7" s="1"/>
  <c r="AN73" i="7" s="1"/>
  <c r="AP73" i="7"/>
  <c r="AQ73" i="7" s="1"/>
  <c r="AS73" i="7" s="1"/>
  <c r="AU73" i="7" s="1"/>
  <c r="AK392" i="7"/>
  <c r="AJ392" i="7"/>
  <c r="AK349" i="7"/>
  <c r="AJ349" i="7"/>
  <c r="AJ571" i="7"/>
  <c r="AL571" i="7" s="1"/>
  <c r="AN571" i="7" s="1"/>
  <c r="AO571" i="7" s="1"/>
  <c r="AP571" i="7"/>
  <c r="AQ571" i="7" s="1"/>
  <c r="AS571" i="7" s="1"/>
  <c r="AU571" i="7" s="1"/>
  <c r="AP326" i="7"/>
  <c r="AQ326" i="7" s="1"/>
  <c r="AS326" i="7" s="1"/>
  <c r="AU326" i="7" s="1"/>
  <c r="AK326" i="7"/>
  <c r="AL326" i="7" s="1"/>
  <c r="AN326" i="7" s="1"/>
  <c r="AJ375" i="7"/>
  <c r="AL375" i="7" s="1"/>
  <c r="AN375" i="7" s="1"/>
  <c r="AP375" i="7"/>
  <c r="AQ375" i="7" s="1"/>
  <c r="AS375" i="7" s="1"/>
  <c r="AU375" i="7" s="1"/>
  <c r="AJ285" i="7"/>
  <c r="AL285" i="7" s="1"/>
  <c r="AN285" i="7" s="1"/>
  <c r="AP285" i="7"/>
  <c r="AQ285" i="7" s="1"/>
  <c r="AS285" i="7" s="1"/>
  <c r="AU285" i="7" s="1"/>
  <c r="AP367" i="7"/>
  <c r="AQ367" i="7" s="1"/>
  <c r="AS367" i="7" s="1"/>
  <c r="AU367" i="7" s="1"/>
  <c r="AK367" i="7"/>
  <c r="AL367" i="7" s="1"/>
  <c r="AN367" i="7" s="1"/>
  <c r="AK269" i="7"/>
  <c r="AP269" i="7"/>
  <c r="AQ269" i="7" s="1"/>
  <c r="AS269" i="7" s="1"/>
  <c r="AJ490" i="7"/>
  <c r="AL490" i="7" s="1"/>
  <c r="AN490" i="7" s="1"/>
  <c r="AP490" i="7"/>
  <c r="AQ490" i="7" s="1"/>
  <c r="AS490" i="7" s="1"/>
  <c r="AU490" i="7" s="1"/>
  <c r="AK502" i="7"/>
  <c r="AL502" i="7" s="1"/>
  <c r="AN502" i="7" s="1"/>
  <c r="AP502" i="7"/>
  <c r="AQ502" i="7" s="1"/>
  <c r="AS502" i="7" s="1"/>
  <c r="AU502" i="7" s="1"/>
  <c r="AK439" i="7"/>
  <c r="AJ439" i="7"/>
  <c r="AP15" i="7"/>
  <c r="AQ15" i="7" s="1"/>
  <c r="AS15" i="7" s="1"/>
  <c r="AJ15" i="7"/>
  <c r="AL15" i="7" s="1"/>
  <c r="AN15" i="7" s="1"/>
  <c r="AK561" i="7"/>
  <c r="AJ561" i="7"/>
  <c r="AP208" i="7"/>
  <c r="AQ208" i="7" s="1"/>
  <c r="AS208" i="7" s="1"/>
  <c r="AU208" i="7" s="1"/>
  <c r="AJ208" i="7"/>
  <c r="AL208" i="7" s="1"/>
  <c r="AN208" i="7" s="1"/>
  <c r="AK254" i="7"/>
  <c r="AL254" i="7" s="1"/>
  <c r="AN254" i="7" s="1"/>
  <c r="AP254" i="7"/>
  <c r="AQ254" i="7" s="1"/>
  <c r="AS254" i="7" s="1"/>
  <c r="AU254" i="7" s="1"/>
  <c r="AJ396" i="7"/>
  <c r="AK396" i="7"/>
  <c r="AJ467" i="7"/>
  <c r="AJ298" i="7"/>
  <c r="AK60" i="7"/>
  <c r="AP401" i="7"/>
  <c r="AQ401" i="7" s="1"/>
  <c r="AS401" i="7" s="1"/>
  <c r="AU401" i="7" s="1"/>
  <c r="AK8" i="7"/>
  <c r="AJ408" i="7"/>
  <c r="AL408" i="7" s="1"/>
  <c r="AN408" i="7" s="1"/>
  <c r="AO408" i="7" s="1"/>
  <c r="AJ401" i="7"/>
  <c r="AL401" i="7" s="1"/>
  <c r="AN401" i="7" s="1"/>
  <c r="AJ256" i="7"/>
  <c r="AL256" i="7" s="1"/>
  <c r="AN256" i="7" s="1"/>
  <c r="AJ79" i="7"/>
  <c r="AP471" i="7"/>
  <c r="AQ471" i="7" s="1"/>
  <c r="AS471" i="7" s="1"/>
  <c r="AU471" i="7" s="1"/>
  <c r="AK471" i="7"/>
  <c r="AL471" i="7" s="1"/>
  <c r="AN471" i="7" s="1"/>
  <c r="AP408" i="7"/>
  <c r="AQ408" i="7" s="1"/>
  <c r="AS408" i="7" s="1"/>
  <c r="AU408" i="7" s="1"/>
  <c r="AP485" i="7"/>
  <c r="AQ485" i="7" s="1"/>
  <c r="AS485" i="7" s="1"/>
  <c r="AU485" i="7" s="1"/>
  <c r="AJ543" i="7"/>
  <c r="AL543" i="7" s="1"/>
  <c r="AN543" i="7" s="1"/>
  <c r="AP543" i="7"/>
  <c r="AQ543" i="7" s="1"/>
  <c r="AS543" i="7" s="1"/>
  <c r="AU543" i="7" s="1"/>
  <c r="AJ244" i="7"/>
  <c r="AL244" i="7" s="1"/>
  <c r="AN244" i="7" s="1"/>
  <c r="AP244" i="7"/>
  <c r="AQ244" i="7" s="1"/>
  <c r="AS244" i="7" s="1"/>
  <c r="AU244" i="7" s="1"/>
  <c r="AK171" i="7"/>
  <c r="AJ171" i="7"/>
  <c r="AJ16" i="7"/>
  <c r="AP16" i="7"/>
  <c r="AQ16" i="7" s="1"/>
  <c r="AS16" i="7" s="1"/>
  <c r="AU16" i="7" s="1"/>
  <c r="AP419" i="7"/>
  <c r="AQ419" i="7" s="1"/>
  <c r="AS419" i="7" s="1"/>
  <c r="AU419" i="7" s="1"/>
  <c r="AJ419" i="7"/>
  <c r="AK419" i="7"/>
  <c r="AP547" i="7"/>
  <c r="AQ547" i="7" s="1"/>
  <c r="AS547" i="7" s="1"/>
  <c r="AU547" i="7" s="1"/>
  <c r="AJ547" i="7"/>
  <c r="AK320" i="7"/>
  <c r="AJ320" i="7"/>
  <c r="AP96" i="7"/>
  <c r="AQ96" i="7" s="1"/>
  <c r="AS96" i="7" s="1"/>
  <c r="AU96" i="7" s="1"/>
  <c r="AK96" i="7"/>
  <c r="AL96" i="7" s="1"/>
  <c r="AN96" i="7" s="1"/>
  <c r="AJ108" i="7"/>
  <c r="AK108" i="7"/>
  <c r="AP152" i="7"/>
  <c r="AQ152" i="7" s="1"/>
  <c r="AS152" i="7" s="1"/>
  <c r="AU152" i="7" s="1"/>
  <c r="AJ152" i="7"/>
  <c r="AL152" i="7" s="1"/>
  <c r="AN152" i="7" s="1"/>
  <c r="AO152" i="7" s="1"/>
  <c r="AJ443" i="7"/>
  <c r="AK443" i="7"/>
  <c r="AK109" i="7"/>
  <c r="AL109" i="7" s="1"/>
  <c r="AN109" i="7" s="1"/>
  <c r="AO109" i="7" s="1"/>
  <c r="AP109" i="7"/>
  <c r="AQ109" i="7" s="1"/>
  <c r="AS109" i="7" s="1"/>
  <c r="AU109" i="7" s="1"/>
  <c r="AP553" i="7"/>
  <c r="AQ553" i="7" s="1"/>
  <c r="AS553" i="7" s="1"/>
  <c r="AU553" i="7" s="1"/>
  <c r="AJ553" i="7"/>
  <c r="AL553" i="7" s="1"/>
  <c r="AN553" i="7" s="1"/>
  <c r="AP240" i="7"/>
  <c r="AQ240" i="7" s="1"/>
  <c r="AS240" i="7" s="1"/>
  <c r="AU240" i="7" s="1"/>
  <c r="AK240" i="7"/>
  <c r="AL240" i="7" s="1"/>
  <c r="AN240" i="7" s="1"/>
  <c r="AJ106" i="7"/>
  <c r="AP106" i="7"/>
  <c r="AQ106" i="7" s="1"/>
  <c r="AP313" i="7"/>
  <c r="AQ313" i="7" s="1"/>
  <c r="AS313" i="7" s="1"/>
  <c r="AU313" i="7" s="1"/>
  <c r="AK313" i="7"/>
  <c r="AL313" i="7" s="1"/>
  <c r="AN313" i="7" s="1"/>
  <c r="AP184" i="7"/>
  <c r="AQ184" i="7" s="1"/>
  <c r="AS184" i="7" s="1"/>
  <c r="AU184" i="7" s="1"/>
  <c r="AJ184" i="7"/>
  <c r="AL184" i="7" s="1"/>
  <c r="AN184" i="7" s="1"/>
  <c r="AO184" i="7" s="1"/>
  <c r="AJ484" i="7"/>
  <c r="AK484" i="7"/>
  <c r="AP484" i="7"/>
  <c r="AQ484" i="7" s="1"/>
  <c r="AS484" i="7" s="1"/>
  <c r="AU484" i="7" s="1"/>
  <c r="AJ236" i="7"/>
  <c r="AK236" i="7"/>
  <c r="AP421" i="7"/>
  <c r="AQ421" i="7" s="1"/>
  <c r="AS421" i="7" s="1"/>
  <c r="AU421" i="7" s="1"/>
  <c r="AJ421" i="7"/>
  <c r="AL421" i="7" s="1"/>
  <c r="AN421" i="7" s="1"/>
  <c r="AK332" i="7"/>
  <c r="AJ332" i="7"/>
  <c r="AP332" i="7"/>
  <c r="AQ332" i="7" s="1"/>
  <c r="AS332" i="7" s="1"/>
  <c r="AU332" i="7" s="1"/>
  <c r="AJ482" i="7"/>
  <c r="AL482" i="7" s="1"/>
  <c r="AN482" i="7" s="1"/>
  <c r="AP482" i="7"/>
  <c r="AQ482" i="7" s="1"/>
  <c r="AS482" i="7" s="1"/>
  <c r="AU482" i="7" s="1"/>
  <c r="AP203" i="7"/>
  <c r="AQ203" i="7" s="1"/>
  <c r="AS203" i="7" s="1"/>
  <c r="AU203" i="7" s="1"/>
  <c r="AJ203" i="7"/>
  <c r="AK203" i="7"/>
  <c r="AP161" i="7"/>
  <c r="AQ161" i="7" s="1"/>
  <c r="AS161" i="7" s="1"/>
  <c r="AU161" i="7" s="1"/>
  <c r="AK161" i="7"/>
  <c r="AJ174" i="7"/>
  <c r="AL174" i="7" s="1"/>
  <c r="AN174" i="7" s="1"/>
  <c r="AP174" i="7"/>
  <c r="AQ174" i="7" s="1"/>
  <c r="AS174" i="7" s="1"/>
  <c r="AK394" i="7"/>
  <c r="AJ394" i="7"/>
  <c r="AP171" i="7"/>
  <c r="AQ171" i="7" s="1"/>
  <c r="AS171" i="7" s="1"/>
  <c r="AU171" i="7" s="1"/>
  <c r="AJ269" i="7"/>
  <c r="AP388" i="7"/>
  <c r="AQ388" i="7" s="1"/>
  <c r="AS388" i="7" s="1"/>
  <c r="AU388" i="7" s="1"/>
  <c r="AP242" i="7"/>
  <c r="AQ242" i="7" s="1"/>
  <c r="AS242" i="7" s="1"/>
  <c r="AU242" i="7" s="1"/>
  <c r="AJ242" i="7"/>
  <c r="AK353" i="7"/>
  <c r="AJ353" i="7"/>
  <c r="AK281" i="7"/>
  <c r="AP281" i="7"/>
  <c r="AQ281" i="7" s="1"/>
  <c r="AS281" i="7" s="1"/>
  <c r="AU281" i="7" s="1"/>
  <c r="AJ481" i="7"/>
  <c r="AK481" i="7"/>
  <c r="AK557" i="7"/>
  <c r="AL557" i="7" s="1"/>
  <c r="AN557" i="7" s="1"/>
  <c r="AO557" i="7" s="1"/>
  <c r="AJ295" i="7"/>
  <c r="AK242" i="7"/>
  <c r="AJ509" i="7"/>
  <c r="AP557" i="7"/>
  <c r="AQ557" i="7" s="1"/>
  <c r="AS557" i="7" s="1"/>
  <c r="AU557" i="7" s="1"/>
  <c r="AJ281" i="7"/>
  <c r="AJ243" i="7"/>
  <c r="AP358" i="7"/>
  <c r="AQ358" i="7" s="1"/>
  <c r="AS358" i="7" s="1"/>
  <c r="AU358" i="7" s="1"/>
  <c r="AP10" i="7"/>
  <c r="AQ10" i="7" s="1"/>
  <c r="AS10" i="7" s="1"/>
  <c r="AU10" i="7" s="1"/>
  <c r="AJ10" i="7"/>
  <c r="AL10" i="7" s="1"/>
  <c r="AN10" i="7" s="1"/>
  <c r="AK14" i="7"/>
  <c r="AL14" i="7" s="1"/>
  <c r="AN14" i="7" s="1"/>
  <c r="AP14" i="7"/>
  <c r="AQ14" i="7" s="1"/>
  <c r="AS14" i="7" s="1"/>
  <c r="AU14" i="7" s="1"/>
  <c r="AP26" i="6"/>
  <c r="AQ26" i="6" s="1"/>
  <c r="AR26" i="6" s="1"/>
  <c r="AU26" i="6" s="1"/>
  <c r="AJ26" i="6"/>
  <c r="AK27" i="16"/>
  <c r="AL27" i="16" s="1"/>
  <c r="AN27" i="16" s="1"/>
  <c r="AP27" i="16"/>
  <c r="AQ27" i="16" s="1"/>
  <c r="AR27" i="16" s="1"/>
  <c r="AK172" i="7"/>
  <c r="AP172" i="7"/>
  <c r="AQ172" i="7" s="1"/>
  <c r="AS172" i="7" s="1"/>
  <c r="AU172" i="7" s="1"/>
  <c r="AJ172" i="7"/>
  <c r="AP505" i="7"/>
  <c r="AQ505" i="7" s="1"/>
  <c r="AS505" i="7" s="1"/>
  <c r="AU505" i="7" s="1"/>
  <c r="AK505" i="7"/>
  <c r="AJ505" i="7"/>
  <c r="AP545" i="7"/>
  <c r="AQ545" i="7" s="1"/>
  <c r="AS545" i="7" s="1"/>
  <c r="AU545" i="7" s="1"/>
  <c r="AJ545" i="7"/>
  <c r="AK545" i="7"/>
  <c r="AJ494" i="7"/>
  <c r="AP494" i="7"/>
  <c r="AQ494" i="7" s="1"/>
  <c r="AS494" i="7" s="1"/>
  <c r="AU494" i="7" s="1"/>
  <c r="AK494" i="7"/>
  <c r="AP227" i="7"/>
  <c r="AQ227" i="7" s="1"/>
  <c r="AK227" i="7"/>
  <c r="AL227" i="7" s="1"/>
  <c r="AN227" i="7" s="1"/>
  <c r="AP146" i="7"/>
  <c r="AQ146" i="7" s="1"/>
  <c r="AS146" i="7" s="1"/>
  <c r="AU146" i="7" s="1"/>
  <c r="AK146" i="7"/>
  <c r="AL146" i="7" s="1"/>
  <c r="AN146" i="7" s="1"/>
  <c r="AP522" i="7"/>
  <c r="AQ522" i="7" s="1"/>
  <c r="AS522" i="7" s="1"/>
  <c r="AK522" i="7"/>
  <c r="AJ522" i="7"/>
  <c r="AK26" i="7"/>
  <c r="AJ26" i="7"/>
  <c r="AP26" i="7"/>
  <c r="AQ26" i="7" s="1"/>
  <c r="AS26" i="7" s="1"/>
  <c r="AU26" i="7" s="1"/>
  <c r="AJ70" i="7"/>
  <c r="AL70" i="7" s="1"/>
  <c r="AN70" i="7" s="1"/>
  <c r="AP70" i="7"/>
  <c r="AQ70" i="7" s="1"/>
  <c r="AS70" i="7" s="1"/>
  <c r="AU70" i="7" s="1"/>
  <c r="AK411" i="7"/>
  <c r="AL411" i="7" s="1"/>
  <c r="AN411" i="7" s="1"/>
  <c r="AP411" i="7"/>
  <c r="AQ411" i="7" s="1"/>
  <c r="AP28" i="6"/>
  <c r="AQ28" i="6" s="1"/>
  <c r="AR28" i="6" s="1"/>
  <c r="AU28" i="6" s="1"/>
  <c r="AJ28" i="6"/>
  <c r="AK26" i="6"/>
  <c r="AP259" i="7"/>
  <c r="AQ259" i="7" s="1"/>
  <c r="AS259" i="7" s="1"/>
  <c r="AU259" i="7" s="1"/>
  <c r="AJ391" i="7"/>
  <c r="AK563" i="7"/>
  <c r="AL563" i="7" s="1"/>
  <c r="AN563" i="7" s="1"/>
  <c r="AJ377" i="7"/>
  <c r="AP542" i="7"/>
  <c r="AQ542" i="7" s="1"/>
  <c r="AS542" i="7" s="1"/>
  <c r="AU542" i="7" s="1"/>
  <c r="AK93" i="7"/>
  <c r="AK32" i="7"/>
  <c r="AL32" i="7" s="1"/>
  <c r="AN32" i="7" s="1"/>
  <c r="AK424" i="7"/>
  <c r="AP24" i="6"/>
  <c r="AQ24" i="6" s="1"/>
  <c r="AR24" i="6" s="1"/>
  <c r="AU24" i="6" s="1"/>
  <c r="AJ24" i="6"/>
  <c r="AJ39" i="6"/>
  <c r="AK20" i="6"/>
  <c r="AJ20" i="6"/>
  <c r="AP224" i="7"/>
  <c r="AQ224" i="7" s="1"/>
  <c r="AS224" i="7" s="1"/>
  <c r="AU224" i="7" s="1"/>
  <c r="AJ224" i="7"/>
  <c r="AL224" i="7" s="1"/>
  <c r="AN224" i="7" s="1"/>
  <c r="AO224" i="7" s="1"/>
  <c r="AP535" i="7"/>
  <c r="AQ535" i="7" s="1"/>
  <c r="AS535" i="7" s="1"/>
  <c r="AU535" i="7" s="1"/>
  <c r="AK535" i="7"/>
  <c r="AL535" i="7" s="1"/>
  <c r="AN535" i="7" s="1"/>
  <c r="AP457" i="7"/>
  <c r="AQ457" i="7" s="1"/>
  <c r="AS457" i="7" s="1"/>
  <c r="AU457" i="7" s="1"/>
  <c r="AJ457" i="7"/>
  <c r="AK464" i="7"/>
  <c r="AJ464" i="7"/>
  <c r="AK495" i="7"/>
  <c r="AJ495" i="7"/>
  <c r="AP528" i="7"/>
  <c r="AQ528" i="7" s="1"/>
  <c r="AS528" i="7" s="1"/>
  <c r="AU528" i="7" s="1"/>
  <c r="AK528" i="7"/>
  <c r="AL528" i="7" s="1"/>
  <c r="AN528" i="7" s="1"/>
  <c r="AK13" i="16"/>
  <c r="AP13" i="16"/>
  <c r="AQ13" i="16" s="1"/>
  <c r="AR13" i="16" s="1"/>
  <c r="AU13" i="16" s="1"/>
  <c r="AJ13" i="16"/>
  <c r="AK280" i="7"/>
  <c r="AL280" i="7" s="1"/>
  <c r="AN280" i="7" s="1"/>
  <c r="AP280" i="7"/>
  <c r="AQ280" i="7" s="1"/>
  <c r="AS280" i="7" s="1"/>
  <c r="AU280" i="7" s="1"/>
  <c r="AJ540" i="7"/>
  <c r="AP540" i="7"/>
  <c r="AQ540" i="7" s="1"/>
  <c r="AS540" i="7" s="1"/>
  <c r="AU540" i="7" s="1"/>
  <c r="AK540" i="7"/>
  <c r="AK105" i="7"/>
  <c r="AJ105" i="7"/>
  <c r="AP105" i="7"/>
  <c r="AQ105" i="7" s="1"/>
  <c r="AS105" i="7" s="1"/>
  <c r="AU105" i="7" s="1"/>
  <c r="AP567" i="7"/>
  <c r="AQ567" i="7" s="1"/>
  <c r="AS567" i="7" s="1"/>
  <c r="AU567" i="7" s="1"/>
  <c r="AK567" i="7"/>
  <c r="AL567" i="7" s="1"/>
  <c r="AN567" i="7" s="1"/>
  <c r="AP125" i="7"/>
  <c r="AQ125" i="7" s="1"/>
  <c r="AS125" i="7" s="1"/>
  <c r="AU125" i="7" s="1"/>
  <c r="AJ125" i="7"/>
  <c r="AK125" i="7"/>
  <c r="AK204" i="7"/>
  <c r="AP204" i="7"/>
  <c r="AQ204" i="7" s="1"/>
  <c r="AS204" i="7" s="1"/>
  <c r="AU204" i="7" s="1"/>
  <c r="AJ204" i="7"/>
  <c r="AJ173" i="7"/>
  <c r="AL173" i="7" s="1"/>
  <c r="AN173" i="7" s="1"/>
  <c r="AO173" i="7" s="1"/>
  <c r="AP173" i="7"/>
  <c r="AQ173" i="7" s="1"/>
  <c r="AS173" i="7" s="1"/>
  <c r="AU173" i="7" s="1"/>
  <c r="AK435" i="7"/>
  <c r="AL435" i="7" s="1"/>
  <c r="AN435" i="7" s="1"/>
  <c r="AP435" i="7"/>
  <c r="AQ435" i="7" s="1"/>
  <c r="AS435" i="7" s="1"/>
  <c r="AU435" i="7" s="1"/>
  <c r="AJ477" i="7"/>
  <c r="AK477" i="7"/>
  <c r="AK128" i="7"/>
  <c r="AJ128" i="7"/>
  <c r="AP72" i="7"/>
  <c r="AQ72" i="7" s="1"/>
  <c r="AS72" i="7" s="1"/>
  <c r="AU72" i="7" s="1"/>
  <c r="AJ72" i="7"/>
  <c r="AK72" i="7"/>
  <c r="AP47" i="7"/>
  <c r="AQ47" i="7" s="1"/>
  <c r="AS47" i="7" s="1"/>
  <c r="AU47" i="7" s="1"/>
  <c r="AK47" i="7"/>
  <c r="AL47" i="7" s="1"/>
  <c r="AN47" i="7" s="1"/>
  <c r="AP41" i="7"/>
  <c r="AQ41" i="7" s="1"/>
  <c r="AS41" i="7" s="1"/>
  <c r="AU41" i="7" s="1"/>
  <c r="AJ41" i="7"/>
  <c r="AL41" i="7" s="1"/>
  <c r="AN41" i="7" s="1"/>
  <c r="AJ276" i="7"/>
  <c r="AP276" i="7"/>
  <c r="AQ276" i="7" s="1"/>
  <c r="AS276" i="7" s="1"/>
  <c r="AU276" i="7" s="1"/>
  <c r="AK276" i="7"/>
  <c r="AJ275" i="7"/>
  <c r="AK275" i="7"/>
  <c r="AJ549" i="7"/>
  <c r="AP549" i="7"/>
  <c r="AQ549" i="7" s="1"/>
  <c r="AS549" i="7" s="1"/>
  <c r="AU549" i="7" s="1"/>
  <c r="AK549" i="7"/>
  <c r="AJ249" i="7"/>
  <c r="AK249" i="7"/>
  <c r="AJ569" i="7"/>
  <c r="AL569" i="7" s="1"/>
  <c r="AN569" i="7" s="1"/>
  <c r="AP569" i="7"/>
  <c r="AQ569" i="7" s="1"/>
  <c r="AS569" i="7" s="1"/>
  <c r="AU569" i="7" s="1"/>
  <c r="AP8" i="6"/>
  <c r="AQ8" i="6" s="1"/>
  <c r="AJ8" i="6"/>
  <c r="AP7" i="6"/>
  <c r="AQ7" i="6" s="1"/>
  <c r="AR7" i="6" s="1"/>
  <c r="AU7" i="6" s="1"/>
  <c r="AJ7" i="6"/>
  <c r="AP21" i="6"/>
  <c r="AQ21" i="6" s="1"/>
  <c r="AR21" i="6" s="1"/>
  <c r="AU21" i="6" s="1"/>
  <c r="AJ21" i="6"/>
  <c r="AL21" i="6" s="1"/>
  <c r="AN21" i="6" s="1"/>
  <c r="AP13" i="6"/>
  <c r="AQ13" i="6" s="1"/>
  <c r="AR13" i="6" s="1"/>
  <c r="AU13" i="6" s="1"/>
  <c r="AJ13" i="6"/>
  <c r="AJ23" i="6"/>
  <c r="AP31" i="6"/>
  <c r="AQ31" i="6" s="1"/>
  <c r="AR31" i="6" s="1"/>
  <c r="AU31" i="6" s="1"/>
  <c r="AJ31" i="6"/>
  <c r="AP42" i="6"/>
  <c r="AQ42" i="6" s="1"/>
  <c r="AR42" i="6" s="1"/>
  <c r="AU42" i="6" s="1"/>
  <c r="AJ42" i="6"/>
  <c r="Y22" i="6"/>
  <c r="Z505" i="7"/>
  <c r="AL499" i="7"/>
  <c r="AN499" i="7" s="1"/>
  <c r="AO499" i="7" s="1"/>
  <c r="AK457" i="7"/>
  <c r="AK485" i="7"/>
  <c r="AL485" i="7" s="1"/>
  <c r="AN485" i="7" s="1"/>
  <c r="AO485" i="7" s="1"/>
  <c r="AJ189" i="7"/>
  <c r="AL189" i="7" s="1"/>
  <c r="AN189" i="7" s="1"/>
  <c r="AD4" i="7"/>
  <c r="AE4" i="7"/>
  <c r="AJ314" i="7"/>
  <c r="AL314" i="7" s="1"/>
  <c r="AN314" i="7" s="1"/>
  <c r="AO314" i="7" s="1"/>
  <c r="AP189" i="7"/>
  <c r="AQ189" i="7" s="1"/>
  <c r="AS189" i="7" s="1"/>
  <c r="AU189" i="7" s="1"/>
  <c r="Z4" i="7"/>
  <c r="Y4" i="7"/>
  <c r="AE460" i="7"/>
  <c r="AD460" i="7"/>
  <c r="AI161" i="6"/>
  <c r="AJ161" i="6" s="1"/>
  <c r="AI158" i="6"/>
  <c r="AJ158" i="6" s="1"/>
  <c r="AI156" i="6"/>
  <c r="AJ156" i="6" s="1"/>
  <c r="AI152" i="6"/>
  <c r="AJ152" i="6" s="1"/>
  <c r="AI128" i="6"/>
  <c r="AJ128" i="6" s="1"/>
  <c r="AI113" i="6"/>
  <c r="AJ113" i="6" s="1"/>
  <c r="AI61" i="6"/>
  <c r="AJ61" i="6" s="1"/>
  <c r="AI51" i="6"/>
  <c r="AJ51" i="6" s="1"/>
  <c r="AI168" i="6"/>
  <c r="AJ168" i="6" s="1"/>
  <c r="AI147" i="6"/>
  <c r="AJ147" i="6" s="1"/>
  <c r="AI65" i="6"/>
  <c r="AJ65" i="6" s="1"/>
  <c r="AI85" i="6"/>
  <c r="AJ85" i="6" s="1"/>
  <c r="AI50" i="6"/>
  <c r="AJ50" i="6" s="1"/>
  <c r="AI153" i="6"/>
  <c r="AJ153" i="6" s="1"/>
  <c r="AI173" i="6"/>
  <c r="AJ173" i="6" s="1"/>
  <c r="AI112" i="6"/>
  <c r="AJ112" i="6" s="1"/>
  <c r="AI99" i="6"/>
  <c r="AJ99" i="6" s="1"/>
  <c r="AI106" i="6"/>
  <c r="AJ106" i="6" s="1"/>
  <c r="AI96" i="6"/>
  <c r="AJ96" i="6" s="1"/>
  <c r="AI126" i="6"/>
  <c r="AJ126" i="6" s="1"/>
  <c r="AI100" i="6"/>
  <c r="AJ100" i="6" s="1"/>
  <c r="AI45" i="6"/>
  <c r="AJ45" i="6" s="1"/>
  <c r="AI88" i="6"/>
  <c r="AJ88" i="6" s="1"/>
  <c r="AI63" i="6"/>
  <c r="AJ63" i="6" s="1"/>
  <c r="U63" i="6"/>
  <c r="AI53" i="6"/>
  <c r="AJ53" i="6" s="1"/>
  <c r="AI47" i="6"/>
  <c r="AJ47" i="6" s="1"/>
  <c r="AI102" i="6"/>
  <c r="AJ102" i="6" s="1"/>
  <c r="AI122" i="6"/>
  <c r="AJ122" i="6" s="1"/>
  <c r="U122" i="6"/>
  <c r="AI94" i="6"/>
  <c r="AJ94" i="6" s="1"/>
  <c r="AI142" i="6"/>
  <c r="AJ142" i="6" s="1"/>
  <c r="AI86" i="6"/>
  <c r="AJ86" i="6" s="1"/>
  <c r="AI91" i="6"/>
  <c r="AJ91" i="6" s="1"/>
  <c r="AI80" i="6"/>
  <c r="AJ80" i="6" s="1"/>
  <c r="AI46" i="6"/>
  <c r="AJ46" i="6" s="1"/>
  <c r="AI160" i="6"/>
  <c r="AJ160" i="6" s="1"/>
  <c r="AI155" i="6"/>
  <c r="AJ155" i="6" s="1"/>
  <c r="AI134" i="6"/>
  <c r="AJ134" i="6" s="1"/>
  <c r="AI97" i="6"/>
  <c r="AJ97" i="6" s="1"/>
  <c r="AI131" i="6"/>
  <c r="AJ131" i="6" s="1"/>
  <c r="AI117" i="6"/>
  <c r="AJ117" i="6" s="1"/>
  <c r="AI145" i="6"/>
  <c r="AJ145" i="6" s="1"/>
  <c r="AI55" i="6"/>
  <c r="AJ55" i="6" s="1"/>
  <c r="AI159" i="6"/>
  <c r="AJ159" i="6" s="1"/>
  <c r="AI150" i="6"/>
  <c r="AJ150" i="6" s="1"/>
  <c r="AI140" i="6"/>
  <c r="AJ140" i="6" s="1"/>
  <c r="AI138" i="6"/>
  <c r="AJ138" i="6" s="1"/>
  <c r="AI130" i="6"/>
  <c r="AJ130" i="6" s="1"/>
  <c r="AI59" i="6"/>
  <c r="AJ59" i="6" s="1"/>
  <c r="AI69" i="6"/>
  <c r="AJ69" i="6" s="1"/>
  <c r="AI162" i="6"/>
  <c r="AJ162" i="6" s="1"/>
  <c r="AI149" i="6"/>
  <c r="AJ149" i="6" s="1"/>
  <c r="U149" i="6"/>
  <c r="AI119" i="6"/>
  <c r="AJ119" i="6" s="1"/>
  <c r="AI129" i="6"/>
  <c r="AJ129" i="6" s="1"/>
  <c r="AI81" i="6"/>
  <c r="AJ81" i="6" s="1"/>
  <c r="AI54" i="6"/>
  <c r="AJ54" i="6" s="1"/>
  <c r="AI166" i="6"/>
  <c r="AJ166" i="6" s="1"/>
  <c r="U166" i="6"/>
  <c r="AP115" i="6"/>
  <c r="AQ115" i="6" s="1"/>
  <c r="AR115" i="6" s="1"/>
  <c r="AU115" i="6" s="1"/>
  <c r="AI104" i="6"/>
  <c r="AJ104" i="6" s="1"/>
  <c r="AI98" i="6"/>
  <c r="AJ98" i="6" s="1"/>
  <c r="AI146" i="6"/>
  <c r="AJ146" i="6" s="1"/>
  <c r="AI132" i="6"/>
  <c r="AJ132" i="6" s="1"/>
  <c r="AI118" i="6"/>
  <c r="AJ118" i="6" s="1"/>
  <c r="U118" i="6"/>
  <c r="AI71" i="6"/>
  <c r="AJ71" i="6" s="1"/>
  <c r="AK127" i="6"/>
  <c r="AL127" i="6" s="1"/>
  <c r="AP127" i="6"/>
  <c r="AQ127" i="6" s="1"/>
  <c r="AR127" i="6" s="1"/>
  <c r="AU127" i="6" s="1"/>
  <c r="AI163" i="6"/>
  <c r="AJ163" i="6" s="1"/>
  <c r="AI154" i="6"/>
  <c r="AJ154" i="6" s="1"/>
  <c r="AI148" i="6"/>
  <c r="AJ148" i="6" s="1"/>
  <c r="AI84" i="6"/>
  <c r="AJ84" i="6" s="1"/>
  <c r="AI73" i="6"/>
  <c r="AJ73" i="6" s="1"/>
  <c r="AI57" i="6"/>
  <c r="AJ57" i="6" s="1"/>
  <c r="AI178" i="6"/>
  <c r="AJ178" i="6" s="1"/>
  <c r="AI123" i="6"/>
  <c r="AJ123" i="6" s="1"/>
  <c r="AI111" i="6"/>
  <c r="AJ111" i="6" s="1"/>
  <c r="AI95" i="6"/>
  <c r="AJ95" i="6" s="1"/>
  <c r="AI133" i="6"/>
  <c r="AJ133" i="6" s="1"/>
  <c r="AI62" i="6"/>
  <c r="AJ62" i="6" s="1"/>
  <c r="AI66" i="6"/>
  <c r="AJ66" i="6" s="1"/>
  <c r="AP237" i="7"/>
  <c r="AQ237" i="7" s="1"/>
  <c r="AS237" i="7" s="1"/>
  <c r="AU237" i="7" s="1"/>
  <c r="AJ489" i="7"/>
  <c r="AK153" i="7"/>
  <c r="AL153" i="7" s="1"/>
  <c r="AN153" i="7" s="1"/>
  <c r="Z151" i="6"/>
  <c r="Y151" i="6"/>
  <c r="AE81" i="6"/>
  <c r="AD81" i="6"/>
  <c r="AD132" i="6"/>
  <c r="AE132" i="6"/>
  <c r="AD76" i="6"/>
  <c r="AE76" i="6"/>
  <c r="AD47" i="6"/>
  <c r="AE47" i="6"/>
  <c r="AD166" i="6"/>
  <c r="AE166" i="6"/>
  <c r="Z107" i="6"/>
  <c r="Y107" i="6"/>
  <c r="Z102" i="6"/>
  <c r="Y102" i="6"/>
  <c r="Y119" i="6"/>
  <c r="Z119" i="6"/>
  <c r="AE133" i="6"/>
  <c r="AD133" i="6"/>
  <c r="Z142" i="6"/>
  <c r="Y142" i="6"/>
  <c r="AE154" i="6"/>
  <c r="AD154" i="6"/>
  <c r="Y139" i="6"/>
  <c r="Z139" i="6"/>
  <c r="Y101" i="6"/>
  <c r="Z101" i="6"/>
  <c r="Z66" i="6"/>
  <c r="Y66" i="6"/>
  <c r="Z115" i="6"/>
  <c r="Y115" i="6"/>
  <c r="AE92" i="6"/>
  <c r="AD92" i="6"/>
  <c r="Y134" i="6"/>
  <c r="Z134" i="6"/>
  <c r="Z61" i="6"/>
  <c r="Y61" i="6"/>
  <c r="Z50" i="6"/>
  <c r="Y50" i="6"/>
  <c r="AE82" i="6"/>
  <c r="AD82" i="6"/>
  <c r="AE148" i="6"/>
  <c r="AD148" i="6"/>
  <c r="AE140" i="6"/>
  <c r="AD140" i="6"/>
  <c r="X174" i="6"/>
  <c r="Z54" i="6"/>
  <c r="Y54" i="6"/>
  <c r="AD65" i="6"/>
  <c r="AE65" i="6"/>
  <c r="Y52" i="6"/>
  <c r="Z52" i="6"/>
  <c r="AE48" i="6"/>
  <c r="AD48" i="6"/>
  <c r="AD93" i="6"/>
  <c r="AE93" i="6"/>
  <c r="AD156" i="6"/>
  <c r="AE156" i="6"/>
  <c r="AE165" i="6"/>
  <c r="AD165" i="6"/>
  <c r="Z168" i="6"/>
  <c r="Y168" i="6"/>
  <c r="Z64" i="6"/>
  <c r="Y64" i="6"/>
  <c r="Y135" i="6"/>
  <c r="Z135" i="6"/>
  <c r="Z173" i="6"/>
  <c r="Y173" i="6"/>
  <c r="AE178" i="6"/>
  <c r="AD178" i="6"/>
  <c r="AD112" i="6"/>
  <c r="AE112" i="6"/>
  <c r="Y147" i="6"/>
  <c r="Z147" i="6"/>
  <c r="AE99" i="6"/>
  <c r="AD99" i="6"/>
  <c r="Y96" i="6"/>
  <c r="Z96" i="6"/>
  <c r="Z122" i="6"/>
  <c r="Y122" i="6"/>
  <c r="Z103" i="6"/>
  <c r="Y103" i="6"/>
  <c r="Y56" i="6"/>
  <c r="Z56" i="6"/>
  <c r="AE60" i="6"/>
  <c r="AD60" i="6"/>
  <c r="AD171" i="6"/>
  <c r="AE171" i="6"/>
  <c r="AD108" i="6"/>
  <c r="AE108" i="6"/>
  <c r="Z83" i="6"/>
  <c r="Y83" i="6"/>
  <c r="Y44" i="6"/>
  <c r="Z44" i="6"/>
  <c r="AE89" i="6"/>
  <c r="AD89" i="6"/>
  <c r="AD98" i="6"/>
  <c r="AE98" i="6"/>
  <c r="AD130" i="6"/>
  <c r="AE130" i="6"/>
  <c r="AD170" i="6"/>
  <c r="AE170" i="6"/>
  <c r="AE144" i="6"/>
  <c r="AD144" i="6"/>
  <c r="Y59" i="6"/>
  <c r="Z59" i="6"/>
  <c r="Z105" i="6"/>
  <c r="Y105" i="6"/>
  <c r="Z90" i="6"/>
  <c r="Y90" i="6"/>
  <c r="X164" i="6"/>
  <c r="AD57" i="6"/>
  <c r="AE57" i="6"/>
  <c r="Z74" i="6"/>
  <c r="Y74" i="6"/>
  <c r="Z155" i="6"/>
  <c r="Y155" i="6"/>
  <c r="AD94" i="6"/>
  <c r="AE94" i="6"/>
  <c r="AD45" i="6"/>
  <c r="AE45" i="6"/>
  <c r="AE158" i="6"/>
  <c r="AD158" i="6"/>
  <c r="AD151" i="6"/>
  <c r="AE151" i="6"/>
  <c r="Y81" i="6"/>
  <c r="Z81" i="6"/>
  <c r="Z76" i="6"/>
  <c r="Y76" i="6"/>
  <c r="Y47" i="6"/>
  <c r="Z47" i="6"/>
  <c r="Z166" i="6"/>
  <c r="Y166" i="6"/>
  <c r="AE107" i="6"/>
  <c r="AD107" i="6"/>
  <c r="AE102" i="6"/>
  <c r="AD102" i="6"/>
  <c r="AE119" i="6"/>
  <c r="AD119" i="6"/>
  <c r="AE142" i="6"/>
  <c r="AD142" i="6"/>
  <c r="Z154" i="6"/>
  <c r="Y154" i="6"/>
  <c r="AD139" i="6"/>
  <c r="AE139" i="6"/>
  <c r="AD101" i="6"/>
  <c r="AE101" i="6"/>
  <c r="AD66" i="6"/>
  <c r="AE66" i="6"/>
  <c r="AE115" i="6"/>
  <c r="AD115" i="6"/>
  <c r="Z92" i="6"/>
  <c r="Y92" i="6"/>
  <c r="AD134" i="6"/>
  <c r="AE134" i="6"/>
  <c r="AE61" i="6"/>
  <c r="AD61" i="6"/>
  <c r="AD50" i="6"/>
  <c r="AE50" i="6"/>
  <c r="Z82" i="6"/>
  <c r="Y82" i="6"/>
  <c r="Z148" i="6"/>
  <c r="Y148" i="6"/>
  <c r="X140" i="6"/>
  <c r="AE174" i="6"/>
  <c r="AD174" i="6"/>
  <c r="AD54" i="6"/>
  <c r="AE54" i="6"/>
  <c r="Y65" i="6"/>
  <c r="Z65" i="6"/>
  <c r="AD120" i="6"/>
  <c r="AE120" i="6"/>
  <c r="Z100" i="6"/>
  <c r="Y100" i="6"/>
  <c r="AD51" i="6"/>
  <c r="AE51" i="6"/>
  <c r="AD110" i="6"/>
  <c r="AE110" i="6"/>
  <c r="AD121" i="6"/>
  <c r="AE121" i="6"/>
  <c r="AD91" i="6"/>
  <c r="AE91" i="6"/>
  <c r="Y75" i="6"/>
  <c r="Z75" i="6"/>
  <c r="AD69" i="6"/>
  <c r="AE69" i="6"/>
  <c r="Z136" i="6"/>
  <c r="Y136" i="6"/>
  <c r="AE70" i="6"/>
  <c r="AD70" i="6"/>
  <c r="AE129" i="6"/>
  <c r="AD129" i="6"/>
  <c r="Z137" i="6"/>
  <c r="Y137" i="6"/>
  <c r="AD161" i="6"/>
  <c r="AE161" i="6"/>
  <c r="AE83" i="6"/>
  <c r="AD83" i="6"/>
  <c r="AE44" i="6"/>
  <c r="AD44" i="6"/>
  <c r="Z89" i="6"/>
  <c r="Y89" i="6"/>
  <c r="Y98" i="6"/>
  <c r="Z98" i="6"/>
  <c r="Z130" i="6"/>
  <c r="Y130" i="6"/>
  <c r="Y170" i="6"/>
  <c r="Z170" i="6"/>
  <c r="Y144" i="6"/>
  <c r="Z144" i="6"/>
  <c r="AD59" i="6"/>
  <c r="AE59" i="6"/>
  <c r="AD105" i="6"/>
  <c r="AE105" i="6"/>
  <c r="AE90" i="6"/>
  <c r="AD90" i="6"/>
  <c r="AD164" i="6"/>
  <c r="AE164" i="6"/>
  <c r="Y57" i="6"/>
  <c r="Z57" i="6"/>
  <c r="AD74" i="6"/>
  <c r="AE74" i="6"/>
  <c r="AD155" i="6"/>
  <c r="AE155" i="6"/>
  <c r="Y94" i="6"/>
  <c r="Z94" i="6"/>
  <c r="Y45" i="6"/>
  <c r="Z45" i="6"/>
  <c r="Y158" i="6"/>
  <c r="Z158" i="6"/>
  <c r="AD73" i="6"/>
  <c r="AE73" i="6"/>
  <c r="Y113" i="6"/>
  <c r="Z113" i="6"/>
  <c r="Y62" i="6"/>
  <c r="Z62" i="6"/>
  <c r="AE84" i="6"/>
  <c r="AD84" i="6"/>
  <c r="AD58" i="6"/>
  <c r="AE58" i="6"/>
  <c r="AE86" i="6"/>
  <c r="AD86" i="6"/>
  <c r="Z68" i="6"/>
  <c r="Y68" i="6"/>
  <c r="AE143" i="6"/>
  <c r="AD143" i="6"/>
  <c r="Y127" i="6"/>
  <c r="Z127" i="6"/>
  <c r="AE177" i="6"/>
  <c r="AD177" i="6"/>
  <c r="Y78" i="6"/>
  <c r="Z78" i="6"/>
  <c r="AE117" i="6"/>
  <c r="AD117" i="6"/>
  <c r="Y149" i="6"/>
  <c r="Z149" i="6"/>
  <c r="Z138" i="6"/>
  <c r="Y138" i="6"/>
  <c r="AE118" i="6"/>
  <c r="AD118" i="6"/>
  <c r="Z159" i="6"/>
  <c r="Y159" i="6"/>
  <c r="Z97" i="6"/>
  <c r="Y97" i="6"/>
  <c r="Z67" i="6"/>
  <c r="Y67" i="6"/>
  <c r="AD49" i="6"/>
  <c r="AE49" i="6"/>
  <c r="AE167" i="6"/>
  <c r="AD167" i="6"/>
  <c r="Z46" i="6"/>
  <c r="Y46" i="6"/>
  <c r="Z153" i="6"/>
  <c r="Y153" i="6"/>
  <c r="AE111" i="6"/>
  <c r="AD111" i="6"/>
  <c r="Y141" i="6"/>
  <c r="Z141" i="6"/>
  <c r="AE169" i="6"/>
  <c r="AD169" i="6"/>
  <c r="Y95" i="6"/>
  <c r="Z95" i="6"/>
  <c r="Z146" i="6"/>
  <c r="Y146" i="6"/>
  <c r="AD71" i="6"/>
  <c r="AE71" i="6"/>
  <c r="Z53" i="6"/>
  <c r="Y53" i="6"/>
  <c r="Z120" i="6"/>
  <c r="Y120" i="6"/>
  <c r="AE100" i="6"/>
  <c r="AD100" i="6"/>
  <c r="Z51" i="6"/>
  <c r="Y51" i="6"/>
  <c r="Y110" i="6"/>
  <c r="Z110" i="6"/>
  <c r="Z121" i="6"/>
  <c r="Y121" i="6"/>
  <c r="Z91" i="6"/>
  <c r="Y91" i="6"/>
  <c r="AE75" i="6"/>
  <c r="AD75" i="6"/>
  <c r="Y69" i="6"/>
  <c r="Z69" i="6"/>
  <c r="AD136" i="6"/>
  <c r="AE136" i="6"/>
  <c r="Z70" i="6"/>
  <c r="Y70" i="6"/>
  <c r="Y129" i="6"/>
  <c r="Z129" i="6"/>
  <c r="AE137" i="6"/>
  <c r="AD137" i="6"/>
  <c r="Y161" i="6"/>
  <c r="Z161" i="6"/>
  <c r="Y55" i="6"/>
  <c r="Z55" i="6"/>
  <c r="Z79" i="6"/>
  <c r="Y79" i="6"/>
  <c r="Z145" i="6"/>
  <c r="Y145" i="6"/>
  <c r="Z88" i="6"/>
  <c r="Y88" i="6"/>
  <c r="Z123" i="6"/>
  <c r="Y123" i="6"/>
  <c r="Z125" i="6"/>
  <c r="Y125" i="6"/>
  <c r="AD175" i="6"/>
  <c r="AE175" i="6"/>
  <c r="AD106" i="6"/>
  <c r="AE106" i="6"/>
  <c r="Y131" i="6"/>
  <c r="Z131" i="6"/>
  <c r="Y63" i="6"/>
  <c r="Z63" i="6"/>
  <c r="AD163" i="6"/>
  <c r="AE163" i="6"/>
  <c r="Z179" i="6"/>
  <c r="Y179" i="6"/>
  <c r="Y85" i="6"/>
  <c r="Z85" i="6"/>
  <c r="AD77" i="6"/>
  <c r="AE77" i="6"/>
  <c r="Z116" i="6"/>
  <c r="Y116" i="6"/>
  <c r="AD113" i="6"/>
  <c r="AE113" i="6"/>
  <c r="AE62" i="6"/>
  <c r="AD62" i="6"/>
  <c r="Z84" i="6"/>
  <c r="Y84" i="6"/>
  <c r="Z58" i="6"/>
  <c r="Y58" i="6"/>
  <c r="Z86" i="6"/>
  <c r="Y86" i="6"/>
  <c r="AE68" i="6"/>
  <c r="AD68" i="6"/>
  <c r="Z143" i="6"/>
  <c r="Y143" i="6"/>
  <c r="AE127" i="6"/>
  <c r="AD127" i="6"/>
  <c r="AE78" i="6"/>
  <c r="AD78" i="6"/>
  <c r="Z117" i="6"/>
  <c r="Y117" i="6"/>
  <c r="AE149" i="6"/>
  <c r="AD149" i="6"/>
  <c r="AE138" i="6"/>
  <c r="AD138" i="6"/>
  <c r="AE159" i="6"/>
  <c r="AD159" i="6"/>
  <c r="AD97" i="6"/>
  <c r="AE97" i="6"/>
  <c r="AD67" i="6"/>
  <c r="AE67" i="6"/>
  <c r="Y49" i="6"/>
  <c r="Z49" i="6"/>
  <c r="Z167" i="6"/>
  <c r="Y167" i="6"/>
  <c r="AE46" i="6"/>
  <c r="AD46" i="6"/>
  <c r="AE153" i="6"/>
  <c r="AD153" i="6"/>
  <c r="Y111" i="6"/>
  <c r="Z111" i="6"/>
  <c r="AE176" i="6"/>
  <c r="AD176" i="6"/>
  <c r="AD141" i="6"/>
  <c r="AE141" i="6"/>
  <c r="Z169" i="6"/>
  <c r="Y169" i="6"/>
  <c r="AD95" i="6"/>
  <c r="AE95" i="6"/>
  <c r="AE146" i="6"/>
  <c r="AD146" i="6"/>
  <c r="AD72" i="6"/>
  <c r="AE72" i="6"/>
  <c r="Y71" i="6"/>
  <c r="Z71" i="6"/>
  <c r="AE53" i="6"/>
  <c r="AD53" i="6"/>
  <c r="AD52" i="6"/>
  <c r="AE52" i="6"/>
  <c r="Z48" i="6"/>
  <c r="Y48" i="6"/>
  <c r="Y93" i="6"/>
  <c r="Z93" i="6"/>
  <c r="Z156" i="6"/>
  <c r="Y156" i="6"/>
  <c r="Z165" i="6"/>
  <c r="Y165" i="6"/>
  <c r="AD168" i="6"/>
  <c r="AE168" i="6"/>
  <c r="AE87" i="6"/>
  <c r="AD87" i="6"/>
  <c r="AD64" i="6"/>
  <c r="AE64" i="6"/>
  <c r="AD135" i="6"/>
  <c r="AE135" i="6"/>
  <c r="AD173" i="6"/>
  <c r="AE173" i="6"/>
  <c r="Y112" i="6"/>
  <c r="Z112" i="6"/>
  <c r="AE147" i="6"/>
  <c r="AD147" i="6"/>
  <c r="Y99" i="6"/>
  <c r="Z99" i="6"/>
  <c r="AD96" i="6"/>
  <c r="AE96" i="6"/>
  <c r="AE122" i="6"/>
  <c r="AD122" i="6"/>
  <c r="AE103" i="6"/>
  <c r="AD103" i="6"/>
  <c r="AE56" i="6"/>
  <c r="AD56" i="6"/>
  <c r="Y60" i="6"/>
  <c r="Z60" i="6"/>
  <c r="Z171" i="6"/>
  <c r="Y171" i="6"/>
  <c r="Y108" i="6"/>
  <c r="Z108" i="6"/>
  <c r="AD55" i="6"/>
  <c r="AE55" i="6"/>
  <c r="AE79" i="6"/>
  <c r="AD79" i="6"/>
  <c r="AE145" i="6"/>
  <c r="AD145" i="6"/>
  <c r="AD88" i="6"/>
  <c r="AE88" i="6"/>
  <c r="AD123" i="6"/>
  <c r="AE123" i="6"/>
  <c r="AD125" i="6"/>
  <c r="AE125" i="6"/>
  <c r="Z175" i="6"/>
  <c r="Y175" i="6"/>
  <c r="Z106" i="6"/>
  <c r="Y106" i="6"/>
  <c r="AD131" i="6"/>
  <c r="AE131" i="6"/>
  <c r="AD63" i="6"/>
  <c r="AE63" i="6"/>
  <c r="Z163" i="6"/>
  <c r="Y163" i="6"/>
  <c r="AE179" i="6"/>
  <c r="AD179" i="6"/>
  <c r="AD85" i="6"/>
  <c r="AE85" i="6"/>
  <c r="Z77" i="6"/>
  <c r="Y77" i="6"/>
  <c r="AD116" i="6"/>
  <c r="AE116" i="6"/>
  <c r="AK31" i="6"/>
  <c r="Y428" i="7"/>
  <c r="Z11" i="6"/>
  <c r="AK42" i="6"/>
  <c r="AK24" i="6"/>
  <c r="AK473" i="7"/>
  <c r="AP133" i="7"/>
  <c r="AQ133" i="7" s="1"/>
  <c r="AS133" i="7" s="1"/>
  <c r="AU133" i="7" s="1"/>
  <c r="AJ187" i="7"/>
  <c r="AP314" i="7"/>
  <c r="AQ314" i="7" s="1"/>
  <c r="AS314" i="7" s="1"/>
  <c r="AU314" i="7" s="1"/>
  <c r="AK160" i="7"/>
  <c r="AK531" i="7"/>
  <c r="AL531" i="7" s="1"/>
  <c r="AN531" i="7" s="1"/>
  <c r="AJ260" i="7"/>
  <c r="AK193" i="7"/>
  <c r="AJ29" i="7"/>
  <c r="AP353" i="7"/>
  <c r="AQ353" i="7" s="1"/>
  <c r="AS353" i="7" s="1"/>
  <c r="AU353" i="7" s="1"/>
  <c r="AK106" i="7"/>
  <c r="AJ160" i="7"/>
  <c r="AK57" i="7"/>
  <c r="AJ548" i="7"/>
  <c r="AK548" i="7"/>
  <c r="AK246" i="7"/>
  <c r="AK260" i="7"/>
  <c r="AP531" i="7"/>
  <c r="AQ531" i="7" s="1"/>
  <c r="AS531" i="7" s="1"/>
  <c r="AU531" i="7" s="1"/>
  <c r="AP548" i="7"/>
  <c r="AQ548" i="7" s="1"/>
  <c r="AS548" i="7" s="1"/>
  <c r="AU548" i="7" s="1"/>
  <c r="AP153" i="7"/>
  <c r="AQ153" i="7" s="1"/>
  <c r="AS153" i="7" s="1"/>
  <c r="AU153" i="7" s="1"/>
  <c r="AJ506" i="7"/>
  <c r="AL506" i="7" s="1"/>
  <c r="AN506" i="7" s="1"/>
  <c r="AJ121" i="7"/>
  <c r="AL121" i="7" s="1"/>
  <c r="AN121" i="7" s="1"/>
  <c r="AK29" i="7"/>
  <c r="AJ161" i="7"/>
  <c r="AJ473" i="7"/>
  <c r="AP129" i="7"/>
  <c r="AQ129" i="7" s="1"/>
  <c r="AS129" i="7" s="1"/>
  <c r="AU129" i="7" s="1"/>
  <c r="AK129" i="7"/>
  <c r="AL129" i="7" s="1"/>
  <c r="AN129" i="7" s="1"/>
  <c r="AP121" i="7"/>
  <c r="AQ121" i="7" s="1"/>
  <c r="AS121" i="7" s="1"/>
  <c r="AU121" i="7" s="1"/>
  <c r="AK547" i="7"/>
  <c r="AJ17" i="7"/>
  <c r="AL17" i="7" s="1"/>
  <c r="AN17" i="7" s="1"/>
  <c r="AP292" i="7"/>
  <c r="AQ292" i="7" s="1"/>
  <c r="AS292" i="7" s="1"/>
  <c r="AU292" i="7" s="1"/>
  <c r="AK16" i="7"/>
  <c r="AJ292" i="7"/>
  <c r="AL292" i="7" s="1"/>
  <c r="AN292" i="7" s="1"/>
  <c r="AJ532" i="7"/>
  <c r="AL532" i="7" s="1"/>
  <c r="AN532" i="7" s="1"/>
  <c r="AO532" i="7" s="1"/>
  <c r="AK348" i="7"/>
  <c r="AJ568" i="7"/>
  <c r="AJ533" i="7"/>
  <c r="AK533" i="7"/>
  <c r="AJ28" i="7"/>
  <c r="AJ181" i="7"/>
  <c r="AP17" i="7"/>
  <c r="AQ17" i="7" s="1"/>
  <c r="AS17" i="7" s="1"/>
  <c r="AU17" i="7" s="1"/>
  <c r="AK43" i="6"/>
  <c r="AP112" i="7"/>
  <c r="AQ112" i="7" s="1"/>
  <c r="AS112" i="7" s="1"/>
  <c r="AU112" i="7" s="1"/>
  <c r="AK112" i="7"/>
  <c r="AL112" i="7" s="1"/>
  <c r="AN112" i="7" s="1"/>
  <c r="AP89" i="7"/>
  <c r="AQ89" i="7" s="1"/>
  <c r="AS89" i="7" s="1"/>
  <c r="AU89" i="7" s="1"/>
  <c r="AK89" i="7"/>
  <c r="AJ89" i="7"/>
  <c r="AK430" i="7"/>
  <c r="AP430" i="7"/>
  <c r="AQ430" i="7" s="1"/>
  <c r="AS430" i="7" s="1"/>
  <c r="AU430" i="7" s="1"/>
  <c r="AJ430" i="7"/>
  <c r="AP30" i="6"/>
  <c r="AQ30" i="6" s="1"/>
  <c r="AR30" i="6" s="1"/>
  <c r="AU30" i="6" s="1"/>
  <c r="AK30" i="6"/>
  <c r="AL30" i="6" s="1"/>
  <c r="AN30" i="6" s="1"/>
  <c r="AJ84" i="7"/>
  <c r="AK84" i="7"/>
  <c r="AP268" i="7"/>
  <c r="AQ268" i="7" s="1"/>
  <c r="AS268" i="7" s="1"/>
  <c r="AU268" i="7" s="1"/>
  <c r="AK268" i="7"/>
  <c r="AJ268" i="7"/>
  <c r="AJ288" i="7"/>
  <c r="AP288" i="7"/>
  <c r="AQ288" i="7" s="1"/>
  <c r="AS288" i="7" s="1"/>
  <c r="AU288" i="7" s="1"/>
  <c r="AK288" i="7"/>
  <c r="AJ164" i="7"/>
  <c r="AK164" i="7"/>
  <c r="AP508" i="7"/>
  <c r="AQ508" i="7" s="1"/>
  <c r="AK508" i="7"/>
  <c r="AJ508" i="7"/>
  <c r="AP459" i="7"/>
  <c r="AQ459" i="7" s="1"/>
  <c r="AS459" i="7" s="1"/>
  <c r="AU459" i="7" s="1"/>
  <c r="AK459" i="7"/>
  <c r="AL459" i="7" s="1"/>
  <c r="AN459" i="7" s="1"/>
  <c r="AP431" i="7"/>
  <c r="AQ431" i="7" s="1"/>
  <c r="AS431" i="7" s="1"/>
  <c r="AU431" i="7" s="1"/>
  <c r="AJ431" i="7"/>
  <c r="AK431" i="7"/>
  <c r="AP40" i="7"/>
  <c r="AQ40" i="7" s="1"/>
  <c r="AS40" i="7" s="1"/>
  <c r="AU40" i="7" s="1"/>
  <c r="AK40" i="7"/>
  <c r="AL40" i="7" s="1"/>
  <c r="AN40" i="7" s="1"/>
  <c r="AJ368" i="7"/>
  <c r="AL368" i="7" s="1"/>
  <c r="AN368" i="7" s="1"/>
  <c r="AP368" i="7"/>
  <c r="AQ368" i="7" s="1"/>
  <c r="AS368" i="7" s="1"/>
  <c r="AU368" i="7" s="1"/>
  <c r="AJ310" i="7"/>
  <c r="AK310" i="7"/>
  <c r="AK241" i="7"/>
  <c r="AJ241" i="7"/>
  <c r="AJ140" i="7"/>
  <c r="AP140" i="7"/>
  <c r="AQ140" i="7" s="1"/>
  <c r="AS140" i="7" s="1"/>
  <c r="AU140" i="7" s="1"/>
  <c r="AK140" i="7"/>
  <c r="AK336" i="7"/>
  <c r="AP336" i="7"/>
  <c r="AQ336" i="7" s="1"/>
  <c r="AS336" i="7" s="1"/>
  <c r="AU336" i="7" s="1"/>
  <c r="AJ336" i="7"/>
  <c r="AP436" i="7"/>
  <c r="AQ436" i="7" s="1"/>
  <c r="AS436" i="7" s="1"/>
  <c r="AU436" i="7" s="1"/>
  <c r="AK436" i="7"/>
  <c r="AL436" i="7" s="1"/>
  <c r="AN436" i="7" s="1"/>
  <c r="AP188" i="7"/>
  <c r="AQ188" i="7" s="1"/>
  <c r="AS188" i="7" s="1"/>
  <c r="AU188" i="7" s="1"/>
  <c r="AK188" i="7"/>
  <c r="AJ188" i="7"/>
  <c r="AJ113" i="7"/>
  <c r="AK113" i="7"/>
  <c r="AP113" i="7"/>
  <c r="AQ113" i="7" s="1"/>
  <c r="AS113" i="7" s="1"/>
  <c r="AU113" i="7" s="1"/>
  <c r="AK373" i="7"/>
  <c r="AJ373" i="7"/>
  <c r="AP373" i="7"/>
  <c r="AQ373" i="7" s="1"/>
  <c r="AS373" i="7" s="1"/>
  <c r="AU373" i="7" s="1"/>
  <c r="AJ364" i="7"/>
  <c r="AK364" i="7"/>
  <c r="AK144" i="7"/>
  <c r="AL144" i="7" s="1"/>
  <c r="AN144" i="7" s="1"/>
  <c r="AO144" i="7" s="1"/>
  <c r="AP144" i="7"/>
  <c r="AQ144" i="7" s="1"/>
  <c r="AS144" i="7" s="1"/>
  <c r="AU144" i="7" s="1"/>
  <c r="AJ264" i="7"/>
  <c r="AP264" i="7"/>
  <c r="AQ264" i="7" s="1"/>
  <c r="AS264" i="7" s="1"/>
  <c r="AU264" i="7" s="1"/>
  <c r="AK264" i="7"/>
  <c r="AP483" i="7"/>
  <c r="AQ483" i="7" s="1"/>
  <c r="AS483" i="7" s="1"/>
  <c r="AU483" i="7" s="1"/>
  <c r="AJ483" i="7"/>
  <c r="AL483" i="7" s="1"/>
  <c r="AN483" i="7" s="1"/>
  <c r="AJ476" i="7"/>
  <c r="AK476" i="7"/>
  <c r="AP476" i="7"/>
  <c r="AQ476" i="7" s="1"/>
  <c r="AS476" i="7" s="1"/>
  <c r="AU476" i="7" s="1"/>
  <c r="AJ530" i="7"/>
  <c r="AP530" i="7"/>
  <c r="AQ530" i="7" s="1"/>
  <c r="AS530" i="7" s="1"/>
  <c r="AK530" i="7"/>
  <c r="AK318" i="7"/>
  <c r="AJ318" i="7"/>
  <c r="AP6" i="6"/>
  <c r="AQ6" i="6" s="1"/>
  <c r="AR6" i="6" s="1"/>
  <c r="AU6" i="6" s="1"/>
  <c r="AK6" i="6"/>
  <c r="AP22" i="6"/>
  <c r="AQ22" i="6" s="1"/>
  <c r="AP11" i="6"/>
  <c r="AQ11" i="6" s="1"/>
  <c r="AR11" i="6" s="1"/>
  <c r="AU11" i="6" s="1"/>
  <c r="AD254" i="7"/>
  <c r="AD510" i="7"/>
  <c r="AD279" i="7"/>
  <c r="AE279" i="7"/>
  <c r="Z22" i="6"/>
  <c r="AD482" i="7"/>
  <c r="AA279" i="7"/>
  <c r="AB279" i="7" s="1"/>
  <c r="Z349" i="7"/>
  <c r="Y349" i="7"/>
  <c r="Y37" i="7"/>
  <c r="Z37" i="7"/>
  <c r="AD119" i="7"/>
  <c r="AE119" i="7"/>
  <c r="Z385" i="7"/>
  <c r="AA385" i="7" s="1"/>
  <c r="AB385" i="7" s="1"/>
  <c r="AD37" i="7"/>
  <c r="AE37" i="7"/>
  <c r="AE349" i="7"/>
  <c r="AD349" i="7"/>
  <c r="Y119" i="7"/>
  <c r="Z119" i="7"/>
  <c r="Z428" i="7"/>
  <c r="AD464" i="7"/>
  <c r="Y505" i="7"/>
  <c r="AA254" i="7"/>
  <c r="AB254" i="7" s="1"/>
  <c r="AE371" i="7"/>
  <c r="AF385" i="7"/>
  <c r="AD371" i="7"/>
  <c r="Z48" i="16"/>
  <c r="AF346" i="7"/>
  <c r="AF118" i="7"/>
  <c r="AA51" i="7"/>
  <c r="AB51" i="7" s="1"/>
  <c r="AF232" i="7"/>
  <c r="AF28" i="6"/>
  <c r="AE16" i="7"/>
  <c r="AD16" i="7"/>
  <c r="AE328" i="7"/>
  <c r="AD328" i="7"/>
  <c r="Z246" i="7"/>
  <c r="Y246" i="7"/>
  <c r="Z363" i="7"/>
  <c r="Y363" i="7"/>
  <c r="Z474" i="7"/>
  <c r="Y474" i="7"/>
  <c r="Z556" i="7"/>
  <c r="Y556" i="7"/>
  <c r="Z551" i="7"/>
  <c r="Y551" i="7"/>
  <c r="Z293" i="7"/>
  <c r="Y293" i="7"/>
  <c r="AD410" i="7"/>
  <c r="AE410" i="7"/>
  <c r="Z528" i="7"/>
  <c r="Y528" i="7"/>
  <c r="AE290" i="7"/>
  <c r="AD290" i="7"/>
  <c r="Y533" i="7"/>
  <c r="Z533" i="7"/>
  <c r="Y336" i="7"/>
  <c r="Z336" i="7"/>
  <c r="Y523" i="7"/>
  <c r="Z523" i="7"/>
  <c r="AE108" i="7"/>
  <c r="AD108" i="7"/>
  <c r="AD193" i="7"/>
  <c r="AE193" i="7"/>
  <c r="Y308" i="7"/>
  <c r="Z308" i="7"/>
  <c r="AD251" i="7"/>
  <c r="AE251" i="7"/>
  <c r="Z243" i="7"/>
  <c r="Y243" i="7"/>
  <c r="Y318" i="7"/>
  <c r="Z318" i="7"/>
  <c r="Y435" i="7"/>
  <c r="Z435" i="7"/>
  <c r="AD546" i="7"/>
  <c r="AE546" i="7"/>
  <c r="AD98" i="7"/>
  <c r="AD329" i="7"/>
  <c r="AE329" i="7"/>
  <c r="Z446" i="7"/>
  <c r="Y446" i="7"/>
  <c r="AE500" i="7"/>
  <c r="AD500" i="7"/>
  <c r="Z495" i="7"/>
  <c r="Y495" i="7"/>
  <c r="AD441" i="7"/>
  <c r="AE441" i="7"/>
  <c r="AD335" i="7"/>
  <c r="AE335" i="7"/>
  <c r="Y561" i="7"/>
  <c r="Z561" i="7"/>
  <c r="AE413" i="7"/>
  <c r="AD413" i="7"/>
  <c r="AE307" i="7"/>
  <c r="AD307" i="7"/>
  <c r="AE469" i="7"/>
  <c r="AD469" i="7"/>
  <c r="Z272" i="7"/>
  <c r="Y272" i="7"/>
  <c r="AD79" i="7"/>
  <c r="AE79" i="7"/>
  <c r="Y136" i="7"/>
  <c r="Z136" i="7"/>
  <c r="Y310" i="7"/>
  <c r="Z310" i="7"/>
  <c r="Y427" i="7"/>
  <c r="Z427" i="7"/>
  <c r="AE538" i="7"/>
  <c r="AD538" i="7"/>
  <c r="AD392" i="7"/>
  <c r="AE392" i="7"/>
  <c r="AD282" i="7"/>
  <c r="AE282" i="7"/>
  <c r="Y399" i="7"/>
  <c r="Z399" i="7"/>
  <c r="AD364" i="7"/>
  <c r="AE364" i="7"/>
  <c r="Y157" i="7"/>
  <c r="Z157" i="7"/>
  <c r="AD321" i="7"/>
  <c r="AE321" i="7"/>
  <c r="Y438" i="7"/>
  <c r="Z438" i="7"/>
  <c r="AD492" i="7"/>
  <c r="AE492" i="7"/>
  <c r="Y487" i="7"/>
  <c r="Z487" i="7"/>
  <c r="Y172" i="7"/>
  <c r="Z172" i="7"/>
  <c r="Y179" i="7"/>
  <c r="Z179" i="7"/>
  <c r="AE343" i="7"/>
  <c r="AD343" i="7"/>
  <c r="AE171" i="7"/>
  <c r="AD171" i="7"/>
  <c r="Y221" i="7"/>
  <c r="Z221" i="7"/>
  <c r="Z115" i="7"/>
  <c r="Y115" i="7"/>
  <c r="Y400" i="7"/>
  <c r="Z400" i="7"/>
  <c r="AD564" i="7"/>
  <c r="AE564" i="7"/>
  <c r="Y559" i="7"/>
  <c r="Z559" i="7"/>
  <c r="Y34" i="6"/>
  <c r="Z34" i="6"/>
  <c r="AD29" i="6"/>
  <c r="AE29" i="6"/>
  <c r="AD541" i="7"/>
  <c r="AE541" i="7"/>
  <c r="AD236" i="7"/>
  <c r="AE236" i="7"/>
  <c r="Z374" i="7"/>
  <c r="Y374" i="7"/>
  <c r="Z515" i="7"/>
  <c r="Y515" i="7"/>
  <c r="Y257" i="7"/>
  <c r="Z257" i="7"/>
  <c r="Z15" i="7"/>
  <c r="Y15" i="7"/>
  <c r="AE65" i="7"/>
  <c r="AD65" i="7"/>
  <c r="AD182" i="7"/>
  <c r="AE182" i="7"/>
  <c r="AE80" i="7"/>
  <c r="AD80" i="7"/>
  <c r="AD129" i="7"/>
  <c r="AE129" i="7"/>
  <c r="Y23" i="7"/>
  <c r="Z23" i="7"/>
  <c r="Z265" i="7"/>
  <c r="Y265" i="7"/>
  <c r="Z382" i="7"/>
  <c r="Y382" i="7"/>
  <c r="Z264" i="7"/>
  <c r="Y264" i="7"/>
  <c r="AA464" i="7"/>
  <c r="AB464" i="7" s="1"/>
  <c r="Y207" i="7"/>
  <c r="Z207" i="7"/>
  <c r="AD87" i="7"/>
  <c r="AE87" i="7"/>
  <c r="Y357" i="7"/>
  <c r="Z357" i="7"/>
  <c r="AE377" i="7"/>
  <c r="AD377" i="7"/>
  <c r="AE271" i="7"/>
  <c r="AD271" i="7"/>
  <c r="AE497" i="7"/>
  <c r="AD497" i="7"/>
  <c r="Z300" i="7"/>
  <c r="Y300" i="7"/>
  <c r="AD42" i="6"/>
  <c r="Y37" i="6"/>
  <c r="Z37" i="6"/>
  <c r="Y90" i="7"/>
  <c r="Z90" i="7"/>
  <c r="Z154" i="7"/>
  <c r="Y154" i="7"/>
  <c r="AD356" i="7"/>
  <c r="AE356" i="7"/>
  <c r="AE569" i="7"/>
  <c r="AD569" i="7"/>
  <c r="Y41" i="6"/>
  <c r="Z41" i="6"/>
  <c r="Y35" i="16"/>
  <c r="Z35" i="16"/>
  <c r="AE200" i="7"/>
  <c r="AD200" i="7"/>
  <c r="Z26" i="7"/>
  <c r="Y26" i="7"/>
  <c r="Z143" i="7"/>
  <c r="Y143" i="7"/>
  <c r="Z62" i="7"/>
  <c r="Y62" i="7"/>
  <c r="Z421" i="7"/>
  <c r="Y421" i="7"/>
  <c r="Y315" i="7"/>
  <c r="Z315" i="7"/>
  <c r="AE477" i="7"/>
  <c r="AD477" i="7"/>
  <c r="AD420" i="7"/>
  <c r="AE420" i="7"/>
  <c r="AD28" i="16"/>
  <c r="AE28" i="16"/>
  <c r="Z449" i="7"/>
  <c r="Y449" i="7"/>
  <c r="Z26" i="6"/>
  <c r="Y26" i="6"/>
  <c r="Z285" i="7"/>
  <c r="Y285" i="7"/>
  <c r="Y456" i="7"/>
  <c r="Z456" i="7"/>
  <c r="Y402" i="7"/>
  <c r="Z402" i="7"/>
  <c r="Y520" i="7"/>
  <c r="Z520" i="7"/>
  <c r="AD44" i="7"/>
  <c r="AE44" i="7"/>
  <c r="AE101" i="7"/>
  <c r="AD101" i="7"/>
  <c r="AD218" i="7"/>
  <c r="AE218" i="7"/>
  <c r="AD244" i="7"/>
  <c r="AE244" i="7"/>
  <c r="Z407" i="7"/>
  <c r="Y407" i="7"/>
  <c r="Y518" i="7"/>
  <c r="Z518" i="7"/>
  <c r="Z98" i="7"/>
  <c r="Y98" i="7"/>
  <c r="AD5" i="16"/>
  <c r="AE5" i="16"/>
  <c r="Y5" i="16"/>
  <c r="Z5" i="16"/>
  <c r="Y8" i="7"/>
  <c r="Z8" i="7"/>
  <c r="AE8" i="7"/>
  <c r="Z329" i="7"/>
  <c r="AE446" i="7"/>
  <c r="Z413" i="7"/>
  <c r="Y413" i="7"/>
  <c r="Z307" i="7"/>
  <c r="AE272" i="7"/>
  <c r="AD528" i="7"/>
  <c r="Y25" i="16"/>
  <c r="AE208" i="7"/>
  <c r="Y34" i="7"/>
  <c r="AD34" i="7"/>
  <c r="AD136" i="7"/>
  <c r="AE136" i="7"/>
  <c r="Y290" i="7"/>
  <c r="AE310" i="7"/>
  <c r="AD427" i="7"/>
  <c r="AD336" i="7"/>
  <c r="Z364" i="7"/>
  <c r="AD523" i="7"/>
  <c r="AE523" i="7"/>
  <c r="Z9" i="7"/>
  <c r="Y9" i="7"/>
  <c r="AD157" i="7"/>
  <c r="Y193" i="7"/>
  <c r="Z492" i="7"/>
  <c r="AD34" i="6"/>
  <c r="Z87" i="7"/>
  <c r="AD357" i="7"/>
  <c r="AE357" i="7"/>
  <c r="Z251" i="7"/>
  <c r="Y251" i="7"/>
  <c r="Z377" i="7"/>
  <c r="Y377" i="7"/>
  <c r="Z271" i="7"/>
  <c r="Y271" i="7"/>
  <c r="Y497" i="7"/>
  <c r="Z497" i="7"/>
  <c r="AE300" i="7"/>
  <c r="AD300" i="7"/>
  <c r="AE318" i="7"/>
  <c r="AD318" i="7"/>
  <c r="AE42" i="6"/>
  <c r="AD154" i="7"/>
  <c r="AE154" i="7"/>
  <c r="Y343" i="7"/>
  <c r="Z343" i="7"/>
  <c r="Y569" i="7"/>
  <c r="AE26" i="6"/>
  <c r="AD215" i="7"/>
  <c r="AE257" i="7"/>
  <c r="AE73" i="7"/>
  <c r="Z126" i="7"/>
  <c r="AD126" i="7"/>
  <c r="AE126" i="7"/>
  <c r="AD164" i="7"/>
  <c r="Y164" i="7"/>
  <c r="AD54" i="7"/>
  <c r="Y54" i="7"/>
  <c r="Z171" i="7"/>
  <c r="AD221" i="7"/>
  <c r="AE26" i="7"/>
  <c r="AD26" i="7"/>
  <c r="AE143" i="7"/>
  <c r="AD143" i="7"/>
  <c r="Y564" i="7"/>
  <c r="Y477" i="7"/>
  <c r="Z477" i="7"/>
  <c r="AD559" i="7"/>
  <c r="Z420" i="7"/>
  <c r="Z6" i="16"/>
  <c r="Y27" i="16"/>
  <c r="Z32" i="16"/>
  <c r="AD32" i="16"/>
  <c r="Z165" i="7"/>
  <c r="AE165" i="7"/>
  <c r="AD59" i="7"/>
  <c r="Y93" i="7"/>
  <c r="AE93" i="7"/>
  <c r="AE121" i="7"/>
  <c r="AD121" i="7"/>
  <c r="Y121" i="7"/>
  <c r="AD15" i="7"/>
  <c r="AE15" i="7"/>
  <c r="Y44" i="7"/>
  <c r="Z182" i="7"/>
  <c r="Z80" i="7"/>
  <c r="Y244" i="7"/>
  <c r="Z244" i="7"/>
  <c r="AD264" i="7"/>
  <c r="AE264" i="7"/>
  <c r="Y28" i="16"/>
  <c r="AE98" i="7"/>
  <c r="AE48" i="16"/>
  <c r="AD48" i="16"/>
  <c r="AE12" i="16"/>
  <c r="AD12" i="16"/>
  <c r="Y12" i="16"/>
  <c r="Z12" i="16"/>
  <c r="Z190" i="7"/>
  <c r="Y190" i="7"/>
  <c r="AD190" i="7"/>
  <c r="AE190" i="7"/>
  <c r="AD8" i="7"/>
  <c r="AD228" i="7"/>
  <c r="AE228" i="7"/>
  <c r="Y228" i="7"/>
  <c r="Z228" i="7"/>
  <c r="Y16" i="7"/>
  <c r="Z16" i="7"/>
  <c r="Y329" i="7"/>
  <c r="AD446" i="7"/>
  <c r="Y500" i="7"/>
  <c r="Z500" i="7"/>
  <c r="AE495" i="7"/>
  <c r="AD495" i="7"/>
  <c r="Y328" i="7"/>
  <c r="Z328" i="7"/>
  <c r="Z441" i="7"/>
  <c r="Y441" i="7"/>
  <c r="AE246" i="7"/>
  <c r="AD246" i="7"/>
  <c r="Y335" i="7"/>
  <c r="Z335" i="7"/>
  <c r="AE363" i="7"/>
  <c r="AD363" i="7"/>
  <c r="AE561" i="7"/>
  <c r="AD561" i="7"/>
  <c r="AD474" i="7"/>
  <c r="AE474" i="7"/>
  <c r="Y307" i="7"/>
  <c r="AE556" i="7"/>
  <c r="AD556" i="7"/>
  <c r="Y469" i="7"/>
  <c r="AE551" i="7"/>
  <c r="AD551" i="7"/>
  <c r="AD272" i="7"/>
  <c r="AE293" i="7"/>
  <c r="Z410" i="7"/>
  <c r="Y410" i="7"/>
  <c r="AE528" i="7"/>
  <c r="AE25" i="16"/>
  <c r="Z208" i="7"/>
  <c r="AD208" i="7"/>
  <c r="Z34" i="7"/>
  <c r="AE34" i="7"/>
  <c r="AE185" i="7"/>
  <c r="AD185" i="7"/>
  <c r="Z185" i="7"/>
  <c r="Y185" i="7"/>
  <c r="Y79" i="7"/>
  <c r="Z290" i="7"/>
  <c r="AD310" i="7"/>
  <c r="AE427" i="7"/>
  <c r="Y538" i="7"/>
  <c r="Y392" i="7"/>
  <c r="Z392" i="7"/>
  <c r="Y282" i="7"/>
  <c r="Z282" i="7"/>
  <c r="AE399" i="7"/>
  <c r="AD399" i="7"/>
  <c r="AD533" i="7"/>
  <c r="AE336" i="7"/>
  <c r="Y364" i="7"/>
  <c r="AD9" i="7"/>
  <c r="Y108" i="7"/>
  <c r="AE157" i="7"/>
  <c r="Z193" i="7"/>
  <c r="Z321" i="7"/>
  <c r="Y321" i="7"/>
  <c r="AE438" i="7"/>
  <c r="AD438" i="7"/>
  <c r="Y492" i="7"/>
  <c r="AE487" i="7"/>
  <c r="AD487" i="7"/>
  <c r="AE34" i="6"/>
  <c r="Y29" i="6"/>
  <c r="Z29" i="6"/>
  <c r="Z41" i="16"/>
  <c r="AD41" i="16"/>
  <c r="AD146" i="7"/>
  <c r="AE146" i="7"/>
  <c r="Y146" i="7"/>
  <c r="Z146" i="7"/>
  <c r="AE207" i="7"/>
  <c r="AD207" i="7"/>
  <c r="Y87" i="7"/>
  <c r="AE308" i="7"/>
  <c r="AD308" i="7"/>
  <c r="AE243" i="7"/>
  <c r="AE435" i="7"/>
  <c r="Z546" i="7"/>
  <c r="Y546" i="7"/>
  <c r="Y33" i="16"/>
  <c r="Z33" i="16"/>
  <c r="AD33" i="16"/>
  <c r="AE33" i="16"/>
  <c r="Y29" i="7"/>
  <c r="Z29" i="7"/>
  <c r="AD29" i="7"/>
  <c r="AE29" i="7"/>
  <c r="Z541" i="7"/>
  <c r="Y541" i="7"/>
  <c r="Y236" i="7"/>
  <c r="AD374" i="7"/>
  <c r="AE449" i="7"/>
  <c r="AE12" i="6"/>
  <c r="Y12" i="6"/>
  <c r="Z12" i="6"/>
  <c r="AE37" i="6"/>
  <c r="AD37" i="6"/>
  <c r="AE90" i="7"/>
  <c r="AD90" i="7"/>
  <c r="AE172" i="7"/>
  <c r="AD172" i="7"/>
  <c r="AE179" i="7"/>
  <c r="AD179" i="7"/>
  <c r="Z356" i="7"/>
  <c r="Y356" i="7"/>
  <c r="Z569" i="7"/>
  <c r="AE38" i="6"/>
  <c r="AD38" i="6"/>
  <c r="Z38" i="6"/>
  <c r="Y38" i="6"/>
  <c r="AE41" i="6"/>
  <c r="AD41" i="6"/>
  <c r="Z229" i="7"/>
  <c r="Y229" i="7"/>
  <c r="AE229" i="7"/>
  <c r="AD229" i="7"/>
  <c r="Z215" i="7"/>
  <c r="AE215" i="7"/>
  <c r="AE285" i="7"/>
  <c r="AD285" i="7"/>
  <c r="AE456" i="7"/>
  <c r="AD515" i="7"/>
  <c r="AE515" i="7"/>
  <c r="AE402" i="7"/>
  <c r="AD402" i="7"/>
  <c r="AD257" i="7"/>
  <c r="AE520" i="7"/>
  <c r="AD520" i="7"/>
  <c r="AE35" i="16"/>
  <c r="AD35" i="16"/>
  <c r="Z73" i="7"/>
  <c r="AD73" i="7"/>
  <c r="Y126" i="7"/>
  <c r="Z151" i="7"/>
  <c r="Y151" i="7"/>
  <c r="AE151" i="7"/>
  <c r="AD151" i="7"/>
  <c r="AE164" i="7"/>
  <c r="Z164" i="7"/>
  <c r="AE54" i="7"/>
  <c r="Z54" i="7"/>
  <c r="Y171" i="7"/>
  <c r="Z200" i="7"/>
  <c r="Y200" i="7"/>
  <c r="AE221" i="7"/>
  <c r="AD115" i="7"/>
  <c r="AD62" i="7"/>
  <c r="AE62" i="7"/>
  <c r="AE400" i="7"/>
  <c r="AE421" i="7"/>
  <c r="AD421" i="7"/>
  <c r="AD315" i="7"/>
  <c r="AE315" i="7"/>
  <c r="Z564" i="7"/>
  <c r="AE559" i="7"/>
  <c r="Y420" i="7"/>
  <c r="Y6" i="16"/>
  <c r="AD6" i="16"/>
  <c r="AE6" i="16"/>
  <c r="AE27" i="16"/>
  <c r="Z27" i="16"/>
  <c r="Y32" i="16"/>
  <c r="AE32" i="16"/>
  <c r="AD116" i="7"/>
  <c r="AE116" i="7"/>
  <c r="Z116" i="7"/>
  <c r="Y116" i="7"/>
  <c r="AE144" i="7"/>
  <c r="Z144" i="7"/>
  <c r="Y165" i="7"/>
  <c r="AD165" i="7"/>
  <c r="Z59" i="7"/>
  <c r="AE59" i="7"/>
  <c r="Z72" i="7"/>
  <c r="Y72" i="7"/>
  <c r="AD72" i="7"/>
  <c r="AE72" i="7"/>
  <c r="Z93" i="7"/>
  <c r="AD93" i="7"/>
  <c r="Z121" i="7"/>
  <c r="AA121" i="7" s="1"/>
  <c r="AB121" i="7" s="1"/>
  <c r="Y210" i="7"/>
  <c r="AE210" i="7"/>
  <c r="Z44" i="7"/>
  <c r="Z65" i="7"/>
  <c r="Y182" i="7"/>
  <c r="Y80" i="7"/>
  <c r="Y101" i="7"/>
  <c r="Z101" i="7"/>
  <c r="Y129" i="7"/>
  <c r="Z129" i="7"/>
  <c r="Z218" i="7"/>
  <c r="Y218" i="7"/>
  <c r="AE23" i="7"/>
  <c r="AD23" i="7"/>
  <c r="AD265" i="7"/>
  <c r="AE265" i="7"/>
  <c r="AE382" i="7"/>
  <c r="AD382" i="7"/>
  <c r="AD407" i="7"/>
  <c r="AD518" i="7"/>
  <c r="AL466" i="7"/>
  <c r="AN466" i="7" s="1"/>
  <c r="AO466" i="7" s="1"/>
  <c r="AL294" i="7"/>
  <c r="AN294" i="7" s="1"/>
  <c r="AL422" i="7"/>
  <c r="AN422" i="7" s="1"/>
  <c r="AU349" i="7"/>
  <c r="AU34" i="6"/>
  <c r="AU496" i="7"/>
  <c r="AU247" i="7"/>
  <c r="AU561" i="7"/>
  <c r="AU354" i="7"/>
  <c r="AU495" i="7"/>
  <c r="AU397" i="7"/>
  <c r="AO252" i="7"/>
  <c r="AL558" i="7"/>
  <c r="AN558" i="7" s="1"/>
  <c r="AO479" i="7"/>
  <c r="AL385" i="7"/>
  <c r="AN385" i="7" s="1"/>
  <c r="AS539" i="7"/>
  <c r="AU539" i="7" s="1"/>
  <c r="AS275" i="7"/>
  <c r="AU275" i="7" s="1"/>
  <c r="AS95" i="7"/>
  <c r="AU95" i="7" s="1"/>
  <c r="AS231" i="7"/>
  <c r="AU231" i="7" s="1"/>
  <c r="AL442" i="7"/>
  <c r="AN442" i="7" s="1"/>
  <c r="AO442" i="7" s="1"/>
  <c r="AL525" i="7"/>
  <c r="AN525" i="7" s="1"/>
  <c r="AL440" i="7"/>
  <c r="AN440" i="7" s="1"/>
  <c r="AS361" i="7"/>
  <c r="AU361" i="7" s="1"/>
  <c r="AU392" i="7"/>
  <c r="AL423" i="7"/>
  <c r="AN423" i="7" s="1"/>
  <c r="AO423" i="7" s="1"/>
  <c r="AL262" i="7"/>
  <c r="AN262" i="7" s="1"/>
  <c r="AL398" i="7"/>
  <c r="AN398" i="7" s="1"/>
  <c r="AU527" i="7"/>
  <c r="AU391" i="7"/>
  <c r="AL233" i="7"/>
  <c r="AN233" i="7" s="1"/>
  <c r="AU381" i="7"/>
  <c r="AS487" i="7"/>
  <c r="AU487" i="7" s="1"/>
  <c r="AL383" i="7"/>
  <c r="AN383" i="7" s="1"/>
  <c r="AL389" i="7"/>
  <c r="AN389" i="7" s="1"/>
  <c r="AL449" i="7"/>
  <c r="AN449" i="7" s="1"/>
  <c r="AS440" i="7"/>
  <c r="AU440" i="7" s="1"/>
  <c r="AS49" i="7"/>
  <c r="AU49" i="7" s="1"/>
  <c r="AS52" i="7"/>
  <c r="AU52" i="7" s="1"/>
  <c r="AS572" i="7"/>
  <c r="AU572" i="7" s="1"/>
  <c r="AL486" i="7"/>
  <c r="AN486" i="7" s="1"/>
  <c r="AS464" i="7"/>
  <c r="AU464" i="7" s="1"/>
  <c r="AU425" i="7"/>
  <c r="AS108" i="7"/>
  <c r="AU108" i="7" s="1"/>
  <c r="AU111" i="7"/>
  <c r="AU316" i="7"/>
  <c r="AS21" i="7"/>
  <c r="AU21" i="7" s="1"/>
  <c r="AS168" i="7"/>
  <c r="AU168" i="7" s="1"/>
  <c r="AU300" i="7"/>
  <c r="AS216" i="7"/>
  <c r="AU216" i="7" s="1"/>
  <c r="AS165" i="7"/>
  <c r="AU165" i="7" s="1"/>
  <c r="AU462" i="7"/>
  <c r="AU97" i="7"/>
  <c r="AU511" i="7"/>
  <c r="AL523" i="7"/>
  <c r="AN523" i="7" s="1"/>
  <c r="AS448" i="7"/>
  <c r="AU448" i="7" s="1"/>
  <c r="AL512" i="7"/>
  <c r="AN512" i="7" s="1"/>
  <c r="AS151" i="7"/>
  <c r="AU151" i="7" s="1"/>
  <c r="AU18" i="7"/>
  <c r="AU279" i="7"/>
  <c r="AS245" i="7"/>
  <c r="AU245" i="7" s="1"/>
  <c r="AU399" i="7"/>
  <c r="AU503" i="7"/>
  <c r="AU562" i="7"/>
  <c r="AU198" i="7"/>
  <c r="AU538" i="7"/>
  <c r="AU402" i="7"/>
  <c r="AU558" i="7"/>
  <c r="AU497" i="7"/>
  <c r="AL302" i="7"/>
  <c r="AN302" i="7" s="1"/>
  <c r="AS284" i="7"/>
  <c r="AU284" i="7" s="1"/>
  <c r="AL123" i="7"/>
  <c r="AN123" i="7" s="1"/>
  <c r="AS400" i="7"/>
  <c r="AU400" i="7" s="1"/>
  <c r="AS92" i="7"/>
  <c r="AU92" i="7" s="1"/>
  <c r="AU77" i="7"/>
  <c r="AU371" i="7"/>
  <c r="AL507" i="7"/>
  <c r="AN507" i="7" s="1"/>
  <c r="AU44" i="7"/>
  <c r="AU512" i="7"/>
  <c r="AU407" i="7"/>
  <c r="AU413" i="7"/>
  <c r="AU414" i="7"/>
  <c r="AL432" i="7"/>
  <c r="AN432" i="7" s="1"/>
  <c r="AL6" i="16"/>
  <c r="AN6" i="16" s="1"/>
  <c r="AL370" i="7"/>
  <c r="AN370" i="7" s="1"/>
  <c r="AO370" i="7" s="1"/>
  <c r="AL271" i="7"/>
  <c r="AN271" i="7" s="1"/>
  <c r="AL283" i="7"/>
  <c r="AN283" i="7" s="1"/>
  <c r="AL331" i="7"/>
  <c r="AN331" i="7" s="1"/>
  <c r="AL38" i="7"/>
  <c r="AN38" i="7" s="1"/>
  <c r="AL47" i="16"/>
  <c r="AN47" i="16" s="1"/>
  <c r="AL110" i="7"/>
  <c r="AN110" i="7" s="1"/>
  <c r="AL54" i="7"/>
  <c r="AN54" i="7" s="1"/>
  <c r="AL365" i="7"/>
  <c r="AN365" i="7" s="1"/>
  <c r="AO365" i="7" s="1"/>
  <c r="AS312" i="7"/>
  <c r="AU312" i="7" s="1"/>
  <c r="AL114" i="7"/>
  <c r="AN114" i="7" s="1"/>
  <c r="AL67" i="7"/>
  <c r="AN67" i="7" s="1"/>
  <c r="AL178" i="7"/>
  <c r="AN178" i="7" s="1"/>
  <c r="AL191" i="7"/>
  <c r="AN191" i="7" s="1"/>
  <c r="AL66" i="7"/>
  <c r="AN66" i="7" s="1"/>
  <c r="AU415" i="7"/>
  <c r="AL158" i="7"/>
  <c r="AN158" i="7" s="1"/>
  <c r="AL46" i="7"/>
  <c r="AN46" i="7" s="1"/>
  <c r="AL267" i="7"/>
  <c r="AN267" i="7" s="1"/>
  <c r="AL4" i="16"/>
  <c r="AN4" i="16" s="1"/>
  <c r="AL115" i="7"/>
  <c r="AN115" i="7" s="1"/>
  <c r="AL147" i="7"/>
  <c r="AN147" i="7" s="1"/>
  <c r="AF27" i="6"/>
  <c r="Y521" i="7"/>
  <c r="Z521" i="7"/>
  <c r="AD295" i="7"/>
  <c r="AE295" i="7"/>
  <c r="AE401" i="7"/>
  <c r="AD401" i="7"/>
  <c r="AD288" i="7"/>
  <c r="AE288" i="7"/>
  <c r="Y485" i="7"/>
  <c r="Z485" i="7"/>
  <c r="AE259" i="7"/>
  <c r="AD259" i="7"/>
  <c r="Z365" i="7"/>
  <c r="Y365" i="7"/>
  <c r="AE252" i="7"/>
  <c r="AD252" i="7"/>
  <c r="AE534" i="7"/>
  <c r="AD534" i="7"/>
  <c r="AE423" i="7"/>
  <c r="AD423" i="7"/>
  <c r="AE306" i="7"/>
  <c r="AD306" i="7"/>
  <c r="AE416" i="7"/>
  <c r="AD416" i="7"/>
  <c r="Z103" i="7"/>
  <c r="Y103" i="7"/>
  <c r="Y209" i="7"/>
  <c r="Z209" i="7"/>
  <c r="Z96" i="7"/>
  <c r="Y96" i="7"/>
  <c r="AE198" i="7"/>
  <c r="AD198" i="7"/>
  <c r="Y81" i="7"/>
  <c r="Z81" i="7"/>
  <c r="AD22" i="16"/>
  <c r="AE22" i="16"/>
  <c r="Z29" i="16"/>
  <c r="Y29" i="16"/>
  <c r="Z38" i="16"/>
  <c r="Y38" i="16"/>
  <c r="Z31" i="6"/>
  <c r="Y31" i="6"/>
  <c r="Z553" i="7"/>
  <c r="Y553" i="7"/>
  <c r="AD327" i="7"/>
  <c r="AE327" i="7"/>
  <c r="Z433" i="7"/>
  <c r="Y433" i="7"/>
  <c r="AE320" i="7"/>
  <c r="AD320" i="7"/>
  <c r="Z517" i="7"/>
  <c r="Y517" i="7"/>
  <c r="AD291" i="7"/>
  <c r="AE291" i="7"/>
  <c r="AD397" i="7"/>
  <c r="AE397" i="7"/>
  <c r="AE284" i="7"/>
  <c r="AD284" i="7"/>
  <c r="AE481" i="7"/>
  <c r="AD481" i="7"/>
  <c r="Z255" i="7"/>
  <c r="Y255" i="7"/>
  <c r="Y361" i="7"/>
  <c r="Z361" i="7"/>
  <c r="Y248" i="7"/>
  <c r="Z248" i="7"/>
  <c r="AD461" i="7"/>
  <c r="AE461" i="7"/>
  <c r="Z235" i="7"/>
  <c r="Y235" i="7"/>
  <c r="Y138" i="7"/>
  <c r="Z138" i="7"/>
  <c r="AE21" i="7"/>
  <c r="AD21" i="7"/>
  <c r="Z127" i="7"/>
  <c r="Y127" i="7"/>
  <c r="Y10" i="7"/>
  <c r="Z10" i="7"/>
  <c r="Y120" i="7"/>
  <c r="Z120" i="7"/>
  <c r="Y63" i="7"/>
  <c r="Z63" i="7"/>
  <c r="Z169" i="7"/>
  <c r="Y169" i="7"/>
  <c r="AD56" i="7"/>
  <c r="AE56" i="7"/>
  <c r="Z174" i="7"/>
  <c r="Y174" i="7"/>
  <c r="AE57" i="7"/>
  <c r="AD57" i="7"/>
  <c r="Z396" i="7"/>
  <c r="Y396" i="7"/>
  <c r="AE478" i="7"/>
  <c r="AD478" i="7"/>
  <c r="AD483" i="7"/>
  <c r="AE483" i="7"/>
  <c r="Y488" i="7"/>
  <c r="Z488" i="7"/>
  <c r="AE370" i="7"/>
  <c r="AD370" i="7"/>
  <c r="Y253" i="7"/>
  <c r="Z253" i="7"/>
  <c r="Z573" i="7"/>
  <c r="Y573" i="7"/>
  <c r="Z283" i="7"/>
  <c r="Y283" i="7"/>
  <c r="AD389" i="7"/>
  <c r="AE389" i="7"/>
  <c r="Z225" i="7"/>
  <c r="Y225" i="7"/>
  <c r="Y48" i="7"/>
  <c r="Z48" i="7"/>
  <c r="Z150" i="7"/>
  <c r="Y150" i="7"/>
  <c r="Z33" i="7"/>
  <c r="Y33" i="7"/>
  <c r="AE139" i="7"/>
  <c r="AD139" i="7"/>
  <c r="AD22" i="7"/>
  <c r="AE22" i="7"/>
  <c r="AD132" i="7"/>
  <c r="AE132" i="7"/>
  <c r="AD66" i="7"/>
  <c r="AE66" i="7"/>
  <c r="Z554" i="7"/>
  <c r="Y554" i="7"/>
  <c r="AE443" i="7"/>
  <c r="AD443" i="7"/>
  <c r="AE326" i="7"/>
  <c r="AD326" i="7"/>
  <c r="Z436" i="7"/>
  <c r="Y436" i="7"/>
  <c r="AE470" i="7"/>
  <c r="AD470" i="7"/>
  <c r="AE359" i="7"/>
  <c r="AD359" i="7"/>
  <c r="Z242" i="7"/>
  <c r="Y242" i="7"/>
  <c r="Y352" i="7"/>
  <c r="Z352" i="7"/>
  <c r="Z39" i="7"/>
  <c r="Y39" i="7"/>
  <c r="Y145" i="7"/>
  <c r="Z145" i="7"/>
  <c r="Z32" i="7"/>
  <c r="Y32" i="7"/>
  <c r="AE134" i="7"/>
  <c r="AD134" i="7"/>
  <c r="Z17" i="7"/>
  <c r="Y17" i="7"/>
  <c r="Y187" i="7"/>
  <c r="Z187" i="7"/>
  <c r="AD70" i="7"/>
  <c r="AE70" i="7"/>
  <c r="AE180" i="7"/>
  <c r="AD180" i="7"/>
  <c r="Y75" i="7"/>
  <c r="Z75" i="7"/>
  <c r="Y181" i="7"/>
  <c r="Z181" i="7"/>
  <c r="AD68" i="7"/>
  <c r="AE68" i="7"/>
  <c r="Y18" i="16"/>
  <c r="Z18" i="16"/>
  <c r="Y24" i="6"/>
  <c r="Z24" i="6"/>
  <c r="Z571" i="7"/>
  <c r="Y571" i="7"/>
  <c r="Z458" i="7"/>
  <c r="Y458" i="7"/>
  <c r="Y341" i="7"/>
  <c r="Z341" i="7"/>
  <c r="Z535" i="7"/>
  <c r="Y535" i="7"/>
  <c r="AD540" i="7"/>
  <c r="AE540" i="7"/>
  <c r="AE422" i="7"/>
  <c r="AD422" i="7"/>
  <c r="AE305" i="7"/>
  <c r="AD305" i="7"/>
  <c r="Z499" i="7"/>
  <c r="Y499" i="7"/>
  <c r="AE504" i="7"/>
  <c r="AD504" i="7"/>
  <c r="AE386" i="7"/>
  <c r="AD386" i="7"/>
  <c r="Z269" i="7"/>
  <c r="Y269" i="7"/>
  <c r="Z479" i="7"/>
  <c r="Y479" i="7"/>
  <c r="AD484" i="7"/>
  <c r="AE484" i="7"/>
  <c r="AE366" i="7"/>
  <c r="AD366" i="7"/>
  <c r="Z249" i="7"/>
  <c r="Y249" i="7"/>
  <c r="Z163" i="7"/>
  <c r="Y163" i="7"/>
  <c r="Y46" i="7"/>
  <c r="Z46" i="7"/>
  <c r="Y156" i="7"/>
  <c r="Z156" i="7"/>
  <c r="AD35" i="7"/>
  <c r="AE35" i="7"/>
  <c r="Z141" i="7"/>
  <c r="Y141" i="7"/>
  <c r="Z28" i="7"/>
  <c r="Y28" i="7"/>
  <c r="Y194" i="7"/>
  <c r="Z194" i="7"/>
  <c r="AD77" i="7"/>
  <c r="AE77" i="7"/>
  <c r="Z199" i="7"/>
  <c r="Y199" i="7"/>
  <c r="Y82" i="7"/>
  <c r="Z82" i="7"/>
  <c r="Z192" i="7"/>
  <c r="Y192" i="7"/>
  <c r="Y17" i="16"/>
  <c r="Z17" i="16"/>
  <c r="Y33" i="6"/>
  <c r="Z33" i="6"/>
  <c r="AE20" i="6"/>
  <c r="AD20" i="6"/>
  <c r="AD514" i="7"/>
  <c r="AE514" i="7"/>
  <c r="Z403" i="7"/>
  <c r="Y403" i="7"/>
  <c r="AD286" i="7"/>
  <c r="AE286" i="7"/>
  <c r="Y406" i="7"/>
  <c r="Z406" i="7"/>
  <c r="AD289" i="7"/>
  <c r="AE289" i="7"/>
  <c r="AD509" i="7"/>
  <c r="AE509" i="7"/>
  <c r="AD432" i="7"/>
  <c r="AE432" i="7"/>
  <c r="AD55" i="7"/>
  <c r="AE55" i="7"/>
  <c r="AE161" i="7"/>
  <c r="AD161" i="7"/>
  <c r="AD76" i="7"/>
  <c r="AE76" i="7"/>
  <c r="Y183" i="7"/>
  <c r="Z183" i="7"/>
  <c r="AE105" i="7"/>
  <c r="AD105" i="7"/>
  <c r="AD15" i="16"/>
  <c r="AE15" i="16"/>
  <c r="AE21" i="6"/>
  <c r="AD21" i="6"/>
  <c r="AE8" i="6"/>
  <c r="AD8" i="6"/>
  <c r="Y539" i="7"/>
  <c r="Z539" i="7"/>
  <c r="AE480" i="7"/>
  <c r="AD480" i="7"/>
  <c r="Z362" i="7"/>
  <c r="Y362" i="7"/>
  <c r="AE245" i="7"/>
  <c r="AD245" i="7"/>
  <c r="AD457" i="7"/>
  <c r="AE457" i="7"/>
  <c r="AE344" i="7"/>
  <c r="AD344" i="7"/>
  <c r="AD493" i="7"/>
  <c r="AE493" i="7"/>
  <c r="Y267" i="7"/>
  <c r="Z267" i="7"/>
  <c r="AE373" i="7"/>
  <c r="AD373" i="7"/>
  <c r="Z260" i="7"/>
  <c r="Y260" i="7"/>
  <c r="AE170" i="7"/>
  <c r="AD170" i="7"/>
  <c r="AD53" i="7"/>
  <c r="AE53" i="7"/>
  <c r="Y159" i="7"/>
  <c r="Z159" i="7"/>
  <c r="Y42" i="7"/>
  <c r="Z42" i="7"/>
  <c r="AD152" i="7"/>
  <c r="AE152" i="7"/>
  <c r="AD95" i="7"/>
  <c r="AE95" i="7"/>
  <c r="Y201" i="7"/>
  <c r="Z201" i="7"/>
  <c r="AD88" i="7"/>
  <c r="AE88" i="7"/>
  <c r="AE206" i="7"/>
  <c r="AD206" i="7"/>
  <c r="AE89" i="7"/>
  <c r="AD89" i="7"/>
  <c r="Z30" i="16"/>
  <c r="Y30" i="16"/>
  <c r="Z19" i="6"/>
  <c r="Y19" i="6"/>
  <c r="AE13" i="6"/>
  <c r="AD13" i="6"/>
  <c r="Y507" i="7"/>
  <c r="Z507" i="7"/>
  <c r="AD512" i="7"/>
  <c r="AE512" i="7"/>
  <c r="Z394" i="7"/>
  <c r="Y394" i="7"/>
  <c r="Y277" i="7"/>
  <c r="Z277" i="7"/>
  <c r="Y471" i="7"/>
  <c r="Z471" i="7"/>
  <c r="AD476" i="7"/>
  <c r="AE476" i="7"/>
  <c r="AE358" i="7"/>
  <c r="AD358" i="7"/>
  <c r="AD241" i="7"/>
  <c r="AE241" i="7"/>
  <c r="Z130" i="7"/>
  <c r="Y130" i="7"/>
  <c r="AD13" i="7"/>
  <c r="AE13" i="7"/>
  <c r="Z135" i="7"/>
  <c r="Y135" i="7"/>
  <c r="Y18" i="7"/>
  <c r="Z18" i="7"/>
  <c r="Z128" i="7"/>
  <c r="Y128" i="7"/>
  <c r="AE46" i="16"/>
  <c r="AD46" i="16"/>
  <c r="Z8" i="16"/>
  <c r="Y8" i="16"/>
  <c r="AE35" i="6"/>
  <c r="AD35" i="6"/>
  <c r="Y537" i="7"/>
  <c r="Z537" i="7"/>
  <c r="AD311" i="7"/>
  <c r="AE311" i="7"/>
  <c r="Y417" i="7"/>
  <c r="Z417" i="7"/>
  <c r="Z240" i="7"/>
  <c r="Y240" i="7"/>
  <c r="Y431" i="7"/>
  <c r="Z431" i="7"/>
  <c r="Z314" i="7"/>
  <c r="Y314" i="7"/>
  <c r="AE424" i="7"/>
  <c r="AD424" i="7"/>
  <c r="AD527" i="7"/>
  <c r="AE527" i="7"/>
  <c r="AD532" i="7"/>
  <c r="AE532" i="7"/>
  <c r="AD350" i="7"/>
  <c r="AE350" i="7"/>
  <c r="Z340" i="7"/>
  <c r="Y340" i="7"/>
  <c r="Z186" i="7"/>
  <c r="Y186" i="7"/>
  <c r="AD69" i="7"/>
  <c r="AE69" i="7"/>
  <c r="AD27" i="7"/>
  <c r="AE27" i="7"/>
  <c r="AD133" i="7"/>
  <c r="AE133" i="7"/>
  <c r="AE6" i="6"/>
  <c r="AD6" i="6"/>
  <c r="AE7" i="6"/>
  <c r="AD7" i="6"/>
  <c r="Z475" i="7"/>
  <c r="Y475" i="7"/>
  <c r="AD549" i="7"/>
  <c r="AE549" i="7"/>
  <c r="Z323" i="7"/>
  <c r="Y323" i="7"/>
  <c r="Z429" i="7"/>
  <c r="Y429" i="7"/>
  <c r="Z316" i="7"/>
  <c r="Y316" i="7"/>
  <c r="Z513" i="7"/>
  <c r="Y513" i="7"/>
  <c r="Y287" i="7"/>
  <c r="Z287" i="7"/>
  <c r="AD393" i="7"/>
  <c r="AE393" i="7"/>
  <c r="Y280" i="7"/>
  <c r="Z280" i="7"/>
  <c r="Y31" i="7"/>
  <c r="Z31" i="7"/>
  <c r="Z137" i="7"/>
  <c r="Y137" i="7"/>
  <c r="AE24" i="7"/>
  <c r="AD24" i="7"/>
  <c r="Y142" i="7"/>
  <c r="Z142" i="7"/>
  <c r="AD25" i="7"/>
  <c r="AE25" i="7"/>
  <c r="Z37" i="16"/>
  <c r="Y37" i="16"/>
  <c r="Z21" i="16"/>
  <c r="Y21" i="16"/>
  <c r="AE19" i="16"/>
  <c r="AD19" i="16"/>
  <c r="AE40" i="6"/>
  <c r="AD40" i="6"/>
  <c r="Y9" i="6"/>
  <c r="Z9" i="6"/>
  <c r="AE530" i="7"/>
  <c r="AD530" i="7"/>
  <c r="AE419" i="7"/>
  <c r="AD419" i="7"/>
  <c r="AE302" i="7"/>
  <c r="AD302" i="7"/>
  <c r="Y412" i="7"/>
  <c r="Z412" i="7"/>
  <c r="AD494" i="7"/>
  <c r="AE494" i="7"/>
  <c r="AE383" i="7"/>
  <c r="AD383" i="7"/>
  <c r="Y266" i="7"/>
  <c r="Z266" i="7"/>
  <c r="Z376" i="7"/>
  <c r="Y376" i="7"/>
  <c r="AE347" i="7"/>
  <c r="AD347" i="7"/>
  <c r="AE7" i="7"/>
  <c r="AD7" i="7"/>
  <c r="Z155" i="7"/>
  <c r="Y155" i="7"/>
  <c r="AD38" i="7"/>
  <c r="AE38" i="7"/>
  <c r="AE148" i="7"/>
  <c r="AD148" i="7"/>
  <c r="Z43" i="7"/>
  <c r="Y43" i="7"/>
  <c r="Y149" i="7"/>
  <c r="Z149" i="7"/>
  <c r="Z36" i="7"/>
  <c r="Y36" i="7"/>
  <c r="AD23" i="16"/>
  <c r="AE23" i="16"/>
  <c r="AE36" i="16"/>
  <c r="AD36" i="16"/>
  <c r="AE473" i="7"/>
  <c r="AD473" i="7"/>
  <c r="Y247" i="7"/>
  <c r="Z247" i="7"/>
  <c r="Z353" i="7"/>
  <c r="Y353" i="7"/>
  <c r="AD542" i="7"/>
  <c r="AE542" i="7"/>
  <c r="Z367" i="7"/>
  <c r="Y367" i="7"/>
  <c r="AE250" i="7"/>
  <c r="AD250" i="7"/>
  <c r="Z360" i="7"/>
  <c r="Y360" i="7"/>
  <c r="Y547" i="7"/>
  <c r="Z547" i="7"/>
  <c r="AE552" i="7"/>
  <c r="AD552" i="7"/>
  <c r="Z434" i="7"/>
  <c r="Y434" i="7"/>
  <c r="Z317" i="7"/>
  <c r="Y317" i="7"/>
  <c r="Y463" i="7"/>
  <c r="Z463" i="7"/>
  <c r="AE468" i="7"/>
  <c r="AD468" i="7"/>
  <c r="Z453" i="7"/>
  <c r="Y453" i="7"/>
  <c r="AE276" i="7"/>
  <c r="AD276" i="7"/>
  <c r="Y122" i="7"/>
  <c r="Z122" i="7"/>
  <c r="AE112" i="7"/>
  <c r="AD112" i="7"/>
  <c r="Z214" i="7"/>
  <c r="Y214" i="7"/>
  <c r="AE97" i="7"/>
  <c r="AD97" i="7"/>
  <c r="AE203" i="7"/>
  <c r="AD203" i="7"/>
  <c r="Z86" i="7"/>
  <c r="Y86" i="7"/>
  <c r="Z196" i="7"/>
  <c r="Y196" i="7"/>
  <c r="Z176" i="7"/>
  <c r="Y176" i="7"/>
  <c r="Z40" i="16"/>
  <c r="Y40" i="16"/>
  <c r="AD521" i="7"/>
  <c r="AE521" i="7"/>
  <c r="Y295" i="7"/>
  <c r="Z295" i="7"/>
  <c r="Z401" i="7"/>
  <c r="Y401" i="7"/>
  <c r="Y288" i="7"/>
  <c r="Z288" i="7"/>
  <c r="AD485" i="7"/>
  <c r="AE485" i="7"/>
  <c r="Z259" i="7"/>
  <c r="Y259" i="7"/>
  <c r="AD365" i="7"/>
  <c r="AE365" i="7"/>
  <c r="Z252" i="7"/>
  <c r="Y252" i="7"/>
  <c r="Z534" i="7"/>
  <c r="Y534" i="7"/>
  <c r="Y423" i="7"/>
  <c r="Z423" i="7"/>
  <c r="Y306" i="7"/>
  <c r="Z306" i="7"/>
  <c r="Z416" i="7"/>
  <c r="Y416" i="7"/>
  <c r="AE103" i="7"/>
  <c r="AD103" i="7"/>
  <c r="AD209" i="7"/>
  <c r="AE209" i="7"/>
  <c r="AD96" i="7"/>
  <c r="AE96" i="7"/>
  <c r="Z198" i="7"/>
  <c r="Y198" i="7"/>
  <c r="AE81" i="7"/>
  <c r="AD81" i="7"/>
  <c r="Z22" i="16"/>
  <c r="Y22" i="16"/>
  <c r="AD29" i="16"/>
  <c r="AE29" i="16"/>
  <c r="AE38" i="16"/>
  <c r="AD38" i="16"/>
  <c r="AE466" i="7"/>
  <c r="AD466" i="7"/>
  <c r="AE355" i="7"/>
  <c r="AD355" i="7"/>
  <c r="Y238" i="7"/>
  <c r="Z238" i="7"/>
  <c r="Y348" i="7"/>
  <c r="Z348" i="7"/>
  <c r="AD563" i="7"/>
  <c r="AE563" i="7"/>
  <c r="Y568" i="7"/>
  <c r="Z568" i="7"/>
  <c r="AE450" i="7"/>
  <c r="AD450" i="7"/>
  <c r="AE333" i="7"/>
  <c r="AD333" i="7"/>
  <c r="Y543" i="7"/>
  <c r="Z543" i="7"/>
  <c r="Y548" i="7"/>
  <c r="Z548" i="7"/>
  <c r="AE430" i="7"/>
  <c r="AD430" i="7"/>
  <c r="Z313" i="7"/>
  <c r="Y313" i="7"/>
  <c r="AE227" i="7"/>
  <c r="AD227" i="7"/>
  <c r="AD110" i="7"/>
  <c r="AE110" i="7"/>
  <c r="AE220" i="7"/>
  <c r="AD220" i="7"/>
  <c r="AE99" i="7"/>
  <c r="AD99" i="7"/>
  <c r="AE205" i="7"/>
  <c r="AD205" i="7"/>
  <c r="Z92" i="7"/>
  <c r="Y92" i="7"/>
  <c r="Z24" i="16"/>
  <c r="Y24" i="16"/>
  <c r="AE396" i="7"/>
  <c r="AD396" i="7"/>
  <c r="Y478" i="7"/>
  <c r="Z478" i="7"/>
  <c r="Y483" i="7"/>
  <c r="Z483" i="7"/>
  <c r="AD488" i="7"/>
  <c r="AE488" i="7"/>
  <c r="Z370" i="7"/>
  <c r="Y370" i="7"/>
  <c r="AE253" i="7"/>
  <c r="AD253" i="7"/>
  <c r="AD573" i="7"/>
  <c r="AE573" i="7"/>
  <c r="AD283" i="7"/>
  <c r="AE283" i="7"/>
  <c r="Z389" i="7"/>
  <c r="Y389" i="7"/>
  <c r="AE225" i="7"/>
  <c r="AD225" i="7"/>
  <c r="AE48" i="7"/>
  <c r="AD48" i="7"/>
  <c r="AE150" i="7"/>
  <c r="AD150" i="7"/>
  <c r="AD33" i="7"/>
  <c r="AE33" i="7"/>
  <c r="Y139" i="7"/>
  <c r="Z139" i="7"/>
  <c r="Y22" i="7"/>
  <c r="Z22" i="7"/>
  <c r="Z132" i="7"/>
  <c r="Y132" i="7"/>
  <c r="Y66" i="7"/>
  <c r="Z66" i="7"/>
  <c r="AD554" i="7"/>
  <c r="AE554" i="7"/>
  <c r="Z443" i="7"/>
  <c r="Y443" i="7"/>
  <c r="Z326" i="7"/>
  <c r="Y326" i="7"/>
  <c r="AE436" i="7"/>
  <c r="AD436" i="7"/>
  <c r="Y470" i="7"/>
  <c r="Z470" i="7"/>
  <c r="Y359" i="7"/>
  <c r="Z359" i="7"/>
  <c r="AD242" i="7"/>
  <c r="AE242" i="7"/>
  <c r="AE352" i="7"/>
  <c r="AD352" i="7"/>
  <c r="AE39" i="7"/>
  <c r="AD39" i="7"/>
  <c r="AD145" i="7"/>
  <c r="AE145" i="7"/>
  <c r="AE32" i="7"/>
  <c r="AD32" i="7"/>
  <c r="Z134" i="7"/>
  <c r="Y134" i="7"/>
  <c r="AE17" i="7"/>
  <c r="AD17" i="7"/>
  <c r="AD187" i="7"/>
  <c r="AE187" i="7"/>
  <c r="Z70" i="7"/>
  <c r="Y70" i="7"/>
  <c r="Z180" i="7"/>
  <c r="Y180" i="7"/>
  <c r="AE75" i="7"/>
  <c r="AD75" i="7"/>
  <c r="AD181" i="7"/>
  <c r="AE181" i="7"/>
  <c r="Z68" i="7"/>
  <c r="Y68" i="7"/>
  <c r="AD18" i="16"/>
  <c r="AE18" i="16"/>
  <c r="AE39" i="6"/>
  <c r="AD39" i="6"/>
  <c r="Y489" i="7"/>
  <c r="Z489" i="7"/>
  <c r="AE263" i="7"/>
  <c r="AD263" i="7"/>
  <c r="AE369" i="7"/>
  <c r="AD369" i="7"/>
  <c r="AE256" i="7"/>
  <c r="AD256" i="7"/>
  <c r="AD566" i="7"/>
  <c r="AE566" i="7"/>
  <c r="AE455" i="7"/>
  <c r="AD455" i="7"/>
  <c r="AD338" i="7"/>
  <c r="AE338" i="7"/>
  <c r="AE448" i="7"/>
  <c r="AD448" i="7"/>
  <c r="Y230" i="7"/>
  <c r="Z230" i="7"/>
  <c r="Z113" i="7"/>
  <c r="Y113" i="7"/>
  <c r="Z14" i="16"/>
  <c r="Y14" i="16"/>
  <c r="Z304" i="7"/>
  <c r="Y304" i="7"/>
  <c r="Y501" i="7"/>
  <c r="Z501" i="7"/>
  <c r="AE506" i="7"/>
  <c r="AD506" i="7"/>
  <c r="AD395" i="7"/>
  <c r="AE395" i="7"/>
  <c r="Y278" i="7"/>
  <c r="Z278" i="7"/>
  <c r="AD388" i="7"/>
  <c r="AE388" i="7"/>
  <c r="Z414" i="7"/>
  <c r="Y414" i="7"/>
  <c r="Z297" i="7"/>
  <c r="Y297" i="7"/>
  <c r="AE147" i="7"/>
  <c r="AD147" i="7"/>
  <c r="AD175" i="7"/>
  <c r="AE175" i="7"/>
  <c r="AD58" i="7"/>
  <c r="AE58" i="7"/>
  <c r="AE47" i="7"/>
  <c r="AD47" i="7"/>
  <c r="AE153" i="7"/>
  <c r="AD153" i="7"/>
  <c r="Z91" i="7"/>
  <c r="Y91" i="7"/>
  <c r="AD197" i="7"/>
  <c r="AE197" i="7"/>
  <c r="Z20" i="7"/>
  <c r="Y20" i="7"/>
  <c r="Z20" i="16"/>
  <c r="Y20" i="16"/>
  <c r="Y5" i="6"/>
  <c r="Z5" i="6"/>
  <c r="Y30" i="6"/>
  <c r="Z30" i="6"/>
  <c r="Z562" i="7"/>
  <c r="Y562" i="7"/>
  <c r="AD451" i="7"/>
  <c r="AE451" i="7"/>
  <c r="AE334" i="7"/>
  <c r="AD334" i="7"/>
  <c r="AE444" i="7"/>
  <c r="AD444" i="7"/>
  <c r="AE526" i="7"/>
  <c r="AD526" i="7"/>
  <c r="AE415" i="7"/>
  <c r="AD415" i="7"/>
  <c r="AE298" i="7"/>
  <c r="AD298" i="7"/>
  <c r="Z408" i="7"/>
  <c r="Y408" i="7"/>
  <c r="AD490" i="7"/>
  <c r="AE490" i="7"/>
  <c r="AE379" i="7"/>
  <c r="AD379" i="7"/>
  <c r="AD262" i="7"/>
  <c r="AE262" i="7"/>
  <c r="AE372" i="7"/>
  <c r="AD372" i="7"/>
  <c r="Y345" i="7"/>
  <c r="Z345" i="7"/>
  <c r="AE123" i="7"/>
  <c r="AD123" i="7"/>
  <c r="AE6" i="7"/>
  <c r="AD6" i="7"/>
  <c r="Y11" i="7"/>
  <c r="Z11" i="7"/>
  <c r="Z9" i="16"/>
  <c r="Y9" i="16"/>
  <c r="Z16" i="16"/>
  <c r="Y16" i="16"/>
  <c r="AE558" i="7"/>
  <c r="AD558" i="7"/>
  <c r="AE447" i="7"/>
  <c r="AD447" i="7"/>
  <c r="AD330" i="7"/>
  <c r="AE330" i="7"/>
  <c r="Y440" i="7"/>
  <c r="Z440" i="7"/>
  <c r="AD522" i="7"/>
  <c r="AE522" i="7"/>
  <c r="AD411" i="7"/>
  <c r="AE411" i="7"/>
  <c r="Y294" i="7"/>
  <c r="Z294" i="7"/>
  <c r="Z404" i="7"/>
  <c r="Y404" i="7"/>
  <c r="AD502" i="7"/>
  <c r="AE502" i="7"/>
  <c r="AD391" i="7"/>
  <c r="AE391" i="7"/>
  <c r="Z274" i="7"/>
  <c r="Y274" i="7"/>
  <c r="Z384" i="7"/>
  <c r="Y384" i="7"/>
  <c r="Y71" i="7"/>
  <c r="Z71" i="7"/>
  <c r="Z177" i="7"/>
  <c r="Y177" i="7"/>
  <c r="Y64" i="7"/>
  <c r="Z64" i="7"/>
  <c r="AD166" i="7"/>
  <c r="AE166" i="7"/>
  <c r="Z49" i="7"/>
  <c r="Y49" i="7"/>
  <c r="AE219" i="7"/>
  <c r="AD219" i="7"/>
  <c r="AD102" i="7"/>
  <c r="AE102" i="7"/>
  <c r="AD212" i="7"/>
  <c r="AE212" i="7"/>
  <c r="Y107" i="7"/>
  <c r="Z107" i="7"/>
  <c r="Z213" i="7"/>
  <c r="Y213" i="7"/>
  <c r="Z100" i="7"/>
  <c r="Y100" i="7"/>
  <c r="AE43" i="16"/>
  <c r="AD43" i="16"/>
  <c r="Y42" i="16"/>
  <c r="Z42" i="16"/>
  <c r="Z36" i="6"/>
  <c r="Y36" i="6"/>
  <c r="Y519" i="7"/>
  <c r="Z519" i="7"/>
  <c r="AE524" i="7"/>
  <c r="AD524" i="7"/>
  <c r="AD332" i="7"/>
  <c r="AE332" i="7"/>
  <c r="Y529" i="7"/>
  <c r="Z529" i="7"/>
  <c r="AD303" i="7"/>
  <c r="AE303" i="7"/>
  <c r="Z409" i="7"/>
  <c r="Y409" i="7"/>
  <c r="Y296" i="7"/>
  <c r="Z296" i="7"/>
  <c r="AE322" i="7"/>
  <c r="AD322" i="7"/>
  <c r="Y368" i="7"/>
  <c r="Z368" i="7"/>
  <c r="AE204" i="7"/>
  <c r="AD204" i="7"/>
  <c r="AE83" i="7"/>
  <c r="AD83" i="7"/>
  <c r="AE189" i="7"/>
  <c r="AD189" i="7"/>
  <c r="AE12" i="7"/>
  <c r="AD12" i="7"/>
  <c r="AE178" i="7"/>
  <c r="AD178" i="7"/>
  <c r="Y61" i="7"/>
  <c r="Z61" i="7"/>
  <c r="AD222" i="7"/>
  <c r="AE222" i="7"/>
  <c r="Y41" i="7"/>
  <c r="Z41" i="7"/>
  <c r="AE44" i="16"/>
  <c r="AD44" i="16"/>
  <c r="AE13" i="16"/>
  <c r="AD13" i="16"/>
  <c r="AD498" i="7"/>
  <c r="AE498" i="7"/>
  <c r="AD387" i="7"/>
  <c r="AE387" i="7"/>
  <c r="Z270" i="7"/>
  <c r="Y270" i="7"/>
  <c r="AD380" i="7"/>
  <c r="AE380" i="7"/>
  <c r="Y462" i="7"/>
  <c r="Z462" i="7"/>
  <c r="AD351" i="7"/>
  <c r="AE351" i="7"/>
  <c r="AD234" i="7"/>
  <c r="AE234" i="7"/>
  <c r="AD511" i="7"/>
  <c r="AE511" i="7"/>
  <c r="Z516" i="7"/>
  <c r="Y516" i="7"/>
  <c r="AE398" i="7"/>
  <c r="AD398" i="7"/>
  <c r="Z281" i="7"/>
  <c r="Y281" i="7"/>
  <c r="AD195" i="7"/>
  <c r="AE195" i="7"/>
  <c r="AD78" i="7"/>
  <c r="AE78" i="7"/>
  <c r="AE188" i="7"/>
  <c r="AD188" i="7"/>
  <c r="Y67" i="7"/>
  <c r="Z67" i="7"/>
  <c r="AE173" i="7"/>
  <c r="AD173" i="7"/>
  <c r="Y60" i="7"/>
  <c r="Z60" i="7"/>
  <c r="AE226" i="7"/>
  <c r="AD226" i="7"/>
  <c r="Y109" i="7"/>
  <c r="Z109" i="7"/>
  <c r="AD231" i="7"/>
  <c r="AE231" i="7"/>
  <c r="AE114" i="7"/>
  <c r="AD114" i="7"/>
  <c r="Y224" i="7"/>
  <c r="Z224" i="7"/>
  <c r="AD7" i="16"/>
  <c r="AE7" i="16"/>
  <c r="AE10" i="16"/>
  <c r="AD10" i="16"/>
  <c r="Z40" i="6"/>
  <c r="Y40" i="6"/>
  <c r="AE9" i="6"/>
  <c r="AD9" i="6"/>
  <c r="Z530" i="7"/>
  <c r="Y530" i="7"/>
  <c r="Y419" i="7"/>
  <c r="Z419" i="7"/>
  <c r="Z302" i="7"/>
  <c r="Y302" i="7"/>
  <c r="AD412" i="7"/>
  <c r="AE412" i="7"/>
  <c r="Y494" i="7"/>
  <c r="Z494" i="7"/>
  <c r="Z383" i="7"/>
  <c r="Y383" i="7"/>
  <c r="AD266" i="7"/>
  <c r="AE266" i="7"/>
  <c r="AD376" i="7"/>
  <c r="AE376" i="7"/>
  <c r="Z347" i="7"/>
  <c r="Y347" i="7"/>
  <c r="Y7" i="7"/>
  <c r="Z7" i="7"/>
  <c r="AD155" i="7"/>
  <c r="AE155" i="7"/>
  <c r="Y38" i="7"/>
  <c r="Z38" i="7"/>
  <c r="Y148" i="7"/>
  <c r="Z148" i="7"/>
  <c r="AE43" i="7"/>
  <c r="AD43" i="7"/>
  <c r="AE149" i="7"/>
  <c r="AD149" i="7"/>
  <c r="AE36" i="7"/>
  <c r="AD36" i="7"/>
  <c r="Z23" i="16"/>
  <c r="Y23" i="16"/>
  <c r="Z36" i="16"/>
  <c r="Y36" i="16"/>
  <c r="AE555" i="7"/>
  <c r="AD555" i="7"/>
  <c r="Z560" i="7"/>
  <c r="Y560" i="7"/>
  <c r="AE442" i="7"/>
  <c r="AD442" i="7"/>
  <c r="AE325" i="7"/>
  <c r="AD325" i="7"/>
  <c r="AD339" i="7"/>
  <c r="AE339" i="7"/>
  <c r="AE445" i="7"/>
  <c r="AD445" i="7"/>
  <c r="AD268" i="7"/>
  <c r="AE268" i="7"/>
  <c r="Y465" i="7"/>
  <c r="Z465" i="7"/>
  <c r="Z239" i="7"/>
  <c r="Y239" i="7"/>
  <c r="AD550" i="7"/>
  <c r="AE550" i="7"/>
  <c r="AD439" i="7"/>
  <c r="AE439" i="7"/>
  <c r="AD258" i="7"/>
  <c r="AE258" i="7"/>
  <c r="AD94" i="7"/>
  <c r="AE94" i="7"/>
  <c r="AE140" i="7"/>
  <c r="AD140" i="7"/>
  <c r="Y19" i="7"/>
  <c r="Z19" i="7"/>
  <c r="AE125" i="7"/>
  <c r="AD125" i="7"/>
  <c r="Z104" i="7"/>
  <c r="Y104" i="7"/>
  <c r="AD158" i="7"/>
  <c r="AE158" i="7"/>
  <c r="Y45" i="16"/>
  <c r="Z45" i="16"/>
  <c r="Z4" i="16"/>
  <c r="Y4" i="16"/>
  <c r="AD11" i="16"/>
  <c r="AE11" i="16"/>
  <c r="Z10" i="6"/>
  <c r="Y10" i="6"/>
  <c r="AD567" i="7"/>
  <c r="AE567" i="7"/>
  <c r="Z572" i="7"/>
  <c r="Y572" i="7"/>
  <c r="AD454" i="7"/>
  <c r="AE454" i="7"/>
  <c r="Y337" i="7"/>
  <c r="Z337" i="7"/>
  <c r="Y531" i="7"/>
  <c r="Z531" i="7"/>
  <c r="Y536" i="7"/>
  <c r="Z536" i="7"/>
  <c r="AD418" i="7"/>
  <c r="AE418" i="7"/>
  <c r="AD301" i="7"/>
  <c r="AE301" i="7"/>
  <c r="AE131" i="7"/>
  <c r="AD131" i="7"/>
  <c r="AD14" i="7"/>
  <c r="AE14" i="7"/>
  <c r="AE124" i="7"/>
  <c r="AD124" i="7"/>
  <c r="Z162" i="7"/>
  <c r="Y162" i="7"/>
  <c r="Y45" i="7"/>
  <c r="Z45" i="7"/>
  <c r="AE167" i="7"/>
  <c r="AD167" i="7"/>
  <c r="AE50" i="7"/>
  <c r="AD50" i="7"/>
  <c r="AD160" i="7"/>
  <c r="AE160" i="7"/>
  <c r="Z34" i="16"/>
  <c r="Y34" i="16"/>
  <c r="Y466" i="7"/>
  <c r="Z466" i="7"/>
  <c r="Z355" i="7"/>
  <c r="Y355" i="7"/>
  <c r="AD238" i="7"/>
  <c r="AE238" i="7"/>
  <c r="AD348" i="7"/>
  <c r="AE348" i="7"/>
  <c r="Y563" i="7"/>
  <c r="Z563" i="7"/>
  <c r="AE568" i="7"/>
  <c r="AD568" i="7"/>
  <c r="Y450" i="7"/>
  <c r="Z450" i="7"/>
  <c r="Z333" i="7"/>
  <c r="Y333" i="7"/>
  <c r="AE543" i="7"/>
  <c r="AD543" i="7"/>
  <c r="AE548" i="7"/>
  <c r="AD548" i="7"/>
  <c r="Y430" i="7"/>
  <c r="Z430" i="7"/>
  <c r="AD313" i="7"/>
  <c r="AE313" i="7"/>
  <c r="Y227" i="7"/>
  <c r="Z227" i="7"/>
  <c r="Z110" i="7"/>
  <c r="Y110" i="7"/>
  <c r="Z220" i="7"/>
  <c r="Y220" i="7"/>
  <c r="Y99" i="7"/>
  <c r="Z99" i="7"/>
  <c r="Y205" i="7"/>
  <c r="Z205" i="7"/>
  <c r="AE92" i="7"/>
  <c r="AD92" i="7"/>
  <c r="AE24" i="16"/>
  <c r="AD24" i="16"/>
  <c r="Y43" i="6"/>
  <c r="Z43" i="6"/>
  <c r="AE32" i="6"/>
  <c r="AD32" i="6"/>
  <c r="AD491" i="7"/>
  <c r="AE491" i="7"/>
  <c r="Y496" i="7"/>
  <c r="Z496" i="7"/>
  <c r="Y378" i="7"/>
  <c r="Z378" i="7"/>
  <c r="Z261" i="7"/>
  <c r="Y261" i="7"/>
  <c r="Z565" i="7"/>
  <c r="Y565" i="7"/>
  <c r="AE275" i="7"/>
  <c r="AD275" i="7"/>
  <c r="AE381" i="7"/>
  <c r="AD381" i="7"/>
  <c r="AD570" i="7"/>
  <c r="AE570" i="7"/>
  <c r="AE459" i="7"/>
  <c r="AD459" i="7"/>
  <c r="AE342" i="7"/>
  <c r="AD342" i="7"/>
  <c r="Y452" i="7"/>
  <c r="Z452" i="7"/>
  <c r="AD486" i="7"/>
  <c r="AE486" i="7"/>
  <c r="AD375" i="7"/>
  <c r="AE375" i="7"/>
  <c r="AE211" i="7"/>
  <c r="AD211" i="7"/>
  <c r="AE30" i="7"/>
  <c r="AD30" i="7"/>
  <c r="Y168" i="7"/>
  <c r="Z168" i="7"/>
  <c r="Z111" i="7"/>
  <c r="Y111" i="7"/>
  <c r="Z217" i="7"/>
  <c r="Y217" i="7"/>
  <c r="Z40" i="7"/>
  <c r="Y40" i="7"/>
  <c r="Z84" i="7"/>
  <c r="Y84" i="7"/>
  <c r="AE26" i="16"/>
  <c r="AD26" i="16"/>
  <c r="Y39" i="16"/>
  <c r="Z39" i="16"/>
  <c r="Y23" i="6"/>
  <c r="Z23" i="6"/>
  <c r="AE4" i="6"/>
  <c r="AD4" i="6"/>
  <c r="Z544" i="7"/>
  <c r="Y544" i="7"/>
  <c r="AE426" i="7"/>
  <c r="AD426" i="7"/>
  <c r="AE309" i="7"/>
  <c r="AD309" i="7"/>
  <c r="AE503" i="7"/>
  <c r="AD503" i="7"/>
  <c r="Y508" i="7"/>
  <c r="Z508" i="7"/>
  <c r="AE390" i="7"/>
  <c r="AD390" i="7"/>
  <c r="Z273" i="7"/>
  <c r="Y273" i="7"/>
  <c r="AE467" i="7"/>
  <c r="AD467" i="7"/>
  <c r="Y472" i="7"/>
  <c r="Z472" i="7"/>
  <c r="Y354" i="7"/>
  <c r="Z354" i="7"/>
  <c r="Z237" i="7"/>
  <c r="Y237" i="7"/>
  <c r="Z557" i="7"/>
  <c r="Y557" i="7"/>
  <c r="AD331" i="7"/>
  <c r="AE331" i="7"/>
  <c r="AD437" i="7"/>
  <c r="AE437" i="7"/>
  <c r="AE324" i="7"/>
  <c r="AD324" i="7"/>
  <c r="Y117" i="7"/>
  <c r="Z117" i="7"/>
  <c r="AD223" i="7"/>
  <c r="AE223" i="7"/>
  <c r="AE106" i="7"/>
  <c r="AD106" i="7"/>
  <c r="AD216" i="7"/>
  <c r="AE216" i="7"/>
  <c r="Z39" i="6"/>
  <c r="Y39" i="6"/>
  <c r="AD489" i="7"/>
  <c r="AE489" i="7"/>
  <c r="Z263" i="7"/>
  <c r="Y263" i="7"/>
  <c r="Y369" i="7"/>
  <c r="Z369" i="7"/>
  <c r="Z256" i="7"/>
  <c r="Y256" i="7"/>
  <c r="Z566" i="7"/>
  <c r="Y566" i="7"/>
  <c r="Z455" i="7"/>
  <c r="Y455" i="7"/>
  <c r="Z338" i="7"/>
  <c r="Y338" i="7"/>
  <c r="Y448" i="7"/>
  <c r="Z448" i="7"/>
  <c r="AE230" i="7"/>
  <c r="AD230" i="7"/>
  <c r="AD113" i="7"/>
  <c r="AE113" i="7"/>
  <c r="AE14" i="16"/>
  <c r="AD14" i="16"/>
  <c r="AE304" i="7"/>
  <c r="AD304" i="7"/>
  <c r="AE501" i="7"/>
  <c r="AD501" i="7"/>
  <c r="Y506" i="7"/>
  <c r="Z506" i="7"/>
  <c r="Y395" i="7"/>
  <c r="Z395" i="7"/>
  <c r="AD278" i="7"/>
  <c r="AE278" i="7"/>
  <c r="Z388" i="7"/>
  <c r="Y388" i="7"/>
  <c r="AD414" i="7"/>
  <c r="AE414" i="7"/>
  <c r="AD297" i="7"/>
  <c r="AE297" i="7"/>
  <c r="Z147" i="7"/>
  <c r="Y147" i="7"/>
  <c r="Y175" i="7"/>
  <c r="Z175" i="7"/>
  <c r="Y58" i="7"/>
  <c r="Z58" i="7"/>
  <c r="Y47" i="7"/>
  <c r="Z47" i="7"/>
  <c r="Z153" i="7"/>
  <c r="Y153" i="7"/>
  <c r="AD91" i="7"/>
  <c r="AE91" i="7"/>
  <c r="Z197" i="7"/>
  <c r="Y197" i="7"/>
  <c r="AE20" i="7"/>
  <c r="AD20" i="7"/>
  <c r="AE20" i="16"/>
  <c r="AD20" i="16"/>
  <c r="AE5" i="6"/>
  <c r="AD5" i="6"/>
  <c r="AE30" i="6"/>
  <c r="AD30" i="6"/>
  <c r="AD562" i="7"/>
  <c r="AE562" i="7"/>
  <c r="Y451" i="7"/>
  <c r="Z451" i="7"/>
  <c r="Z334" i="7"/>
  <c r="Y334" i="7"/>
  <c r="Z444" i="7"/>
  <c r="Y444" i="7"/>
  <c r="Z526" i="7"/>
  <c r="Y526" i="7"/>
  <c r="Y415" i="7"/>
  <c r="Z415" i="7"/>
  <c r="Y298" i="7"/>
  <c r="Z298" i="7"/>
  <c r="AD408" i="7"/>
  <c r="AE408" i="7"/>
  <c r="Y490" i="7"/>
  <c r="Z490" i="7"/>
  <c r="Y379" i="7"/>
  <c r="Z379" i="7"/>
  <c r="Z262" i="7"/>
  <c r="Y262" i="7"/>
  <c r="Y372" i="7"/>
  <c r="Z372" i="7"/>
  <c r="AE345" i="7"/>
  <c r="AD345" i="7"/>
  <c r="Y123" i="7"/>
  <c r="Z123" i="7"/>
  <c r="Y6" i="7"/>
  <c r="Z6" i="7"/>
  <c r="AD11" i="7"/>
  <c r="AE11" i="7"/>
  <c r="AE9" i="16"/>
  <c r="AD9" i="16"/>
  <c r="AD16" i="16"/>
  <c r="AE16" i="16"/>
  <c r="Y558" i="7"/>
  <c r="Z558" i="7"/>
  <c r="Z447" i="7"/>
  <c r="Y447" i="7"/>
  <c r="Z330" i="7"/>
  <c r="Y330" i="7"/>
  <c r="AD440" i="7"/>
  <c r="AE440" i="7"/>
  <c r="Y522" i="7"/>
  <c r="Z522" i="7"/>
  <c r="Z411" i="7"/>
  <c r="Y411" i="7"/>
  <c r="AD294" i="7"/>
  <c r="AE294" i="7"/>
  <c r="AE404" i="7"/>
  <c r="AD404" i="7"/>
  <c r="Z502" i="7"/>
  <c r="Y502" i="7"/>
  <c r="Y391" i="7"/>
  <c r="Z391" i="7"/>
  <c r="AD274" i="7"/>
  <c r="AE274" i="7"/>
  <c r="AE384" i="7"/>
  <c r="AD384" i="7"/>
  <c r="AD71" i="7"/>
  <c r="AE71" i="7"/>
  <c r="AD177" i="7"/>
  <c r="AE177" i="7"/>
  <c r="AD64" i="7"/>
  <c r="AE64" i="7"/>
  <c r="Y166" i="7"/>
  <c r="Z166" i="7"/>
  <c r="AD49" i="7"/>
  <c r="AE49" i="7"/>
  <c r="Z219" i="7"/>
  <c r="Y219" i="7"/>
  <c r="Z102" i="7"/>
  <c r="Y102" i="7"/>
  <c r="Z212" i="7"/>
  <c r="Y212" i="7"/>
  <c r="AD107" i="7"/>
  <c r="AE107" i="7"/>
  <c r="AE213" i="7"/>
  <c r="AD213" i="7"/>
  <c r="AE100" i="7"/>
  <c r="AD100" i="7"/>
  <c r="Y43" i="16"/>
  <c r="Z43" i="16"/>
  <c r="AE42" i="16"/>
  <c r="AD42" i="16"/>
  <c r="AE36" i="6"/>
  <c r="AD36" i="6"/>
  <c r="AD519" i="7"/>
  <c r="AE519" i="7"/>
  <c r="Y524" i="7"/>
  <c r="Z524" i="7"/>
  <c r="Z332" i="7"/>
  <c r="Y332" i="7"/>
  <c r="AD529" i="7"/>
  <c r="AE529" i="7"/>
  <c r="Z303" i="7"/>
  <c r="Y303" i="7"/>
  <c r="AE409" i="7"/>
  <c r="AD409" i="7"/>
  <c r="AE296" i="7"/>
  <c r="AD296" i="7"/>
  <c r="Y322" i="7"/>
  <c r="Z322" i="7"/>
  <c r="AE368" i="7"/>
  <c r="AD368" i="7"/>
  <c r="Y204" i="7"/>
  <c r="Z204" i="7"/>
  <c r="Z83" i="7"/>
  <c r="Y83" i="7"/>
  <c r="Y189" i="7"/>
  <c r="Z189" i="7"/>
  <c r="Z12" i="7"/>
  <c r="Y12" i="7"/>
  <c r="Z178" i="7"/>
  <c r="Y178" i="7"/>
  <c r="AE61" i="7"/>
  <c r="AD61" i="7"/>
  <c r="Y222" i="7"/>
  <c r="Z222" i="7"/>
  <c r="AE41" i="7"/>
  <c r="AD41" i="7"/>
  <c r="Z44" i="16"/>
  <c r="Y44" i="16"/>
  <c r="Y13" i="16"/>
  <c r="Z13" i="16"/>
  <c r="Z498" i="7"/>
  <c r="Y498" i="7"/>
  <c r="Z387" i="7"/>
  <c r="Y387" i="7"/>
  <c r="AE270" i="7"/>
  <c r="AD270" i="7"/>
  <c r="Y380" i="7"/>
  <c r="Z380" i="7"/>
  <c r="AE462" i="7"/>
  <c r="AD462" i="7"/>
  <c r="Y351" i="7"/>
  <c r="Z351" i="7"/>
  <c r="Z234" i="7"/>
  <c r="Y234" i="7"/>
  <c r="Y511" i="7"/>
  <c r="Z511" i="7"/>
  <c r="AD516" i="7"/>
  <c r="AE516" i="7"/>
  <c r="Z398" i="7"/>
  <c r="Y398" i="7"/>
  <c r="AE281" i="7"/>
  <c r="AD281" i="7"/>
  <c r="Z195" i="7"/>
  <c r="Y195" i="7"/>
  <c r="Z78" i="7"/>
  <c r="Y78" i="7"/>
  <c r="Z188" i="7"/>
  <c r="Y188" i="7"/>
  <c r="AD67" i="7"/>
  <c r="AE67" i="7"/>
  <c r="Z173" i="7"/>
  <c r="Y173" i="7"/>
  <c r="AD60" i="7"/>
  <c r="AE60" i="7"/>
  <c r="Z226" i="7"/>
  <c r="Y226" i="7"/>
  <c r="AD109" i="7"/>
  <c r="AE109" i="7"/>
  <c r="Z231" i="7"/>
  <c r="Y231" i="7"/>
  <c r="Y114" i="7"/>
  <c r="Z114" i="7"/>
  <c r="AE224" i="7"/>
  <c r="AD224" i="7"/>
  <c r="Z7" i="16"/>
  <c r="Y7" i="16"/>
  <c r="Z10" i="16"/>
  <c r="Y10" i="16"/>
  <c r="Z25" i="6"/>
  <c r="Y25" i="6"/>
  <c r="AE545" i="7"/>
  <c r="AD545" i="7"/>
  <c r="Y319" i="7"/>
  <c r="Z319" i="7"/>
  <c r="AE425" i="7"/>
  <c r="AD425" i="7"/>
  <c r="Y312" i="7"/>
  <c r="Z312" i="7"/>
  <c r="AE525" i="7"/>
  <c r="AD525" i="7"/>
  <c r="Z299" i="7"/>
  <c r="Y299" i="7"/>
  <c r="Y405" i="7"/>
  <c r="Z405" i="7"/>
  <c r="Z292" i="7"/>
  <c r="Y292" i="7"/>
  <c r="AD202" i="7"/>
  <c r="AE202" i="7"/>
  <c r="Y85" i="7"/>
  <c r="Z85" i="7"/>
  <c r="AE191" i="7"/>
  <c r="AD191" i="7"/>
  <c r="AE74" i="7"/>
  <c r="AD74" i="7"/>
  <c r="Y184" i="7"/>
  <c r="Z184" i="7"/>
  <c r="Y31" i="16"/>
  <c r="Z31" i="16"/>
  <c r="AE47" i="16"/>
  <c r="AD47" i="16"/>
  <c r="Y555" i="7"/>
  <c r="Z555" i="7"/>
  <c r="AE560" i="7"/>
  <c r="AD560" i="7"/>
  <c r="Y442" i="7"/>
  <c r="Z442" i="7"/>
  <c r="Z325" i="7"/>
  <c r="Y325" i="7"/>
  <c r="Z339" i="7"/>
  <c r="Y339" i="7"/>
  <c r="Z445" i="7"/>
  <c r="Y445" i="7"/>
  <c r="Z268" i="7"/>
  <c r="Y268" i="7"/>
  <c r="AE465" i="7"/>
  <c r="AD465" i="7"/>
  <c r="AE239" i="7"/>
  <c r="AD239" i="7"/>
  <c r="Z550" i="7"/>
  <c r="Y550" i="7"/>
  <c r="Y439" i="7"/>
  <c r="Z439" i="7"/>
  <c r="Z258" i="7"/>
  <c r="Y258" i="7"/>
  <c r="Z94" i="7"/>
  <c r="Y94" i="7"/>
  <c r="Y140" i="7"/>
  <c r="Z140" i="7"/>
  <c r="AD19" i="7"/>
  <c r="AE19" i="7"/>
  <c r="Y125" i="7"/>
  <c r="Z125" i="7"/>
  <c r="AD104" i="7"/>
  <c r="AE104" i="7"/>
  <c r="Z158" i="7"/>
  <c r="Y158" i="7"/>
  <c r="AE45" i="16"/>
  <c r="AD45" i="16"/>
  <c r="AE4" i="16"/>
  <c r="AD4" i="16"/>
  <c r="Y11" i="16"/>
  <c r="Z11" i="16"/>
  <c r="AE10" i="6"/>
  <c r="AD10" i="6"/>
  <c r="Z567" i="7"/>
  <c r="Y567" i="7"/>
  <c r="AE572" i="7"/>
  <c r="AD572" i="7"/>
  <c r="Z454" i="7"/>
  <c r="Y454" i="7"/>
  <c r="AE337" i="7"/>
  <c r="AD337" i="7"/>
  <c r="AE531" i="7"/>
  <c r="AD531" i="7"/>
  <c r="AD536" i="7"/>
  <c r="AE536" i="7"/>
  <c r="Z418" i="7"/>
  <c r="Y418" i="7"/>
  <c r="Y301" i="7"/>
  <c r="Z301" i="7"/>
  <c r="Y131" i="7"/>
  <c r="Z131" i="7"/>
  <c r="Y14" i="7"/>
  <c r="Z14" i="7"/>
  <c r="Y124" i="7"/>
  <c r="Z124" i="7"/>
  <c r="AD162" i="7"/>
  <c r="AE162" i="7"/>
  <c r="AE45" i="7"/>
  <c r="AD45" i="7"/>
  <c r="Y167" i="7"/>
  <c r="Z167" i="7"/>
  <c r="Y50" i="7"/>
  <c r="Z50" i="7"/>
  <c r="Z160" i="7"/>
  <c r="Y160" i="7"/>
  <c r="AD34" i="16"/>
  <c r="AE34" i="16"/>
  <c r="AE31" i="6"/>
  <c r="AD31" i="6"/>
  <c r="AE553" i="7"/>
  <c r="AD553" i="7"/>
  <c r="Z327" i="7"/>
  <c r="Y327" i="7"/>
  <c r="AD433" i="7"/>
  <c r="AE433" i="7"/>
  <c r="Y320" i="7"/>
  <c r="Z320" i="7"/>
  <c r="AE517" i="7"/>
  <c r="AD517" i="7"/>
  <c r="Z291" i="7"/>
  <c r="Y291" i="7"/>
  <c r="Y397" i="7"/>
  <c r="Z397" i="7"/>
  <c r="Z284" i="7"/>
  <c r="Y284" i="7"/>
  <c r="Y481" i="7"/>
  <c r="Z481" i="7"/>
  <c r="AD255" i="7"/>
  <c r="AE255" i="7"/>
  <c r="AE361" i="7"/>
  <c r="AD361" i="7"/>
  <c r="AD248" i="7"/>
  <c r="AE248" i="7"/>
  <c r="Z461" i="7"/>
  <c r="Y461" i="7"/>
  <c r="AD235" i="7"/>
  <c r="AE235" i="7"/>
  <c r="AD138" i="7"/>
  <c r="AE138" i="7"/>
  <c r="Y21" i="7"/>
  <c r="Z21" i="7"/>
  <c r="AD127" i="7"/>
  <c r="AE127" i="7"/>
  <c r="AE10" i="7"/>
  <c r="AD10" i="7"/>
  <c r="AD120" i="7"/>
  <c r="AE120" i="7"/>
  <c r="AE63" i="7"/>
  <c r="AD63" i="7"/>
  <c r="AD169" i="7"/>
  <c r="AE169" i="7"/>
  <c r="Z56" i="7"/>
  <c r="Y56" i="7"/>
  <c r="AD174" i="7"/>
  <c r="AE174" i="7"/>
  <c r="Y57" i="7"/>
  <c r="Z57" i="7"/>
  <c r="AE43" i="6"/>
  <c r="AD43" i="6"/>
  <c r="Y32" i="6"/>
  <c r="Z32" i="6"/>
  <c r="Y491" i="7"/>
  <c r="Z491" i="7"/>
  <c r="AE496" i="7"/>
  <c r="AD496" i="7"/>
  <c r="AE378" i="7"/>
  <c r="AD378" i="7"/>
  <c r="AD261" i="7"/>
  <c r="AE261" i="7"/>
  <c r="AD565" i="7"/>
  <c r="AE565" i="7"/>
  <c r="Y275" i="7"/>
  <c r="Z275" i="7"/>
  <c r="Y381" i="7"/>
  <c r="Z381" i="7"/>
  <c r="Z570" i="7"/>
  <c r="Y570" i="7"/>
  <c r="Y459" i="7"/>
  <c r="Z459" i="7"/>
  <c r="Z342" i="7"/>
  <c r="Y342" i="7"/>
  <c r="AE452" i="7"/>
  <c r="AD452" i="7"/>
  <c r="Y486" i="7"/>
  <c r="Z486" i="7"/>
  <c r="Y375" i="7"/>
  <c r="Z375" i="7"/>
  <c r="Z211" i="7"/>
  <c r="Y211" i="7"/>
  <c r="Z30" i="7"/>
  <c r="Y30" i="7"/>
  <c r="AD168" i="7"/>
  <c r="AE168" i="7"/>
  <c r="AD111" i="7"/>
  <c r="AE111" i="7"/>
  <c r="AD217" i="7"/>
  <c r="AE217" i="7"/>
  <c r="AD40" i="7"/>
  <c r="AE40" i="7"/>
  <c r="AD84" i="7"/>
  <c r="AE84" i="7"/>
  <c r="Z26" i="16"/>
  <c r="Y26" i="16"/>
  <c r="AD39" i="16"/>
  <c r="AE39" i="16"/>
  <c r="AE23" i="6"/>
  <c r="AD23" i="6"/>
  <c r="Y4" i="6"/>
  <c r="Z4" i="6"/>
  <c r="AE544" i="7"/>
  <c r="AD544" i="7"/>
  <c r="Y426" i="7"/>
  <c r="Z426" i="7"/>
  <c r="Z309" i="7"/>
  <c r="Y309" i="7"/>
  <c r="Z503" i="7"/>
  <c r="Y503" i="7"/>
  <c r="AD508" i="7"/>
  <c r="AE508" i="7"/>
  <c r="Z390" i="7"/>
  <c r="Y390" i="7"/>
  <c r="AD273" i="7"/>
  <c r="AE273" i="7"/>
  <c r="Z467" i="7"/>
  <c r="Y467" i="7"/>
  <c r="AE472" i="7"/>
  <c r="AD472" i="7"/>
  <c r="AD354" i="7"/>
  <c r="AE354" i="7"/>
  <c r="AE237" i="7"/>
  <c r="AD237" i="7"/>
  <c r="AE557" i="7"/>
  <c r="AD557" i="7"/>
  <c r="Z331" i="7"/>
  <c r="Y331" i="7"/>
  <c r="Z437" i="7"/>
  <c r="Y437" i="7"/>
  <c r="Y324" i="7"/>
  <c r="Z324" i="7"/>
  <c r="AE117" i="7"/>
  <c r="AD117" i="7"/>
  <c r="Y223" i="7"/>
  <c r="Z223" i="7"/>
  <c r="Y106" i="7"/>
  <c r="Z106" i="7"/>
  <c r="Y216" i="7"/>
  <c r="Z216" i="7"/>
  <c r="AE24" i="6"/>
  <c r="AD24" i="6"/>
  <c r="AE571" i="7"/>
  <c r="AD571" i="7"/>
  <c r="AD458" i="7"/>
  <c r="AE458" i="7"/>
  <c r="AD341" i="7"/>
  <c r="AE341" i="7"/>
  <c r="AD535" i="7"/>
  <c r="AE535" i="7"/>
  <c r="Z540" i="7"/>
  <c r="Y540" i="7"/>
  <c r="Y422" i="7"/>
  <c r="Z422" i="7"/>
  <c r="Y305" i="7"/>
  <c r="Z305" i="7"/>
  <c r="AD499" i="7"/>
  <c r="AE499" i="7"/>
  <c r="Y504" i="7"/>
  <c r="Z504" i="7"/>
  <c r="Y386" i="7"/>
  <c r="Z386" i="7"/>
  <c r="AD269" i="7"/>
  <c r="AE269" i="7"/>
  <c r="AE479" i="7"/>
  <c r="AD479" i="7"/>
  <c r="Z484" i="7"/>
  <c r="Y484" i="7"/>
  <c r="Y366" i="7"/>
  <c r="Z366" i="7"/>
  <c r="AD249" i="7"/>
  <c r="AE249" i="7"/>
  <c r="AE163" i="7"/>
  <c r="AD163" i="7"/>
  <c r="AD46" i="7"/>
  <c r="AE46" i="7"/>
  <c r="AD156" i="7"/>
  <c r="AE156" i="7"/>
  <c r="Z35" i="7"/>
  <c r="Y35" i="7"/>
  <c r="AD141" i="7"/>
  <c r="AE141" i="7"/>
  <c r="AE28" i="7"/>
  <c r="AD28" i="7"/>
  <c r="AD194" i="7"/>
  <c r="AE194" i="7"/>
  <c r="Z77" i="7"/>
  <c r="Y77" i="7"/>
  <c r="AD199" i="7"/>
  <c r="AE199" i="7"/>
  <c r="AD82" i="7"/>
  <c r="AE82" i="7"/>
  <c r="AD192" i="7"/>
  <c r="AE192" i="7"/>
  <c r="AE17" i="16"/>
  <c r="AD17" i="16"/>
  <c r="AE33" i="6"/>
  <c r="AD33" i="6"/>
  <c r="Z20" i="6"/>
  <c r="Y20" i="6"/>
  <c r="Z514" i="7"/>
  <c r="Y514" i="7"/>
  <c r="AD403" i="7"/>
  <c r="AE403" i="7"/>
  <c r="Y286" i="7"/>
  <c r="Z286" i="7"/>
  <c r="AE406" i="7"/>
  <c r="AD406" i="7"/>
  <c r="Z289" i="7"/>
  <c r="Y289" i="7"/>
  <c r="Y509" i="7"/>
  <c r="Z509" i="7"/>
  <c r="Z432" i="7"/>
  <c r="Y432" i="7"/>
  <c r="Z55" i="7"/>
  <c r="Y55" i="7"/>
  <c r="Z161" i="7"/>
  <c r="Y161" i="7"/>
  <c r="Y76" i="7"/>
  <c r="Z76" i="7"/>
  <c r="AE183" i="7"/>
  <c r="AD183" i="7"/>
  <c r="Z105" i="7"/>
  <c r="Y105" i="7"/>
  <c r="Y15" i="16"/>
  <c r="Z15" i="16"/>
  <c r="Z21" i="6"/>
  <c r="Y21" i="6"/>
  <c r="Y8" i="6"/>
  <c r="Z8" i="6"/>
  <c r="AE539" i="7"/>
  <c r="AD539" i="7"/>
  <c r="Y480" i="7"/>
  <c r="Z480" i="7"/>
  <c r="AE362" i="7"/>
  <c r="AD362" i="7"/>
  <c r="Z245" i="7"/>
  <c r="Y245" i="7"/>
  <c r="Z457" i="7"/>
  <c r="Y457" i="7"/>
  <c r="Z344" i="7"/>
  <c r="Y344" i="7"/>
  <c r="Y493" i="7"/>
  <c r="Z493" i="7"/>
  <c r="AD267" i="7"/>
  <c r="AE267" i="7"/>
  <c r="Y373" i="7"/>
  <c r="Z373" i="7"/>
  <c r="AD260" i="7"/>
  <c r="AE260" i="7"/>
  <c r="Y170" i="7"/>
  <c r="Z170" i="7"/>
  <c r="Z53" i="7"/>
  <c r="Y53" i="7"/>
  <c r="AE159" i="7"/>
  <c r="AD159" i="7"/>
  <c r="AD42" i="7"/>
  <c r="AE42" i="7"/>
  <c r="Y152" i="7"/>
  <c r="Z152" i="7"/>
  <c r="Z95" i="7"/>
  <c r="Y95" i="7"/>
  <c r="AD201" i="7"/>
  <c r="AE201" i="7"/>
  <c r="Y88" i="7"/>
  <c r="Z88" i="7"/>
  <c r="Y206" i="7"/>
  <c r="Z206" i="7"/>
  <c r="Z89" i="7"/>
  <c r="Y89" i="7"/>
  <c r="AE30" i="16"/>
  <c r="AD30" i="16"/>
  <c r="AE19" i="6"/>
  <c r="AD19" i="6"/>
  <c r="Y13" i="6"/>
  <c r="Z13" i="6"/>
  <c r="AD507" i="7"/>
  <c r="AE507" i="7"/>
  <c r="Z512" i="7"/>
  <c r="Y512" i="7"/>
  <c r="AD394" i="7"/>
  <c r="AE394" i="7"/>
  <c r="AD277" i="7"/>
  <c r="AE277" i="7"/>
  <c r="AD471" i="7"/>
  <c r="AE471" i="7"/>
  <c r="Y476" i="7"/>
  <c r="Z476" i="7"/>
  <c r="Y358" i="7"/>
  <c r="Z358" i="7"/>
  <c r="Y241" i="7"/>
  <c r="Z241" i="7"/>
  <c r="AE130" i="7"/>
  <c r="AD130" i="7"/>
  <c r="Y13" i="7"/>
  <c r="Z13" i="7"/>
  <c r="AE135" i="7"/>
  <c r="AD135" i="7"/>
  <c r="AD18" i="7"/>
  <c r="AE18" i="7"/>
  <c r="AE128" i="7"/>
  <c r="AD128" i="7"/>
  <c r="Z46" i="16"/>
  <c r="Y46" i="16"/>
  <c r="AE8" i="16"/>
  <c r="AD8" i="16"/>
  <c r="Y35" i="6"/>
  <c r="Z35" i="6"/>
  <c r="AD537" i="7"/>
  <c r="AE537" i="7"/>
  <c r="Y311" i="7"/>
  <c r="Z311" i="7"/>
  <c r="AD417" i="7"/>
  <c r="AE417" i="7"/>
  <c r="AE240" i="7"/>
  <c r="AD240" i="7"/>
  <c r="AE431" i="7"/>
  <c r="AD431" i="7"/>
  <c r="AD314" i="7"/>
  <c r="AE314" i="7"/>
  <c r="Y424" i="7"/>
  <c r="Z424" i="7"/>
  <c r="Z527" i="7"/>
  <c r="Y527" i="7"/>
  <c r="Z532" i="7"/>
  <c r="Y532" i="7"/>
  <c r="Y350" i="7"/>
  <c r="Z350" i="7"/>
  <c r="AE340" i="7"/>
  <c r="AD340" i="7"/>
  <c r="AE186" i="7"/>
  <c r="AD186" i="7"/>
  <c r="Z69" i="7"/>
  <c r="Y69" i="7"/>
  <c r="Z27" i="7"/>
  <c r="Y27" i="7"/>
  <c r="Y133" i="7"/>
  <c r="Z133" i="7"/>
  <c r="Z6" i="6"/>
  <c r="Y6" i="6"/>
  <c r="Y7" i="6"/>
  <c r="Z7" i="6"/>
  <c r="AD475" i="7"/>
  <c r="AE475" i="7"/>
  <c r="Y549" i="7"/>
  <c r="Z549" i="7"/>
  <c r="AD323" i="7"/>
  <c r="AE323" i="7"/>
  <c r="AD429" i="7"/>
  <c r="AE429" i="7"/>
  <c r="AE316" i="7"/>
  <c r="AD316" i="7"/>
  <c r="AD513" i="7"/>
  <c r="AE513" i="7"/>
  <c r="AD287" i="7"/>
  <c r="AE287" i="7"/>
  <c r="Z393" i="7"/>
  <c r="Y393" i="7"/>
  <c r="AE280" i="7"/>
  <c r="AD280" i="7"/>
  <c r="AE31" i="7"/>
  <c r="AD31" i="7"/>
  <c r="AD137" i="7"/>
  <c r="AE137" i="7"/>
  <c r="Z24" i="7"/>
  <c r="Y24" i="7"/>
  <c r="AD142" i="7"/>
  <c r="AE142" i="7"/>
  <c r="Y25" i="7"/>
  <c r="Z25" i="7"/>
  <c r="AE37" i="16"/>
  <c r="AD37" i="16"/>
  <c r="AD21" i="16"/>
  <c r="AE21" i="16"/>
  <c r="Y19" i="16"/>
  <c r="Z19" i="16"/>
  <c r="AD25" i="6"/>
  <c r="AE25" i="6"/>
  <c r="Z545" i="7"/>
  <c r="Y545" i="7"/>
  <c r="AD319" i="7"/>
  <c r="AE319" i="7"/>
  <c r="Y425" i="7"/>
  <c r="Z425" i="7"/>
  <c r="AD312" i="7"/>
  <c r="AE312" i="7"/>
  <c r="Z525" i="7"/>
  <c r="Y525" i="7"/>
  <c r="AE299" i="7"/>
  <c r="AD299" i="7"/>
  <c r="AE405" i="7"/>
  <c r="AD405" i="7"/>
  <c r="AD292" i="7"/>
  <c r="AE292" i="7"/>
  <c r="Y202" i="7"/>
  <c r="Z202" i="7"/>
  <c r="AE85" i="7"/>
  <c r="AD85" i="7"/>
  <c r="Z191" i="7"/>
  <c r="Y191" i="7"/>
  <c r="Y74" i="7"/>
  <c r="Z74" i="7"/>
  <c r="AE184" i="7"/>
  <c r="AD184" i="7"/>
  <c r="AD31" i="16"/>
  <c r="AE31" i="16"/>
  <c r="Y47" i="16"/>
  <c r="Z47" i="16"/>
  <c r="Z473" i="7"/>
  <c r="Y473" i="7"/>
  <c r="AD247" i="7"/>
  <c r="AE247" i="7"/>
  <c r="AD353" i="7"/>
  <c r="AE353" i="7"/>
  <c r="Z542" i="7"/>
  <c r="Y542" i="7"/>
  <c r="AE367" i="7"/>
  <c r="AD367" i="7"/>
  <c r="Y250" i="7"/>
  <c r="Z250" i="7"/>
  <c r="AD360" i="7"/>
  <c r="AE360" i="7"/>
  <c r="AE547" i="7"/>
  <c r="AD547" i="7"/>
  <c r="Y552" i="7"/>
  <c r="Z552" i="7"/>
  <c r="AE434" i="7"/>
  <c r="AD434" i="7"/>
  <c r="AE317" i="7"/>
  <c r="AD317" i="7"/>
  <c r="AD463" i="7"/>
  <c r="AE463" i="7"/>
  <c r="Z468" i="7"/>
  <c r="Y468" i="7"/>
  <c r="AE453" i="7"/>
  <c r="AD453" i="7"/>
  <c r="Z276" i="7"/>
  <c r="Y276" i="7"/>
  <c r="AD122" i="7"/>
  <c r="AE122" i="7"/>
  <c r="Y112" i="7"/>
  <c r="Z112" i="7"/>
  <c r="AD214" i="7"/>
  <c r="AE214" i="7"/>
  <c r="Y97" i="7"/>
  <c r="Z97" i="7"/>
  <c r="Z203" i="7"/>
  <c r="Y203" i="7"/>
  <c r="AD86" i="7"/>
  <c r="AE86" i="7"/>
  <c r="AD196" i="7"/>
  <c r="AE196" i="7"/>
  <c r="AD176" i="7"/>
  <c r="AE176" i="7"/>
  <c r="AE40" i="16"/>
  <c r="AD40" i="16"/>
  <c r="AP36" i="6"/>
  <c r="AQ36" i="6" s="1"/>
  <c r="AR36" i="6" s="1"/>
  <c r="AU36" i="6" s="1"/>
  <c r="AK36" i="6"/>
  <c r="AP20" i="6"/>
  <c r="AQ20" i="6" s="1"/>
  <c r="AP27" i="6"/>
  <c r="AQ27" i="6" s="1"/>
  <c r="AR27" i="6" s="1"/>
  <c r="AU27" i="6" s="1"/>
  <c r="AP29" i="6"/>
  <c r="AQ29" i="6" s="1"/>
  <c r="AK29" i="6"/>
  <c r="AP32" i="6"/>
  <c r="AQ32" i="6" s="1"/>
  <c r="AK32" i="6"/>
  <c r="AP10" i="6"/>
  <c r="AQ10" i="6" s="1"/>
  <c r="AR10" i="6" s="1"/>
  <c r="AU10" i="6" s="1"/>
  <c r="AK10" i="6"/>
  <c r="AI19" i="6"/>
  <c r="AI37" i="6"/>
  <c r="AJ37" i="6" s="1"/>
  <c r="AI4" i="6"/>
  <c r="AJ4" i="6" s="1"/>
  <c r="AI5" i="6"/>
  <c r="AJ17" i="16"/>
  <c r="AP17" i="16"/>
  <c r="AQ17" i="16" s="1"/>
  <c r="AK17" i="16"/>
  <c r="AS287" i="7"/>
  <c r="AU287" i="7" s="1"/>
  <c r="AS195" i="7"/>
  <c r="AU195" i="7" s="1"/>
  <c r="AS131" i="7"/>
  <c r="AU131" i="7" s="1"/>
  <c r="AS103" i="7"/>
  <c r="AU103" i="7" s="1"/>
  <c r="AS30" i="7"/>
  <c r="AU30" i="7" s="1"/>
  <c r="AS251" i="7"/>
  <c r="AU251" i="7" s="1"/>
  <c r="AS223" i="7"/>
  <c r="AU223" i="7" s="1"/>
  <c r="AJ26" i="16"/>
  <c r="AP26" i="16"/>
  <c r="AQ26" i="16" s="1"/>
  <c r="AK26" i="16"/>
  <c r="AS178" i="7"/>
  <c r="AU178" i="7" s="1"/>
  <c r="AK43" i="16"/>
  <c r="AJ43" i="16"/>
  <c r="AP43" i="16"/>
  <c r="AQ43" i="16" s="1"/>
  <c r="AS23" i="7"/>
  <c r="AU23" i="7" s="1"/>
  <c r="AP41" i="16"/>
  <c r="AQ41" i="16" s="1"/>
  <c r="AJ41" i="16"/>
  <c r="AK41" i="16"/>
  <c r="AS299" i="7"/>
  <c r="AU299" i="7" s="1"/>
  <c r="AS207" i="7"/>
  <c r="AU207" i="7" s="1"/>
  <c r="AS115" i="7"/>
  <c r="AU115" i="7" s="1"/>
  <c r="AS130" i="7"/>
  <c r="AU130" i="7" s="1"/>
  <c r="AP36" i="16"/>
  <c r="AQ36" i="16" s="1"/>
  <c r="AJ36" i="16"/>
  <c r="AK36" i="16"/>
  <c r="AJ46" i="16"/>
  <c r="AK46" i="16"/>
  <c r="AP46" i="16"/>
  <c r="AQ46" i="16" s="1"/>
  <c r="AJ40" i="16"/>
  <c r="AP40" i="16"/>
  <c r="AQ40" i="16" s="1"/>
  <c r="AK40" i="16"/>
  <c r="AS118" i="7"/>
  <c r="AU118" i="7" s="1"/>
  <c r="AR30" i="16"/>
  <c r="AU30" i="16" s="1"/>
  <c r="AR11" i="16"/>
  <c r="AU11" i="16" s="1"/>
  <c r="AS38" i="7"/>
  <c r="AU38" i="7" s="1"/>
  <c r="AF22" i="6"/>
  <c r="AR8" i="6"/>
  <c r="AU8" i="6" s="1"/>
  <c r="AS114" i="7"/>
  <c r="AU114" i="7" s="1"/>
  <c r="AK33" i="16"/>
  <c r="AP33" i="16"/>
  <c r="AQ33" i="16" s="1"/>
  <c r="AJ33" i="16"/>
  <c r="AS159" i="7"/>
  <c r="AU159" i="7" s="1"/>
  <c r="AS66" i="7"/>
  <c r="AU66" i="7" s="1"/>
  <c r="AL170" i="7"/>
  <c r="AN170" i="7" s="1"/>
  <c r="AL19" i="16"/>
  <c r="AN19" i="16" s="1"/>
  <c r="AL87" i="7"/>
  <c r="AN87" i="7" s="1"/>
  <c r="AS206" i="7"/>
  <c r="AU206" i="7" s="1"/>
  <c r="AL143" i="7"/>
  <c r="AN143" i="7" s="1"/>
  <c r="AS194" i="7"/>
  <c r="AU194" i="7" s="1"/>
  <c r="AS34" i="7"/>
  <c r="AU34" i="7" s="1"/>
  <c r="AK25" i="16"/>
  <c r="AP25" i="16"/>
  <c r="AQ25" i="16" s="1"/>
  <c r="AJ25" i="16"/>
  <c r="AL255" i="7"/>
  <c r="AN255" i="7" s="1"/>
  <c r="AS71" i="7"/>
  <c r="AU71" i="7" s="1"/>
  <c r="AS7" i="7"/>
  <c r="AU7" i="7" s="1"/>
  <c r="AR5" i="16"/>
  <c r="AU5" i="16" s="1"/>
  <c r="AS147" i="7"/>
  <c r="AU147" i="7" s="1"/>
  <c r="AL9" i="16"/>
  <c r="AN9" i="16" s="1"/>
  <c r="AK44" i="16"/>
  <c r="AJ44" i="16"/>
  <c r="AP44" i="16"/>
  <c r="AQ44" i="16" s="1"/>
  <c r="AR29" i="16"/>
  <c r="AU29" i="16" s="1"/>
  <c r="AK48" i="16"/>
  <c r="AP48" i="16"/>
  <c r="AQ48" i="16" s="1"/>
  <c r="AJ48" i="16"/>
  <c r="AS86" i="7"/>
  <c r="AU86" i="7" s="1"/>
  <c r="AS179" i="7"/>
  <c r="AU179" i="7" s="1"/>
  <c r="AR7" i="16"/>
  <c r="AU7" i="16" s="1"/>
  <c r="AS143" i="7"/>
  <c r="AU143" i="7" s="1"/>
  <c r="AS158" i="7"/>
  <c r="AU158" i="7" s="1"/>
  <c r="AP22" i="16"/>
  <c r="AQ22" i="16" s="1"/>
  <c r="AJ22" i="16"/>
  <c r="AK22" i="16"/>
  <c r="AS102" i="7"/>
  <c r="AU102" i="7" s="1"/>
  <c r="AR28" i="16"/>
  <c r="AU28" i="16" s="1"/>
  <c r="AK7" i="6"/>
  <c r="AK22" i="6"/>
  <c r="AS227" i="7"/>
  <c r="AU227" i="7" s="1"/>
  <c r="AS163" i="7"/>
  <c r="AU163" i="7" s="1"/>
  <c r="AP12" i="16"/>
  <c r="AQ12" i="16" s="1"/>
  <c r="AJ12" i="16"/>
  <c r="AK12" i="16"/>
  <c r="AS127" i="7"/>
  <c r="AU127" i="7" s="1"/>
  <c r="AS210" i="7"/>
  <c r="AU210" i="7" s="1"/>
  <c r="AR35" i="16"/>
  <c r="AU35" i="16" s="1"/>
  <c r="AS55" i="7"/>
  <c r="AU55" i="7" s="1"/>
  <c r="AS83" i="7"/>
  <c r="AU83" i="7" s="1"/>
  <c r="AS19" i="7"/>
  <c r="AU19" i="7" s="1"/>
  <c r="AS162" i="7"/>
  <c r="AU162" i="7" s="1"/>
  <c r="AS190" i="7"/>
  <c r="AU190" i="7" s="1"/>
  <c r="AR14" i="16"/>
  <c r="AU14" i="16" s="1"/>
  <c r="AJ39" i="16"/>
  <c r="AK39" i="16"/>
  <c r="AP39" i="16"/>
  <c r="AQ39" i="16" s="1"/>
  <c r="AL103" i="7"/>
  <c r="AN103" i="7" s="1"/>
  <c r="AS182" i="7"/>
  <c r="AU182" i="7" s="1"/>
  <c r="AS22" i="7"/>
  <c r="AU22" i="7" s="1"/>
  <c r="AS58" i="7"/>
  <c r="AU58" i="7" s="1"/>
  <c r="AK35" i="6"/>
  <c r="AS335" i="7"/>
  <c r="AU335" i="7" s="1"/>
  <c r="AL194" i="7"/>
  <c r="AN194" i="7" s="1"/>
  <c r="AS150" i="7"/>
  <c r="AU150" i="7" s="1"/>
  <c r="AL34" i="7"/>
  <c r="AN34" i="7" s="1"/>
  <c r="AI12" i="6"/>
  <c r="AJ12" i="6" s="1"/>
  <c r="AK11" i="6"/>
  <c r="AL11" i="6" s="1"/>
  <c r="AN11" i="6" s="1"/>
  <c r="AO11" i="6" s="1"/>
  <c r="AK15" i="16"/>
  <c r="AP15" i="16"/>
  <c r="AQ15" i="16" s="1"/>
  <c r="AJ15" i="16"/>
  <c r="AS191" i="7"/>
  <c r="AU191" i="7" s="1"/>
  <c r="AS99" i="7"/>
  <c r="AU99" i="7" s="1"/>
  <c r="AS222" i="7"/>
  <c r="AU222" i="7" s="1"/>
  <c r="AS138" i="7"/>
  <c r="AU138" i="7" s="1"/>
  <c r="AK34" i="16"/>
  <c r="AJ34" i="16"/>
  <c r="AP34" i="16"/>
  <c r="AQ34" i="16" s="1"/>
  <c r="AK20" i="16"/>
  <c r="AP20" i="16"/>
  <c r="AQ20" i="16" s="1"/>
  <c r="AJ20" i="16"/>
  <c r="AJ37" i="16"/>
  <c r="AP37" i="16"/>
  <c r="AQ37" i="16" s="1"/>
  <c r="AK37" i="16"/>
  <c r="AR21" i="16"/>
  <c r="AU21" i="16" s="1"/>
  <c r="AS175" i="7"/>
  <c r="AU175" i="7" s="1"/>
  <c r="AS202" i="7"/>
  <c r="AU202" i="7" s="1"/>
  <c r="AS90" i="7"/>
  <c r="AU90" i="7" s="1"/>
  <c r="AR16" i="16"/>
  <c r="AU16" i="16" s="1"/>
  <c r="AL78" i="7"/>
  <c r="AN78" i="7" s="1"/>
  <c r="AL488" i="7" l="1"/>
  <c r="AN488" i="7" s="1"/>
  <c r="AO488" i="7" s="1"/>
  <c r="AV488" i="7" s="1"/>
  <c r="AX488" i="7" s="1"/>
  <c r="BP182" i="6"/>
  <c r="Y176" i="6"/>
  <c r="Y132" i="6"/>
  <c r="Z118" i="6"/>
  <c r="AA118" i="6" s="1"/>
  <c r="AB118" i="6" s="1"/>
  <c r="AL7" i="7"/>
  <c r="AN7" i="7" s="1"/>
  <c r="AL43" i="7"/>
  <c r="AN43" i="7" s="1"/>
  <c r="AP43" i="6"/>
  <c r="AQ43" i="6" s="1"/>
  <c r="AR43" i="6" s="1"/>
  <c r="AU43" i="6" s="1"/>
  <c r="AJ219" i="6"/>
  <c r="AL219" i="6" s="1"/>
  <c r="AN219" i="6" s="1"/>
  <c r="AL169" i="7"/>
  <c r="AN169" i="7" s="1"/>
  <c r="AL296" i="7"/>
  <c r="AN296" i="7" s="1"/>
  <c r="AO296" i="7" s="1"/>
  <c r="AV296" i="7" s="1"/>
  <c r="AX296" i="7" s="1"/>
  <c r="AL99" i="7"/>
  <c r="AN99" i="7" s="1"/>
  <c r="AL150" i="7"/>
  <c r="AN150" i="7" s="1"/>
  <c r="AU338" i="7"/>
  <c r="AL434" i="7"/>
  <c r="AN434" i="7" s="1"/>
  <c r="AL462" i="7"/>
  <c r="AN462" i="7" s="1"/>
  <c r="AK40" i="6"/>
  <c r="AU311" i="7"/>
  <c r="AP40" i="6"/>
  <c r="AQ40" i="6" s="1"/>
  <c r="AU390" i="7"/>
  <c r="AL425" i="7"/>
  <c r="AN425" i="7" s="1"/>
  <c r="AL556" i="7"/>
  <c r="AN556" i="7" s="1"/>
  <c r="AO556" i="7" s="1"/>
  <c r="AL284" i="7"/>
  <c r="AN284" i="7" s="1"/>
  <c r="AO284" i="7" s="1"/>
  <c r="AV284" i="7" s="1"/>
  <c r="AX284" i="7" s="1"/>
  <c r="AL130" i="7"/>
  <c r="AN130" i="7" s="1"/>
  <c r="AL195" i="7"/>
  <c r="AN195" i="7" s="1"/>
  <c r="AL108" i="7"/>
  <c r="AN108" i="7" s="1"/>
  <c r="AL337" i="7"/>
  <c r="AN337" i="7" s="1"/>
  <c r="AO337" i="7" s="1"/>
  <c r="AV337" i="7" s="1"/>
  <c r="AX337" i="7" s="1"/>
  <c r="AL205" i="7"/>
  <c r="AN205" i="7" s="1"/>
  <c r="AU233" i="7"/>
  <c r="AL399" i="7"/>
  <c r="AN399" i="7" s="1"/>
  <c r="AL134" i="7"/>
  <c r="AN134" i="7" s="1"/>
  <c r="AL22" i="6"/>
  <c r="AN22" i="6" s="1"/>
  <c r="AO22" i="6" s="1"/>
  <c r="AA460" i="7"/>
  <c r="AB460" i="7" s="1"/>
  <c r="BP25" i="6"/>
  <c r="BP226" i="6"/>
  <c r="BP215" i="6"/>
  <c r="BP8" i="6"/>
  <c r="BP218" i="6"/>
  <c r="BP209" i="6"/>
  <c r="BP198" i="6"/>
  <c r="BP15" i="6"/>
  <c r="BN72" i="6"/>
  <c r="BP72" i="6" s="1"/>
  <c r="BN30" i="6"/>
  <c r="BN18" i="6"/>
  <c r="BP18" i="6" s="1"/>
  <c r="AL196" i="7"/>
  <c r="AN196" i="7" s="1"/>
  <c r="AU56" i="7"/>
  <c r="AV56" i="7" s="1"/>
  <c r="AX56" i="7" s="1"/>
  <c r="AU238" i="7"/>
  <c r="AP39" i="6"/>
  <c r="AQ39" i="6" s="1"/>
  <c r="AR39" i="6" s="1"/>
  <c r="AU39" i="6" s="1"/>
  <c r="AU379" i="7"/>
  <c r="AV379" i="7" s="1"/>
  <c r="AX379" i="7" s="1"/>
  <c r="AU363" i="7"/>
  <c r="AU352" i="7"/>
  <c r="AL98" i="7"/>
  <c r="AN98" i="7" s="1"/>
  <c r="AO98" i="7" s="1"/>
  <c r="AV98" i="7" s="1"/>
  <c r="AL361" i="7"/>
  <c r="AN361" i="7" s="1"/>
  <c r="AO361" i="7" s="1"/>
  <c r="AV361" i="7" s="1"/>
  <c r="AX361" i="7" s="1"/>
  <c r="BN85" i="6"/>
  <c r="BN138" i="6"/>
  <c r="AL44" i="7"/>
  <c r="AN44" i="7" s="1"/>
  <c r="AO44" i="7" s="1"/>
  <c r="AV44" i="7" s="1"/>
  <c r="AX44" i="7" s="1"/>
  <c r="AL378" i="7"/>
  <c r="AN378" i="7" s="1"/>
  <c r="AO378" i="7" s="1"/>
  <c r="AV378" i="7" s="1"/>
  <c r="AX378" i="7" s="1"/>
  <c r="BP184" i="6"/>
  <c r="BP57" i="6"/>
  <c r="AV418" i="7"/>
  <c r="AX418" i="7" s="1"/>
  <c r="AL55" i="7"/>
  <c r="AN55" i="7" s="1"/>
  <c r="AL86" i="7"/>
  <c r="AN86" i="7" s="1"/>
  <c r="AO86" i="7" s="1"/>
  <c r="AV86" i="7" s="1"/>
  <c r="AU395" i="7"/>
  <c r="BP56" i="6"/>
  <c r="BP174" i="6"/>
  <c r="BP221" i="6"/>
  <c r="AL163" i="7"/>
  <c r="AN163" i="7" s="1"/>
  <c r="AO163" i="7" s="1"/>
  <c r="AV163" i="7" s="1"/>
  <c r="AL239" i="7"/>
  <c r="AN239" i="7" s="1"/>
  <c r="AO239" i="7" s="1"/>
  <c r="AV239" i="7" s="1"/>
  <c r="AL52" i="7"/>
  <c r="AN52" i="7" s="1"/>
  <c r="AO52" i="7" s="1"/>
  <c r="AV52" i="7" s="1"/>
  <c r="AX52" i="7" s="1"/>
  <c r="AL165" i="7"/>
  <c r="AN165" i="7" s="1"/>
  <c r="AO165" i="7" s="1"/>
  <c r="AV165" i="7" s="1"/>
  <c r="AX165" i="7" s="1"/>
  <c r="BN78" i="6"/>
  <c r="AO321" i="7"/>
  <c r="AV461" i="7"/>
  <c r="AX461" i="7" s="1"/>
  <c r="AL397" i="7"/>
  <c r="AN397" i="7" s="1"/>
  <c r="AO397" i="7" s="1"/>
  <c r="AV397" i="7" s="1"/>
  <c r="AX397" i="7" s="1"/>
  <c r="AL446" i="7"/>
  <c r="AN446" i="7" s="1"/>
  <c r="AO446" i="7" s="1"/>
  <c r="AL467" i="7"/>
  <c r="AN467" i="7" s="1"/>
  <c r="BP139" i="6"/>
  <c r="AL524" i="7"/>
  <c r="AN524" i="7" s="1"/>
  <c r="AO524" i="7" s="1"/>
  <c r="AV524" i="7" s="1"/>
  <c r="AX524" i="7" s="1"/>
  <c r="AL18" i="7"/>
  <c r="AN18" i="7" s="1"/>
  <c r="AO18" i="7" s="1"/>
  <c r="AV18" i="7" s="1"/>
  <c r="AX18" i="7" s="1"/>
  <c r="AL94" i="7"/>
  <c r="AN94" i="7" s="1"/>
  <c r="AO94" i="7" s="1"/>
  <c r="AV94" i="7" s="1"/>
  <c r="AL20" i="7"/>
  <c r="AN20" i="7" s="1"/>
  <c r="AO20" i="7" s="1"/>
  <c r="AV20" i="7" s="1"/>
  <c r="AX20" i="7" s="1"/>
  <c r="AO183" i="7"/>
  <c r="AO101" i="7"/>
  <c r="AV101" i="7" s="1"/>
  <c r="AX101" i="7" s="1"/>
  <c r="BP196" i="6"/>
  <c r="BP216" i="6"/>
  <c r="BN145" i="6"/>
  <c r="BN187" i="6"/>
  <c r="BP187" i="6" s="1"/>
  <c r="BP20" i="6"/>
  <c r="BP193" i="6"/>
  <c r="BP68" i="6"/>
  <c r="BP202" i="6"/>
  <c r="BP12" i="6"/>
  <c r="AU157" i="7"/>
  <c r="AV423" i="7"/>
  <c r="AX423" i="7" s="1"/>
  <c r="AV252" i="7"/>
  <c r="AX252" i="7" s="1"/>
  <c r="AU317" i="7"/>
  <c r="AK33" i="6"/>
  <c r="AL33" i="6" s="1"/>
  <c r="AN33" i="6" s="1"/>
  <c r="AK141" i="6"/>
  <c r="AP35" i="6"/>
  <c r="AQ35" i="6" s="1"/>
  <c r="AR35" i="6" s="1"/>
  <c r="AU35" i="6" s="1"/>
  <c r="AP33" i="6"/>
  <c r="AQ33" i="6" s="1"/>
  <c r="AR33" i="6" s="1"/>
  <c r="AU33" i="6" s="1"/>
  <c r="AL90" i="7"/>
  <c r="AN90" i="7" s="1"/>
  <c r="AO90" i="7" s="1"/>
  <c r="AV90" i="7" s="1"/>
  <c r="AK217" i="6"/>
  <c r="AL217" i="6" s="1"/>
  <c r="AN217" i="6" s="1"/>
  <c r="BN173" i="6"/>
  <c r="BN197" i="6"/>
  <c r="BP197" i="6" s="1"/>
  <c r="AL348" i="7"/>
  <c r="AN348" i="7" s="1"/>
  <c r="AO348" i="7" s="1"/>
  <c r="AV348" i="7" s="1"/>
  <c r="AX348" i="7" s="1"/>
  <c r="AL202" i="7"/>
  <c r="AN202" i="7" s="1"/>
  <c r="AO202" i="7" s="1"/>
  <c r="AV202" i="7" s="1"/>
  <c r="AL470" i="7"/>
  <c r="AN470" i="7" s="1"/>
  <c r="AO470" i="7" s="1"/>
  <c r="AV470" i="7" s="1"/>
  <c r="AX470" i="7" s="1"/>
  <c r="AU183" i="7"/>
  <c r="BP204" i="6"/>
  <c r="AL58" i="7"/>
  <c r="AN58" i="7" s="1"/>
  <c r="AO58" i="7" s="1"/>
  <c r="AV58" i="7" s="1"/>
  <c r="AL179" i="7"/>
  <c r="AN179" i="7" s="1"/>
  <c r="AO179" i="7" s="1"/>
  <c r="AV179" i="7" s="1"/>
  <c r="AL162" i="7"/>
  <c r="AN162" i="7" s="1"/>
  <c r="AL390" i="7"/>
  <c r="AN390" i="7" s="1"/>
  <c r="AO390" i="7" s="1"/>
  <c r="AV390" i="7" s="1"/>
  <c r="AX390" i="7" s="1"/>
  <c r="AL554" i="7"/>
  <c r="AN554" i="7" s="1"/>
  <c r="AO554" i="7" s="1"/>
  <c r="AL362" i="7"/>
  <c r="AN362" i="7" s="1"/>
  <c r="AO362" i="7" s="1"/>
  <c r="AV362" i="7" s="1"/>
  <c r="AX362" i="7" s="1"/>
  <c r="AL251" i="7"/>
  <c r="AN251" i="7" s="1"/>
  <c r="AL555" i="7"/>
  <c r="AN555" i="7" s="1"/>
  <c r="AO555" i="7" s="1"/>
  <c r="AV555" i="7" s="1"/>
  <c r="AX555" i="7" s="1"/>
  <c r="AL23" i="7"/>
  <c r="AN23" i="7" s="1"/>
  <c r="AO23" i="7" s="1"/>
  <c r="AV23" i="7" s="1"/>
  <c r="AL118" i="7"/>
  <c r="AN118" i="7" s="1"/>
  <c r="AO118" i="7" s="1"/>
  <c r="AV118" i="7" s="1"/>
  <c r="AL21" i="16"/>
  <c r="AN21" i="16" s="1"/>
  <c r="AO21" i="16" s="1"/>
  <c r="AV21" i="16" s="1"/>
  <c r="AL513" i="7"/>
  <c r="AN513" i="7" s="1"/>
  <c r="AO513" i="7" s="1"/>
  <c r="AV513" i="7" s="1"/>
  <c r="AX513" i="7" s="1"/>
  <c r="AL402" i="7"/>
  <c r="AN402" i="7" s="1"/>
  <c r="AO402" i="7" s="1"/>
  <c r="AV402" i="7" s="1"/>
  <c r="AX402" i="7" s="1"/>
  <c r="BP188" i="6"/>
  <c r="AF27" i="16"/>
  <c r="AF52" i="7"/>
  <c r="AG52" i="7" s="1"/>
  <c r="BR52" i="7" s="1"/>
  <c r="Y133" i="6"/>
  <c r="AA133" i="6" s="1"/>
  <c r="AB133" i="6" s="1"/>
  <c r="Z28" i="6"/>
  <c r="AA28" i="6" s="1"/>
  <c r="AB28" i="6" s="1"/>
  <c r="AG28" i="6" s="1"/>
  <c r="BR28" i="6" s="1"/>
  <c r="Z162" i="6"/>
  <c r="AA162" i="6" s="1"/>
  <c r="AB162" i="6" s="1"/>
  <c r="AF435" i="7"/>
  <c r="Y177" i="6"/>
  <c r="Z42" i="6"/>
  <c r="AA42" i="6" s="1"/>
  <c r="AB42" i="6" s="1"/>
  <c r="Y72" i="6"/>
  <c r="AF12" i="6"/>
  <c r="Z177" i="6"/>
  <c r="AA160" i="6"/>
  <c r="AB160" i="6" s="1"/>
  <c r="Z27" i="6"/>
  <c r="AP48" i="6"/>
  <c r="AQ48" i="6" s="1"/>
  <c r="AR48" i="6" s="1"/>
  <c r="AU48" i="6" s="1"/>
  <c r="AL559" i="7"/>
  <c r="AN559" i="7" s="1"/>
  <c r="AO559" i="7" s="1"/>
  <c r="AL263" i="7"/>
  <c r="AN263" i="7" s="1"/>
  <c r="AO263" i="7" s="1"/>
  <c r="AL250" i="7"/>
  <c r="AN250" i="7" s="1"/>
  <c r="AO250" i="7" s="1"/>
  <c r="AL71" i="7"/>
  <c r="AN71" i="7" s="1"/>
  <c r="AL182" i="7"/>
  <c r="AN182" i="7" s="1"/>
  <c r="AO182" i="7" s="1"/>
  <c r="AV182" i="7" s="1"/>
  <c r="AL49" i="7"/>
  <c r="AN49" i="7" s="1"/>
  <c r="AO49" i="7" s="1"/>
  <c r="AV49" i="7" s="1"/>
  <c r="AX49" i="7" s="1"/>
  <c r="AL404" i="7"/>
  <c r="AN404" i="7" s="1"/>
  <c r="AO404" i="7" s="1"/>
  <c r="AV404" i="7" s="1"/>
  <c r="AX404" i="7" s="1"/>
  <c r="AL83" i="7"/>
  <c r="AN83" i="7" s="1"/>
  <c r="AO83" i="7" s="1"/>
  <c r="AV83" i="7" s="1"/>
  <c r="AL186" i="7"/>
  <c r="AN186" i="7" s="1"/>
  <c r="AL27" i="7"/>
  <c r="AN27" i="7" s="1"/>
  <c r="AO27" i="7" s="1"/>
  <c r="AV27" i="7" s="1"/>
  <c r="AL335" i="7"/>
  <c r="AN335" i="7" s="1"/>
  <c r="AL274" i="7"/>
  <c r="AN274" i="7" s="1"/>
  <c r="AO274" i="7" s="1"/>
  <c r="AL380" i="7"/>
  <c r="AN380" i="7" s="1"/>
  <c r="AL138" i="7"/>
  <c r="AN138" i="7" s="1"/>
  <c r="AO138" i="7" s="1"/>
  <c r="AV138" i="7" s="1"/>
  <c r="AL175" i="7"/>
  <c r="AN175" i="7" s="1"/>
  <c r="AO175" i="7" s="1"/>
  <c r="AV175" i="7" s="1"/>
  <c r="AU154" i="7"/>
  <c r="AO372" i="7"/>
  <c r="AV372" i="7" s="1"/>
  <c r="AX372" i="7" s="1"/>
  <c r="AU546" i="7"/>
  <c r="AU563" i="7"/>
  <c r="AU339" i="7"/>
  <c r="AO265" i="7"/>
  <c r="AV232" i="7"/>
  <c r="AX232" i="7" s="1"/>
  <c r="BA232" i="7" s="1"/>
  <c r="BC232" i="7" s="1"/>
  <c r="AU123" i="7"/>
  <c r="AL193" i="7"/>
  <c r="AN193" i="7" s="1"/>
  <c r="AP78" i="6"/>
  <c r="AQ78" i="6" s="1"/>
  <c r="AR78" i="6" s="1"/>
  <c r="AU78" i="6" s="1"/>
  <c r="AK58" i="6"/>
  <c r="AL58" i="6" s="1"/>
  <c r="AN58" i="6" s="1"/>
  <c r="AO58" i="6" s="1"/>
  <c r="AL85" i="7"/>
  <c r="AN85" i="7" s="1"/>
  <c r="AO85" i="7" s="1"/>
  <c r="AV85" i="7" s="1"/>
  <c r="AX85" i="7" s="1"/>
  <c r="AL28" i="16"/>
  <c r="AN28" i="16" s="1"/>
  <c r="AL325" i="7"/>
  <c r="AN325" i="7" s="1"/>
  <c r="AO325" i="7" s="1"/>
  <c r="AV325" i="7" s="1"/>
  <c r="AX325" i="7" s="1"/>
  <c r="AL345" i="7"/>
  <c r="AN345" i="7" s="1"/>
  <c r="AO345" i="7" s="1"/>
  <c r="AV345" i="7" s="1"/>
  <c r="AX345" i="7" s="1"/>
  <c r="AL11" i="16"/>
  <c r="AN11" i="16" s="1"/>
  <c r="AO11" i="16" s="1"/>
  <c r="AV11" i="16" s="1"/>
  <c r="AL410" i="7"/>
  <c r="AN410" i="7" s="1"/>
  <c r="AO410" i="7" s="1"/>
  <c r="AV410" i="7" s="1"/>
  <c r="AX410" i="7" s="1"/>
  <c r="AL24" i="16"/>
  <c r="AN24" i="16" s="1"/>
  <c r="AO24" i="16" s="1"/>
  <c r="AV24" i="16" s="1"/>
  <c r="AP219" i="6"/>
  <c r="AQ219" i="6" s="1"/>
  <c r="AR219" i="6" s="1"/>
  <c r="AU219" i="6" s="1"/>
  <c r="AL35" i="7"/>
  <c r="AN35" i="7" s="1"/>
  <c r="AL491" i="7"/>
  <c r="AN491" i="7" s="1"/>
  <c r="AL448" i="7"/>
  <c r="AN448" i="7" s="1"/>
  <c r="AO448" i="7" s="1"/>
  <c r="AV448" i="7" s="1"/>
  <c r="AX448" i="7" s="1"/>
  <c r="AL312" i="7"/>
  <c r="AN312" i="7" s="1"/>
  <c r="AL539" i="7"/>
  <c r="AN539" i="7" s="1"/>
  <c r="AO539" i="7" s="1"/>
  <c r="AL253" i="7"/>
  <c r="AN253" i="7" s="1"/>
  <c r="AO253" i="7" s="1"/>
  <c r="AV253" i="7" s="1"/>
  <c r="AX253" i="7" s="1"/>
  <c r="AL503" i="7"/>
  <c r="AN503" i="7" s="1"/>
  <c r="AO503" i="7" s="1"/>
  <c r="AV503" i="7" s="1"/>
  <c r="AX503" i="7" s="1"/>
  <c r="AO480" i="7"/>
  <c r="AV480" i="7" s="1"/>
  <c r="AX480" i="7" s="1"/>
  <c r="AO403" i="7"/>
  <c r="AO177" i="7"/>
  <c r="AV177" i="7" s="1"/>
  <c r="AX177" i="7" s="1"/>
  <c r="AP165" i="6"/>
  <c r="AQ165" i="6" s="1"/>
  <c r="AR165" i="6" s="1"/>
  <c r="AU165" i="6" s="1"/>
  <c r="AP58" i="6"/>
  <c r="AQ58" i="6" s="1"/>
  <c r="AR58" i="6" s="1"/>
  <c r="AU58" i="6" s="1"/>
  <c r="AL497" i="7"/>
  <c r="AN497" i="7" s="1"/>
  <c r="AK210" i="6"/>
  <c r="AU507" i="7"/>
  <c r="AU573" i="7"/>
  <c r="AU559" i="7"/>
  <c r="AU258" i="7"/>
  <c r="AV442" i="7"/>
  <c r="AX442" i="7" s="1"/>
  <c r="AU434" i="7"/>
  <c r="AP210" i="6"/>
  <c r="AQ210" i="6" s="1"/>
  <c r="AR210" i="6" s="1"/>
  <c r="AU210" i="6" s="1"/>
  <c r="AU321" i="7"/>
  <c r="AL30" i="16"/>
  <c r="AN30" i="16" s="1"/>
  <c r="AO30" i="16" s="1"/>
  <c r="AV30" i="16" s="1"/>
  <c r="AU446" i="7"/>
  <c r="AU438" i="7"/>
  <c r="AK9" i="6"/>
  <c r="AL9" i="6" s="1"/>
  <c r="AN9" i="6" s="1"/>
  <c r="AP9" i="6"/>
  <c r="AQ9" i="6" s="1"/>
  <c r="AR9" i="6" s="1"/>
  <c r="AU9" i="6" s="1"/>
  <c r="AL458" i="7"/>
  <c r="AN458" i="7" s="1"/>
  <c r="AO458" i="7" s="1"/>
  <c r="AV458" i="7" s="1"/>
  <c r="AX458" i="7" s="1"/>
  <c r="AO330" i="7"/>
  <c r="AV330" i="7" s="1"/>
  <c r="AX330" i="7" s="1"/>
  <c r="AU554" i="7"/>
  <c r="AU366" i="7"/>
  <c r="AU263" i="7"/>
  <c r="AU523" i="7"/>
  <c r="AU218" i="7"/>
  <c r="AU31" i="7"/>
  <c r="AP141" i="6"/>
  <c r="AQ141" i="6" s="1"/>
  <c r="AR141" i="6" s="1"/>
  <c r="AU141" i="6" s="1"/>
  <c r="AP52" i="6"/>
  <c r="AQ52" i="6" s="1"/>
  <c r="AR52" i="6" s="1"/>
  <c r="AU52" i="6" s="1"/>
  <c r="AU544" i="7"/>
  <c r="AL29" i="16"/>
  <c r="AN29" i="16" s="1"/>
  <c r="AO29" i="16" s="1"/>
  <c r="AV29" i="16" s="1"/>
  <c r="AL346" i="7"/>
  <c r="AN346" i="7" s="1"/>
  <c r="AL384" i="7"/>
  <c r="AN384" i="7" s="1"/>
  <c r="AL21" i="7"/>
  <c r="AN21" i="7" s="1"/>
  <c r="AO21" i="7" s="1"/>
  <c r="AV21" i="7" s="1"/>
  <c r="AX21" i="7" s="1"/>
  <c r="AL5" i="16"/>
  <c r="AN5" i="16" s="1"/>
  <c r="AO5" i="16" s="1"/>
  <c r="AV5" i="16" s="1"/>
  <c r="AL234" i="7"/>
  <c r="AN234" i="7" s="1"/>
  <c r="AO234" i="7" s="1"/>
  <c r="AV234" i="7" s="1"/>
  <c r="AX234" i="7" s="1"/>
  <c r="AL247" i="7"/>
  <c r="AN247" i="7" s="1"/>
  <c r="AV45" i="7"/>
  <c r="AX45" i="7" s="1"/>
  <c r="AL445" i="7"/>
  <c r="AN445" i="7" s="1"/>
  <c r="AO445" i="7" s="1"/>
  <c r="AV445" i="7" s="1"/>
  <c r="AX445" i="7" s="1"/>
  <c r="AL100" i="7"/>
  <c r="AN100" i="7" s="1"/>
  <c r="AO100" i="7" s="1"/>
  <c r="AV100" i="7" s="1"/>
  <c r="AX100" i="7" s="1"/>
  <c r="AL231" i="7"/>
  <c r="AN231" i="7" s="1"/>
  <c r="AO231" i="7" s="1"/>
  <c r="AV231" i="7" s="1"/>
  <c r="AX231" i="7" s="1"/>
  <c r="AO4" i="7"/>
  <c r="AV4" i="7" s="1"/>
  <c r="AX4" i="7" s="1"/>
  <c r="AS427" i="7"/>
  <c r="AU427" i="7" s="1"/>
  <c r="AO469" i="7"/>
  <c r="AV469" i="7" s="1"/>
  <c r="AX469" i="7" s="1"/>
  <c r="AS406" i="7"/>
  <c r="AU406" i="7" s="1"/>
  <c r="AS250" i="7"/>
  <c r="AU250" i="7" s="1"/>
  <c r="AR38" i="6"/>
  <c r="AU38" i="6" s="1"/>
  <c r="AJ207" i="6"/>
  <c r="AP207" i="6"/>
  <c r="AQ207" i="6" s="1"/>
  <c r="AR207" i="6" s="1"/>
  <c r="AU207" i="6" s="1"/>
  <c r="AK207" i="6"/>
  <c r="AU176" i="7"/>
  <c r="AP25" i="6"/>
  <c r="AQ25" i="6" s="1"/>
  <c r="AR25" i="6" s="1"/>
  <c r="AU25" i="6" s="1"/>
  <c r="AJ25" i="6"/>
  <c r="AL25" i="6" s="1"/>
  <c r="AN25" i="6" s="1"/>
  <c r="AS167" i="7"/>
  <c r="AU167" i="7" s="1"/>
  <c r="AL338" i="7"/>
  <c r="AN338" i="7" s="1"/>
  <c r="AO338" i="7" s="1"/>
  <c r="AV338" i="7" s="1"/>
  <c r="AX338" i="7" s="1"/>
  <c r="AP188" i="6"/>
  <c r="AQ188" i="6" s="1"/>
  <c r="AR188" i="6" s="1"/>
  <c r="AU188" i="6" s="1"/>
  <c r="AK188" i="6"/>
  <c r="AU466" i="7"/>
  <c r="AK202" i="6"/>
  <c r="AJ202" i="6"/>
  <c r="AP202" i="6"/>
  <c r="AQ202" i="6" s="1"/>
  <c r="AR202" i="6" s="1"/>
  <c r="AU202" i="6" s="1"/>
  <c r="AK180" i="6"/>
  <c r="AJ180" i="6"/>
  <c r="AL187" i="7"/>
  <c r="AN187" i="7" s="1"/>
  <c r="AO187" i="7" s="1"/>
  <c r="AV187" i="7" s="1"/>
  <c r="AX187" i="7" s="1"/>
  <c r="AL106" i="7"/>
  <c r="AN106" i="7" s="1"/>
  <c r="AO106" i="7" s="1"/>
  <c r="AK115" i="6"/>
  <c r="AL115" i="6" s="1"/>
  <c r="AN115" i="6" s="1"/>
  <c r="AO115" i="6" s="1"/>
  <c r="AV115" i="6" s="1"/>
  <c r="AL293" i="7"/>
  <c r="AN293" i="7" s="1"/>
  <c r="AO293" i="7" s="1"/>
  <c r="AV293" i="7" s="1"/>
  <c r="AX293" i="7" s="1"/>
  <c r="BA293" i="7" s="1"/>
  <c r="BC293" i="7" s="1"/>
  <c r="AL9" i="7"/>
  <c r="AN9" i="7" s="1"/>
  <c r="AO9" i="7" s="1"/>
  <c r="AV9" i="7" s="1"/>
  <c r="AX9" i="7" s="1"/>
  <c r="AL31" i="7"/>
  <c r="AN31" i="7" s="1"/>
  <c r="AO31" i="7" s="1"/>
  <c r="AP184" i="6"/>
  <c r="AQ184" i="6" s="1"/>
  <c r="AR184" i="6" s="1"/>
  <c r="AU184" i="6" s="1"/>
  <c r="AL498" i="7"/>
  <c r="AN498" i="7" s="1"/>
  <c r="AL472" i="7"/>
  <c r="AN472" i="7" s="1"/>
  <c r="AO472" i="7" s="1"/>
  <c r="AV472" i="7" s="1"/>
  <c r="AX472" i="7" s="1"/>
  <c r="AL536" i="7"/>
  <c r="AN536" i="7" s="1"/>
  <c r="AO536" i="7" s="1"/>
  <c r="AV536" i="7" s="1"/>
  <c r="AX536" i="7" s="1"/>
  <c r="AJ175" i="6"/>
  <c r="AK175" i="6"/>
  <c r="AO438" i="7"/>
  <c r="AS196" i="7"/>
  <c r="AU196" i="7" s="1"/>
  <c r="AS274" i="7"/>
  <c r="AU274" i="7" s="1"/>
  <c r="AS380" i="7"/>
  <c r="AU380" i="7" s="1"/>
  <c r="AS550" i="7"/>
  <c r="AU550" i="7" s="1"/>
  <c r="AJ212" i="6"/>
  <c r="AP212" i="6"/>
  <c r="AQ212" i="6" s="1"/>
  <c r="AR212" i="6" s="1"/>
  <c r="AU212" i="6" s="1"/>
  <c r="AK212" i="6"/>
  <c r="AU499" i="7"/>
  <c r="AS169" i="7"/>
  <c r="AU169" i="7" s="1"/>
  <c r="AK187" i="6"/>
  <c r="AP187" i="6"/>
  <c r="AQ187" i="6" s="1"/>
  <c r="AR187" i="6" s="1"/>
  <c r="AU187" i="6" s="1"/>
  <c r="AJ187" i="6"/>
  <c r="AL14" i="16"/>
  <c r="AN14" i="16" s="1"/>
  <c r="AO14" i="16" s="1"/>
  <c r="AV14" i="16" s="1"/>
  <c r="AU450" i="7"/>
  <c r="AJ213" i="6"/>
  <c r="AK213" i="6"/>
  <c r="AJ226" i="6"/>
  <c r="AK226" i="6"/>
  <c r="AP18" i="6"/>
  <c r="AQ18" i="6" s="1"/>
  <c r="AR18" i="6" s="1"/>
  <c r="AU18" i="6" s="1"/>
  <c r="AJ18" i="6"/>
  <c r="AL18" i="6" s="1"/>
  <c r="AN18" i="6" s="1"/>
  <c r="AO18" i="6" s="1"/>
  <c r="AJ192" i="6"/>
  <c r="AL192" i="6" s="1"/>
  <c r="AN192" i="6" s="1"/>
  <c r="AO192" i="6" s="1"/>
  <c r="AP192" i="6"/>
  <c r="AQ192" i="6" s="1"/>
  <c r="AR192" i="6" s="1"/>
  <c r="AU192" i="6" s="1"/>
  <c r="AV479" i="7"/>
  <c r="AX479" i="7" s="1"/>
  <c r="AV556" i="7"/>
  <c r="AX556" i="7" s="1"/>
  <c r="AL246" i="7"/>
  <c r="AN246" i="7" s="1"/>
  <c r="AL424" i="7"/>
  <c r="AN424" i="7" s="1"/>
  <c r="AL526" i="7"/>
  <c r="AN526" i="7" s="1"/>
  <c r="AO526" i="7" s="1"/>
  <c r="AV526" i="7" s="1"/>
  <c r="AX526" i="7" s="1"/>
  <c r="AL131" i="7"/>
  <c r="AN131" i="7" s="1"/>
  <c r="AO131" i="7" s="1"/>
  <c r="AV131" i="7" s="1"/>
  <c r="AL92" i="7"/>
  <c r="AN92" i="7" s="1"/>
  <c r="AL63" i="7"/>
  <c r="AN63" i="7" s="1"/>
  <c r="AL48" i="7"/>
  <c r="AN48" i="7" s="1"/>
  <c r="AO48" i="7" s="1"/>
  <c r="AV48" i="7" s="1"/>
  <c r="AX48" i="7" s="1"/>
  <c r="AL38" i="16"/>
  <c r="AN38" i="16" s="1"/>
  <c r="AL572" i="7"/>
  <c r="AN572" i="7" s="1"/>
  <c r="AO572" i="7" s="1"/>
  <c r="AV572" i="7" s="1"/>
  <c r="AX572" i="7" s="1"/>
  <c r="AL24" i="7"/>
  <c r="AN24" i="7" s="1"/>
  <c r="AL5" i="7"/>
  <c r="AN5" i="7" s="1"/>
  <c r="AO5" i="7" s="1"/>
  <c r="AV5" i="7" s="1"/>
  <c r="AX5" i="7" s="1"/>
  <c r="AL352" i="7"/>
  <c r="AN352" i="7" s="1"/>
  <c r="AL213" i="7"/>
  <c r="AN213" i="7" s="1"/>
  <c r="AO63" i="7"/>
  <c r="AV63" i="7" s="1"/>
  <c r="AX63" i="7" s="1"/>
  <c r="AO529" i="7"/>
  <c r="AV529" i="7" s="1"/>
  <c r="AX529" i="7" s="1"/>
  <c r="AU324" i="7"/>
  <c r="AU212" i="7"/>
  <c r="AV308" i="7"/>
  <c r="AX308" i="7" s="1"/>
  <c r="AV290" i="7"/>
  <c r="AX290" i="7" s="1"/>
  <c r="AK48" i="6"/>
  <c r="AL48" i="6" s="1"/>
  <c r="AN48" i="6" s="1"/>
  <c r="AP181" i="6"/>
  <c r="AQ181" i="6" s="1"/>
  <c r="AR181" i="6" s="1"/>
  <c r="AU181" i="6" s="1"/>
  <c r="AP209" i="6"/>
  <c r="AQ209" i="6" s="1"/>
  <c r="AR209" i="6" s="1"/>
  <c r="AU209" i="6" s="1"/>
  <c r="AK216" i="6"/>
  <c r="AL216" i="6" s="1"/>
  <c r="AN216" i="6" s="1"/>
  <c r="AO216" i="6" s="1"/>
  <c r="AK170" i="6"/>
  <c r="AL170" i="6" s="1"/>
  <c r="AN170" i="6" s="1"/>
  <c r="AK79" i="6"/>
  <c r="AL79" i="6" s="1"/>
  <c r="AN79" i="6" s="1"/>
  <c r="AO79" i="6" s="1"/>
  <c r="AJ209" i="6"/>
  <c r="AL209" i="6" s="1"/>
  <c r="AN209" i="6" s="1"/>
  <c r="AU201" i="7"/>
  <c r="AP170" i="6"/>
  <c r="AQ170" i="6" s="1"/>
  <c r="AR170" i="6" s="1"/>
  <c r="AU170" i="6" s="1"/>
  <c r="AK165" i="6"/>
  <c r="AL165" i="6" s="1"/>
  <c r="AN165" i="6" s="1"/>
  <c r="AK114" i="6"/>
  <c r="AL114" i="6" s="1"/>
  <c r="AN114" i="6" s="1"/>
  <c r="AO114" i="6" s="1"/>
  <c r="AL487" i="7"/>
  <c r="AN487" i="7" s="1"/>
  <c r="AO487" i="7" s="1"/>
  <c r="AV487" i="7" s="1"/>
  <c r="AX487" i="7" s="1"/>
  <c r="AK189" i="6"/>
  <c r="AL189" i="6" s="1"/>
  <c r="AN189" i="6" s="1"/>
  <c r="AJ191" i="6"/>
  <c r="AJ17" i="6"/>
  <c r="BP219" i="6"/>
  <c r="AK206" i="6"/>
  <c r="AO537" i="7"/>
  <c r="AP189" i="6"/>
  <c r="AQ189" i="6" s="1"/>
  <c r="AR189" i="6" s="1"/>
  <c r="AU189" i="6" s="1"/>
  <c r="AL453" i="7"/>
  <c r="AN453" i="7" s="1"/>
  <c r="BN128" i="6"/>
  <c r="AJ198" i="6"/>
  <c r="BN76" i="6"/>
  <c r="BN100" i="6"/>
  <c r="AJ215" i="6"/>
  <c r="AL215" i="6" s="1"/>
  <c r="AN215" i="6" s="1"/>
  <c r="AO215" i="6" s="1"/>
  <c r="BN22" i="6"/>
  <c r="BP22" i="6" s="1"/>
  <c r="BN10" i="6"/>
  <c r="BP10" i="6" s="1"/>
  <c r="BN71" i="6"/>
  <c r="BN97" i="6"/>
  <c r="BN129" i="6"/>
  <c r="BN144" i="6"/>
  <c r="BN52" i="6"/>
  <c r="BN45" i="6"/>
  <c r="BP45" i="6" s="1"/>
  <c r="BN124" i="6"/>
  <c r="BP203" i="6"/>
  <c r="BN225" i="6"/>
  <c r="BP225" i="6" s="1"/>
  <c r="BN154" i="6"/>
  <c r="BN222" i="6"/>
  <c r="BP222" i="6" s="1"/>
  <c r="BN116" i="6"/>
  <c r="BN27" i="6"/>
  <c r="BP27" i="6" s="1"/>
  <c r="BN210" i="6"/>
  <c r="BP210" i="6" s="1"/>
  <c r="BN61" i="6"/>
  <c r="BN92" i="6"/>
  <c r="BP92" i="6" s="1"/>
  <c r="BN121" i="6"/>
  <c r="BN143" i="6"/>
  <c r="BN28" i="6"/>
  <c r="BP28" i="6" s="1"/>
  <c r="BN91" i="6"/>
  <c r="BP91" i="6" s="1"/>
  <c r="BN206" i="6"/>
  <c r="BP206" i="6" s="1"/>
  <c r="BP213" i="6"/>
  <c r="BN63" i="6"/>
  <c r="BP63" i="6" s="1"/>
  <c r="BN140" i="6"/>
  <c r="BP140" i="6" s="1"/>
  <c r="BP183" i="6"/>
  <c r="AJ188" i="6"/>
  <c r="BP62" i="6"/>
  <c r="AP216" i="6"/>
  <c r="AQ216" i="6" s="1"/>
  <c r="AR216" i="6" s="1"/>
  <c r="AU216" i="6" s="1"/>
  <c r="AL186" i="6"/>
  <c r="AN186" i="6" s="1"/>
  <c r="AO186" i="6" s="1"/>
  <c r="AV186" i="6" s="1"/>
  <c r="AX186" i="6" s="1"/>
  <c r="BA186" i="6" s="1"/>
  <c r="BC186" i="6" s="1"/>
  <c r="BP200" i="6"/>
  <c r="AK17" i="6"/>
  <c r="AL117" i="7"/>
  <c r="AN117" i="7" s="1"/>
  <c r="AO117" i="7" s="1"/>
  <c r="AV117" i="7" s="1"/>
  <c r="AX117" i="7" s="1"/>
  <c r="AJ181" i="6"/>
  <c r="AL181" i="6" s="1"/>
  <c r="AN181" i="6" s="1"/>
  <c r="AK191" i="6"/>
  <c r="BN134" i="6"/>
  <c r="BN40" i="6"/>
  <c r="BN146" i="6"/>
  <c r="BN103" i="6"/>
  <c r="BP103" i="6" s="1"/>
  <c r="BN164" i="6"/>
  <c r="BP164" i="6" s="1"/>
  <c r="AK77" i="6"/>
  <c r="AL77" i="6" s="1"/>
  <c r="AN77" i="6" s="1"/>
  <c r="AO77" i="6" s="1"/>
  <c r="AP79" i="6"/>
  <c r="AQ79" i="6" s="1"/>
  <c r="AR79" i="6" s="1"/>
  <c r="AU79" i="6" s="1"/>
  <c r="AV356" i="7"/>
  <c r="AX356" i="7" s="1"/>
  <c r="AJ15" i="6"/>
  <c r="AL15" i="6" s="1"/>
  <c r="AN15" i="6" s="1"/>
  <c r="AO15" i="6" s="1"/>
  <c r="AP194" i="6"/>
  <c r="AQ194" i="6" s="1"/>
  <c r="AR194" i="6" s="1"/>
  <c r="AU194" i="6" s="1"/>
  <c r="AK14" i="6"/>
  <c r="AJ206" i="6"/>
  <c r="AP205" i="6"/>
  <c r="AQ205" i="6" s="1"/>
  <c r="AR205" i="6" s="1"/>
  <c r="AU205" i="6" s="1"/>
  <c r="BN220" i="6"/>
  <c r="BP220" i="6" s="1"/>
  <c r="AL395" i="7"/>
  <c r="AN395" i="7" s="1"/>
  <c r="BN6" i="6"/>
  <c r="BP6" i="6" s="1"/>
  <c r="BN41" i="6"/>
  <c r="AL270" i="7"/>
  <c r="AN270" i="7" s="1"/>
  <c r="BN64" i="6"/>
  <c r="BN105" i="6"/>
  <c r="BN169" i="6"/>
  <c r="BP169" i="6" s="1"/>
  <c r="BN66" i="6"/>
  <c r="BN160" i="6"/>
  <c r="BN16" i="6"/>
  <c r="BP16" i="6" s="1"/>
  <c r="BN65" i="6"/>
  <c r="BN157" i="6"/>
  <c r="BN87" i="6"/>
  <c r="BN180" i="6"/>
  <c r="BP180" i="6" s="1"/>
  <c r="BN19" i="6"/>
  <c r="BP19" i="6" s="1"/>
  <c r="BN9" i="6"/>
  <c r="BP9" i="6" s="1"/>
  <c r="BN43" i="6"/>
  <c r="BN123" i="6"/>
  <c r="AK185" i="6"/>
  <c r="AL185" i="6" s="1"/>
  <c r="AN185" i="6" s="1"/>
  <c r="AO185" i="6" s="1"/>
  <c r="AL414" i="7"/>
  <c r="AN414" i="7" s="1"/>
  <c r="AJ16" i="6"/>
  <c r="AL16" i="6" s="1"/>
  <c r="AN16" i="6" s="1"/>
  <c r="AO16" i="6" s="1"/>
  <c r="AP16" i="6"/>
  <c r="AQ16" i="6" s="1"/>
  <c r="AR16" i="6" s="1"/>
  <c r="AU16" i="6" s="1"/>
  <c r="BN130" i="6"/>
  <c r="BN73" i="6"/>
  <c r="BP73" i="6" s="1"/>
  <c r="BN75" i="6"/>
  <c r="BN7" i="6"/>
  <c r="BP7" i="6" s="1"/>
  <c r="BN147" i="6"/>
  <c r="BN32" i="6"/>
  <c r="AL107" i="7"/>
  <c r="AN107" i="7" s="1"/>
  <c r="AL478" i="7"/>
  <c r="AN478" i="7" s="1"/>
  <c r="BN224" i="6"/>
  <c r="BP224" i="6" s="1"/>
  <c r="AK208" i="6"/>
  <c r="AL208" i="6" s="1"/>
  <c r="AN208" i="6" s="1"/>
  <c r="AO208" i="6" s="1"/>
  <c r="AP208" i="6"/>
  <c r="AQ208" i="6" s="1"/>
  <c r="AR208" i="6" s="1"/>
  <c r="AU208" i="6" s="1"/>
  <c r="BN17" i="6"/>
  <c r="BP17" i="6" s="1"/>
  <c r="BN189" i="6"/>
  <c r="BP189" i="6" s="1"/>
  <c r="BN228" i="6"/>
  <c r="BP228" i="6" s="1"/>
  <c r="BN5" i="6"/>
  <c r="BP5" i="6" s="1"/>
  <c r="BN208" i="6"/>
  <c r="BP208" i="6" s="1"/>
  <c r="BN115" i="6"/>
  <c r="BN205" i="6"/>
  <c r="BP205" i="6" s="1"/>
  <c r="BP24" i="6"/>
  <c r="BN29" i="6"/>
  <c r="AJ223" i="6"/>
  <c r="AL223" i="6" s="1"/>
  <c r="AN223" i="6" s="1"/>
  <c r="AJ193" i="6"/>
  <c r="AJ200" i="6"/>
  <c r="AK200" i="6"/>
  <c r="BP190" i="6"/>
  <c r="BP212" i="6"/>
  <c r="BN11" i="6"/>
  <c r="BP11" i="6" s="1"/>
  <c r="BN13" i="6"/>
  <c r="BP13" i="6" s="1"/>
  <c r="AP185" i="6"/>
  <c r="AQ185" i="6" s="1"/>
  <c r="AR185" i="6" s="1"/>
  <c r="AU185" i="6" s="1"/>
  <c r="AL311" i="7"/>
  <c r="AN311" i="7" s="1"/>
  <c r="AO311" i="7" s="1"/>
  <c r="AV311" i="7" s="1"/>
  <c r="AX311" i="7" s="1"/>
  <c r="BN39" i="6"/>
  <c r="AL124" i="7"/>
  <c r="AN124" i="7" s="1"/>
  <c r="AO124" i="7" s="1"/>
  <c r="AV124" i="7" s="1"/>
  <c r="AX124" i="7" s="1"/>
  <c r="AP15" i="6"/>
  <c r="AQ15" i="6" s="1"/>
  <c r="AR15" i="6" s="1"/>
  <c r="AU15" i="6" s="1"/>
  <c r="AP193" i="6"/>
  <c r="AQ193" i="6" s="1"/>
  <c r="AR193" i="6" s="1"/>
  <c r="AU193" i="6" s="1"/>
  <c r="AL216" i="7"/>
  <c r="AN216" i="7" s="1"/>
  <c r="AL35" i="16"/>
  <c r="AN35" i="16" s="1"/>
  <c r="AO35" i="16" s="1"/>
  <c r="AV35" i="16" s="1"/>
  <c r="AL8" i="16"/>
  <c r="AN8" i="16" s="1"/>
  <c r="AO8" i="16" s="1"/>
  <c r="AV8" i="16" s="1"/>
  <c r="AL26" i="7"/>
  <c r="AN26" i="7" s="1"/>
  <c r="AO26" i="7" s="1"/>
  <c r="AV26" i="7" s="1"/>
  <c r="AL77" i="7"/>
  <c r="AN77" i="7" s="1"/>
  <c r="AL381" i="7"/>
  <c r="AN381" i="7" s="1"/>
  <c r="AO381" i="7" s="1"/>
  <c r="AV381" i="7" s="1"/>
  <c r="AX381" i="7" s="1"/>
  <c r="AJ221" i="6"/>
  <c r="AJ105" i="6"/>
  <c r="AP105" i="6"/>
  <c r="AQ105" i="6" s="1"/>
  <c r="AR105" i="6" s="1"/>
  <c r="AU105" i="6" s="1"/>
  <c r="AJ103" i="6"/>
  <c r="AK103" i="6"/>
  <c r="AJ87" i="6"/>
  <c r="AP87" i="6"/>
  <c r="AQ87" i="6" s="1"/>
  <c r="AR87" i="6" s="1"/>
  <c r="AU87" i="6" s="1"/>
  <c r="AO215" i="7"/>
  <c r="AV215" i="7" s="1"/>
  <c r="AX215" i="7" s="1"/>
  <c r="AK52" i="6"/>
  <c r="AL52" i="6" s="1"/>
  <c r="AN52" i="6" s="1"/>
  <c r="AO52" i="6" s="1"/>
  <c r="AL8" i="7"/>
  <c r="AN8" i="7" s="1"/>
  <c r="AL235" i="7"/>
  <c r="AN235" i="7" s="1"/>
  <c r="AO235" i="7" s="1"/>
  <c r="AV235" i="7" s="1"/>
  <c r="AL527" i="7"/>
  <c r="AN527" i="7" s="1"/>
  <c r="AO527" i="7" s="1"/>
  <c r="AV527" i="7" s="1"/>
  <c r="AX527" i="7" s="1"/>
  <c r="AJ194" i="6"/>
  <c r="AL194" i="6" s="1"/>
  <c r="AN194" i="6" s="1"/>
  <c r="AO194" i="6" s="1"/>
  <c r="AJ14" i="6"/>
  <c r="AJ201" i="6"/>
  <c r="AL201" i="6" s="1"/>
  <c r="AN201" i="6" s="1"/>
  <c r="AO201" i="6" s="1"/>
  <c r="AP215" i="6"/>
  <c r="AQ215" i="6" s="1"/>
  <c r="AR215" i="6" s="1"/>
  <c r="AU215" i="6" s="1"/>
  <c r="AP223" i="6"/>
  <c r="AQ223" i="6" s="1"/>
  <c r="AR223" i="6" s="1"/>
  <c r="AU223" i="6" s="1"/>
  <c r="AJ224" i="6"/>
  <c r="AK205" i="6"/>
  <c r="AL205" i="6" s="1"/>
  <c r="AN205" i="6" s="1"/>
  <c r="AL111" i="7"/>
  <c r="AN111" i="7" s="1"/>
  <c r="AO111" i="7" s="1"/>
  <c r="AV111" i="7" s="1"/>
  <c r="AX111" i="7" s="1"/>
  <c r="AL93" i="7"/>
  <c r="AN93" i="7" s="1"/>
  <c r="AV456" i="7"/>
  <c r="AX456" i="7" s="1"/>
  <c r="AA126" i="6"/>
  <c r="AB126" i="6" s="1"/>
  <c r="AA210" i="6"/>
  <c r="AB210" i="6" s="1"/>
  <c r="AA14" i="6"/>
  <c r="AB14" i="6" s="1"/>
  <c r="AO528" i="7"/>
  <c r="AV528" i="7" s="1"/>
  <c r="AX528" i="7" s="1"/>
  <c r="AA124" i="6"/>
  <c r="AB124" i="6" s="1"/>
  <c r="AF150" i="6"/>
  <c r="AF124" i="6"/>
  <c r="AA22" i="6"/>
  <c r="AB22" i="6" s="1"/>
  <c r="AG22" i="6" s="1"/>
  <c r="BR22" i="6" s="1"/>
  <c r="AL441" i="7"/>
  <c r="AN441" i="7" s="1"/>
  <c r="AL59" i="7"/>
  <c r="AN59" i="7" s="1"/>
  <c r="AO59" i="7" s="1"/>
  <c r="AV59" i="7" s="1"/>
  <c r="AL333" i="7"/>
  <c r="AN333" i="7" s="1"/>
  <c r="AL322" i="7"/>
  <c r="AN322" i="7" s="1"/>
  <c r="AO322" i="7" s="1"/>
  <c r="AV322" i="7" s="1"/>
  <c r="AX322" i="7" s="1"/>
  <c r="AL340" i="7"/>
  <c r="AN340" i="7" s="1"/>
  <c r="AL303" i="7"/>
  <c r="AN303" i="7" s="1"/>
  <c r="AL542" i="7"/>
  <c r="AN542" i="7" s="1"/>
  <c r="AL172" i="7"/>
  <c r="AN172" i="7" s="1"/>
  <c r="AO172" i="7" s="1"/>
  <c r="AV172" i="7" s="1"/>
  <c r="AX172" i="7" s="1"/>
  <c r="AL565" i="7"/>
  <c r="AN565" i="7" s="1"/>
  <c r="AL382" i="7"/>
  <c r="AN382" i="7" s="1"/>
  <c r="AL429" i="7"/>
  <c r="AN429" i="7" s="1"/>
  <c r="AF109" i="6"/>
  <c r="AP197" i="6"/>
  <c r="AQ197" i="6" s="1"/>
  <c r="AR197" i="6" s="1"/>
  <c r="AU197" i="6" s="1"/>
  <c r="AJ220" i="6"/>
  <c r="AL220" i="6" s="1"/>
  <c r="AN220" i="6" s="1"/>
  <c r="AO220" i="6" s="1"/>
  <c r="AP204" i="6"/>
  <c r="AQ204" i="6" s="1"/>
  <c r="AR204" i="6" s="1"/>
  <c r="AU204" i="6" s="1"/>
  <c r="AJ204" i="6"/>
  <c r="AL204" i="6" s="1"/>
  <c r="AN204" i="6" s="1"/>
  <c r="AL39" i="6"/>
  <c r="AN39" i="6" s="1"/>
  <c r="AO39" i="6" s="1"/>
  <c r="AV39" i="6" s="1"/>
  <c r="AF218" i="6"/>
  <c r="AA206" i="6"/>
  <c r="AB206" i="6" s="1"/>
  <c r="AA191" i="6"/>
  <c r="AB191" i="6" s="1"/>
  <c r="AF199" i="6"/>
  <c r="AL141" i="6"/>
  <c r="AN141" i="6" s="1"/>
  <c r="AV307" i="7"/>
  <c r="AX307" i="7" s="1"/>
  <c r="AF172" i="6"/>
  <c r="AA172" i="6"/>
  <c r="AF209" i="6"/>
  <c r="AA59" i="7"/>
  <c r="AB59" i="7" s="1"/>
  <c r="AF115" i="7"/>
  <c r="AF456" i="7"/>
  <c r="AF449" i="7"/>
  <c r="AA108" i="7"/>
  <c r="AB108" i="7" s="1"/>
  <c r="AA538" i="7"/>
  <c r="AB538" i="7" s="1"/>
  <c r="AF254" i="7"/>
  <c r="BS254" i="7" s="1"/>
  <c r="AF196" i="6"/>
  <c r="AA505" i="7"/>
  <c r="AA201" i="6"/>
  <c r="AB201" i="6" s="1"/>
  <c r="AA18" i="6"/>
  <c r="AB18" i="6" s="1"/>
  <c r="AO313" i="7"/>
  <c r="AV313" i="7" s="1"/>
  <c r="AX313" i="7" s="1"/>
  <c r="AF26" i="6"/>
  <c r="AF510" i="7"/>
  <c r="AG510" i="7" s="1"/>
  <c r="AF126" i="6"/>
  <c r="AF202" i="6"/>
  <c r="AA213" i="6"/>
  <c r="AB213" i="6" s="1"/>
  <c r="AO401" i="7"/>
  <c r="AV401" i="7" s="1"/>
  <c r="AX401" i="7" s="1"/>
  <c r="AA181" i="6"/>
  <c r="AB181" i="6" s="1"/>
  <c r="AA198" i="6"/>
  <c r="AB198" i="6" s="1"/>
  <c r="AA199" i="6"/>
  <c r="AB199" i="6" s="1"/>
  <c r="AF192" i="6"/>
  <c r="AF197" i="6"/>
  <c r="AF204" i="6"/>
  <c r="AA183" i="6"/>
  <c r="AA190" i="6"/>
  <c r="AB190" i="6" s="1"/>
  <c r="AF213" i="6"/>
  <c r="AA180" i="6"/>
  <c r="AB180" i="6" s="1"/>
  <c r="AA228" i="6"/>
  <c r="AF226" i="6"/>
  <c r="AA182" i="6"/>
  <c r="AB182" i="6" s="1"/>
  <c r="AO82" i="7"/>
  <c r="AV82" i="7" s="1"/>
  <c r="AX82" i="7" s="1"/>
  <c r="AA226" i="6"/>
  <c r="AA187" i="6"/>
  <c r="AB187" i="6" s="1"/>
  <c r="AF187" i="6"/>
  <c r="AA225" i="6"/>
  <c r="AB225" i="6" s="1"/>
  <c r="AF16" i="6"/>
  <c r="AF220" i="6"/>
  <c r="AF157" i="6"/>
  <c r="AF181" i="6"/>
  <c r="AF217" i="6"/>
  <c r="AA224" i="6"/>
  <c r="AB224" i="6" s="1"/>
  <c r="AF211" i="6"/>
  <c r="AV460" i="7"/>
  <c r="AX460" i="7" s="1"/>
  <c r="BA460" i="7" s="1"/>
  <c r="BC460" i="7" s="1"/>
  <c r="AV309" i="7"/>
  <c r="AX309" i="7" s="1"/>
  <c r="AF518" i="7"/>
  <c r="AA73" i="7"/>
  <c r="AB73" i="7" s="1"/>
  <c r="AF243" i="7"/>
  <c r="AA208" i="7"/>
  <c r="AB208" i="7" s="1"/>
  <c r="Y27" i="6"/>
  <c r="Y178" i="6"/>
  <c r="AA178" i="6" s="1"/>
  <c r="AB178" i="6" s="1"/>
  <c r="Z73" i="6"/>
  <c r="AF207" i="6"/>
  <c r="AA195" i="6"/>
  <c r="AB195" i="6" s="1"/>
  <c r="AF194" i="6"/>
  <c r="AF227" i="6"/>
  <c r="AA17" i="6"/>
  <c r="AB17" i="6" s="1"/>
  <c r="AF18" i="6"/>
  <c r="AF14" i="6"/>
  <c r="AF225" i="6"/>
  <c r="AA220" i="6"/>
  <c r="AB220" i="6" s="1"/>
  <c r="AF190" i="6"/>
  <c r="AA217" i="6"/>
  <c r="AF184" i="6"/>
  <c r="AF205" i="6"/>
  <c r="AA227" i="6"/>
  <c r="AB227" i="6" s="1"/>
  <c r="AA210" i="7"/>
  <c r="AB210" i="7" s="1"/>
  <c r="AA144" i="7"/>
  <c r="AB144" i="7" s="1"/>
  <c r="AF9" i="7"/>
  <c r="AA79" i="7"/>
  <c r="AB79" i="7" s="1"/>
  <c r="Y73" i="6"/>
  <c r="Z87" i="6"/>
  <c r="AA200" i="6"/>
  <c r="AB200" i="6" s="1"/>
  <c r="AF212" i="6"/>
  <c r="AA189" i="6"/>
  <c r="AB189" i="6" s="1"/>
  <c r="AA184" i="6"/>
  <c r="AB184" i="6" s="1"/>
  <c r="AA194" i="6"/>
  <c r="AB194" i="6" s="1"/>
  <c r="AF182" i="6"/>
  <c r="AF210" i="6"/>
  <c r="AA197" i="6"/>
  <c r="AB197" i="6" s="1"/>
  <c r="AF183" i="6"/>
  <c r="AA212" i="6"/>
  <c r="AB212" i="6" s="1"/>
  <c r="AG212" i="6" s="1"/>
  <c r="BR212" i="6" s="1"/>
  <c r="AF407" i="7"/>
  <c r="AA215" i="7"/>
  <c r="AB215" i="7" s="1"/>
  <c r="AA236" i="7"/>
  <c r="AB236" i="7" s="1"/>
  <c r="AA41" i="16"/>
  <c r="AB41" i="16" s="1"/>
  <c r="AA28" i="16"/>
  <c r="AB28" i="16" s="1"/>
  <c r="AA25" i="16"/>
  <c r="AB25" i="16" s="1"/>
  <c r="Y87" i="6"/>
  <c r="AA150" i="6"/>
  <c r="AB150" i="6" s="1"/>
  <c r="AF214" i="6"/>
  <c r="AF191" i="6"/>
  <c r="AF195" i="6"/>
  <c r="AF221" i="6"/>
  <c r="AA209" i="6"/>
  <c r="AA15" i="6"/>
  <c r="AB15" i="6" s="1"/>
  <c r="AA221" i="6"/>
  <c r="AB221" i="6" s="1"/>
  <c r="AF216" i="6"/>
  <c r="AF198" i="6"/>
  <c r="AA185" i="6"/>
  <c r="AB185" i="6" s="1"/>
  <c r="AF17" i="6"/>
  <c r="AF206" i="6"/>
  <c r="AF186" i="6"/>
  <c r="AA203" i="6"/>
  <c r="AB203" i="6" s="1"/>
  <c r="AF208" i="6"/>
  <c r="AF185" i="6"/>
  <c r="AF224" i="6"/>
  <c r="AA188" i="6"/>
  <c r="AB188" i="6" s="1"/>
  <c r="AA16" i="6"/>
  <c r="AB16" i="6" s="1"/>
  <c r="AA211" i="6"/>
  <c r="AB211" i="6" s="1"/>
  <c r="AA202" i="6"/>
  <c r="AF228" i="6"/>
  <c r="AA193" i="6"/>
  <c r="AF215" i="6"/>
  <c r="AA219" i="6"/>
  <c r="AF189" i="6"/>
  <c r="AA222" i="6"/>
  <c r="AB222" i="6" s="1"/>
  <c r="AA152" i="6"/>
  <c r="AB152" i="6" s="1"/>
  <c r="AF160" i="6"/>
  <c r="AA104" i="6"/>
  <c r="AB104" i="6" s="1"/>
  <c r="AA109" i="6"/>
  <c r="AB109" i="6" s="1"/>
  <c r="AA192" i="6"/>
  <c r="AF219" i="6"/>
  <c r="AA205" i="6"/>
  <c r="AB205" i="6" s="1"/>
  <c r="AF200" i="6"/>
  <c r="AF180" i="6"/>
  <c r="AF15" i="6"/>
  <c r="AF193" i="6"/>
  <c r="AA215" i="6"/>
  <c r="AB215" i="6" s="1"/>
  <c r="AF223" i="6"/>
  <c r="AF203" i="6"/>
  <c r="AF464" i="7"/>
  <c r="AA218" i="6"/>
  <c r="AB218" i="6" s="1"/>
  <c r="AA216" i="6"/>
  <c r="AB216" i="6" s="1"/>
  <c r="AA196" i="6"/>
  <c r="AB196" i="6" s="1"/>
  <c r="AA214" i="6"/>
  <c r="AB214" i="6" s="1"/>
  <c r="AF201" i="6"/>
  <c r="AF80" i="6"/>
  <c r="AF188" i="6"/>
  <c r="AA204" i="6"/>
  <c r="AF222" i="6"/>
  <c r="AA186" i="6"/>
  <c r="AB186" i="6" s="1"/>
  <c r="Y207" i="6"/>
  <c r="Z207" i="6"/>
  <c r="Y208" i="6"/>
  <c r="Z208" i="6"/>
  <c r="Y223" i="6"/>
  <c r="Z223" i="6"/>
  <c r="AF114" i="6"/>
  <c r="AA80" i="6"/>
  <c r="AF152" i="6"/>
  <c r="AA128" i="6"/>
  <c r="AB128" i="6" s="1"/>
  <c r="AA114" i="6"/>
  <c r="AB114" i="6" s="1"/>
  <c r="AG114" i="6" s="1"/>
  <c r="BR114" i="6" s="1"/>
  <c r="AF128" i="6"/>
  <c r="AA157" i="6"/>
  <c r="AB157" i="6" s="1"/>
  <c r="AF162" i="6"/>
  <c r="AF104" i="6"/>
  <c r="AO420" i="7"/>
  <c r="AV420" i="7" s="1"/>
  <c r="AX420" i="7" s="1"/>
  <c r="AL222" i="6"/>
  <c r="AN222" i="6" s="1"/>
  <c r="AO222" i="6" s="1"/>
  <c r="AV222" i="6" s="1"/>
  <c r="AO506" i="7"/>
  <c r="AV506" i="7" s="1"/>
  <c r="AX506" i="7" s="1"/>
  <c r="AL228" i="7"/>
  <c r="AN228" i="7" s="1"/>
  <c r="AL391" i="7"/>
  <c r="AN391" i="7" s="1"/>
  <c r="AO391" i="7" s="1"/>
  <c r="AV391" i="7" s="1"/>
  <c r="AX391" i="7" s="1"/>
  <c r="AV532" i="7"/>
  <c r="AX532" i="7" s="1"/>
  <c r="AP76" i="6"/>
  <c r="AQ76" i="6" s="1"/>
  <c r="AR76" i="6" s="1"/>
  <c r="AU76" i="6" s="1"/>
  <c r="AK87" i="6"/>
  <c r="AP175" i="6"/>
  <c r="AQ175" i="6" s="1"/>
  <c r="AR175" i="6" s="1"/>
  <c r="AU175" i="6" s="1"/>
  <c r="AL197" i="7"/>
  <c r="AN197" i="7" s="1"/>
  <c r="AL500" i="7"/>
  <c r="AN500" i="7" s="1"/>
  <c r="AO500" i="7" s="1"/>
  <c r="AV500" i="7" s="1"/>
  <c r="AX500" i="7" s="1"/>
  <c r="AL156" i="7"/>
  <c r="AN156" i="7" s="1"/>
  <c r="AJ190" i="6"/>
  <c r="AL190" i="6" s="1"/>
  <c r="AN190" i="6" s="1"/>
  <c r="AK198" i="6"/>
  <c r="AK224" i="6"/>
  <c r="AL428" i="7"/>
  <c r="AN428" i="7" s="1"/>
  <c r="AO428" i="7" s="1"/>
  <c r="AP190" i="6"/>
  <c r="AQ190" i="6" s="1"/>
  <c r="AR190" i="6" s="1"/>
  <c r="AU190" i="6" s="1"/>
  <c r="AJ197" i="6"/>
  <c r="AL197" i="6" s="1"/>
  <c r="AN197" i="6" s="1"/>
  <c r="AP201" i="6"/>
  <c r="AQ201" i="6" s="1"/>
  <c r="AR201" i="6" s="1"/>
  <c r="AU201" i="6" s="1"/>
  <c r="AK221" i="6"/>
  <c r="AL561" i="7"/>
  <c r="AN561" i="7" s="1"/>
  <c r="AL439" i="7"/>
  <c r="AN439" i="7" s="1"/>
  <c r="AO439" i="7" s="1"/>
  <c r="AV439" i="7" s="1"/>
  <c r="AX439" i="7" s="1"/>
  <c r="AL198" i="7"/>
  <c r="AN198" i="7" s="1"/>
  <c r="AO198" i="7" s="1"/>
  <c r="AV198" i="7" s="1"/>
  <c r="AX198" i="7" s="1"/>
  <c r="AL316" i="7"/>
  <c r="AN316" i="7" s="1"/>
  <c r="AO316" i="7" s="1"/>
  <c r="AV316" i="7" s="1"/>
  <c r="AX316" i="7" s="1"/>
  <c r="AL371" i="7"/>
  <c r="AN371" i="7" s="1"/>
  <c r="AO371" i="7" s="1"/>
  <c r="AV371" i="7" s="1"/>
  <c r="AX371" i="7" s="1"/>
  <c r="AL342" i="7"/>
  <c r="AN342" i="7" s="1"/>
  <c r="AO342" i="7" s="1"/>
  <c r="AV342" i="7" s="1"/>
  <c r="AX342" i="7" s="1"/>
  <c r="AL493" i="7"/>
  <c r="AN493" i="7" s="1"/>
  <c r="AO493" i="7" s="1"/>
  <c r="AV493" i="7" s="1"/>
  <c r="AX493" i="7" s="1"/>
  <c r="AL511" i="7"/>
  <c r="AN511" i="7" s="1"/>
  <c r="AO511" i="7" s="1"/>
  <c r="AV511" i="7" s="1"/>
  <c r="AX511" i="7" s="1"/>
  <c r="AL520" i="7"/>
  <c r="AN520" i="7" s="1"/>
  <c r="AO520" i="7" s="1"/>
  <c r="AV520" i="7" s="1"/>
  <c r="AX520" i="7" s="1"/>
  <c r="AL207" i="7"/>
  <c r="AN207" i="7" s="1"/>
  <c r="AO207" i="7" s="1"/>
  <c r="AV207" i="7" s="1"/>
  <c r="AL116" i="7"/>
  <c r="AN116" i="7" s="1"/>
  <c r="AO116" i="7" s="1"/>
  <c r="AV116" i="7" s="1"/>
  <c r="AX116" i="7" s="1"/>
  <c r="AL447" i="7"/>
  <c r="AN447" i="7" s="1"/>
  <c r="AL357" i="7"/>
  <c r="AN357" i="7" s="1"/>
  <c r="AO357" i="7" s="1"/>
  <c r="AV357" i="7" s="1"/>
  <c r="AX357" i="7" s="1"/>
  <c r="AL566" i="7"/>
  <c r="AN566" i="7" s="1"/>
  <c r="AL417" i="7"/>
  <c r="AN417" i="7" s="1"/>
  <c r="AP220" i="6"/>
  <c r="AQ220" i="6" s="1"/>
  <c r="AR220" i="6" s="1"/>
  <c r="AU220" i="6" s="1"/>
  <c r="AV387" i="7"/>
  <c r="AX387" i="7" s="1"/>
  <c r="AU265" i="7"/>
  <c r="AP75" i="6"/>
  <c r="AQ75" i="6" s="1"/>
  <c r="AR75" i="6" s="1"/>
  <c r="AU75" i="6" s="1"/>
  <c r="AU370" i="7"/>
  <c r="AU295" i="7"/>
  <c r="AK75" i="6"/>
  <c r="AL75" i="6" s="1"/>
  <c r="AN75" i="6" s="1"/>
  <c r="AO75" i="6" s="1"/>
  <c r="AP114" i="6"/>
  <c r="AQ114" i="6" s="1"/>
  <c r="AR114" i="6" s="1"/>
  <c r="AU114" i="6" s="1"/>
  <c r="AV217" i="7"/>
  <c r="AX217" i="7" s="1"/>
  <c r="AL396" i="7"/>
  <c r="AN396" i="7" s="1"/>
  <c r="AO396" i="7" s="1"/>
  <c r="AV396" i="7" s="1"/>
  <c r="AX396" i="7" s="1"/>
  <c r="AO65" i="7"/>
  <c r="AV65" i="7" s="1"/>
  <c r="AX65" i="7" s="1"/>
  <c r="AO212" i="7"/>
  <c r="AO327" i="7"/>
  <c r="AV327" i="7" s="1"/>
  <c r="AX327" i="7" s="1"/>
  <c r="AL377" i="7"/>
  <c r="AN377" i="7" s="1"/>
  <c r="AL489" i="7"/>
  <c r="AN489" i="7" s="1"/>
  <c r="AL295" i="7"/>
  <c r="AN295" i="7" s="1"/>
  <c r="AO467" i="7"/>
  <c r="AV467" i="7" s="1"/>
  <c r="AX467" i="7" s="1"/>
  <c r="AO564" i="7"/>
  <c r="AV564" i="7" s="1"/>
  <c r="AX564" i="7" s="1"/>
  <c r="AO259" i="7"/>
  <c r="AV259" i="7" s="1"/>
  <c r="AX259" i="7" s="1"/>
  <c r="AO436" i="7"/>
  <c r="AV436" i="7" s="1"/>
  <c r="AX436" i="7" s="1"/>
  <c r="AO112" i="7"/>
  <c r="AV112" i="7" s="1"/>
  <c r="AX112" i="7" s="1"/>
  <c r="AO289" i="7"/>
  <c r="AV289" i="7" s="1"/>
  <c r="AX289" i="7" s="1"/>
  <c r="AO47" i="7"/>
  <c r="AV47" i="7" s="1"/>
  <c r="AX47" i="7" s="1"/>
  <c r="AO416" i="7"/>
  <c r="AV416" i="7" s="1"/>
  <c r="AX416" i="7" s="1"/>
  <c r="AL245" i="7"/>
  <c r="AN245" i="7" s="1"/>
  <c r="AO245" i="7" s="1"/>
  <c r="AV245" i="7" s="1"/>
  <c r="AX245" i="7" s="1"/>
  <c r="AO543" i="7"/>
  <c r="AV543" i="7" s="1"/>
  <c r="AX543" i="7" s="1"/>
  <c r="AO471" i="7"/>
  <c r="AV471" i="7" s="1"/>
  <c r="AX471" i="7" s="1"/>
  <c r="AL568" i="7"/>
  <c r="AN568" i="7" s="1"/>
  <c r="AO203" i="6"/>
  <c r="AV203" i="6" s="1"/>
  <c r="AX203" i="6" s="1"/>
  <c r="BA203" i="6" s="1"/>
  <c r="BC203" i="6" s="1"/>
  <c r="AO482" i="7"/>
  <c r="AV482" i="7" s="1"/>
  <c r="AX482" i="7" s="1"/>
  <c r="AK151" i="6"/>
  <c r="AL151" i="6" s="1"/>
  <c r="AN151" i="6" s="1"/>
  <c r="AO151" i="6" s="1"/>
  <c r="AL195" i="6"/>
  <c r="AN195" i="6" s="1"/>
  <c r="AJ227" i="6"/>
  <c r="AP227" i="6"/>
  <c r="AQ227" i="6" s="1"/>
  <c r="AR227" i="6" s="1"/>
  <c r="AU227" i="6" s="1"/>
  <c r="AK227" i="6"/>
  <c r="AP199" i="6"/>
  <c r="AQ199" i="6" s="1"/>
  <c r="AR199" i="6" s="1"/>
  <c r="AU199" i="6" s="1"/>
  <c r="AJ199" i="6"/>
  <c r="AK199" i="6"/>
  <c r="AO69" i="7"/>
  <c r="AV69" i="7" s="1"/>
  <c r="AX69" i="7" s="1"/>
  <c r="AL457" i="7"/>
  <c r="AN457" i="7" s="1"/>
  <c r="AL72" i="7"/>
  <c r="AN72" i="7" s="1"/>
  <c r="AL505" i="7"/>
  <c r="AN505" i="7" s="1"/>
  <c r="AL210" i="6"/>
  <c r="AN210" i="6" s="1"/>
  <c r="AO210" i="6" s="1"/>
  <c r="AP182" i="6"/>
  <c r="AQ182" i="6" s="1"/>
  <c r="AR182" i="6" s="1"/>
  <c r="AU182" i="6" s="1"/>
  <c r="AK182" i="6"/>
  <c r="AJ182" i="6"/>
  <c r="AL79" i="7"/>
  <c r="AN79" i="7" s="1"/>
  <c r="AP183" i="6"/>
  <c r="AQ183" i="6" s="1"/>
  <c r="AR183" i="6" s="1"/>
  <c r="AU183" i="6" s="1"/>
  <c r="AK183" i="6"/>
  <c r="AJ183" i="6"/>
  <c r="AP211" i="6"/>
  <c r="AQ211" i="6" s="1"/>
  <c r="AR211" i="6" s="1"/>
  <c r="AU211" i="6" s="1"/>
  <c r="AJ211" i="6"/>
  <c r="AK211" i="6"/>
  <c r="AJ225" i="6"/>
  <c r="AP225" i="6"/>
  <c r="AQ225" i="6" s="1"/>
  <c r="AR225" i="6" s="1"/>
  <c r="AU225" i="6" s="1"/>
  <c r="AK225" i="6"/>
  <c r="AJ218" i="6"/>
  <c r="AK218" i="6"/>
  <c r="AP218" i="6"/>
  <c r="AQ218" i="6" s="1"/>
  <c r="AR218" i="6" s="1"/>
  <c r="AU218" i="6" s="1"/>
  <c r="AP196" i="6"/>
  <c r="AQ196" i="6" s="1"/>
  <c r="AR196" i="6" s="1"/>
  <c r="AU196" i="6" s="1"/>
  <c r="AJ196" i="6"/>
  <c r="AK196" i="6"/>
  <c r="AJ214" i="6"/>
  <c r="AK214" i="6"/>
  <c r="AP214" i="6"/>
  <c r="AQ214" i="6" s="1"/>
  <c r="AO350" i="7"/>
  <c r="AV350" i="7" s="1"/>
  <c r="AX350" i="7" s="1"/>
  <c r="AP68" i="6"/>
  <c r="AQ68" i="6" s="1"/>
  <c r="AR68" i="6" s="1"/>
  <c r="AU68" i="6" s="1"/>
  <c r="AK89" i="6"/>
  <c r="AL89" i="6" s="1"/>
  <c r="AN89" i="6" s="1"/>
  <c r="AO89" i="6" s="1"/>
  <c r="AP135" i="6"/>
  <c r="AQ135" i="6" s="1"/>
  <c r="AR135" i="6" s="1"/>
  <c r="AU135" i="6" s="1"/>
  <c r="AK136" i="6"/>
  <c r="AL136" i="6" s="1"/>
  <c r="AN136" i="6" s="1"/>
  <c r="AK135" i="6"/>
  <c r="AL135" i="6" s="1"/>
  <c r="AN135" i="6" s="1"/>
  <c r="AO135" i="6" s="1"/>
  <c r="AK68" i="6"/>
  <c r="AL68" i="6" s="1"/>
  <c r="AP174" i="6"/>
  <c r="AQ174" i="6" s="1"/>
  <c r="AR174" i="6" s="1"/>
  <c r="AU174" i="6" s="1"/>
  <c r="AL481" i="7"/>
  <c r="AN481" i="7" s="1"/>
  <c r="AO481" i="7" s="1"/>
  <c r="AV481" i="7" s="1"/>
  <c r="AX481" i="7" s="1"/>
  <c r="AL443" i="7"/>
  <c r="AN443" i="7" s="1"/>
  <c r="AL298" i="7"/>
  <c r="AN298" i="7" s="1"/>
  <c r="AO298" i="7" s="1"/>
  <c r="AV298" i="7" s="1"/>
  <c r="AX298" i="7" s="1"/>
  <c r="AL277" i="7"/>
  <c r="AN277" i="7" s="1"/>
  <c r="AL184" i="6"/>
  <c r="AN184" i="6" s="1"/>
  <c r="AP228" i="6"/>
  <c r="AQ228" i="6" s="1"/>
  <c r="AR228" i="6" s="1"/>
  <c r="AU228" i="6" s="1"/>
  <c r="AJ228" i="6"/>
  <c r="AL521" i="7"/>
  <c r="AN521" i="7" s="1"/>
  <c r="AR17" i="6"/>
  <c r="AU17" i="6" s="1"/>
  <c r="AR180" i="6"/>
  <c r="AU180" i="6" s="1"/>
  <c r="AR221" i="6"/>
  <c r="AU221" i="6" s="1"/>
  <c r="AR213" i="6"/>
  <c r="AU213" i="6" s="1"/>
  <c r="AO219" i="6"/>
  <c r="AP74" i="6"/>
  <c r="AQ74" i="6" s="1"/>
  <c r="AR74" i="6" s="1"/>
  <c r="AU74" i="6" s="1"/>
  <c r="AP136" i="6"/>
  <c r="AQ136" i="6" s="1"/>
  <c r="AR136" i="6" s="1"/>
  <c r="AU136" i="6" s="1"/>
  <c r="AP120" i="6"/>
  <c r="AQ120" i="6" s="1"/>
  <c r="AR120" i="6" s="1"/>
  <c r="AU120" i="6" s="1"/>
  <c r="AK67" i="6"/>
  <c r="AL67" i="6" s="1"/>
  <c r="AN67" i="6" s="1"/>
  <c r="AO67" i="6" s="1"/>
  <c r="AK49" i="6"/>
  <c r="AL49" i="6" s="1"/>
  <c r="AN49" i="6" s="1"/>
  <c r="AO49" i="6" s="1"/>
  <c r="AO33" i="7"/>
  <c r="AV33" i="7" s="1"/>
  <c r="AX33" i="7" s="1"/>
  <c r="AO209" i="7"/>
  <c r="AV209" i="7" s="1"/>
  <c r="AX209" i="7" s="1"/>
  <c r="AO91" i="7"/>
  <c r="AV91" i="7" s="1"/>
  <c r="AX91" i="7" s="1"/>
  <c r="AL57" i="7"/>
  <c r="AN57" i="7" s="1"/>
  <c r="AL444" i="7"/>
  <c r="AN444" i="7" s="1"/>
  <c r="AU27" i="16"/>
  <c r="AL28" i="7"/>
  <c r="AN28" i="7" s="1"/>
  <c r="AP151" i="6"/>
  <c r="AQ151" i="6" s="1"/>
  <c r="AR151" i="6" s="1"/>
  <c r="AU151" i="6" s="1"/>
  <c r="AP109" i="6"/>
  <c r="AQ109" i="6" s="1"/>
  <c r="AR109" i="6" s="1"/>
  <c r="AU109" i="6" s="1"/>
  <c r="AK76" i="6"/>
  <c r="AL76" i="6" s="1"/>
  <c r="AN76" i="6" s="1"/>
  <c r="AK105" i="6"/>
  <c r="AK179" i="6"/>
  <c r="AL179" i="6" s="1"/>
  <c r="AN179" i="6" s="1"/>
  <c r="AL237" i="7"/>
  <c r="AN237" i="7" s="1"/>
  <c r="AO237" i="7" s="1"/>
  <c r="AV237" i="7" s="1"/>
  <c r="AX237" i="7" s="1"/>
  <c r="AL328" i="7"/>
  <c r="AN328" i="7" s="1"/>
  <c r="AO189" i="7"/>
  <c r="AV189" i="7" s="1"/>
  <c r="AX189" i="7" s="1"/>
  <c r="AO535" i="7"/>
  <c r="AV535" i="7" s="1"/>
  <c r="AX535" i="7" s="1"/>
  <c r="AO36" i="7"/>
  <c r="AV36" i="7" s="1"/>
  <c r="AX36" i="7" s="1"/>
  <c r="AO367" i="7"/>
  <c r="AV367" i="7" s="1"/>
  <c r="AX367" i="7" s="1"/>
  <c r="AL161" i="7"/>
  <c r="AN161" i="7" s="1"/>
  <c r="AP77" i="6"/>
  <c r="AQ77" i="6" s="1"/>
  <c r="AR77" i="6" s="1"/>
  <c r="AU77" i="6" s="1"/>
  <c r="AK78" i="6"/>
  <c r="AL78" i="6" s="1"/>
  <c r="AP103" i="6"/>
  <c r="AQ103" i="6" s="1"/>
  <c r="AR103" i="6" s="1"/>
  <c r="AU103" i="6" s="1"/>
  <c r="AL351" i="7"/>
  <c r="AN351" i="7" s="1"/>
  <c r="AL200" i="7"/>
  <c r="AN200" i="7" s="1"/>
  <c r="AL81" i="7"/>
  <c r="AN81" i="7" s="1"/>
  <c r="AL560" i="7"/>
  <c r="AN560" i="7" s="1"/>
  <c r="AO25" i="7"/>
  <c r="AV25" i="7" s="1"/>
  <c r="AX25" i="7" s="1"/>
  <c r="AL547" i="7"/>
  <c r="AN547" i="7" s="1"/>
  <c r="AP121" i="6"/>
  <c r="AQ121" i="6" s="1"/>
  <c r="AR121" i="6" s="1"/>
  <c r="AU121" i="6" s="1"/>
  <c r="AL12" i="7"/>
  <c r="AN12" i="7" s="1"/>
  <c r="AF41" i="16"/>
  <c r="AF25" i="16"/>
  <c r="AA48" i="16"/>
  <c r="AB48" i="16" s="1"/>
  <c r="AF482" i="7"/>
  <c r="AF400" i="7"/>
  <c r="AF374" i="7"/>
  <c r="AF533" i="7"/>
  <c r="AA469" i="7"/>
  <c r="AB469" i="7" s="1"/>
  <c r="AA65" i="7"/>
  <c r="AB65" i="7" s="1"/>
  <c r="AF210" i="7"/>
  <c r="AF144" i="7"/>
  <c r="AF293" i="7"/>
  <c r="AA428" i="7"/>
  <c r="AB428" i="7" s="1"/>
  <c r="AG428" i="7" s="1"/>
  <c r="BR428" i="7" s="1"/>
  <c r="BS232" i="7"/>
  <c r="BS118" i="7"/>
  <c r="AG346" i="7"/>
  <c r="BR346" i="7" s="1"/>
  <c r="BS346" i="7"/>
  <c r="BS5" i="7"/>
  <c r="BS385" i="7"/>
  <c r="BS233" i="7"/>
  <c r="BS51" i="7"/>
  <c r="AV104" i="7"/>
  <c r="AX104" i="7" s="1"/>
  <c r="AO355" i="7"/>
  <c r="AV355" i="7" s="1"/>
  <c r="AX355" i="7" s="1"/>
  <c r="AO145" i="7"/>
  <c r="AV145" i="7" s="1"/>
  <c r="AX145" i="7" s="1"/>
  <c r="AO62" i="7"/>
  <c r="AV62" i="7" s="1"/>
  <c r="AX62" i="7" s="1"/>
  <c r="AO374" i="7"/>
  <c r="AV374" i="7" s="1"/>
  <c r="AX374" i="7" s="1"/>
  <c r="AL60" i="7"/>
  <c r="AN60" i="7" s="1"/>
  <c r="AL413" i="7"/>
  <c r="AN413" i="7" s="1"/>
  <c r="AL407" i="7"/>
  <c r="AN407" i="7" s="1"/>
  <c r="AV341" i="7"/>
  <c r="AX341" i="7" s="1"/>
  <c r="AL501" i="7"/>
  <c r="AN501" i="7" s="1"/>
  <c r="AL394" i="7"/>
  <c r="AN394" i="7" s="1"/>
  <c r="AO394" i="7" s="1"/>
  <c r="AV394" i="7" s="1"/>
  <c r="AX394" i="7" s="1"/>
  <c r="AL419" i="7"/>
  <c r="AN419" i="7" s="1"/>
  <c r="AL171" i="7"/>
  <c r="AN171" i="7" s="1"/>
  <c r="AO171" i="7" s="1"/>
  <c r="AV171" i="7" s="1"/>
  <c r="AX171" i="7" s="1"/>
  <c r="AL266" i="7"/>
  <c r="AN266" i="7" s="1"/>
  <c r="AL551" i="7"/>
  <c r="AN551" i="7" s="1"/>
  <c r="AV184" i="7"/>
  <c r="AX184" i="7" s="1"/>
  <c r="AV155" i="7"/>
  <c r="AX155" i="7" s="1"/>
  <c r="AJ41" i="6"/>
  <c r="AK41" i="6"/>
  <c r="AP41" i="6"/>
  <c r="AQ41" i="6" s="1"/>
  <c r="AL286" i="7"/>
  <c r="AN286" i="7" s="1"/>
  <c r="AV360" i="7"/>
  <c r="AX360" i="7" s="1"/>
  <c r="AV180" i="7"/>
  <c r="AX180" i="7" s="1"/>
  <c r="AL359" i="7"/>
  <c r="AN359" i="7" s="1"/>
  <c r="AO359" i="7" s="1"/>
  <c r="AV359" i="7" s="1"/>
  <c r="AX359" i="7" s="1"/>
  <c r="AL541" i="7"/>
  <c r="AN541" i="7" s="1"/>
  <c r="AL42" i="6"/>
  <c r="AN42" i="6" s="1"/>
  <c r="AO42" i="6" s="1"/>
  <c r="AV42" i="6" s="1"/>
  <c r="AL20" i="6"/>
  <c r="AN20" i="6" s="1"/>
  <c r="AO20" i="6" s="1"/>
  <c r="AL220" i="7"/>
  <c r="AN220" i="7" s="1"/>
  <c r="AK176" i="6"/>
  <c r="AL176" i="6" s="1"/>
  <c r="AN176" i="6" s="1"/>
  <c r="AP82" i="6"/>
  <c r="AQ82" i="6" s="1"/>
  <c r="AR82" i="6" s="1"/>
  <c r="AU82" i="6" s="1"/>
  <c r="AP167" i="6"/>
  <c r="AQ167" i="6" s="1"/>
  <c r="AR167" i="6" s="1"/>
  <c r="AU167" i="6" s="1"/>
  <c r="AP92" i="6"/>
  <c r="AQ92" i="6" s="1"/>
  <c r="AR92" i="6" s="1"/>
  <c r="AU92" i="6" s="1"/>
  <c r="AK108" i="6"/>
  <c r="AL108" i="6" s="1"/>
  <c r="AN108" i="6" s="1"/>
  <c r="AO108" i="6" s="1"/>
  <c r="AP171" i="6"/>
  <c r="AQ171" i="6" s="1"/>
  <c r="AR171" i="6" s="1"/>
  <c r="AU171" i="6" s="1"/>
  <c r="AP108" i="6"/>
  <c r="AQ108" i="6" s="1"/>
  <c r="AR108" i="6" s="1"/>
  <c r="AU108" i="6" s="1"/>
  <c r="AK74" i="6"/>
  <c r="AL74" i="6" s="1"/>
  <c r="AN74" i="6" s="1"/>
  <c r="AO74" i="6" s="1"/>
  <c r="AP89" i="6"/>
  <c r="AQ89" i="6" s="1"/>
  <c r="AR89" i="6" s="1"/>
  <c r="AU89" i="6" s="1"/>
  <c r="AP176" i="6"/>
  <c r="AQ176" i="6" s="1"/>
  <c r="AR176" i="6" s="1"/>
  <c r="AU176" i="6" s="1"/>
  <c r="AK101" i="6"/>
  <c r="AL101" i="6" s="1"/>
  <c r="AN101" i="6" s="1"/>
  <c r="AO101" i="6" s="1"/>
  <c r="AK109" i="6"/>
  <c r="AL109" i="6" s="1"/>
  <c r="AP67" i="6"/>
  <c r="AQ67" i="6" s="1"/>
  <c r="AR67" i="6" s="1"/>
  <c r="AU67" i="6" s="1"/>
  <c r="AP101" i="6"/>
  <c r="AQ101" i="6" s="1"/>
  <c r="AR101" i="6" s="1"/>
  <c r="AU101" i="6" s="1"/>
  <c r="AP172" i="6"/>
  <c r="AQ172" i="6" s="1"/>
  <c r="AR172" i="6" s="1"/>
  <c r="AU172" i="6" s="1"/>
  <c r="AK169" i="6"/>
  <c r="AL169" i="6" s="1"/>
  <c r="AN169" i="6" s="1"/>
  <c r="AO169" i="6" s="1"/>
  <c r="AP60" i="6"/>
  <c r="AQ60" i="6" s="1"/>
  <c r="AR60" i="6" s="1"/>
  <c r="AU60" i="6" s="1"/>
  <c r="AK110" i="6"/>
  <c r="AK121" i="6"/>
  <c r="AP169" i="6"/>
  <c r="AQ169" i="6" s="1"/>
  <c r="AR169" i="6" s="1"/>
  <c r="AU169" i="6" s="1"/>
  <c r="AK93" i="6"/>
  <c r="AL93" i="6" s="1"/>
  <c r="AN93" i="6" s="1"/>
  <c r="AO93" i="6" s="1"/>
  <c r="AK120" i="6"/>
  <c r="AL120" i="6" s="1"/>
  <c r="AN120" i="6" s="1"/>
  <c r="AO120" i="6" s="1"/>
  <c r="AK60" i="6"/>
  <c r="AL60" i="6" s="1"/>
  <c r="AN60" i="6" s="1"/>
  <c r="AO60" i="6" s="1"/>
  <c r="AL34" i="6"/>
  <c r="AN34" i="6" s="1"/>
  <c r="AP164" i="6"/>
  <c r="AQ164" i="6" s="1"/>
  <c r="AR164" i="6" s="1"/>
  <c r="AU164" i="6" s="1"/>
  <c r="AP49" i="6"/>
  <c r="AQ49" i="6" s="1"/>
  <c r="AR49" i="6" s="1"/>
  <c r="AU49" i="6" s="1"/>
  <c r="AK4" i="6"/>
  <c r="AL4" i="6" s="1"/>
  <c r="AN4" i="6" s="1"/>
  <c r="AP110" i="6"/>
  <c r="AQ110" i="6" s="1"/>
  <c r="AR110" i="6" s="1"/>
  <c r="AU110" i="6" s="1"/>
  <c r="AK172" i="6"/>
  <c r="AL172" i="6" s="1"/>
  <c r="AN172" i="6" s="1"/>
  <c r="AP93" i="6"/>
  <c r="AQ93" i="6" s="1"/>
  <c r="AR93" i="6" s="1"/>
  <c r="AU93" i="6" s="1"/>
  <c r="AK167" i="6"/>
  <c r="AL167" i="6" s="1"/>
  <c r="AN167" i="6" s="1"/>
  <c r="AK92" i="6"/>
  <c r="AL92" i="6" s="1"/>
  <c r="AN92" i="6" s="1"/>
  <c r="AO92" i="6" s="1"/>
  <c r="AK171" i="6"/>
  <c r="AL171" i="6" s="1"/>
  <c r="AN171" i="6" s="1"/>
  <c r="AO171" i="6" s="1"/>
  <c r="AP139" i="6"/>
  <c r="AQ139" i="6" s="1"/>
  <c r="AR139" i="6" s="1"/>
  <c r="AU139" i="6" s="1"/>
  <c r="AL31" i="6"/>
  <c r="AN31" i="6" s="1"/>
  <c r="AO31" i="6" s="1"/>
  <c r="AV31" i="6" s="1"/>
  <c r="AV109" i="7"/>
  <c r="AX109" i="7" s="1"/>
  <c r="AL281" i="7"/>
  <c r="AN281" i="7" s="1"/>
  <c r="AL388" i="7"/>
  <c r="AN388" i="7" s="1"/>
  <c r="AL538" i="7"/>
  <c r="AN538" i="7" s="1"/>
  <c r="AL133" i="7"/>
  <c r="AN133" i="7" s="1"/>
  <c r="AO133" i="7" s="1"/>
  <c r="AV133" i="7" s="1"/>
  <c r="AX133" i="7" s="1"/>
  <c r="AL386" i="7"/>
  <c r="AN386" i="7" s="1"/>
  <c r="AF94" i="6"/>
  <c r="AV485" i="7"/>
  <c r="AX485" i="7" s="1"/>
  <c r="AO129" i="7"/>
  <c r="AV129" i="7" s="1"/>
  <c r="AX129" i="7" s="1"/>
  <c r="AP137" i="6"/>
  <c r="AQ137" i="6" s="1"/>
  <c r="AR137" i="6" s="1"/>
  <c r="AU137" i="6" s="1"/>
  <c r="AJ72" i="6"/>
  <c r="AK72" i="6"/>
  <c r="AP72" i="6"/>
  <c r="AQ72" i="6" s="1"/>
  <c r="AR72" i="6" s="1"/>
  <c r="AU72" i="6" s="1"/>
  <c r="AJ44" i="6"/>
  <c r="AK44" i="6"/>
  <c r="AP44" i="6"/>
  <c r="AQ44" i="6" s="1"/>
  <c r="AR44" i="6" s="1"/>
  <c r="AU44" i="6" s="1"/>
  <c r="AJ143" i="6"/>
  <c r="AP143" i="6"/>
  <c r="AQ143" i="6" s="1"/>
  <c r="AR143" i="6" s="1"/>
  <c r="AU143" i="6" s="1"/>
  <c r="AK143" i="6"/>
  <c r="AJ90" i="6"/>
  <c r="AK90" i="6"/>
  <c r="AP90" i="6"/>
  <c r="AQ90" i="6" s="1"/>
  <c r="AR90" i="6" s="1"/>
  <c r="AU90" i="6" s="1"/>
  <c r="AO136" i="7"/>
  <c r="AV136" i="7" s="1"/>
  <c r="AX136" i="7" s="1"/>
  <c r="AS106" i="7"/>
  <c r="AU106" i="7" s="1"/>
  <c r="AJ107" i="6"/>
  <c r="AK107" i="6"/>
  <c r="AP107" i="6"/>
  <c r="AQ107" i="6" s="1"/>
  <c r="AR107" i="6" s="1"/>
  <c r="AU107" i="6" s="1"/>
  <c r="AJ177" i="6"/>
  <c r="AL177" i="6" s="1"/>
  <c r="AN177" i="6" s="1"/>
  <c r="AP177" i="6"/>
  <c r="AQ177" i="6" s="1"/>
  <c r="AR177" i="6" s="1"/>
  <c r="AU177" i="6" s="1"/>
  <c r="AJ157" i="6"/>
  <c r="AK157" i="6"/>
  <c r="AS405" i="7"/>
  <c r="AU405" i="7" s="1"/>
  <c r="AJ116" i="6"/>
  <c r="AP116" i="6"/>
  <c r="AQ116" i="6" s="1"/>
  <c r="AR116" i="6" s="1"/>
  <c r="AU116" i="6" s="1"/>
  <c r="AK116" i="6"/>
  <c r="AJ56" i="6"/>
  <c r="AK56" i="6"/>
  <c r="AP56" i="6"/>
  <c r="AQ56" i="6" s="1"/>
  <c r="AR56" i="6" s="1"/>
  <c r="AU56" i="6" s="1"/>
  <c r="AJ83" i="6"/>
  <c r="AP83" i="6"/>
  <c r="AQ83" i="6" s="1"/>
  <c r="AR83" i="6" s="1"/>
  <c r="AU83" i="6" s="1"/>
  <c r="AK83" i="6"/>
  <c r="AV173" i="7"/>
  <c r="AX173" i="7" s="1"/>
  <c r="AL243" i="7"/>
  <c r="AN243" i="7" s="1"/>
  <c r="AL42" i="7"/>
  <c r="AN42" i="7" s="1"/>
  <c r="AL514" i="7"/>
  <c r="AN514" i="7" s="1"/>
  <c r="AL323" i="7"/>
  <c r="AN323" i="7" s="1"/>
  <c r="AL185" i="7"/>
  <c r="AN185" i="7" s="1"/>
  <c r="AL181" i="7"/>
  <c r="AN181" i="7" s="1"/>
  <c r="AL562" i="7"/>
  <c r="AN562" i="7" s="1"/>
  <c r="AL437" i="7"/>
  <c r="AN437" i="7" s="1"/>
  <c r="AL306" i="7"/>
  <c r="AN306" i="7" s="1"/>
  <c r="AL515" i="7"/>
  <c r="AN515" i="7" s="1"/>
  <c r="AL509" i="7"/>
  <c r="AN509" i="7" s="1"/>
  <c r="AL510" i="7"/>
  <c r="AN510" i="7" s="1"/>
  <c r="AL97" i="7"/>
  <c r="AN97" i="7" s="1"/>
  <c r="AL297" i="7"/>
  <c r="AN297" i="7" s="1"/>
  <c r="AL305" i="7"/>
  <c r="AN305" i="7" s="1"/>
  <c r="AL192" i="7"/>
  <c r="AN192" i="7" s="1"/>
  <c r="AL496" i="7"/>
  <c r="AN496" i="7" s="1"/>
  <c r="AV571" i="7"/>
  <c r="AX571" i="7" s="1"/>
  <c r="AV408" i="7"/>
  <c r="AX408" i="7" s="1"/>
  <c r="AL545" i="7"/>
  <c r="AN545" i="7" s="1"/>
  <c r="AO545" i="7" s="1"/>
  <c r="AV545" i="7" s="1"/>
  <c r="AX545" i="7" s="1"/>
  <c r="AO405" i="7"/>
  <c r="AO455" i="7"/>
  <c r="AV455" i="7" s="1"/>
  <c r="AX455" i="7" s="1"/>
  <c r="AO95" i="7"/>
  <c r="AV95" i="7" s="1"/>
  <c r="AX95" i="7" s="1"/>
  <c r="AL549" i="7"/>
  <c r="AN549" i="7" s="1"/>
  <c r="AO549" i="7" s="1"/>
  <c r="AV549" i="7" s="1"/>
  <c r="AX549" i="7" s="1"/>
  <c r="AL119" i="7"/>
  <c r="AN119" i="7" s="1"/>
  <c r="AL552" i="7"/>
  <c r="AN552" i="7" s="1"/>
  <c r="AO15" i="7"/>
  <c r="AO27" i="16"/>
  <c r="AO254" i="7"/>
  <c r="AV254" i="7" s="1"/>
  <c r="AX254" i="7" s="1"/>
  <c r="AO292" i="7"/>
  <c r="AV292" i="7" s="1"/>
  <c r="AX292" i="7" s="1"/>
  <c r="AP144" i="6"/>
  <c r="AQ144" i="6" s="1"/>
  <c r="AR144" i="6" s="1"/>
  <c r="AU144" i="6" s="1"/>
  <c r="AK82" i="6"/>
  <c r="AL82" i="6" s="1"/>
  <c r="AN82" i="6" s="1"/>
  <c r="AO82" i="6" s="1"/>
  <c r="AK70" i="6"/>
  <c r="AL70" i="6" s="1"/>
  <c r="AN70" i="6" s="1"/>
  <c r="AO70" i="6" s="1"/>
  <c r="AP64" i="6"/>
  <c r="AQ64" i="6" s="1"/>
  <c r="AR64" i="6" s="1"/>
  <c r="AU64" i="6" s="1"/>
  <c r="AK124" i="6"/>
  <c r="AL124" i="6" s="1"/>
  <c r="AN124" i="6" s="1"/>
  <c r="AP179" i="6"/>
  <c r="AQ179" i="6" s="1"/>
  <c r="AR179" i="6" s="1"/>
  <c r="AU179" i="6" s="1"/>
  <c r="AL249" i="7"/>
  <c r="AN249" i="7" s="1"/>
  <c r="AP125" i="6"/>
  <c r="AQ125" i="6" s="1"/>
  <c r="AR125" i="6" s="1"/>
  <c r="AU125" i="6" s="1"/>
  <c r="AK137" i="6"/>
  <c r="AL137" i="6" s="1"/>
  <c r="AN137" i="6" s="1"/>
  <c r="AL519" i="7"/>
  <c r="AN519" i="7" s="1"/>
  <c r="AU334" i="7"/>
  <c r="AU269" i="7"/>
  <c r="AV152" i="7"/>
  <c r="AX152" i="7" s="1"/>
  <c r="AK144" i="6"/>
  <c r="AL144" i="6" s="1"/>
  <c r="AN144" i="6" s="1"/>
  <c r="AO144" i="6" s="1"/>
  <c r="AK125" i="6"/>
  <c r="AL125" i="6" s="1"/>
  <c r="AN125" i="6" s="1"/>
  <c r="AO125" i="6" s="1"/>
  <c r="AP70" i="6"/>
  <c r="AQ70" i="6" s="1"/>
  <c r="AR70" i="6" s="1"/>
  <c r="AU70" i="6" s="1"/>
  <c r="AK64" i="6"/>
  <c r="AL64" i="6" s="1"/>
  <c r="AP124" i="6"/>
  <c r="AQ124" i="6" s="1"/>
  <c r="AR124" i="6" s="1"/>
  <c r="AU124" i="6" s="1"/>
  <c r="AL477" i="7"/>
  <c r="AN477" i="7" s="1"/>
  <c r="AL495" i="7"/>
  <c r="AN495" i="7" s="1"/>
  <c r="AL465" i="7"/>
  <c r="AN465" i="7" s="1"/>
  <c r="AL522" i="7"/>
  <c r="AN522" i="7" s="1"/>
  <c r="AO522" i="7" s="1"/>
  <c r="AV557" i="7"/>
  <c r="AX557" i="7" s="1"/>
  <c r="AL353" i="7"/>
  <c r="AN353" i="7" s="1"/>
  <c r="AL125" i="7"/>
  <c r="AN125" i="7" s="1"/>
  <c r="AL332" i="7"/>
  <c r="AN332" i="7" s="1"/>
  <c r="AL203" i="7"/>
  <c r="AN203" i="7" s="1"/>
  <c r="AO73" i="7"/>
  <c r="AV73" i="7" s="1"/>
  <c r="AX73" i="7" s="1"/>
  <c r="AO421" i="7"/>
  <c r="AV421" i="7" s="1"/>
  <c r="AX421" i="7" s="1"/>
  <c r="AO96" i="7"/>
  <c r="AV96" i="7" s="1"/>
  <c r="AX96" i="7" s="1"/>
  <c r="AO490" i="7"/>
  <c r="AV490" i="7" s="1"/>
  <c r="AX490" i="7" s="1"/>
  <c r="AO285" i="7"/>
  <c r="AV285" i="7" s="1"/>
  <c r="AX285" i="7" s="1"/>
  <c r="AL242" i="7"/>
  <c r="AN242" i="7" s="1"/>
  <c r="AO149" i="7"/>
  <c r="AV149" i="7" s="1"/>
  <c r="AX149" i="7" s="1"/>
  <c r="AO563" i="7"/>
  <c r="AL269" i="7"/>
  <c r="AN269" i="7" s="1"/>
  <c r="AO546" i="7"/>
  <c r="AU174" i="7"/>
  <c r="AP4" i="6"/>
  <c r="AQ4" i="6" s="1"/>
  <c r="AR4" i="6" s="1"/>
  <c r="AU4" i="6" s="1"/>
  <c r="AO280" i="7"/>
  <c r="AV280" i="7" s="1"/>
  <c r="AX280" i="7" s="1"/>
  <c r="AU15" i="7"/>
  <c r="AL533" i="7"/>
  <c r="AN533" i="7" s="1"/>
  <c r="AO533" i="7" s="1"/>
  <c r="AV533" i="7" s="1"/>
  <c r="AX533" i="7" s="1"/>
  <c r="AL473" i="7"/>
  <c r="AN473" i="7" s="1"/>
  <c r="AL29" i="7"/>
  <c r="AN29" i="7" s="1"/>
  <c r="AL349" i="7"/>
  <c r="AN349" i="7" s="1"/>
  <c r="AL392" i="7"/>
  <c r="AN392" i="7" s="1"/>
  <c r="AO153" i="7"/>
  <c r="AV153" i="7" s="1"/>
  <c r="AX153" i="7" s="1"/>
  <c r="AS411" i="7"/>
  <c r="AU411" i="7" s="1"/>
  <c r="AO174" i="7"/>
  <c r="AO137" i="7"/>
  <c r="AV137" i="7" s="1"/>
  <c r="AX137" i="7" s="1"/>
  <c r="AL540" i="7"/>
  <c r="AN540" i="7" s="1"/>
  <c r="AL464" i="7"/>
  <c r="AN464" i="7" s="1"/>
  <c r="AL236" i="7"/>
  <c r="AN236" i="7" s="1"/>
  <c r="AL484" i="7"/>
  <c r="AN484" i="7" s="1"/>
  <c r="AO468" i="7"/>
  <c r="AV468" i="7" s="1"/>
  <c r="AX468" i="7" s="1"/>
  <c r="AL16" i="7"/>
  <c r="AN16" i="7" s="1"/>
  <c r="AL320" i="7"/>
  <c r="AN320" i="7" s="1"/>
  <c r="AL204" i="7"/>
  <c r="AN204" i="7" s="1"/>
  <c r="AV144" i="7"/>
  <c r="AX144" i="7" s="1"/>
  <c r="AU522" i="7"/>
  <c r="AV224" i="7"/>
  <c r="AX224" i="7" s="1"/>
  <c r="AO246" i="7"/>
  <c r="AV246" i="7" s="1"/>
  <c r="AX246" i="7" s="1"/>
  <c r="AO41" i="7"/>
  <c r="AV41" i="7" s="1"/>
  <c r="AX41" i="7" s="1"/>
  <c r="AO435" i="7"/>
  <c r="AV435" i="7" s="1"/>
  <c r="AX435" i="7" s="1"/>
  <c r="AO398" i="7"/>
  <c r="AV398" i="7" s="1"/>
  <c r="AX398" i="7" s="1"/>
  <c r="AL275" i="7"/>
  <c r="AN275" i="7" s="1"/>
  <c r="AL276" i="7"/>
  <c r="AN276" i="7" s="1"/>
  <c r="AL128" i="7"/>
  <c r="AN128" i="7" s="1"/>
  <c r="AL105" i="7"/>
  <c r="AN105" i="7" s="1"/>
  <c r="AL13" i="16"/>
  <c r="AN13" i="16" s="1"/>
  <c r="AL494" i="7"/>
  <c r="AN494" i="7" s="1"/>
  <c r="AP5" i="6"/>
  <c r="AQ5" i="6" s="1"/>
  <c r="AR5" i="6" s="1"/>
  <c r="AU5" i="6" s="1"/>
  <c r="AJ5" i="6"/>
  <c r="AK19" i="6"/>
  <c r="AJ19" i="6"/>
  <c r="AP19" i="6"/>
  <c r="AQ19" i="6" s="1"/>
  <c r="AL160" i="7"/>
  <c r="AN160" i="7" s="1"/>
  <c r="AL26" i="6"/>
  <c r="AN26" i="6" s="1"/>
  <c r="AA94" i="6"/>
  <c r="AB94" i="6" s="1"/>
  <c r="AO38" i="6"/>
  <c r="AA88" i="6"/>
  <c r="AB88" i="6" s="1"/>
  <c r="AA79" i="6"/>
  <c r="AB79" i="6" s="1"/>
  <c r="AA53" i="6"/>
  <c r="AB53" i="6" s="1"/>
  <c r="AA170" i="6"/>
  <c r="AB170" i="6" s="1"/>
  <c r="AF110" i="6"/>
  <c r="AA4" i="7"/>
  <c r="AB4" i="7" s="1"/>
  <c r="AF4" i="7"/>
  <c r="AF163" i="6"/>
  <c r="AF140" i="6"/>
  <c r="AO199" i="7"/>
  <c r="AV199" i="7" s="1"/>
  <c r="AX199" i="7" s="1"/>
  <c r="AO262" i="7"/>
  <c r="AV262" i="7" s="1"/>
  <c r="AX262" i="7" s="1"/>
  <c r="AF59" i="7"/>
  <c r="AF460" i="7"/>
  <c r="AO376" i="7"/>
  <c r="AV376" i="7" s="1"/>
  <c r="AX376" i="7" s="1"/>
  <c r="AO121" i="7"/>
  <c r="AV121" i="7" s="1"/>
  <c r="AX121" i="7" s="1"/>
  <c r="AA564" i="7"/>
  <c r="AB564" i="7" s="1"/>
  <c r="AA11" i="6"/>
  <c r="AF137" i="6"/>
  <c r="AA66" i="6"/>
  <c r="AB66" i="6" s="1"/>
  <c r="AA167" i="6"/>
  <c r="AB167" i="6" s="1"/>
  <c r="AF112" i="6"/>
  <c r="AA134" i="6"/>
  <c r="AB134" i="6" s="1"/>
  <c r="AF76" i="6"/>
  <c r="AA27" i="16"/>
  <c r="AF136" i="6"/>
  <c r="AA69" i="6"/>
  <c r="AB69" i="6" s="1"/>
  <c r="AV314" i="7"/>
  <c r="AX314" i="7" s="1"/>
  <c r="AP95" i="6"/>
  <c r="AQ95" i="6" s="1"/>
  <c r="AR95" i="6" s="1"/>
  <c r="AU95" i="6" s="1"/>
  <c r="AK95" i="6"/>
  <c r="AL95" i="6" s="1"/>
  <c r="AK178" i="6"/>
  <c r="AL178" i="6" s="1"/>
  <c r="AN178" i="6" s="1"/>
  <c r="AP178" i="6"/>
  <c r="AQ178" i="6" s="1"/>
  <c r="AR178" i="6" s="1"/>
  <c r="AU178" i="6" s="1"/>
  <c r="AK73" i="6"/>
  <c r="AL73" i="6" s="1"/>
  <c r="AN73" i="6" s="1"/>
  <c r="AO73" i="6" s="1"/>
  <c r="AP73" i="6"/>
  <c r="AQ73" i="6" s="1"/>
  <c r="AR73" i="6" s="1"/>
  <c r="AU73" i="6" s="1"/>
  <c r="AK84" i="6"/>
  <c r="AL84" i="6" s="1"/>
  <c r="AN84" i="6" s="1"/>
  <c r="AP84" i="6"/>
  <c r="AQ84" i="6" s="1"/>
  <c r="AR84" i="6" s="1"/>
  <c r="AU84" i="6" s="1"/>
  <c r="AK132" i="6"/>
  <c r="AL132" i="6" s="1"/>
  <c r="AP132" i="6"/>
  <c r="AQ132" i="6" s="1"/>
  <c r="AR132" i="6" s="1"/>
  <c r="AU132" i="6" s="1"/>
  <c r="AK149" i="6"/>
  <c r="AL149" i="6" s="1"/>
  <c r="AN149" i="6" s="1"/>
  <c r="AP149" i="6"/>
  <c r="AQ149" i="6" s="1"/>
  <c r="AR149" i="6" s="1"/>
  <c r="AU149" i="6" s="1"/>
  <c r="AK130" i="6"/>
  <c r="AL130" i="6" s="1"/>
  <c r="AN130" i="6" s="1"/>
  <c r="AP130" i="6"/>
  <c r="AQ130" i="6" s="1"/>
  <c r="AR130" i="6" s="1"/>
  <c r="AU130" i="6" s="1"/>
  <c r="AP159" i="6"/>
  <c r="AQ159" i="6" s="1"/>
  <c r="AR159" i="6" s="1"/>
  <c r="AU159" i="6" s="1"/>
  <c r="AK159" i="6"/>
  <c r="AL159" i="6" s="1"/>
  <c r="AP55" i="6"/>
  <c r="AQ55" i="6" s="1"/>
  <c r="AR55" i="6" s="1"/>
  <c r="AU55" i="6" s="1"/>
  <c r="AK55" i="6"/>
  <c r="AL55" i="6" s="1"/>
  <c r="AK145" i="6"/>
  <c r="AL145" i="6" s="1"/>
  <c r="AN145" i="6" s="1"/>
  <c r="AP145" i="6"/>
  <c r="AQ145" i="6" s="1"/>
  <c r="AR145" i="6" s="1"/>
  <c r="AU145" i="6" s="1"/>
  <c r="AP131" i="6"/>
  <c r="AQ131" i="6" s="1"/>
  <c r="AR131" i="6" s="1"/>
  <c r="AU131" i="6" s="1"/>
  <c r="AK131" i="6"/>
  <c r="AL131" i="6" s="1"/>
  <c r="AN131" i="6" s="1"/>
  <c r="AK97" i="6"/>
  <c r="AL97" i="6" s="1"/>
  <c r="AN97" i="6" s="1"/>
  <c r="AO97" i="6" s="1"/>
  <c r="AP97" i="6"/>
  <c r="AQ97" i="6" s="1"/>
  <c r="AR97" i="6" s="1"/>
  <c r="AU97" i="6" s="1"/>
  <c r="AP142" i="6"/>
  <c r="AQ142" i="6" s="1"/>
  <c r="AR142" i="6" s="1"/>
  <c r="AU142" i="6" s="1"/>
  <c r="AK142" i="6"/>
  <c r="AL142" i="6" s="1"/>
  <c r="AN142" i="6" s="1"/>
  <c r="AP47" i="6"/>
  <c r="AQ47" i="6" s="1"/>
  <c r="AR47" i="6" s="1"/>
  <c r="AU47" i="6" s="1"/>
  <c r="AK47" i="6"/>
  <c r="AL47" i="6" s="1"/>
  <c r="AK63" i="6"/>
  <c r="AL63" i="6" s="1"/>
  <c r="AP63" i="6"/>
  <c r="AQ63" i="6" s="1"/>
  <c r="AR63" i="6" s="1"/>
  <c r="AU63" i="6" s="1"/>
  <c r="AP96" i="6"/>
  <c r="AQ96" i="6" s="1"/>
  <c r="AR96" i="6" s="1"/>
  <c r="AU96" i="6" s="1"/>
  <c r="AK96" i="6"/>
  <c r="AL96" i="6" s="1"/>
  <c r="AP153" i="6"/>
  <c r="AQ153" i="6" s="1"/>
  <c r="AR153" i="6" s="1"/>
  <c r="AU153" i="6" s="1"/>
  <c r="AK153" i="6"/>
  <c r="AL153" i="6" s="1"/>
  <c r="AP65" i="6"/>
  <c r="AQ65" i="6" s="1"/>
  <c r="AR65" i="6" s="1"/>
  <c r="AU65" i="6" s="1"/>
  <c r="AK65" i="6"/>
  <c r="AL65" i="6" s="1"/>
  <c r="AP51" i="6"/>
  <c r="AQ51" i="6" s="1"/>
  <c r="AR51" i="6" s="1"/>
  <c r="AU51" i="6" s="1"/>
  <c r="AK51" i="6"/>
  <c r="AL51" i="6" s="1"/>
  <c r="AP161" i="6"/>
  <c r="AQ161" i="6" s="1"/>
  <c r="AR161" i="6" s="1"/>
  <c r="AU161" i="6" s="1"/>
  <c r="AK161" i="6"/>
  <c r="AL161" i="6" s="1"/>
  <c r="AN161" i="6" s="1"/>
  <c r="AP66" i="6"/>
  <c r="AQ66" i="6" s="1"/>
  <c r="AR66" i="6" s="1"/>
  <c r="AU66" i="6" s="1"/>
  <c r="AK66" i="6"/>
  <c r="AL66" i="6" s="1"/>
  <c r="AN66" i="6" s="1"/>
  <c r="AP111" i="6"/>
  <c r="AQ111" i="6" s="1"/>
  <c r="AR111" i="6" s="1"/>
  <c r="AU111" i="6" s="1"/>
  <c r="AK111" i="6"/>
  <c r="AP154" i="6"/>
  <c r="AQ154" i="6" s="1"/>
  <c r="AR154" i="6" s="1"/>
  <c r="AU154" i="6" s="1"/>
  <c r="AK154" i="6"/>
  <c r="AL154" i="6" s="1"/>
  <c r="AN154" i="6" s="1"/>
  <c r="AO154" i="6" s="1"/>
  <c r="AP71" i="6"/>
  <c r="AQ71" i="6" s="1"/>
  <c r="AR71" i="6" s="1"/>
  <c r="AU71" i="6" s="1"/>
  <c r="AK71" i="6"/>
  <c r="AL71" i="6" s="1"/>
  <c r="AP104" i="6"/>
  <c r="AQ104" i="6" s="1"/>
  <c r="AR104" i="6" s="1"/>
  <c r="AU104" i="6" s="1"/>
  <c r="AK104" i="6"/>
  <c r="AL104" i="6" s="1"/>
  <c r="AP69" i="6"/>
  <c r="AQ69" i="6" s="1"/>
  <c r="AR69" i="6" s="1"/>
  <c r="AU69" i="6" s="1"/>
  <c r="AK69" i="6"/>
  <c r="AL69" i="6" s="1"/>
  <c r="AN69" i="6" s="1"/>
  <c r="AO69" i="6" s="1"/>
  <c r="AP59" i="6"/>
  <c r="AQ59" i="6" s="1"/>
  <c r="AR59" i="6" s="1"/>
  <c r="AU59" i="6" s="1"/>
  <c r="AK59" i="6"/>
  <c r="AL59" i="6" s="1"/>
  <c r="AN59" i="6" s="1"/>
  <c r="AP140" i="6"/>
  <c r="AQ140" i="6" s="1"/>
  <c r="AR140" i="6" s="1"/>
  <c r="AU140" i="6" s="1"/>
  <c r="AK80" i="6"/>
  <c r="AL80" i="6" s="1"/>
  <c r="AP80" i="6"/>
  <c r="AQ80" i="6" s="1"/>
  <c r="AR80" i="6" s="1"/>
  <c r="AU80" i="6" s="1"/>
  <c r="AP86" i="6"/>
  <c r="AQ86" i="6" s="1"/>
  <c r="AR86" i="6" s="1"/>
  <c r="AU86" i="6" s="1"/>
  <c r="AK86" i="6"/>
  <c r="AL86" i="6" s="1"/>
  <c r="AN86" i="6" s="1"/>
  <c r="AP122" i="6"/>
  <c r="AQ122" i="6" s="1"/>
  <c r="AR122" i="6" s="1"/>
  <c r="AU122" i="6" s="1"/>
  <c r="AK122" i="6"/>
  <c r="AL122" i="6" s="1"/>
  <c r="AN122" i="6" s="1"/>
  <c r="AO122" i="6" s="1"/>
  <c r="AK53" i="6"/>
  <c r="AL53" i="6" s="1"/>
  <c r="AN53" i="6" s="1"/>
  <c r="AP53" i="6"/>
  <c r="AQ53" i="6" s="1"/>
  <c r="AR53" i="6" s="1"/>
  <c r="AU53" i="6" s="1"/>
  <c r="AP100" i="6"/>
  <c r="AQ100" i="6" s="1"/>
  <c r="AR100" i="6" s="1"/>
  <c r="AU100" i="6" s="1"/>
  <c r="AK100" i="6"/>
  <c r="AL100" i="6" s="1"/>
  <c r="AN100" i="6" s="1"/>
  <c r="AK99" i="6"/>
  <c r="AL99" i="6" s="1"/>
  <c r="AN99" i="6" s="1"/>
  <c r="AP99" i="6"/>
  <c r="AQ99" i="6" s="1"/>
  <c r="AR99" i="6" s="1"/>
  <c r="AU99" i="6" s="1"/>
  <c r="AK50" i="6"/>
  <c r="AL50" i="6" s="1"/>
  <c r="AP50" i="6"/>
  <c r="AQ50" i="6" s="1"/>
  <c r="AR50" i="6" s="1"/>
  <c r="AU50" i="6" s="1"/>
  <c r="AK113" i="6"/>
  <c r="AL113" i="6" s="1"/>
  <c r="AN113" i="6" s="1"/>
  <c r="AO113" i="6" s="1"/>
  <c r="AP113" i="6"/>
  <c r="AQ113" i="6" s="1"/>
  <c r="AR113" i="6" s="1"/>
  <c r="AU113" i="6" s="1"/>
  <c r="AP156" i="6"/>
  <c r="AQ156" i="6" s="1"/>
  <c r="AR156" i="6" s="1"/>
  <c r="AU156" i="6" s="1"/>
  <c r="AK156" i="6"/>
  <c r="AL156" i="6" s="1"/>
  <c r="AN156" i="6" s="1"/>
  <c r="AK133" i="6"/>
  <c r="AL133" i="6" s="1"/>
  <c r="AN133" i="6" s="1"/>
  <c r="AP133" i="6"/>
  <c r="AQ133" i="6" s="1"/>
  <c r="AR133" i="6" s="1"/>
  <c r="AU133" i="6" s="1"/>
  <c r="AK123" i="6"/>
  <c r="AL123" i="6" s="1"/>
  <c r="AN123" i="6" s="1"/>
  <c r="AP123" i="6"/>
  <c r="AQ123" i="6" s="1"/>
  <c r="AR123" i="6" s="1"/>
  <c r="AU123" i="6" s="1"/>
  <c r="AK57" i="6"/>
  <c r="AL57" i="6" s="1"/>
  <c r="AP57" i="6"/>
  <c r="AQ57" i="6" s="1"/>
  <c r="AR57" i="6" s="1"/>
  <c r="AU57" i="6" s="1"/>
  <c r="AK163" i="6"/>
  <c r="AL163" i="6" s="1"/>
  <c r="AP163" i="6"/>
  <c r="AQ163" i="6" s="1"/>
  <c r="AR163" i="6" s="1"/>
  <c r="AU163" i="6" s="1"/>
  <c r="AN127" i="6"/>
  <c r="AO127" i="6" s="1"/>
  <c r="AV127" i="6" s="1"/>
  <c r="AP118" i="6"/>
  <c r="AQ118" i="6" s="1"/>
  <c r="AR118" i="6" s="1"/>
  <c r="AU118" i="6" s="1"/>
  <c r="AK118" i="6"/>
  <c r="AL118" i="6" s="1"/>
  <c r="AN118" i="6" s="1"/>
  <c r="AP146" i="6"/>
  <c r="AQ146" i="6" s="1"/>
  <c r="AR146" i="6" s="1"/>
  <c r="AU146" i="6" s="1"/>
  <c r="AK146" i="6"/>
  <c r="AP166" i="6"/>
  <c r="AQ166" i="6" s="1"/>
  <c r="AR166" i="6" s="1"/>
  <c r="AU166" i="6" s="1"/>
  <c r="AK166" i="6"/>
  <c r="AL166" i="6" s="1"/>
  <c r="AP129" i="6"/>
  <c r="AQ129" i="6" s="1"/>
  <c r="AR129" i="6" s="1"/>
  <c r="AU129" i="6" s="1"/>
  <c r="AK129" i="6"/>
  <c r="AP119" i="6"/>
  <c r="AQ119" i="6" s="1"/>
  <c r="AR119" i="6" s="1"/>
  <c r="AU119" i="6" s="1"/>
  <c r="AK119" i="6"/>
  <c r="AL119" i="6" s="1"/>
  <c r="AN119" i="6" s="1"/>
  <c r="AO119" i="6" s="1"/>
  <c r="AK150" i="6"/>
  <c r="AL150" i="6" s="1"/>
  <c r="AN150" i="6" s="1"/>
  <c r="AP150" i="6"/>
  <c r="AQ150" i="6" s="1"/>
  <c r="AR150" i="6" s="1"/>
  <c r="AU150" i="6" s="1"/>
  <c r="AK134" i="6"/>
  <c r="AL134" i="6" s="1"/>
  <c r="AN134" i="6" s="1"/>
  <c r="AO134" i="6" s="1"/>
  <c r="AP134" i="6"/>
  <c r="AQ134" i="6" s="1"/>
  <c r="AR134" i="6" s="1"/>
  <c r="AU134" i="6" s="1"/>
  <c r="AP91" i="6"/>
  <c r="AQ91" i="6" s="1"/>
  <c r="AR91" i="6" s="1"/>
  <c r="AU91" i="6" s="1"/>
  <c r="AK91" i="6"/>
  <c r="AL91" i="6" s="1"/>
  <c r="AK102" i="6"/>
  <c r="AL102" i="6" s="1"/>
  <c r="AN102" i="6" s="1"/>
  <c r="AO102" i="6" s="1"/>
  <c r="AP102" i="6"/>
  <c r="AQ102" i="6" s="1"/>
  <c r="AR102" i="6" s="1"/>
  <c r="AU102" i="6" s="1"/>
  <c r="AK139" i="6"/>
  <c r="AL139" i="6" s="1"/>
  <c r="AN139" i="6" s="1"/>
  <c r="AO139" i="6" s="1"/>
  <c r="AP88" i="6"/>
  <c r="AQ88" i="6" s="1"/>
  <c r="AR88" i="6" s="1"/>
  <c r="AU88" i="6" s="1"/>
  <c r="AK88" i="6"/>
  <c r="AL88" i="6" s="1"/>
  <c r="AN88" i="6" s="1"/>
  <c r="AO88" i="6" s="1"/>
  <c r="AP126" i="6"/>
  <c r="AQ126" i="6" s="1"/>
  <c r="AR126" i="6" s="1"/>
  <c r="AU126" i="6" s="1"/>
  <c r="AK126" i="6"/>
  <c r="AP106" i="6"/>
  <c r="AQ106" i="6" s="1"/>
  <c r="AR106" i="6" s="1"/>
  <c r="AU106" i="6" s="1"/>
  <c r="AK106" i="6"/>
  <c r="AL106" i="6" s="1"/>
  <c r="AP173" i="6"/>
  <c r="AQ173" i="6" s="1"/>
  <c r="AR173" i="6" s="1"/>
  <c r="AU173" i="6" s="1"/>
  <c r="AK173" i="6"/>
  <c r="AL173" i="6" s="1"/>
  <c r="AN173" i="6" s="1"/>
  <c r="AK168" i="6"/>
  <c r="AL168" i="6" s="1"/>
  <c r="AP168" i="6"/>
  <c r="AQ168" i="6" s="1"/>
  <c r="AR168" i="6" s="1"/>
  <c r="AU168" i="6" s="1"/>
  <c r="AK61" i="6"/>
  <c r="AL61" i="6" s="1"/>
  <c r="AN61" i="6" s="1"/>
  <c r="AP61" i="6"/>
  <c r="AQ61" i="6" s="1"/>
  <c r="AR61" i="6" s="1"/>
  <c r="AU61" i="6" s="1"/>
  <c r="AK128" i="6"/>
  <c r="AL128" i="6" s="1"/>
  <c r="AN128" i="6" s="1"/>
  <c r="AO128" i="6" s="1"/>
  <c r="AP128" i="6"/>
  <c r="AQ128" i="6" s="1"/>
  <c r="AR128" i="6" s="1"/>
  <c r="AU128" i="6" s="1"/>
  <c r="AP62" i="6"/>
  <c r="AQ62" i="6" s="1"/>
  <c r="AR62" i="6" s="1"/>
  <c r="AU62" i="6" s="1"/>
  <c r="AK62" i="6"/>
  <c r="AL62" i="6" s="1"/>
  <c r="AN62" i="6" s="1"/>
  <c r="AP148" i="6"/>
  <c r="AQ148" i="6" s="1"/>
  <c r="AR148" i="6" s="1"/>
  <c r="AU148" i="6" s="1"/>
  <c r="AK148" i="6"/>
  <c r="AL148" i="6" s="1"/>
  <c r="AN148" i="6" s="1"/>
  <c r="AP98" i="6"/>
  <c r="AQ98" i="6" s="1"/>
  <c r="AR98" i="6" s="1"/>
  <c r="AU98" i="6" s="1"/>
  <c r="AK98" i="6"/>
  <c r="AL98" i="6" s="1"/>
  <c r="AN98" i="6" s="1"/>
  <c r="AO98" i="6" s="1"/>
  <c r="AK54" i="6"/>
  <c r="AL54" i="6" s="1"/>
  <c r="AN54" i="6" s="1"/>
  <c r="AP54" i="6"/>
  <c r="AQ54" i="6" s="1"/>
  <c r="AR54" i="6" s="1"/>
  <c r="AU54" i="6" s="1"/>
  <c r="AP81" i="6"/>
  <c r="AQ81" i="6" s="1"/>
  <c r="AR81" i="6" s="1"/>
  <c r="AU81" i="6" s="1"/>
  <c r="AK81" i="6"/>
  <c r="AL81" i="6" s="1"/>
  <c r="AP162" i="6"/>
  <c r="AQ162" i="6" s="1"/>
  <c r="AR162" i="6" s="1"/>
  <c r="AU162" i="6" s="1"/>
  <c r="AK162" i="6"/>
  <c r="AL162" i="6" s="1"/>
  <c r="AK138" i="6"/>
  <c r="AL138" i="6" s="1"/>
  <c r="AP138" i="6"/>
  <c r="AQ138" i="6" s="1"/>
  <c r="AR138" i="6" s="1"/>
  <c r="AU138" i="6" s="1"/>
  <c r="AK117" i="6"/>
  <c r="AL117" i="6" s="1"/>
  <c r="AN117" i="6" s="1"/>
  <c r="AP117" i="6"/>
  <c r="AQ117" i="6" s="1"/>
  <c r="AR117" i="6" s="1"/>
  <c r="AU117" i="6" s="1"/>
  <c r="AK155" i="6"/>
  <c r="AL155" i="6" s="1"/>
  <c r="AP155" i="6"/>
  <c r="AQ155" i="6" s="1"/>
  <c r="AR155" i="6" s="1"/>
  <c r="AU155" i="6" s="1"/>
  <c r="AP160" i="6"/>
  <c r="AQ160" i="6" s="1"/>
  <c r="AR160" i="6" s="1"/>
  <c r="AU160" i="6" s="1"/>
  <c r="AK160" i="6"/>
  <c r="AL160" i="6" s="1"/>
  <c r="AN160" i="6" s="1"/>
  <c r="AP46" i="6"/>
  <c r="AQ46" i="6" s="1"/>
  <c r="AR46" i="6" s="1"/>
  <c r="AU46" i="6" s="1"/>
  <c r="AK46" i="6"/>
  <c r="AP94" i="6"/>
  <c r="AQ94" i="6" s="1"/>
  <c r="AR94" i="6" s="1"/>
  <c r="AU94" i="6" s="1"/>
  <c r="AK94" i="6"/>
  <c r="AL94" i="6" s="1"/>
  <c r="AN94" i="6" s="1"/>
  <c r="AO94" i="6" s="1"/>
  <c r="AK45" i="6"/>
  <c r="AL45" i="6" s="1"/>
  <c r="AN45" i="6" s="1"/>
  <c r="AP45" i="6"/>
  <c r="AQ45" i="6" s="1"/>
  <c r="AR45" i="6" s="1"/>
  <c r="AU45" i="6" s="1"/>
  <c r="AP112" i="6"/>
  <c r="AQ112" i="6" s="1"/>
  <c r="AR112" i="6" s="1"/>
  <c r="AU112" i="6" s="1"/>
  <c r="AK112" i="6"/>
  <c r="AL112" i="6" s="1"/>
  <c r="AK85" i="6"/>
  <c r="AL85" i="6" s="1"/>
  <c r="AP85" i="6"/>
  <c r="AQ85" i="6" s="1"/>
  <c r="AR85" i="6" s="1"/>
  <c r="AU85" i="6" s="1"/>
  <c r="AP147" i="6"/>
  <c r="AQ147" i="6" s="1"/>
  <c r="AR147" i="6" s="1"/>
  <c r="AU147" i="6" s="1"/>
  <c r="AK147" i="6"/>
  <c r="AL147" i="6" s="1"/>
  <c r="AN147" i="6" s="1"/>
  <c r="AP152" i="6"/>
  <c r="AQ152" i="6" s="1"/>
  <c r="AR152" i="6" s="1"/>
  <c r="AU152" i="6" s="1"/>
  <c r="AK152" i="6"/>
  <c r="AL152" i="6" s="1"/>
  <c r="AN152" i="6" s="1"/>
  <c r="AK158" i="6"/>
  <c r="AL158" i="6" s="1"/>
  <c r="AP158" i="6"/>
  <c r="AQ158" i="6" s="1"/>
  <c r="AR158" i="6" s="1"/>
  <c r="AU158" i="6" s="1"/>
  <c r="AF133" i="6"/>
  <c r="AO40" i="7"/>
  <c r="AV40" i="7" s="1"/>
  <c r="AX40" i="7" s="1"/>
  <c r="AL89" i="7"/>
  <c r="AN89" i="7" s="1"/>
  <c r="AA91" i="6"/>
  <c r="AB91" i="6" s="1"/>
  <c r="AF167" i="6"/>
  <c r="AA70" i="6"/>
  <c r="AB70" i="6" s="1"/>
  <c r="AF164" i="6"/>
  <c r="AA75" i="6"/>
  <c r="AB75" i="6" s="1"/>
  <c r="AF91" i="6"/>
  <c r="AA44" i="6"/>
  <c r="AB44" i="6" s="1"/>
  <c r="AF135" i="6"/>
  <c r="AF95" i="6"/>
  <c r="AF46" i="6"/>
  <c r="AF169" i="6"/>
  <c r="AF58" i="6"/>
  <c r="AF53" i="6"/>
  <c r="AA48" i="6"/>
  <c r="AB48" i="6" s="1"/>
  <c r="AA111" i="6"/>
  <c r="AB111" i="6" s="1"/>
  <c r="AF120" i="6"/>
  <c r="AA65" i="6"/>
  <c r="AB65" i="6" s="1"/>
  <c r="AA78" i="6"/>
  <c r="AB78" i="6" s="1"/>
  <c r="AA154" i="6"/>
  <c r="AB154" i="6" s="1"/>
  <c r="AF151" i="6"/>
  <c r="AA96" i="6"/>
  <c r="AB96" i="6" s="1"/>
  <c r="AF175" i="6"/>
  <c r="AF86" i="6"/>
  <c r="AF107" i="6"/>
  <c r="AA135" i="6"/>
  <c r="AB135" i="6" s="1"/>
  <c r="AF131" i="6"/>
  <c r="AF123" i="6"/>
  <c r="AF55" i="6"/>
  <c r="AF64" i="6"/>
  <c r="AA156" i="6"/>
  <c r="AB156" i="6" s="1"/>
  <c r="AF97" i="6"/>
  <c r="AF127" i="6"/>
  <c r="AA125" i="6"/>
  <c r="AB125" i="6" s="1"/>
  <c r="AA120" i="6"/>
  <c r="AB120" i="6" s="1"/>
  <c r="AA153" i="6"/>
  <c r="AB153" i="6" s="1"/>
  <c r="AA46" i="6"/>
  <c r="AB46" i="6" s="1"/>
  <c r="AA67" i="6"/>
  <c r="AB67" i="6" s="1"/>
  <c r="AF177" i="6"/>
  <c r="AA113" i="6"/>
  <c r="AB113" i="6" s="1"/>
  <c r="AA45" i="6"/>
  <c r="AB45" i="6" s="1"/>
  <c r="AF121" i="6"/>
  <c r="AA122" i="6"/>
  <c r="AB122" i="6" s="1"/>
  <c r="AA101" i="6"/>
  <c r="AB101" i="6" s="1"/>
  <c r="AF154" i="6"/>
  <c r="AA59" i="6"/>
  <c r="AB59" i="6" s="1"/>
  <c r="AF170" i="6"/>
  <c r="AF89" i="6"/>
  <c r="AA147" i="6"/>
  <c r="AB147" i="6" s="1"/>
  <c r="AF179" i="6"/>
  <c r="AA106" i="6"/>
  <c r="AB106" i="6" s="1"/>
  <c r="AF56" i="6"/>
  <c r="AF72" i="6"/>
  <c r="AA143" i="6"/>
  <c r="AB143" i="6" s="1"/>
  <c r="AA163" i="6"/>
  <c r="AB163" i="6" s="1"/>
  <c r="AF88" i="6"/>
  <c r="AA171" i="6"/>
  <c r="AB171" i="6" s="1"/>
  <c r="AA112" i="6"/>
  <c r="AB112" i="6" s="1"/>
  <c r="AF173" i="6"/>
  <c r="AA71" i="6"/>
  <c r="AB71" i="6" s="1"/>
  <c r="AA169" i="6"/>
  <c r="AB169" i="6" s="1"/>
  <c r="AF153" i="6"/>
  <c r="AA58" i="6"/>
  <c r="AB58" i="6" s="1"/>
  <c r="AF77" i="6"/>
  <c r="AA123" i="6"/>
  <c r="AB123" i="6" s="1"/>
  <c r="AA145" i="6"/>
  <c r="AB145" i="6" s="1"/>
  <c r="AF62" i="6"/>
  <c r="AA55" i="6"/>
  <c r="AB55" i="6" s="1"/>
  <c r="AA129" i="6"/>
  <c r="AB129" i="6" s="1"/>
  <c r="AA105" i="6"/>
  <c r="AB105" i="6" s="1"/>
  <c r="AF118" i="6"/>
  <c r="AA62" i="6"/>
  <c r="AB62" i="6" s="1"/>
  <c r="AF73" i="6"/>
  <c r="AA158" i="6"/>
  <c r="AB158" i="6" s="1"/>
  <c r="AF105" i="6"/>
  <c r="AA98" i="6"/>
  <c r="AB98" i="6" s="1"/>
  <c r="AF44" i="6"/>
  <c r="AF161" i="6"/>
  <c r="AA137" i="6"/>
  <c r="AB137" i="6" s="1"/>
  <c r="AA100" i="6"/>
  <c r="AB100" i="6" s="1"/>
  <c r="AA76" i="6"/>
  <c r="AB76" i="6" s="1"/>
  <c r="AA155" i="6"/>
  <c r="AB155" i="6" s="1"/>
  <c r="AF57" i="6"/>
  <c r="AA64" i="6"/>
  <c r="AB64" i="6" s="1"/>
  <c r="AF93" i="6"/>
  <c r="AF48" i="6"/>
  <c r="AF65" i="6"/>
  <c r="AA107" i="6"/>
  <c r="AB107" i="6" s="1"/>
  <c r="AA74" i="6"/>
  <c r="AB74" i="6" s="1"/>
  <c r="AA51" i="6"/>
  <c r="AB51" i="6" s="1"/>
  <c r="AA72" i="6"/>
  <c r="AB72" i="6" s="1"/>
  <c r="AF111" i="6"/>
  <c r="AA97" i="6"/>
  <c r="AB97" i="6" s="1"/>
  <c r="AA138" i="6"/>
  <c r="AB138" i="6" s="1"/>
  <c r="AF143" i="6"/>
  <c r="AF84" i="6"/>
  <c r="AF155" i="6"/>
  <c r="AA144" i="6"/>
  <c r="AB144" i="6" s="1"/>
  <c r="AF129" i="6"/>
  <c r="AA136" i="6"/>
  <c r="AB136" i="6" s="1"/>
  <c r="AF174" i="6"/>
  <c r="AF134" i="6"/>
  <c r="AF101" i="6"/>
  <c r="AF142" i="6"/>
  <c r="AA132" i="6"/>
  <c r="AB132" i="6" s="1"/>
  <c r="AA56" i="6"/>
  <c r="AB56" i="6" s="1"/>
  <c r="AF99" i="6"/>
  <c r="AF165" i="6"/>
  <c r="AF47" i="6"/>
  <c r="AF63" i="6"/>
  <c r="AF79" i="6"/>
  <c r="AA108" i="6"/>
  <c r="AB108" i="6" s="1"/>
  <c r="AF103" i="6"/>
  <c r="AF96" i="6"/>
  <c r="AA165" i="6"/>
  <c r="AB165" i="6" s="1"/>
  <c r="AA93" i="6"/>
  <c r="AB93" i="6" s="1"/>
  <c r="AF141" i="6"/>
  <c r="AF67" i="6"/>
  <c r="AF116" i="6"/>
  <c r="AA77" i="6"/>
  <c r="AB77" i="6" s="1"/>
  <c r="AF125" i="6"/>
  <c r="AF145" i="6"/>
  <c r="AA99" i="6"/>
  <c r="AB99" i="6" s="1"/>
  <c r="AF87" i="6"/>
  <c r="AF168" i="6"/>
  <c r="AF85" i="6"/>
  <c r="AF68" i="6"/>
  <c r="AA86" i="6"/>
  <c r="AB86" i="6" s="1"/>
  <c r="AF113" i="6"/>
  <c r="AA116" i="6"/>
  <c r="AB116" i="6" s="1"/>
  <c r="AA179" i="6"/>
  <c r="AB179" i="6" s="1"/>
  <c r="AA63" i="6"/>
  <c r="AB63" i="6" s="1"/>
  <c r="AA131" i="6"/>
  <c r="AB131" i="6" s="1"/>
  <c r="AF106" i="6"/>
  <c r="AF75" i="6"/>
  <c r="AA121" i="6"/>
  <c r="AB121" i="6" s="1"/>
  <c r="AF100" i="6"/>
  <c r="AF71" i="6"/>
  <c r="AF49" i="6"/>
  <c r="AA149" i="6"/>
  <c r="AB149" i="6" s="1"/>
  <c r="AF117" i="6"/>
  <c r="AA127" i="6"/>
  <c r="AB127" i="6" s="1"/>
  <c r="AA57" i="6"/>
  <c r="AB57" i="6" s="1"/>
  <c r="AF90" i="6"/>
  <c r="AF83" i="6"/>
  <c r="AA148" i="6"/>
  <c r="AB148" i="6" s="1"/>
  <c r="AF61" i="6"/>
  <c r="AF66" i="6"/>
  <c r="AF102" i="6"/>
  <c r="AA166" i="6"/>
  <c r="AB166" i="6" s="1"/>
  <c r="AF130" i="6"/>
  <c r="AA83" i="6"/>
  <c r="AB83" i="6" s="1"/>
  <c r="AF108" i="6"/>
  <c r="AF60" i="6"/>
  <c r="AA103" i="6"/>
  <c r="AB103" i="6" s="1"/>
  <c r="AA173" i="6"/>
  <c r="AB173" i="6" s="1"/>
  <c r="AA168" i="6"/>
  <c r="AB168" i="6" s="1"/>
  <c r="AA54" i="6"/>
  <c r="AB54" i="6" s="1"/>
  <c r="AF148" i="6"/>
  <c r="AF82" i="6"/>
  <c r="AA61" i="6"/>
  <c r="AB61" i="6" s="1"/>
  <c r="AA115" i="6"/>
  <c r="AB115" i="6" s="1"/>
  <c r="AA139" i="6"/>
  <c r="AB139" i="6" s="1"/>
  <c r="AA119" i="6"/>
  <c r="AB119" i="6" s="1"/>
  <c r="AA102" i="6"/>
  <c r="AB102" i="6" s="1"/>
  <c r="AF138" i="6"/>
  <c r="AF149" i="6"/>
  <c r="AA85" i="6"/>
  <c r="AB85" i="6" s="1"/>
  <c r="AA161" i="6"/>
  <c r="AB161" i="6" s="1"/>
  <c r="AA95" i="6"/>
  <c r="AB95" i="6" s="1"/>
  <c r="AA141" i="6"/>
  <c r="AB141" i="6" s="1"/>
  <c r="AA159" i="6"/>
  <c r="AB159" i="6" s="1"/>
  <c r="AA68" i="6"/>
  <c r="AB68" i="6" s="1"/>
  <c r="AF74" i="6"/>
  <c r="AF70" i="6"/>
  <c r="AF69" i="6"/>
  <c r="AF51" i="6"/>
  <c r="AA82" i="6"/>
  <c r="AB82" i="6" s="1"/>
  <c r="AF139" i="6"/>
  <c r="AA47" i="6"/>
  <c r="AB47" i="6" s="1"/>
  <c r="AF158" i="6"/>
  <c r="AF144" i="6"/>
  <c r="AF98" i="6"/>
  <c r="AF178" i="6"/>
  <c r="AF156" i="6"/>
  <c r="AA52" i="6"/>
  <c r="AB52" i="6" s="1"/>
  <c r="AF92" i="6"/>
  <c r="AA142" i="6"/>
  <c r="AB142" i="6" s="1"/>
  <c r="AF166" i="6"/>
  <c r="AF132" i="6"/>
  <c r="AA151" i="6"/>
  <c r="AB151" i="6" s="1"/>
  <c r="AU530" i="7"/>
  <c r="AO134" i="7"/>
  <c r="AV134" i="7" s="1"/>
  <c r="AX134" i="7" s="1"/>
  <c r="AA117" i="6"/>
  <c r="AB117" i="6" s="1"/>
  <c r="Y140" i="6"/>
  <c r="Z140" i="6"/>
  <c r="AA50" i="6"/>
  <c r="AB50" i="6" s="1"/>
  <c r="AA37" i="7"/>
  <c r="AB37" i="7" s="1"/>
  <c r="AA175" i="6"/>
  <c r="AB175" i="6" s="1"/>
  <c r="AF147" i="6"/>
  <c r="AF52" i="6"/>
  <c r="AF159" i="6"/>
  <c r="AA176" i="6"/>
  <c r="AB176" i="6" s="1"/>
  <c r="AA89" i="6"/>
  <c r="AB89" i="6" s="1"/>
  <c r="AF54" i="6"/>
  <c r="AF115" i="6"/>
  <c r="AA81" i="6"/>
  <c r="AB81" i="6" s="1"/>
  <c r="AF45" i="6"/>
  <c r="Y164" i="6"/>
  <c r="Z164" i="6"/>
  <c r="AF171" i="6"/>
  <c r="AF81" i="6"/>
  <c r="AA60" i="6"/>
  <c r="AB60" i="6" s="1"/>
  <c r="AF122" i="6"/>
  <c r="AF146" i="6"/>
  <c r="AF176" i="6"/>
  <c r="AA49" i="6"/>
  <c r="AB49" i="6" s="1"/>
  <c r="AF78" i="6"/>
  <c r="AA84" i="6"/>
  <c r="AB84" i="6" s="1"/>
  <c r="AA110" i="6"/>
  <c r="AB110" i="6" s="1"/>
  <c r="AA146" i="6"/>
  <c r="AB146" i="6" s="1"/>
  <c r="AF59" i="6"/>
  <c r="AA130" i="6"/>
  <c r="AB130" i="6" s="1"/>
  <c r="AF50" i="6"/>
  <c r="AA92" i="6"/>
  <c r="AB92" i="6" s="1"/>
  <c r="AF119" i="6"/>
  <c r="AA90" i="6"/>
  <c r="AB90" i="6" s="1"/>
  <c r="Y174" i="6"/>
  <c r="Z174" i="6"/>
  <c r="AL24" i="6"/>
  <c r="AN24" i="6" s="1"/>
  <c r="AL6" i="6"/>
  <c r="AN6" i="6" s="1"/>
  <c r="AV11" i="6"/>
  <c r="AX11" i="6" s="1"/>
  <c r="BA11" i="6" s="1"/>
  <c r="AL364" i="7"/>
  <c r="AN364" i="7" s="1"/>
  <c r="AL548" i="7"/>
  <c r="AN548" i="7" s="1"/>
  <c r="AL260" i="7"/>
  <c r="AN260" i="7" s="1"/>
  <c r="AL43" i="6"/>
  <c r="AN43" i="6" s="1"/>
  <c r="AO43" i="6" s="1"/>
  <c r="AV43" i="6" s="1"/>
  <c r="AO17" i="7"/>
  <c r="AV17" i="7" s="1"/>
  <c r="AX17" i="7" s="1"/>
  <c r="AL530" i="7"/>
  <c r="AN530" i="7" s="1"/>
  <c r="AO368" i="7"/>
  <c r="AV368" i="7" s="1"/>
  <c r="AX368" i="7" s="1"/>
  <c r="AL264" i="7"/>
  <c r="AN264" i="7" s="1"/>
  <c r="AL241" i="7"/>
  <c r="AN241" i="7" s="1"/>
  <c r="AL310" i="7"/>
  <c r="AN310" i="7" s="1"/>
  <c r="AO310" i="7" s="1"/>
  <c r="AV310" i="7" s="1"/>
  <c r="AX310" i="7" s="1"/>
  <c r="AO30" i="6"/>
  <c r="AV30" i="6" s="1"/>
  <c r="AO483" i="7"/>
  <c r="AV483" i="7" s="1"/>
  <c r="AX483" i="7" s="1"/>
  <c r="AO459" i="7"/>
  <c r="AV459" i="7" s="1"/>
  <c r="AX459" i="7" s="1"/>
  <c r="AL336" i="7"/>
  <c r="AN336" i="7" s="1"/>
  <c r="AL288" i="7"/>
  <c r="AN288" i="7" s="1"/>
  <c r="AL268" i="7"/>
  <c r="AN268" i="7" s="1"/>
  <c r="AL476" i="7"/>
  <c r="AN476" i="7" s="1"/>
  <c r="AL188" i="7"/>
  <c r="AN188" i="7" s="1"/>
  <c r="AL140" i="7"/>
  <c r="AN140" i="7" s="1"/>
  <c r="AL431" i="7"/>
  <c r="AN431" i="7" s="1"/>
  <c r="AL508" i="7"/>
  <c r="AN508" i="7" s="1"/>
  <c r="AL164" i="7"/>
  <c r="AN164" i="7" s="1"/>
  <c r="AL84" i="7"/>
  <c r="AN84" i="7" s="1"/>
  <c r="AL430" i="7"/>
  <c r="AN430" i="7" s="1"/>
  <c r="AL373" i="7"/>
  <c r="AN373" i="7" s="1"/>
  <c r="AO373" i="7" s="1"/>
  <c r="AV373" i="7" s="1"/>
  <c r="AX373" i="7" s="1"/>
  <c r="AL318" i="7"/>
  <c r="AN318" i="7" s="1"/>
  <c r="AL113" i="7"/>
  <c r="AN113" i="7" s="1"/>
  <c r="AS508" i="7"/>
  <c r="AU508" i="7" s="1"/>
  <c r="AO531" i="7"/>
  <c r="AV531" i="7" s="1"/>
  <c r="AX531" i="7" s="1"/>
  <c r="AO358" i="7"/>
  <c r="AV358" i="7" s="1"/>
  <c r="AX358" i="7" s="1"/>
  <c r="AR22" i="6"/>
  <c r="AU22" i="6" s="1"/>
  <c r="AO221" i="7"/>
  <c r="AV221" i="7" s="1"/>
  <c r="AX221" i="7" s="1"/>
  <c r="AF279" i="7"/>
  <c r="AG233" i="7"/>
  <c r="BR233" i="7" s="1"/>
  <c r="AF371" i="7"/>
  <c r="AF537" i="7"/>
  <c r="AF354" i="7"/>
  <c r="AG51" i="7"/>
  <c r="BR51" i="7" s="1"/>
  <c r="AG385" i="7"/>
  <c r="BR385" i="7" s="1"/>
  <c r="AA93" i="7"/>
  <c r="AB93" i="7" s="1"/>
  <c r="AA545" i="7"/>
  <c r="AB545" i="7" s="1"/>
  <c r="AF314" i="7"/>
  <c r="AF459" i="7"/>
  <c r="AA536" i="7"/>
  <c r="AB536" i="7" s="1"/>
  <c r="AA337" i="7"/>
  <c r="AB337" i="7" s="1"/>
  <c r="AA572" i="7"/>
  <c r="AB572" i="7" s="1"/>
  <c r="AF93" i="7"/>
  <c r="AA119" i="7"/>
  <c r="AB119" i="7" s="1"/>
  <c r="AF349" i="7"/>
  <c r="AF37" i="7"/>
  <c r="AF119" i="7"/>
  <c r="AA349" i="7"/>
  <c r="AB349" i="7" s="1"/>
  <c r="AA563" i="7"/>
  <c r="AB563" i="7" s="1"/>
  <c r="AA253" i="7"/>
  <c r="AB253" i="7" s="1"/>
  <c r="AA377" i="7"/>
  <c r="AB377" i="7" s="1"/>
  <c r="AA383" i="7"/>
  <c r="AB383" i="7" s="1"/>
  <c r="AA530" i="7"/>
  <c r="AB530" i="7" s="1"/>
  <c r="AA244" i="7"/>
  <c r="AB244" i="7" s="1"/>
  <c r="AA203" i="7"/>
  <c r="AB203" i="7" s="1"/>
  <c r="AA325" i="7"/>
  <c r="AB325" i="7" s="1"/>
  <c r="AA6" i="7"/>
  <c r="AB6" i="7" s="1"/>
  <c r="AA80" i="7"/>
  <c r="AB80" i="7" s="1"/>
  <c r="AA446" i="7"/>
  <c r="AB446" i="7" s="1"/>
  <c r="AA25" i="7"/>
  <c r="AB25" i="7" s="1"/>
  <c r="AA24" i="7"/>
  <c r="AB24" i="7" s="1"/>
  <c r="AA257" i="7"/>
  <c r="AB257" i="7" s="1"/>
  <c r="AF453" i="7"/>
  <c r="AF5" i="16"/>
  <c r="AF388" i="7"/>
  <c r="AF395" i="7"/>
  <c r="AF6" i="16"/>
  <c r="AF34" i="7"/>
  <c r="AF363" i="7"/>
  <c r="AF495" i="7"/>
  <c r="AF553" i="7"/>
  <c r="AF425" i="7"/>
  <c r="AF20" i="7"/>
  <c r="AF165" i="7"/>
  <c r="AF32" i="16"/>
  <c r="AF38" i="6"/>
  <c r="AF327" i="7"/>
  <c r="AF446" i="7"/>
  <c r="AF31" i="7"/>
  <c r="AF54" i="7"/>
  <c r="AF82" i="7"/>
  <c r="AA77" i="7"/>
  <c r="AB77" i="7" s="1"/>
  <c r="AF28" i="7"/>
  <c r="AA35" i="7"/>
  <c r="AB35" i="7" s="1"/>
  <c r="AF46" i="7"/>
  <c r="AF249" i="7"/>
  <c r="AA484" i="7"/>
  <c r="AB484" i="7" s="1"/>
  <c r="AF269" i="7"/>
  <c r="AA504" i="7"/>
  <c r="AB504" i="7" s="1"/>
  <c r="AA305" i="7"/>
  <c r="AB305" i="7" s="1"/>
  <c r="AA540" i="7"/>
  <c r="AB540" i="7" s="1"/>
  <c r="AF341" i="7"/>
  <c r="AA223" i="7"/>
  <c r="AB223" i="7" s="1"/>
  <c r="AA57" i="7"/>
  <c r="AB57" i="7" s="1"/>
  <c r="AF235" i="7"/>
  <c r="AA317" i="7"/>
  <c r="AB317" i="7" s="1"/>
  <c r="AA21" i="16"/>
  <c r="AB21" i="16" s="1"/>
  <c r="AA161" i="7"/>
  <c r="AB161" i="7" s="1"/>
  <c r="AF33" i="6"/>
  <c r="AA247" i="7"/>
  <c r="AB247" i="7" s="1"/>
  <c r="AF61" i="7"/>
  <c r="AF554" i="7"/>
  <c r="AF246" i="7"/>
  <c r="AF248" i="7"/>
  <c r="AF86" i="7"/>
  <c r="AF214" i="7"/>
  <c r="AF475" i="7"/>
  <c r="AA289" i="7"/>
  <c r="AB289" i="7" s="1"/>
  <c r="AF40" i="7"/>
  <c r="AF111" i="7"/>
  <c r="AF45" i="16"/>
  <c r="AF127" i="7"/>
  <c r="AF138" i="7"/>
  <c r="AA160" i="7"/>
  <c r="AB160" i="7" s="1"/>
  <c r="AA319" i="7"/>
  <c r="AB319" i="7" s="1"/>
  <c r="AA262" i="7"/>
  <c r="AB262" i="7" s="1"/>
  <c r="AF113" i="7"/>
  <c r="AF550" i="7"/>
  <c r="AF266" i="7"/>
  <c r="AF147" i="7"/>
  <c r="AA134" i="7"/>
  <c r="AB134" i="7" s="1"/>
  <c r="AA443" i="7"/>
  <c r="AB443" i="7" s="1"/>
  <c r="AF148" i="7"/>
  <c r="AF483" i="7"/>
  <c r="AF116" i="7"/>
  <c r="AF559" i="7"/>
  <c r="AF257" i="7"/>
  <c r="AF33" i="16"/>
  <c r="AF310" i="7"/>
  <c r="AA228" i="7"/>
  <c r="AB228" i="7" s="1"/>
  <c r="AA190" i="7"/>
  <c r="AB190" i="7" s="1"/>
  <c r="AF357" i="7"/>
  <c r="AA427" i="7"/>
  <c r="AB427" i="7" s="1"/>
  <c r="AG5" i="7"/>
  <c r="BR5" i="7" s="1"/>
  <c r="AA45" i="16"/>
  <c r="AB45" i="16" s="1"/>
  <c r="AA409" i="7"/>
  <c r="AB409" i="7" s="1"/>
  <c r="AA529" i="7"/>
  <c r="AB529" i="7" s="1"/>
  <c r="AF545" i="7"/>
  <c r="AA415" i="7"/>
  <c r="AB415" i="7" s="1"/>
  <c r="AF309" i="7"/>
  <c r="AF140" i="7"/>
  <c r="AF298" i="7"/>
  <c r="AF227" i="7"/>
  <c r="AF450" i="7"/>
  <c r="AF311" i="7"/>
  <c r="AF29" i="7"/>
  <c r="AF377" i="7"/>
  <c r="AF182" i="7"/>
  <c r="AA291" i="7"/>
  <c r="AB291" i="7" s="1"/>
  <c r="AA320" i="7"/>
  <c r="AB320" i="7" s="1"/>
  <c r="AA552" i="7"/>
  <c r="AB552" i="7" s="1"/>
  <c r="AA391" i="7"/>
  <c r="AB391" i="7" s="1"/>
  <c r="AA447" i="7"/>
  <c r="AB447" i="7" s="1"/>
  <c r="AA47" i="7"/>
  <c r="AB47" i="7" s="1"/>
  <c r="AA455" i="7"/>
  <c r="AB455" i="7" s="1"/>
  <c r="AA123" i="7"/>
  <c r="AB123" i="7" s="1"/>
  <c r="AA372" i="7"/>
  <c r="AB372" i="7" s="1"/>
  <c r="AA490" i="7"/>
  <c r="AB490" i="7" s="1"/>
  <c r="AA444" i="7"/>
  <c r="AB444" i="7" s="1"/>
  <c r="AA451" i="7"/>
  <c r="AB451" i="7" s="1"/>
  <c r="AA237" i="7"/>
  <c r="AB237" i="7" s="1"/>
  <c r="AA560" i="7"/>
  <c r="AB560" i="7" s="1"/>
  <c r="AA212" i="7"/>
  <c r="AB212" i="7" s="1"/>
  <c r="AA219" i="7"/>
  <c r="AB219" i="7" s="1"/>
  <c r="AA166" i="7"/>
  <c r="AB166" i="7" s="1"/>
  <c r="AA411" i="7"/>
  <c r="AB411" i="7" s="1"/>
  <c r="AA217" i="7"/>
  <c r="AB217" i="7" s="1"/>
  <c r="AA105" i="7"/>
  <c r="AB105" i="7" s="1"/>
  <c r="AA390" i="7"/>
  <c r="AB390" i="7" s="1"/>
  <c r="AA503" i="7"/>
  <c r="AB503" i="7" s="1"/>
  <c r="AA397" i="7"/>
  <c r="AB397" i="7" s="1"/>
  <c r="AA445" i="7"/>
  <c r="AB445" i="7" s="1"/>
  <c r="AA303" i="7"/>
  <c r="AB303" i="7" s="1"/>
  <c r="AA332" i="7"/>
  <c r="AB332" i="7" s="1"/>
  <c r="AA175" i="7"/>
  <c r="AB175" i="7" s="1"/>
  <c r="AA354" i="7"/>
  <c r="AB354" i="7" s="1"/>
  <c r="AA41" i="7"/>
  <c r="AB41" i="7" s="1"/>
  <c r="AA11" i="7"/>
  <c r="AB11" i="7" s="1"/>
  <c r="AA414" i="7"/>
  <c r="AB414" i="7" s="1"/>
  <c r="AA230" i="7"/>
  <c r="AB230" i="7" s="1"/>
  <c r="AA70" i="7"/>
  <c r="AB70" i="7" s="1"/>
  <c r="AA198" i="7"/>
  <c r="AB198" i="7" s="1"/>
  <c r="AA33" i="6"/>
  <c r="AB33" i="6" s="1"/>
  <c r="AA182" i="7"/>
  <c r="AB182" i="7" s="1"/>
  <c r="AA165" i="7"/>
  <c r="AB165" i="7" s="1"/>
  <c r="AA32" i="16"/>
  <c r="AB32" i="16" s="1"/>
  <c r="AA6" i="16"/>
  <c r="AB6" i="16" s="1"/>
  <c r="AA420" i="7"/>
  <c r="AB420" i="7" s="1"/>
  <c r="AA54" i="7"/>
  <c r="AB54" i="7" s="1"/>
  <c r="AA126" i="7"/>
  <c r="AB126" i="7" s="1"/>
  <c r="AA87" i="7"/>
  <c r="AB87" i="7" s="1"/>
  <c r="AA329" i="7"/>
  <c r="AB329" i="7" s="1"/>
  <c r="AA271" i="7"/>
  <c r="AB271" i="7" s="1"/>
  <c r="AA533" i="7"/>
  <c r="AA517" i="7"/>
  <c r="AB517" i="7" s="1"/>
  <c r="AA433" i="7"/>
  <c r="AB433" i="7" s="1"/>
  <c r="AA553" i="7"/>
  <c r="AB553" i="7" s="1"/>
  <c r="AA164" i="7"/>
  <c r="AB164" i="7" s="1"/>
  <c r="AA497" i="7"/>
  <c r="AB497" i="7" s="1"/>
  <c r="AA136" i="7"/>
  <c r="AB136" i="7" s="1"/>
  <c r="AA561" i="7"/>
  <c r="AB561" i="7" s="1"/>
  <c r="AA489" i="7"/>
  <c r="AB489" i="7" s="1"/>
  <c r="AA534" i="7"/>
  <c r="AB534" i="7" s="1"/>
  <c r="AA463" i="7"/>
  <c r="AB463" i="7" s="1"/>
  <c r="AA412" i="7"/>
  <c r="AB412" i="7" s="1"/>
  <c r="AA18" i="16"/>
  <c r="AB18" i="16" s="1"/>
  <c r="AA171" i="7"/>
  <c r="AB171" i="7" s="1"/>
  <c r="AA15" i="16"/>
  <c r="AB15" i="16" s="1"/>
  <c r="AA286" i="7"/>
  <c r="AB286" i="7" s="1"/>
  <c r="AA514" i="7"/>
  <c r="AB514" i="7" s="1"/>
  <c r="AA437" i="7"/>
  <c r="AB437" i="7" s="1"/>
  <c r="AA250" i="7"/>
  <c r="AB250" i="7" s="1"/>
  <c r="AA542" i="7"/>
  <c r="AB542" i="7" s="1"/>
  <c r="AA275" i="7"/>
  <c r="AB275" i="7" s="1"/>
  <c r="AA21" i="7"/>
  <c r="AB21" i="7" s="1"/>
  <c r="AA94" i="7"/>
  <c r="AB94" i="7" s="1"/>
  <c r="AA555" i="7"/>
  <c r="AB555" i="7" s="1"/>
  <c r="AA195" i="7"/>
  <c r="AB195" i="7" s="1"/>
  <c r="AA351" i="7"/>
  <c r="AB351" i="7" s="1"/>
  <c r="AA380" i="7"/>
  <c r="AB380" i="7" s="1"/>
  <c r="AA178" i="7"/>
  <c r="AB178" i="7" s="1"/>
  <c r="AA153" i="7"/>
  <c r="AB153" i="7" s="1"/>
  <c r="AA525" i="7"/>
  <c r="AB525" i="7" s="1"/>
  <c r="AA425" i="7"/>
  <c r="AB425" i="7" s="1"/>
  <c r="AA76" i="7"/>
  <c r="AB76" i="7" s="1"/>
  <c r="AA189" i="7"/>
  <c r="AB189" i="7" s="1"/>
  <c r="AA388" i="7"/>
  <c r="AB388" i="7" s="1"/>
  <c r="AA506" i="7"/>
  <c r="AB506" i="7" s="1"/>
  <c r="AA527" i="7"/>
  <c r="AB527" i="7" s="1"/>
  <c r="AA311" i="7"/>
  <c r="AB311" i="7" s="1"/>
  <c r="AA13" i="7"/>
  <c r="AB13" i="7" s="1"/>
  <c r="AA106" i="7"/>
  <c r="AB106" i="7" s="1"/>
  <c r="AA324" i="7"/>
  <c r="AB324" i="7" s="1"/>
  <c r="AA486" i="7"/>
  <c r="AB486" i="7" s="1"/>
  <c r="AA491" i="7"/>
  <c r="AB491" i="7" s="1"/>
  <c r="AA284" i="7"/>
  <c r="AB284" i="7" s="1"/>
  <c r="AA14" i="7"/>
  <c r="AB14" i="7" s="1"/>
  <c r="AA301" i="7"/>
  <c r="AB301" i="7" s="1"/>
  <c r="AA31" i="16"/>
  <c r="AB31" i="16" s="1"/>
  <c r="AA7" i="16"/>
  <c r="AB7" i="16" s="1"/>
  <c r="AA13" i="16"/>
  <c r="AB13" i="16" s="1"/>
  <c r="AA44" i="16"/>
  <c r="AB44" i="16" s="1"/>
  <c r="AA83" i="7"/>
  <c r="AB83" i="7" s="1"/>
  <c r="AA322" i="7"/>
  <c r="AB322" i="7" s="1"/>
  <c r="AA448" i="7"/>
  <c r="AB448" i="7" s="1"/>
  <c r="AA338" i="7"/>
  <c r="AB338" i="7" s="1"/>
  <c r="AA256" i="7"/>
  <c r="AB256" i="7" s="1"/>
  <c r="AA369" i="7"/>
  <c r="AB369" i="7" s="1"/>
  <c r="AA263" i="7"/>
  <c r="AB263" i="7" s="1"/>
  <c r="AA557" i="7"/>
  <c r="AB557" i="7" s="1"/>
  <c r="AA99" i="7"/>
  <c r="AB99" i="7" s="1"/>
  <c r="AA220" i="7"/>
  <c r="AB220" i="7" s="1"/>
  <c r="AA110" i="7"/>
  <c r="AB110" i="7" s="1"/>
  <c r="AA10" i="6"/>
  <c r="AB10" i="6" s="1"/>
  <c r="AA239" i="7"/>
  <c r="AB239" i="7" s="1"/>
  <c r="AA519" i="7"/>
  <c r="AB519" i="7" s="1"/>
  <c r="AA562" i="7"/>
  <c r="AB562" i="7" s="1"/>
  <c r="AA501" i="7"/>
  <c r="AB501" i="7" s="1"/>
  <c r="AA359" i="7"/>
  <c r="AB359" i="7" s="1"/>
  <c r="AA483" i="7"/>
  <c r="AB483" i="7" s="1"/>
  <c r="AA92" i="7"/>
  <c r="AB92" i="7" s="1"/>
  <c r="AA266" i="7"/>
  <c r="AB266" i="7" s="1"/>
  <c r="AA475" i="7"/>
  <c r="AB475" i="7" s="1"/>
  <c r="AA314" i="7"/>
  <c r="AB314" i="7" s="1"/>
  <c r="AA356" i="7"/>
  <c r="AB356" i="7" s="1"/>
  <c r="AA541" i="7"/>
  <c r="AB541" i="7" s="1"/>
  <c r="AA357" i="7"/>
  <c r="AB357" i="7" s="1"/>
  <c r="AA264" i="7"/>
  <c r="AB264" i="7" s="1"/>
  <c r="AA15" i="7"/>
  <c r="AB15" i="7" s="1"/>
  <c r="AA466" i="7"/>
  <c r="AB466" i="7" s="1"/>
  <c r="AA7" i="7"/>
  <c r="AB7" i="7" s="1"/>
  <c r="AA252" i="7"/>
  <c r="AB252" i="7" s="1"/>
  <c r="AA259" i="7"/>
  <c r="AB259" i="7" s="1"/>
  <c r="AA288" i="7"/>
  <c r="AB288" i="7" s="1"/>
  <c r="AA295" i="7"/>
  <c r="AB295" i="7" s="1"/>
  <c r="AA34" i="16"/>
  <c r="AB34" i="16" s="1"/>
  <c r="AA113" i="7"/>
  <c r="AB113" i="7" s="1"/>
  <c r="AA417" i="7"/>
  <c r="AB417" i="7" s="1"/>
  <c r="AA537" i="7"/>
  <c r="AB537" i="7" s="1"/>
  <c r="AA33" i="16"/>
  <c r="AB33" i="16" s="1"/>
  <c r="AA9" i="7"/>
  <c r="AA143" i="7"/>
  <c r="AB143" i="7" s="1"/>
  <c r="AF196" i="7"/>
  <c r="AF292" i="7"/>
  <c r="AF31" i="16"/>
  <c r="AF240" i="7"/>
  <c r="AF8" i="16"/>
  <c r="AF18" i="7"/>
  <c r="AF183" i="7"/>
  <c r="AF517" i="7"/>
  <c r="AF30" i="7"/>
  <c r="AF14" i="7"/>
  <c r="AF47" i="7"/>
  <c r="AF110" i="7"/>
  <c r="AF38" i="7"/>
  <c r="AG232" i="7"/>
  <c r="BR232" i="7" s="1"/>
  <c r="AF43" i="6"/>
  <c r="AF4" i="16"/>
  <c r="AF573" i="7"/>
  <c r="AF378" i="7"/>
  <c r="AF120" i="7"/>
  <c r="AF536" i="7"/>
  <c r="AF337" i="7"/>
  <c r="AF572" i="7"/>
  <c r="AF519" i="7"/>
  <c r="AF42" i="16"/>
  <c r="AF408" i="7"/>
  <c r="AF489" i="7"/>
  <c r="AF20" i="16"/>
  <c r="AF278" i="7"/>
  <c r="AF230" i="7"/>
  <c r="AF390" i="7"/>
  <c r="AF445" i="7"/>
  <c r="AF325" i="7"/>
  <c r="AF412" i="7"/>
  <c r="AF7" i="16"/>
  <c r="AF322" i="7"/>
  <c r="AF43" i="16"/>
  <c r="AF369" i="7"/>
  <c r="AF181" i="7"/>
  <c r="AF436" i="7"/>
  <c r="AF466" i="7"/>
  <c r="AF29" i="16"/>
  <c r="AF69" i="7"/>
  <c r="AF215" i="7"/>
  <c r="AF41" i="6"/>
  <c r="AF34" i="6"/>
  <c r="AF28" i="16"/>
  <c r="AF569" i="7"/>
  <c r="AF29" i="6"/>
  <c r="AA97" i="7"/>
  <c r="AB97" i="7" s="1"/>
  <c r="AF299" i="7"/>
  <c r="AF176" i="7"/>
  <c r="AF247" i="7"/>
  <c r="AF40" i="16"/>
  <c r="AA468" i="7"/>
  <c r="AB468" i="7" s="1"/>
  <c r="AF317" i="7"/>
  <c r="AF360" i="7"/>
  <c r="AF367" i="7"/>
  <c r="AA473" i="7"/>
  <c r="AB473" i="7" s="1"/>
  <c r="AF37" i="16"/>
  <c r="AA350" i="7"/>
  <c r="AB350" i="7" s="1"/>
  <c r="AF184" i="7"/>
  <c r="AA74" i="7"/>
  <c r="AB74" i="7" s="1"/>
  <c r="AA202" i="7"/>
  <c r="AB202" i="7" s="1"/>
  <c r="AF21" i="16"/>
  <c r="AA27" i="7"/>
  <c r="AB27" i="7" s="1"/>
  <c r="AA69" i="7"/>
  <c r="AB69" i="7" s="1"/>
  <c r="AF340" i="7"/>
  <c r="AA532" i="7"/>
  <c r="AB532" i="7" s="1"/>
  <c r="AF417" i="7"/>
  <c r="AA358" i="7"/>
  <c r="AB358" i="7" s="1"/>
  <c r="AF471" i="7"/>
  <c r="AF394" i="7"/>
  <c r="AF507" i="7"/>
  <c r="AA89" i="7"/>
  <c r="AB89" i="7" s="1"/>
  <c r="AA88" i="7"/>
  <c r="AB88" i="7" s="1"/>
  <c r="AA95" i="7"/>
  <c r="AB95" i="7" s="1"/>
  <c r="AF42" i="7"/>
  <c r="AA53" i="7"/>
  <c r="AB53" i="7" s="1"/>
  <c r="AF260" i="7"/>
  <c r="AF267" i="7"/>
  <c r="AA344" i="7"/>
  <c r="AB344" i="7" s="1"/>
  <c r="AA55" i="7"/>
  <c r="AB55" i="7" s="1"/>
  <c r="AF403" i="7"/>
  <c r="AF273" i="7"/>
  <c r="AF508" i="7"/>
  <c r="AF361" i="7"/>
  <c r="AF104" i="7"/>
  <c r="AA331" i="7"/>
  <c r="AB331" i="7" s="1"/>
  <c r="AA467" i="7"/>
  <c r="AB467" i="7" s="1"/>
  <c r="AA375" i="7"/>
  <c r="AB375" i="7" s="1"/>
  <c r="AA570" i="7"/>
  <c r="AB570" i="7" s="1"/>
  <c r="AF261" i="7"/>
  <c r="AF496" i="7"/>
  <c r="AA56" i="7"/>
  <c r="AB56" i="7" s="1"/>
  <c r="AF63" i="7"/>
  <c r="AA241" i="7"/>
  <c r="AB241" i="7" s="1"/>
  <c r="AA476" i="7"/>
  <c r="AB476" i="7" s="1"/>
  <c r="AF277" i="7"/>
  <c r="AA206" i="7"/>
  <c r="AB206" i="7" s="1"/>
  <c r="AF201" i="7"/>
  <c r="AA152" i="7"/>
  <c r="AB152" i="7" s="1"/>
  <c r="AF159" i="7"/>
  <c r="AA170" i="7"/>
  <c r="AB170" i="7" s="1"/>
  <c r="AA373" i="7"/>
  <c r="AB373" i="7" s="1"/>
  <c r="AA493" i="7"/>
  <c r="AB493" i="7" s="1"/>
  <c r="AF539" i="7"/>
  <c r="AA21" i="6"/>
  <c r="AB21" i="6" s="1"/>
  <c r="AA216" i="7"/>
  <c r="AB216" i="7" s="1"/>
  <c r="AF255" i="7"/>
  <c r="AF465" i="7"/>
  <c r="AA509" i="7"/>
  <c r="AB509" i="7" s="1"/>
  <c r="AA381" i="7"/>
  <c r="AB381" i="7" s="1"/>
  <c r="AA167" i="7"/>
  <c r="AB167" i="7" s="1"/>
  <c r="AF162" i="7"/>
  <c r="AA124" i="7"/>
  <c r="AB124" i="7" s="1"/>
  <c r="AA131" i="7"/>
  <c r="AB131" i="7" s="1"/>
  <c r="AF47" i="16"/>
  <c r="AF191" i="7"/>
  <c r="AF570" i="7"/>
  <c r="AF39" i="16"/>
  <c r="AA26" i="16"/>
  <c r="AB26" i="16" s="1"/>
  <c r="AF217" i="7"/>
  <c r="AF168" i="7"/>
  <c r="AA459" i="7"/>
  <c r="AB459" i="7" s="1"/>
  <c r="AF565" i="7"/>
  <c r="AF174" i="7"/>
  <c r="AF169" i="7"/>
  <c r="AA50" i="7"/>
  <c r="AB50" i="7" s="1"/>
  <c r="AF45" i="7"/>
  <c r="AA125" i="7"/>
  <c r="AB125" i="7" s="1"/>
  <c r="AA405" i="7"/>
  <c r="AB405" i="7" s="1"/>
  <c r="AF462" i="7"/>
  <c r="AF529" i="7"/>
  <c r="AF213" i="7"/>
  <c r="AF177" i="7"/>
  <c r="AF384" i="7"/>
  <c r="AF404" i="7"/>
  <c r="AF440" i="7"/>
  <c r="AF11" i="7"/>
  <c r="AF375" i="7"/>
  <c r="AF24" i="16"/>
  <c r="AF258" i="7"/>
  <c r="AF43" i="7"/>
  <c r="AF351" i="7"/>
  <c r="AF380" i="7"/>
  <c r="AF387" i="7"/>
  <c r="AF447" i="7"/>
  <c r="AF123" i="7"/>
  <c r="AF372" i="7"/>
  <c r="AF338" i="7"/>
  <c r="AF566" i="7"/>
  <c r="AF473" i="7"/>
  <c r="AF383" i="7"/>
  <c r="AF345" i="7"/>
  <c r="AA312" i="7"/>
  <c r="AB312" i="7" s="1"/>
  <c r="AF511" i="7"/>
  <c r="AF451" i="7"/>
  <c r="AF153" i="7"/>
  <c r="AF552" i="7"/>
  <c r="AF216" i="7"/>
  <c r="AF223" i="7"/>
  <c r="AF437" i="7"/>
  <c r="AF275" i="7"/>
  <c r="AF234" i="7"/>
  <c r="AF189" i="7"/>
  <c r="AF262" i="7"/>
  <c r="AF75" i="7"/>
  <c r="AF17" i="7"/>
  <c r="AF32" i="7"/>
  <c r="AF81" i="7"/>
  <c r="AF103" i="7"/>
  <c r="AF133" i="7"/>
  <c r="AF241" i="7"/>
  <c r="AF57" i="7"/>
  <c r="AG118" i="7"/>
  <c r="BR118" i="7" s="1"/>
  <c r="AF276" i="7"/>
  <c r="AF468" i="7"/>
  <c r="AF250" i="7"/>
  <c r="AF421" i="7"/>
  <c r="AF221" i="7"/>
  <c r="AF164" i="7"/>
  <c r="AF73" i="7"/>
  <c r="AF190" i="7"/>
  <c r="AF12" i="16"/>
  <c r="AF300" i="7"/>
  <c r="AF477" i="7"/>
  <c r="AF538" i="7"/>
  <c r="AF335" i="7"/>
  <c r="AF229" i="7"/>
  <c r="AF90" i="7"/>
  <c r="AF399" i="7"/>
  <c r="AF551" i="7"/>
  <c r="AF48" i="16"/>
  <c r="AF98" i="7"/>
  <c r="AF87" i="7"/>
  <c r="AF80" i="7"/>
  <c r="AF65" i="7"/>
  <c r="AF423" i="7"/>
  <c r="AA365" i="7"/>
  <c r="AB365" i="7" s="1"/>
  <c r="AA485" i="7"/>
  <c r="AB485" i="7" s="1"/>
  <c r="AF62" i="7"/>
  <c r="AF151" i="7"/>
  <c r="AF35" i="16"/>
  <c r="AF154" i="7"/>
  <c r="AF318" i="7"/>
  <c r="AA402" i="7"/>
  <c r="AB402" i="7" s="1"/>
  <c r="AA421" i="7"/>
  <c r="AB421" i="7" s="1"/>
  <c r="AF509" i="7"/>
  <c r="AA403" i="7"/>
  <c r="AB403" i="7" s="1"/>
  <c r="AA12" i="6"/>
  <c r="AB12" i="6" s="1"/>
  <c r="AA34" i="7"/>
  <c r="AB34" i="7" s="1"/>
  <c r="AF556" i="7"/>
  <c r="AA307" i="7"/>
  <c r="AB307" i="7" s="1"/>
  <c r="AA441" i="7"/>
  <c r="AB441" i="7" s="1"/>
  <c r="AA328" i="7"/>
  <c r="AB328" i="7" s="1"/>
  <c r="AA343" i="7"/>
  <c r="AB343" i="7" s="1"/>
  <c r="AA429" i="7"/>
  <c r="AB429" i="7" s="1"/>
  <c r="AF549" i="7"/>
  <c r="AA340" i="7"/>
  <c r="AB340" i="7" s="1"/>
  <c r="AA18" i="7"/>
  <c r="AB18" i="7" s="1"/>
  <c r="AF476" i="7"/>
  <c r="AA277" i="7"/>
  <c r="AB277" i="7" s="1"/>
  <c r="AF88" i="7"/>
  <c r="AF95" i="7"/>
  <c r="AA42" i="7"/>
  <c r="AB42" i="7" s="1"/>
  <c r="AF53" i="7"/>
  <c r="AA267" i="7"/>
  <c r="AB267" i="7" s="1"/>
  <c r="AF344" i="7"/>
  <c r="AF245" i="7"/>
  <c r="AF480" i="7"/>
  <c r="AF105" i="7"/>
  <c r="AF55" i="7"/>
  <c r="AF443" i="7"/>
  <c r="AA225" i="7"/>
  <c r="AB225" i="7" s="1"/>
  <c r="AA283" i="7"/>
  <c r="AB283" i="7" s="1"/>
  <c r="AF478" i="7"/>
  <c r="AA174" i="7"/>
  <c r="AB174" i="7" s="1"/>
  <c r="AA169" i="7"/>
  <c r="AB169" i="7" s="1"/>
  <c r="AF21" i="7"/>
  <c r="AA138" i="7"/>
  <c r="AB138" i="7" s="1"/>
  <c r="AA255" i="7"/>
  <c r="AB255" i="7" s="1"/>
  <c r="AF284" i="7"/>
  <c r="AF288" i="7"/>
  <c r="AF295" i="7"/>
  <c r="AF285" i="7"/>
  <c r="AF179" i="7"/>
  <c r="AF207" i="7"/>
  <c r="AA146" i="7"/>
  <c r="AB146" i="7" s="1"/>
  <c r="AA392" i="7"/>
  <c r="AB392" i="7" s="1"/>
  <c r="AF272" i="7"/>
  <c r="AA310" i="7"/>
  <c r="AB310" i="7" s="1"/>
  <c r="AA37" i="6"/>
  <c r="AB37" i="6" s="1"/>
  <c r="AA400" i="7"/>
  <c r="AA318" i="7"/>
  <c r="AB318" i="7" s="1"/>
  <c r="AA523" i="7"/>
  <c r="AB523" i="7" s="1"/>
  <c r="AA246" i="7"/>
  <c r="AB246" i="7" s="1"/>
  <c r="AF16" i="7"/>
  <c r="AA492" i="7"/>
  <c r="AB492" i="7" s="1"/>
  <c r="AF208" i="7"/>
  <c r="AA410" i="7"/>
  <c r="AB410" i="7" s="1"/>
  <c r="AA500" i="7"/>
  <c r="AB500" i="7" s="1"/>
  <c r="AF8" i="7"/>
  <c r="AF143" i="7"/>
  <c r="AF26" i="7"/>
  <c r="AF420" i="7"/>
  <c r="AA26" i="7"/>
  <c r="AB26" i="7" s="1"/>
  <c r="AA90" i="7"/>
  <c r="AB90" i="7" s="1"/>
  <c r="AF564" i="7"/>
  <c r="AF343" i="7"/>
  <c r="AA438" i="7"/>
  <c r="AB438" i="7" s="1"/>
  <c r="AF321" i="7"/>
  <c r="AF392" i="7"/>
  <c r="AF410" i="7"/>
  <c r="AA474" i="7"/>
  <c r="AB474" i="7" s="1"/>
  <c r="AA112" i="7"/>
  <c r="AB112" i="7" s="1"/>
  <c r="AF463" i="7"/>
  <c r="AF434" i="7"/>
  <c r="AF547" i="7"/>
  <c r="AF26" i="16"/>
  <c r="AF211" i="7"/>
  <c r="AF342" i="7"/>
  <c r="AA4" i="16"/>
  <c r="AB4" i="16" s="1"/>
  <c r="AA148" i="7"/>
  <c r="AB148" i="7" s="1"/>
  <c r="AF155" i="7"/>
  <c r="AF13" i="16"/>
  <c r="AA61" i="7"/>
  <c r="AB61" i="7" s="1"/>
  <c r="AA440" i="7"/>
  <c r="AB440" i="7" s="1"/>
  <c r="AA16" i="16"/>
  <c r="AB16" i="16" s="1"/>
  <c r="AF379" i="7"/>
  <c r="AA408" i="7"/>
  <c r="AB408" i="7" s="1"/>
  <c r="AF415" i="7"/>
  <c r="AF444" i="7"/>
  <c r="AA91" i="7"/>
  <c r="AB91" i="7" s="1"/>
  <c r="AF39" i="7"/>
  <c r="AF242" i="7"/>
  <c r="AA470" i="7"/>
  <c r="AB470" i="7" s="1"/>
  <c r="AA139" i="7"/>
  <c r="AB139" i="7" s="1"/>
  <c r="AF48" i="7"/>
  <c r="AF488" i="7"/>
  <c r="AA478" i="7"/>
  <c r="AB478" i="7" s="1"/>
  <c r="AF396" i="7"/>
  <c r="AA197" i="7"/>
  <c r="AB197" i="7" s="1"/>
  <c r="AA273" i="7"/>
  <c r="AB273" i="7" s="1"/>
  <c r="AF92" i="7"/>
  <c r="AA205" i="7"/>
  <c r="AB205" i="7" s="1"/>
  <c r="AF548" i="7"/>
  <c r="AA333" i="7"/>
  <c r="AB333" i="7" s="1"/>
  <c r="AF348" i="7"/>
  <c r="AA355" i="7"/>
  <c r="AB355" i="7" s="1"/>
  <c r="AF160" i="7"/>
  <c r="AF167" i="7"/>
  <c r="AA162" i="7"/>
  <c r="AB162" i="7" s="1"/>
  <c r="AF301" i="7"/>
  <c r="AA462" i="7"/>
  <c r="AB462" i="7" s="1"/>
  <c r="AA270" i="7"/>
  <c r="AB270" i="7" s="1"/>
  <c r="AF498" i="7"/>
  <c r="AF12" i="7"/>
  <c r="AF204" i="7"/>
  <c r="AF524" i="7"/>
  <c r="AA100" i="7"/>
  <c r="AB100" i="7" s="1"/>
  <c r="AA107" i="7"/>
  <c r="AB107" i="7" s="1"/>
  <c r="AF102" i="7"/>
  <c r="AA49" i="7"/>
  <c r="AB49" i="7" s="1"/>
  <c r="AA64" i="7"/>
  <c r="AB64" i="7" s="1"/>
  <c r="AA71" i="7"/>
  <c r="AB71" i="7" s="1"/>
  <c r="AA274" i="7"/>
  <c r="AB274" i="7" s="1"/>
  <c r="AF502" i="7"/>
  <c r="AA294" i="7"/>
  <c r="AB294" i="7" s="1"/>
  <c r="AF522" i="7"/>
  <c r="AF330" i="7"/>
  <c r="AF558" i="7"/>
  <c r="AF58" i="7"/>
  <c r="AA297" i="7"/>
  <c r="AB297" i="7" s="1"/>
  <c r="AA304" i="7"/>
  <c r="AB304" i="7" s="1"/>
  <c r="AA180" i="7"/>
  <c r="AB180" i="7" s="1"/>
  <c r="AF187" i="7"/>
  <c r="AF145" i="7"/>
  <c r="AF352" i="7"/>
  <c r="AA326" i="7"/>
  <c r="AB326" i="7" s="1"/>
  <c r="AA66" i="7"/>
  <c r="AB66" i="7" s="1"/>
  <c r="AA370" i="7"/>
  <c r="AB370" i="7" s="1"/>
  <c r="AF99" i="7"/>
  <c r="AA543" i="7"/>
  <c r="AB543" i="7" s="1"/>
  <c r="AA526" i="7"/>
  <c r="AB526" i="7" s="1"/>
  <c r="AA58" i="7"/>
  <c r="AB58" i="7" s="1"/>
  <c r="AA395" i="7"/>
  <c r="AB395" i="7" s="1"/>
  <c r="AF501" i="7"/>
  <c r="AF467" i="7"/>
  <c r="AF426" i="7"/>
  <c r="AA40" i="7"/>
  <c r="AB40" i="7" s="1"/>
  <c r="AF381" i="7"/>
  <c r="AA261" i="7"/>
  <c r="AB261" i="7" s="1"/>
  <c r="AA378" i="7"/>
  <c r="AB378" i="7" s="1"/>
  <c r="AF491" i="7"/>
  <c r="AA227" i="7"/>
  <c r="AB227" i="7" s="1"/>
  <c r="AF124" i="7"/>
  <c r="AF131" i="7"/>
  <c r="AF418" i="7"/>
  <c r="AA531" i="7"/>
  <c r="AB531" i="7" s="1"/>
  <c r="AF454" i="7"/>
  <c r="AF567" i="7"/>
  <c r="AF555" i="7"/>
  <c r="AF114" i="7"/>
  <c r="AA109" i="7"/>
  <c r="AB109" i="7" s="1"/>
  <c r="AA60" i="7"/>
  <c r="AB60" i="7" s="1"/>
  <c r="AA67" i="7"/>
  <c r="AB67" i="7" s="1"/>
  <c r="AF78" i="7"/>
  <c r="AA281" i="7"/>
  <c r="AB281" i="7" s="1"/>
  <c r="AA516" i="7"/>
  <c r="AB516" i="7" s="1"/>
  <c r="AF83" i="7"/>
  <c r="AF526" i="7"/>
  <c r="AF334" i="7"/>
  <c r="AF256" i="7"/>
  <c r="AF263" i="7"/>
  <c r="AF253" i="7"/>
  <c r="AF205" i="7"/>
  <c r="AF220" i="7"/>
  <c r="AA313" i="7"/>
  <c r="AB313" i="7" s="1"/>
  <c r="AA306" i="7"/>
  <c r="AB306" i="7" s="1"/>
  <c r="AA176" i="7"/>
  <c r="AB176" i="7" s="1"/>
  <c r="AA547" i="7"/>
  <c r="AB547" i="7" s="1"/>
  <c r="AF326" i="7"/>
  <c r="AA554" i="7"/>
  <c r="AB554" i="7" s="1"/>
  <c r="AA488" i="7"/>
  <c r="AB488" i="7" s="1"/>
  <c r="AA120" i="7"/>
  <c r="AB120" i="7" s="1"/>
  <c r="AF461" i="7"/>
  <c r="AA361" i="7"/>
  <c r="AB361" i="7" s="1"/>
  <c r="AF320" i="7"/>
  <c r="AA96" i="7"/>
  <c r="AB96" i="7" s="1"/>
  <c r="AF370" i="7"/>
  <c r="AF291" i="7"/>
  <c r="AA209" i="7"/>
  <c r="AB209" i="7" s="1"/>
  <c r="AF38" i="16"/>
  <c r="AA416" i="7"/>
  <c r="AB416" i="7" s="1"/>
  <c r="AA86" i="7"/>
  <c r="AB86" i="7" s="1"/>
  <c r="AF97" i="7"/>
  <c r="AF112" i="7"/>
  <c r="AF494" i="7"/>
  <c r="AF302" i="7"/>
  <c r="AF19" i="16"/>
  <c r="AA186" i="7"/>
  <c r="AB186" i="7" s="1"/>
  <c r="AF358" i="7"/>
  <c r="AA30" i="16"/>
  <c r="AB30" i="16" s="1"/>
  <c r="AA201" i="7"/>
  <c r="AB201" i="7" s="1"/>
  <c r="AF152" i="7"/>
  <c r="AA159" i="7"/>
  <c r="AB159" i="7" s="1"/>
  <c r="AF493" i="7"/>
  <c r="AA539" i="7"/>
  <c r="AB539" i="7" s="1"/>
  <c r="AF161" i="7"/>
  <c r="AA82" i="7"/>
  <c r="AB82" i="7" s="1"/>
  <c r="AF77" i="7"/>
  <c r="AA28" i="7"/>
  <c r="AB28" i="7" s="1"/>
  <c r="AF35" i="7"/>
  <c r="AA46" i="7"/>
  <c r="AB46" i="7" s="1"/>
  <c r="AA249" i="7"/>
  <c r="AB249" i="7" s="1"/>
  <c r="AF484" i="7"/>
  <c r="AA269" i="7"/>
  <c r="AB269" i="7" s="1"/>
  <c r="AF504" i="7"/>
  <c r="AF305" i="7"/>
  <c r="AF540" i="7"/>
  <c r="AA341" i="7"/>
  <c r="AB341" i="7" s="1"/>
  <c r="AF22" i="7"/>
  <c r="AA33" i="7"/>
  <c r="AB33" i="7" s="1"/>
  <c r="AA48" i="7"/>
  <c r="AB48" i="7" s="1"/>
  <c r="AA521" i="7"/>
  <c r="AB521" i="7" s="1"/>
  <c r="AA101" i="7"/>
  <c r="AB101" i="7" s="1"/>
  <c r="AF365" i="7"/>
  <c r="AF485" i="7"/>
  <c r="AA401" i="7"/>
  <c r="AB401" i="7" s="1"/>
  <c r="AF521" i="7"/>
  <c r="AA122" i="7"/>
  <c r="AB122" i="7" s="1"/>
  <c r="AA37" i="16"/>
  <c r="AB37" i="16" s="1"/>
  <c r="AA280" i="7"/>
  <c r="AB280" i="7" s="1"/>
  <c r="AF424" i="7"/>
  <c r="AA128" i="7"/>
  <c r="AB128" i="7" s="1"/>
  <c r="AA130" i="7"/>
  <c r="AB130" i="7" s="1"/>
  <c r="AA394" i="7"/>
  <c r="AB394" i="7" s="1"/>
  <c r="AA507" i="7"/>
  <c r="AB507" i="7" s="1"/>
  <c r="AF432" i="7"/>
  <c r="AF286" i="7"/>
  <c r="AF514" i="7"/>
  <c r="AA17" i="16"/>
  <c r="AB17" i="16" s="1"/>
  <c r="AA436" i="7"/>
  <c r="AB436" i="7" s="1"/>
  <c r="AA38" i="16"/>
  <c r="AB38" i="16" s="1"/>
  <c r="AA29" i="16"/>
  <c r="AB29" i="16" s="1"/>
  <c r="AA72" i="7"/>
  <c r="AB72" i="7" s="1"/>
  <c r="AF146" i="7"/>
  <c r="AA185" i="7"/>
  <c r="AB185" i="7" s="1"/>
  <c r="AF561" i="7"/>
  <c r="AA16" i="7"/>
  <c r="AB16" i="7" s="1"/>
  <c r="AF264" i="7"/>
  <c r="AA477" i="7"/>
  <c r="AB477" i="7" s="1"/>
  <c r="AF126" i="7"/>
  <c r="AF523" i="7"/>
  <c r="AA413" i="7"/>
  <c r="AB413" i="7" s="1"/>
  <c r="AF37" i="6"/>
  <c r="AA364" i="7"/>
  <c r="AB364" i="7" s="1"/>
  <c r="AA290" i="7"/>
  <c r="AB290" i="7" s="1"/>
  <c r="AF265" i="7"/>
  <c r="AF23" i="7"/>
  <c r="AF72" i="7"/>
  <c r="AF315" i="7"/>
  <c r="AA200" i="7"/>
  <c r="AB200" i="7" s="1"/>
  <c r="AF520" i="7"/>
  <c r="AF402" i="7"/>
  <c r="AF515" i="7"/>
  <c r="AA229" i="7"/>
  <c r="AB229" i="7" s="1"/>
  <c r="AA38" i="6"/>
  <c r="AB38" i="6" s="1"/>
  <c r="AF172" i="7"/>
  <c r="AA546" i="7"/>
  <c r="AB546" i="7" s="1"/>
  <c r="AA29" i="6"/>
  <c r="AB29" i="6" s="1"/>
  <c r="AF487" i="7"/>
  <c r="AF438" i="7"/>
  <c r="AF474" i="7"/>
  <c r="AF228" i="7"/>
  <c r="AF15" i="7"/>
  <c r="AF157" i="7"/>
  <c r="AF185" i="7"/>
  <c r="AA335" i="7"/>
  <c r="AB335" i="7" s="1"/>
  <c r="AA12" i="16"/>
  <c r="AB12" i="16" s="1"/>
  <c r="AF121" i="7"/>
  <c r="AA251" i="7"/>
  <c r="AB251" i="7" s="1"/>
  <c r="AF136" i="7"/>
  <c r="AF528" i="7"/>
  <c r="AF200" i="7"/>
  <c r="AA363" i="7"/>
  <c r="AB363" i="7" s="1"/>
  <c r="AF336" i="7"/>
  <c r="AF427" i="7"/>
  <c r="AA35" i="16"/>
  <c r="AB35" i="16" s="1"/>
  <c r="AA207" i="7"/>
  <c r="AB207" i="7" s="1"/>
  <c r="AA382" i="7"/>
  <c r="AB382" i="7" s="1"/>
  <c r="AA515" i="7"/>
  <c r="AB515" i="7" s="1"/>
  <c r="AA559" i="7"/>
  <c r="AB559" i="7" s="1"/>
  <c r="AF364" i="7"/>
  <c r="AA272" i="7"/>
  <c r="AB272" i="7" s="1"/>
  <c r="AF307" i="7"/>
  <c r="AF413" i="7"/>
  <c r="AF500" i="7"/>
  <c r="AA243" i="7"/>
  <c r="AF193" i="7"/>
  <c r="AF108" i="7"/>
  <c r="AA336" i="7"/>
  <c r="AB336" i="7" s="1"/>
  <c r="AA293" i="7"/>
  <c r="AA556" i="7"/>
  <c r="AB556" i="7" s="1"/>
  <c r="AF328" i="7"/>
  <c r="AA285" i="7"/>
  <c r="AB285" i="7" s="1"/>
  <c r="AA34" i="6"/>
  <c r="AB34" i="6" s="1"/>
  <c r="AA308" i="7"/>
  <c r="AB308" i="7" s="1"/>
  <c r="AF42" i="6"/>
  <c r="AF171" i="7"/>
  <c r="AA487" i="7"/>
  <c r="AB487" i="7" s="1"/>
  <c r="AA157" i="7"/>
  <c r="AB157" i="7" s="1"/>
  <c r="AF546" i="7"/>
  <c r="AA435" i="7"/>
  <c r="AF85" i="7"/>
  <c r="AA276" i="7"/>
  <c r="AB276" i="7" s="1"/>
  <c r="AF353" i="7"/>
  <c r="AF405" i="7"/>
  <c r="AF319" i="7"/>
  <c r="AA393" i="7"/>
  <c r="AB393" i="7" s="1"/>
  <c r="AF513" i="7"/>
  <c r="AF429" i="7"/>
  <c r="AA549" i="7"/>
  <c r="AB549" i="7" s="1"/>
  <c r="AA512" i="7"/>
  <c r="AB512" i="7" s="1"/>
  <c r="AA13" i="6"/>
  <c r="AB13" i="6" s="1"/>
  <c r="AF19" i="6"/>
  <c r="AA245" i="7"/>
  <c r="AB245" i="7" s="1"/>
  <c r="AA480" i="7"/>
  <c r="AB480" i="7" s="1"/>
  <c r="AF192" i="7"/>
  <c r="AF199" i="7"/>
  <c r="AF194" i="7"/>
  <c r="AF141" i="7"/>
  <c r="AF156" i="7"/>
  <c r="AF163" i="7"/>
  <c r="AA366" i="7"/>
  <c r="AB366" i="7" s="1"/>
  <c r="AF479" i="7"/>
  <c r="AA386" i="7"/>
  <c r="AB386" i="7" s="1"/>
  <c r="AF499" i="7"/>
  <c r="AA422" i="7"/>
  <c r="AB422" i="7" s="1"/>
  <c r="AF535" i="7"/>
  <c r="AF458" i="7"/>
  <c r="AF571" i="7"/>
  <c r="AF117" i="7"/>
  <c r="AF237" i="7"/>
  <c r="AA426" i="7"/>
  <c r="AB426" i="7" s="1"/>
  <c r="AF84" i="7"/>
  <c r="AA211" i="7"/>
  <c r="AB211" i="7" s="1"/>
  <c r="AA342" i="7"/>
  <c r="AB342" i="7" s="1"/>
  <c r="AF10" i="7"/>
  <c r="AA461" i="7"/>
  <c r="AB461" i="7" s="1"/>
  <c r="AA481" i="7"/>
  <c r="AB481" i="7" s="1"/>
  <c r="AF433" i="7"/>
  <c r="AF34" i="16"/>
  <c r="AA418" i="7"/>
  <c r="AB418" i="7" s="1"/>
  <c r="AF531" i="7"/>
  <c r="AA454" i="7"/>
  <c r="AB454" i="7" s="1"/>
  <c r="AA567" i="7"/>
  <c r="AB567" i="7" s="1"/>
  <c r="AA258" i="7"/>
  <c r="AB258" i="7" s="1"/>
  <c r="AA268" i="7"/>
  <c r="AB268" i="7" s="1"/>
  <c r="AA339" i="7"/>
  <c r="AB339" i="7" s="1"/>
  <c r="AA442" i="7"/>
  <c r="AB442" i="7" s="1"/>
  <c r="AA10" i="16"/>
  <c r="AB10" i="16" s="1"/>
  <c r="AF224" i="7"/>
  <c r="AA231" i="7"/>
  <c r="AB231" i="7" s="1"/>
  <c r="AA226" i="7"/>
  <c r="AB226" i="7" s="1"/>
  <c r="AA173" i="7"/>
  <c r="AB173" i="7" s="1"/>
  <c r="AA188" i="7"/>
  <c r="AB188" i="7" s="1"/>
  <c r="AA398" i="7"/>
  <c r="AB398" i="7" s="1"/>
  <c r="AA511" i="7"/>
  <c r="AB511" i="7" s="1"/>
  <c r="AA47" i="16"/>
  <c r="AB47" i="16" s="1"/>
  <c r="AA191" i="7"/>
  <c r="AB191" i="7" s="1"/>
  <c r="AF312" i="7"/>
  <c r="AA133" i="7"/>
  <c r="AB133" i="7" s="1"/>
  <c r="AF186" i="7"/>
  <c r="AA424" i="7"/>
  <c r="AB424" i="7" s="1"/>
  <c r="AF431" i="7"/>
  <c r="AA35" i="6"/>
  <c r="AB35" i="6" s="1"/>
  <c r="AA46" i="16"/>
  <c r="AB46" i="16" s="1"/>
  <c r="AF557" i="7"/>
  <c r="AF472" i="7"/>
  <c r="AA309" i="7"/>
  <c r="AB309" i="7" s="1"/>
  <c r="AF544" i="7"/>
  <c r="AF452" i="7"/>
  <c r="AF10" i="6"/>
  <c r="AA11" i="16"/>
  <c r="AB11" i="16" s="1"/>
  <c r="AA140" i="7"/>
  <c r="AB140" i="7" s="1"/>
  <c r="AA550" i="7"/>
  <c r="AB550" i="7" s="1"/>
  <c r="AF560" i="7"/>
  <c r="AF122" i="7"/>
  <c r="AF280" i="7"/>
  <c r="AF287" i="7"/>
  <c r="AF316" i="7"/>
  <c r="AF323" i="7"/>
  <c r="AF128" i="7"/>
  <c r="AF135" i="7"/>
  <c r="AF130" i="7"/>
  <c r="AF30" i="16"/>
  <c r="AA457" i="7"/>
  <c r="AB457" i="7" s="1"/>
  <c r="AF362" i="7"/>
  <c r="AA432" i="7"/>
  <c r="AB432" i="7" s="1"/>
  <c r="AF406" i="7"/>
  <c r="AF17" i="16"/>
  <c r="AA30" i="7"/>
  <c r="AB30" i="7" s="1"/>
  <c r="AA327" i="7"/>
  <c r="AB327" i="7" s="1"/>
  <c r="AA158" i="7"/>
  <c r="AB158" i="7" s="1"/>
  <c r="AF19" i="7"/>
  <c r="AA439" i="7"/>
  <c r="AB439" i="7" s="1"/>
  <c r="AF239" i="7"/>
  <c r="AF74" i="7"/>
  <c r="AF202" i="7"/>
  <c r="AF525" i="7"/>
  <c r="AA524" i="7"/>
  <c r="AB524" i="7" s="1"/>
  <c r="AA234" i="7"/>
  <c r="AB234" i="7" s="1"/>
  <c r="AF270" i="7"/>
  <c r="AA498" i="7"/>
  <c r="AB498" i="7" s="1"/>
  <c r="AF368" i="7"/>
  <c r="AF409" i="7"/>
  <c r="AF16" i="16"/>
  <c r="AF9" i="16"/>
  <c r="AA298" i="7"/>
  <c r="AB298" i="7" s="1"/>
  <c r="AF91" i="7"/>
  <c r="AA566" i="7"/>
  <c r="AB566" i="7" s="1"/>
  <c r="AA472" i="7"/>
  <c r="AB472" i="7" s="1"/>
  <c r="AA508" i="7"/>
  <c r="AB508" i="7" s="1"/>
  <c r="AF486" i="7"/>
  <c r="AA496" i="7"/>
  <c r="AB496" i="7" s="1"/>
  <c r="AA430" i="7"/>
  <c r="AB430" i="7" s="1"/>
  <c r="AF543" i="7"/>
  <c r="AF568" i="7"/>
  <c r="AF238" i="7"/>
  <c r="AA19" i="7"/>
  <c r="AB19" i="7" s="1"/>
  <c r="AA36" i="16"/>
  <c r="AB36" i="16" s="1"/>
  <c r="AA302" i="7"/>
  <c r="AB302" i="7" s="1"/>
  <c r="AA419" i="7"/>
  <c r="AB419" i="7" s="1"/>
  <c r="AA368" i="7"/>
  <c r="AB368" i="7" s="1"/>
  <c r="AA296" i="7"/>
  <c r="AB296" i="7" s="1"/>
  <c r="AF303" i="7"/>
  <c r="AF332" i="7"/>
  <c r="AF490" i="7"/>
  <c r="AA20" i="7"/>
  <c r="AB20" i="7" s="1"/>
  <c r="AF506" i="7"/>
  <c r="AA24" i="16"/>
  <c r="AB24" i="16" s="1"/>
  <c r="AA548" i="7"/>
  <c r="AB548" i="7" s="1"/>
  <c r="AF355" i="7"/>
  <c r="AA423" i="7"/>
  <c r="AB423" i="7" s="1"/>
  <c r="AA184" i="7"/>
  <c r="AB184" i="7" s="1"/>
  <c r="AA85" i="7"/>
  <c r="AB85" i="7" s="1"/>
  <c r="AA292" i="7"/>
  <c r="AB292" i="7" s="1"/>
  <c r="AA299" i="7"/>
  <c r="AB299" i="7" s="1"/>
  <c r="AA114" i="7"/>
  <c r="AB114" i="7" s="1"/>
  <c r="AF109" i="7"/>
  <c r="AF60" i="7"/>
  <c r="AF67" i="7"/>
  <c r="AA78" i="7"/>
  <c r="AB78" i="7" s="1"/>
  <c r="AF281" i="7"/>
  <c r="AF516" i="7"/>
  <c r="AA387" i="7"/>
  <c r="AB387" i="7" s="1"/>
  <c r="AF41" i="7"/>
  <c r="AA222" i="7"/>
  <c r="AB222" i="7" s="1"/>
  <c r="AA12" i="7"/>
  <c r="AB12" i="7" s="1"/>
  <c r="AA204" i="7"/>
  <c r="AB204" i="7" s="1"/>
  <c r="AF296" i="7"/>
  <c r="AA43" i="16"/>
  <c r="AB43" i="16" s="1"/>
  <c r="AF100" i="7"/>
  <c r="AF107" i="7"/>
  <c r="AA102" i="7"/>
  <c r="AB102" i="7" s="1"/>
  <c r="AF49" i="7"/>
  <c r="AF64" i="7"/>
  <c r="AF71" i="7"/>
  <c r="AF274" i="7"/>
  <c r="AA502" i="7"/>
  <c r="AB502" i="7" s="1"/>
  <c r="AF294" i="7"/>
  <c r="AA522" i="7"/>
  <c r="AB522" i="7" s="1"/>
  <c r="AA330" i="7"/>
  <c r="AB330" i="7" s="1"/>
  <c r="AA558" i="7"/>
  <c r="AB558" i="7" s="1"/>
  <c r="AA379" i="7"/>
  <c r="AB379" i="7" s="1"/>
  <c r="AA334" i="7"/>
  <c r="AB334" i="7" s="1"/>
  <c r="AF562" i="7"/>
  <c r="AF297" i="7"/>
  <c r="AF304" i="7"/>
  <c r="AF14" i="16"/>
  <c r="AF503" i="7"/>
  <c r="AA544" i="7"/>
  <c r="AB544" i="7" s="1"/>
  <c r="AA39" i="16"/>
  <c r="AB39" i="16" s="1"/>
  <c r="AA84" i="7"/>
  <c r="AB84" i="7" s="1"/>
  <c r="AA111" i="7"/>
  <c r="AB111" i="7" s="1"/>
  <c r="AA168" i="7"/>
  <c r="AB168" i="7" s="1"/>
  <c r="AA452" i="7"/>
  <c r="AB452" i="7" s="1"/>
  <c r="AA565" i="7"/>
  <c r="AB565" i="7" s="1"/>
  <c r="AF32" i="6"/>
  <c r="AF313" i="7"/>
  <c r="AA450" i="7"/>
  <c r="AB450" i="7" s="1"/>
  <c r="AF50" i="7"/>
  <c r="AA104" i="7"/>
  <c r="AB104" i="7" s="1"/>
  <c r="AF125" i="7"/>
  <c r="AF439" i="7"/>
  <c r="AF268" i="7"/>
  <c r="AF339" i="7"/>
  <c r="AF36" i="7"/>
  <c r="AF149" i="7"/>
  <c r="AA38" i="7"/>
  <c r="AB38" i="7" s="1"/>
  <c r="AA347" i="7"/>
  <c r="AB347" i="7" s="1"/>
  <c r="AF376" i="7"/>
  <c r="AA494" i="7"/>
  <c r="AB494" i="7" s="1"/>
  <c r="AF44" i="16"/>
  <c r="AF222" i="7"/>
  <c r="AF178" i="7"/>
  <c r="AA42" i="16"/>
  <c r="AB42" i="16" s="1"/>
  <c r="AA213" i="7"/>
  <c r="AB213" i="7" s="1"/>
  <c r="AF212" i="7"/>
  <c r="AF219" i="7"/>
  <c r="AF166" i="7"/>
  <c r="AA177" i="7"/>
  <c r="AB177" i="7" s="1"/>
  <c r="AA384" i="7"/>
  <c r="AB384" i="7" s="1"/>
  <c r="AF391" i="7"/>
  <c r="AA404" i="7"/>
  <c r="AB404" i="7" s="1"/>
  <c r="AF411" i="7"/>
  <c r="AF6" i="7"/>
  <c r="AA20" i="16"/>
  <c r="AB20" i="16" s="1"/>
  <c r="AF197" i="7"/>
  <c r="AF175" i="7"/>
  <c r="AA278" i="7"/>
  <c r="AB278" i="7" s="1"/>
  <c r="AF448" i="7"/>
  <c r="AF455" i="7"/>
  <c r="AF18" i="16"/>
  <c r="AA132" i="7"/>
  <c r="AB132" i="7" s="1"/>
  <c r="AA22" i="7"/>
  <c r="AB22" i="7" s="1"/>
  <c r="AF33" i="7"/>
  <c r="AF150" i="7"/>
  <c r="AF225" i="7"/>
  <c r="AA389" i="7"/>
  <c r="AB389" i="7" s="1"/>
  <c r="AF283" i="7"/>
  <c r="AF430" i="7"/>
  <c r="AF333" i="7"/>
  <c r="AF563" i="7"/>
  <c r="AA238" i="7"/>
  <c r="AB238" i="7" s="1"/>
  <c r="AA22" i="16"/>
  <c r="AB22" i="16" s="1"/>
  <c r="AF96" i="7"/>
  <c r="AF40" i="6"/>
  <c r="AA431" i="7"/>
  <c r="AB431" i="7" s="1"/>
  <c r="AF13" i="7"/>
  <c r="AA147" i="7"/>
  <c r="AB147" i="7" s="1"/>
  <c r="AF414" i="7"/>
  <c r="AA43" i="6"/>
  <c r="AB43" i="6" s="1"/>
  <c r="AA45" i="7"/>
  <c r="AB45" i="7" s="1"/>
  <c r="AF11" i="16"/>
  <c r="AF158" i="7"/>
  <c r="AF94" i="7"/>
  <c r="AA465" i="7"/>
  <c r="AB465" i="7" s="1"/>
  <c r="AF442" i="7"/>
  <c r="AA23" i="16"/>
  <c r="AB23" i="16" s="1"/>
  <c r="AA9" i="16"/>
  <c r="AB9" i="16" s="1"/>
  <c r="AA345" i="7"/>
  <c r="AB345" i="7" s="1"/>
  <c r="AA68" i="7"/>
  <c r="AB68" i="7" s="1"/>
  <c r="AA568" i="7"/>
  <c r="AB568" i="7" s="1"/>
  <c r="AA348" i="7"/>
  <c r="AB348" i="7" s="1"/>
  <c r="AF209" i="7"/>
  <c r="AA142" i="7"/>
  <c r="AB142" i="7" s="1"/>
  <c r="AA137" i="7"/>
  <c r="AB137" i="7" s="1"/>
  <c r="AA316" i="7"/>
  <c r="AB316" i="7" s="1"/>
  <c r="AA323" i="7"/>
  <c r="AB323" i="7" s="1"/>
  <c r="AF27" i="7"/>
  <c r="AA214" i="7"/>
  <c r="AB214" i="7" s="1"/>
  <c r="AA434" i="7"/>
  <c r="AB434" i="7" s="1"/>
  <c r="AA360" i="7"/>
  <c r="AB360" i="7" s="1"/>
  <c r="AA367" i="7"/>
  <c r="AB367" i="7" s="1"/>
  <c r="AF542" i="7"/>
  <c r="AA36" i="7"/>
  <c r="AB36" i="7" s="1"/>
  <c r="AA43" i="7"/>
  <c r="AB43" i="7" s="1"/>
  <c r="AF530" i="7"/>
  <c r="AF393" i="7"/>
  <c r="AA513" i="7"/>
  <c r="AB513" i="7" s="1"/>
  <c r="AA8" i="16"/>
  <c r="AB8" i="16" s="1"/>
  <c r="AF206" i="7"/>
  <c r="AF170" i="7"/>
  <c r="AF373" i="7"/>
  <c r="AF15" i="16"/>
  <c r="AA63" i="7"/>
  <c r="AB63" i="7" s="1"/>
  <c r="AA127" i="7"/>
  <c r="AB127" i="7" s="1"/>
  <c r="AA235" i="7"/>
  <c r="AB235" i="7" s="1"/>
  <c r="AA248" i="7"/>
  <c r="AB248" i="7" s="1"/>
  <c r="AA218" i="7"/>
  <c r="AB218" i="7" s="1"/>
  <c r="AA129" i="7"/>
  <c r="AB129" i="7" s="1"/>
  <c r="AA151" i="7"/>
  <c r="AB151" i="7" s="1"/>
  <c r="AF308" i="7"/>
  <c r="AA569" i="7"/>
  <c r="AB569" i="7" s="1"/>
  <c r="AF532" i="7"/>
  <c r="AA362" i="7"/>
  <c r="AB362" i="7" s="1"/>
  <c r="AF76" i="7"/>
  <c r="AF289" i="7"/>
  <c r="AA181" i="7"/>
  <c r="AB181" i="7" s="1"/>
  <c r="AF180" i="7"/>
  <c r="AA187" i="7"/>
  <c r="AB187" i="7" s="1"/>
  <c r="AF134" i="7"/>
  <c r="AA145" i="7"/>
  <c r="AB145" i="7" s="1"/>
  <c r="AA352" i="7"/>
  <c r="AB352" i="7" s="1"/>
  <c r="AF359" i="7"/>
  <c r="AF66" i="7"/>
  <c r="AF132" i="7"/>
  <c r="AF382" i="7"/>
  <c r="AA321" i="7"/>
  <c r="AB321" i="7" s="1"/>
  <c r="AA44" i="7"/>
  <c r="AB44" i="7" s="1"/>
  <c r="AA471" i="7"/>
  <c r="AB471" i="7" s="1"/>
  <c r="AF512" i="7"/>
  <c r="AA396" i="7"/>
  <c r="AB396" i="7" s="1"/>
  <c r="AF481" i="7"/>
  <c r="AF397" i="7"/>
  <c r="AA282" i="7"/>
  <c r="AB282" i="7" s="1"/>
  <c r="AA193" i="7"/>
  <c r="AB193" i="7" s="1"/>
  <c r="AA40" i="16"/>
  <c r="AB40" i="16" s="1"/>
  <c r="AA196" i="7"/>
  <c r="AB196" i="7" s="1"/>
  <c r="AF203" i="7"/>
  <c r="AA453" i="7"/>
  <c r="AB453" i="7" s="1"/>
  <c r="AA353" i="7"/>
  <c r="AB353" i="7" s="1"/>
  <c r="AA149" i="7"/>
  <c r="AB149" i="7" s="1"/>
  <c r="AA155" i="7"/>
  <c r="AB155" i="7" s="1"/>
  <c r="AF7" i="7"/>
  <c r="AF347" i="7"/>
  <c r="AA376" i="7"/>
  <c r="AB376" i="7" s="1"/>
  <c r="AF419" i="7"/>
  <c r="AA9" i="6"/>
  <c r="AB9" i="6" s="1"/>
  <c r="AF25" i="7"/>
  <c r="AF24" i="7"/>
  <c r="AA31" i="7"/>
  <c r="AB31" i="7" s="1"/>
  <c r="AA287" i="7"/>
  <c r="AB287" i="7" s="1"/>
  <c r="AF350" i="7"/>
  <c r="AF527" i="7"/>
  <c r="AA240" i="7"/>
  <c r="AB240" i="7" s="1"/>
  <c r="AF46" i="16"/>
  <c r="AA135" i="7"/>
  <c r="AB135" i="7" s="1"/>
  <c r="AF89" i="7"/>
  <c r="AA260" i="7"/>
  <c r="AB260" i="7" s="1"/>
  <c r="AF457" i="7"/>
  <c r="AA183" i="7"/>
  <c r="AB183" i="7" s="1"/>
  <c r="AA406" i="7"/>
  <c r="AB406" i="7" s="1"/>
  <c r="AA192" i="7"/>
  <c r="AB192" i="7" s="1"/>
  <c r="AA199" i="7"/>
  <c r="AB199" i="7" s="1"/>
  <c r="AA194" i="7"/>
  <c r="AB194" i="7" s="1"/>
  <c r="AA141" i="7"/>
  <c r="AB141" i="7" s="1"/>
  <c r="AA156" i="7"/>
  <c r="AB156" i="7" s="1"/>
  <c r="AA163" i="7"/>
  <c r="AB163" i="7" s="1"/>
  <c r="AF366" i="7"/>
  <c r="AA479" i="7"/>
  <c r="AB479" i="7" s="1"/>
  <c r="AF386" i="7"/>
  <c r="AA499" i="7"/>
  <c r="AB499" i="7" s="1"/>
  <c r="AF422" i="7"/>
  <c r="AA535" i="7"/>
  <c r="AB535" i="7" s="1"/>
  <c r="AA458" i="7"/>
  <c r="AB458" i="7" s="1"/>
  <c r="AA571" i="7"/>
  <c r="AB571" i="7" s="1"/>
  <c r="AF68" i="7"/>
  <c r="AA75" i="7"/>
  <c r="AB75" i="7" s="1"/>
  <c r="AF70" i="7"/>
  <c r="AA17" i="7"/>
  <c r="AB17" i="7" s="1"/>
  <c r="AA32" i="7"/>
  <c r="AB32" i="7" s="1"/>
  <c r="AA39" i="7"/>
  <c r="AB39" i="7" s="1"/>
  <c r="AA242" i="7"/>
  <c r="AB242" i="7" s="1"/>
  <c r="AF470" i="7"/>
  <c r="AF139" i="7"/>
  <c r="AA150" i="7"/>
  <c r="AB150" i="7" s="1"/>
  <c r="AF389" i="7"/>
  <c r="AA573" i="7"/>
  <c r="AB573" i="7" s="1"/>
  <c r="AF56" i="7"/>
  <c r="AA10" i="7"/>
  <c r="AB10" i="7" s="1"/>
  <c r="AF22" i="16"/>
  <c r="AA81" i="7"/>
  <c r="AB81" i="7" s="1"/>
  <c r="AA103" i="7"/>
  <c r="AB103" i="7" s="1"/>
  <c r="AF306" i="7"/>
  <c r="AF252" i="7"/>
  <c r="AF259" i="7"/>
  <c r="AA29" i="7"/>
  <c r="AB29" i="7" s="1"/>
  <c r="AA518" i="7"/>
  <c r="AF218" i="7"/>
  <c r="AF101" i="7"/>
  <c r="AA26" i="6"/>
  <c r="AB26" i="6" s="1"/>
  <c r="AA315" i="7"/>
  <c r="AB315" i="7" s="1"/>
  <c r="AA41" i="6"/>
  <c r="AB41" i="6" s="1"/>
  <c r="AA154" i="7"/>
  <c r="AB154" i="7" s="1"/>
  <c r="AA300" i="7"/>
  <c r="AB300" i="7" s="1"/>
  <c r="AF497" i="7"/>
  <c r="AA23" i="7"/>
  <c r="AB23" i="7" s="1"/>
  <c r="AF541" i="7"/>
  <c r="AA115" i="7"/>
  <c r="AA221" i="7"/>
  <c r="AB221" i="7" s="1"/>
  <c r="AA179" i="7"/>
  <c r="AB179" i="7" s="1"/>
  <c r="AF492" i="7"/>
  <c r="AA399" i="7"/>
  <c r="AB399" i="7" s="1"/>
  <c r="AF282" i="7"/>
  <c r="AF441" i="7"/>
  <c r="AA495" i="7"/>
  <c r="AB495" i="7" s="1"/>
  <c r="AF329" i="7"/>
  <c r="AF79" i="7"/>
  <c r="AF469" i="7"/>
  <c r="AA528" i="7"/>
  <c r="AB528" i="7" s="1"/>
  <c r="AA551" i="7"/>
  <c r="AB551" i="7" s="1"/>
  <c r="AF198" i="7"/>
  <c r="AF416" i="7"/>
  <c r="AF534" i="7"/>
  <c r="AF401" i="7"/>
  <c r="AA116" i="7"/>
  <c r="AB116" i="7" s="1"/>
  <c r="AA8" i="7"/>
  <c r="AB8" i="7" s="1"/>
  <c r="AA5" i="16"/>
  <c r="AB5" i="16" s="1"/>
  <c r="AA98" i="7"/>
  <c r="AB98" i="7" s="1"/>
  <c r="AA407" i="7"/>
  <c r="AF244" i="7"/>
  <c r="AF44" i="7"/>
  <c r="AA520" i="7"/>
  <c r="AB520" i="7" s="1"/>
  <c r="AA456" i="7"/>
  <c r="AA449" i="7"/>
  <c r="AA62" i="7"/>
  <c r="AB62" i="7" s="1"/>
  <c r="AF356" i="7"/>
  <c r="AF271" i="7"/>
  <c r="AA265" i="7"/>
  <c r="AB265" i="7" s="1"/>
  <c r="AF129" i="7"/>
  <c r="AA374" i="7"/>
  <c r="AF236" i="7"/>
  <c r="AA172" i="7"/>
  <c r="AB172" i="7" s="1"/>
  <c r="AF251" i="7"/>
  <c r="AF290" i="7"/>
  <c r="AO558" i="7"/>
  <c r="AV558" i="7" s="1"/>
  <c r="AX558" i="7" s="1"/>
  <c r="AO317" i="7"/>
  <c r="AV317" i="7" s="1"/>
  <c r="AX317" i="7" s="1"/>
  <c r="AO76" i="7"/>
  <c r="AV76" i="7" s="1"/>
  <c r="AX76" i="7" s="1"/>
  <c r="AO525" i="7"/>
  <c r="AV525" i="7" s="1"/>
  <c r="AX525" i="7" s="1"/>
  <c r="AO516" i="7"/>
  <c r="AV516" i="7" s="1"/>
  <c r="AX516" i="7" s="1"/>
  <c r="AO294" i="7"/>
  <c r="AV294" i="7" s="1"/>
  <c r="AX294" i="7" s="1"/>
  <c r="AO43" i="7"/>
  <c r="AV43" i="7" s="1"/>
  <c r="AX43" i="7" s="1"/>
  <c r="AO80" i="7"/>
  <c r="AV80" i="7" s="1"/>
  <c r="AX80" i="7" s="1"/>
  <c r="AO92" i="7"/>
  <c r="AV92" i="7" s="1"/>
  <c r="AX92" i="7" s="1"/>
  <c r="AO393" i="7"/>
  <c r="AV393" i="7" s="1"/>
  <c r="AX393" i="7" s="1"/>
  <c r="AO567" i="7"/>
  <c r="AV567" i="7" s="1"/>
  <c r="AX567" i="7" s="1"/>
  <c r="AO449" i="7"/>
  <c r="AV449" i="7" s="1"/>
  <c r="AX449" i="7" s="1"/>
  <c r="AO389" i="7"/>
  <c r="AV389" i="7" s="1"/>
  <c r="AX389" i="7" s="1"/>
  <c r="AO570" i="7"/>
  <c r="AV570" i="7" s="1"/>
  <c r="AX570" i="7" s="1"/>
  <c r="AO334" i="7"/>
  <c r="AO344" i="7"/>
  <c r="AV344" i="7" s="1"/>
  <c r="AX344" i="7" s="1"/>
  <c r="AO120" i="7"/>
  <c r="AV120" i="7" s="1"/>
  <c r="AX120" i="7" s="1"/>
  <c r="AO272" i="7"/>
  <c r="AV272" i="7" s="1"/>
  <c r="AX272" i="7" s="1"/>
  <c r="AO13" i="7"/>
  <c r="AV13" i="7" s="1"/>
  <c r="AX13" i="7" s="1"/>
  <c r="AO409" i="7"/>
  <c r="AV409" i="7" s="1"/>
  <c r="AX409" i="7" s="1"/>
  <c r="AO300" i="7"/>
  <c r="AV300" i="7" s="1"/>
  <c r="AX300" i="7" s="1"/>
  <c r="AO61" i="7"/>
  <c r="AV61" i="7" s="1"/>
  <c r="AX61" i="7" s="1"/>
  <c r="AO422" i="7"/>
  <c r="AV422" i="7" s="1"/>
  <c r="AX422" i="7" s="1"/>
  <c r="AV354" i="7"/>
  <c r="AX354" i="7" s="1"/>
  <c r="AV403" i="7"/>
  <c r="AX403" i="7" s="1"/>
  <c r="AO504" i="7"/>
  <c r="AV504" i="7" s="1"/>
  <c r="AX504" i="7" s="1"/>
  <c r="AO169" i="7"/>
  <c r="AO385" i="7"/>
  <c r="AV385" i="7" s="1"/>
  <c r="AX385" i="7" s="1"/>
  <c r="AO517" i="7"/>
  <c r="AV517" i="7" s="1"/>
  <c r="AX517" i="7" s="1"/>
  <c r="AO68" i="7"/>
  <c r="AV68" i="7" s="1"/>
  <c r="AX68" i="7" s="1"/>
  <c r="AO452" i="7"/>
  <c r="AV452" i="7" s="1"/>
  <c r="AX452" i="7" s="1"/>
  <c r="AO218" i="7"/>
  <c r="AO256" i="7"/>
  <c r="AV256" i="7" s="1"/>
  <c r="AX256" i="7" s="1"/>
  <c r="AO399" i="7"/>
  <c r="AV399" i="7" s="1"/>
  <c r="AX399" i="7" s="1"/>
  <c r="AO278" i="7"/>
  <c r="AV278" i="7" s="1"/>
  <c r="AX278" i="7" s="1"/>
  <c r="AO176" i="7"/>
  <c r="AO151" i="7"/>
  <c r="AV151" i="7" s="1"/>
  <c r="AX151" i="7" s="1"/>
  <c r="AO53" i="7"/>
  <c r="AV53" i="7" s="1"/>
  <c r="AX53" i="7" s="1"/>
  <c r="AV539" i="7"/>
  <c r="AX539" i="7" s="1"/>
  <c r="AV537" i="7"/>
  <c r="AX537" i="7" s="1"/>
  <c r="AO201" i="7"/>
  <c r="AO257" i="7"/>
  <c r="AV257" i="7" s="1"/>
  <c r="AX257" i="7" s="1"/>
  <c r="AO324" i="7"/>
  <c r="AO258" i="7"/>
  <c r="AO240" i="7"/>
  <c r="AV240" i="7" s="1"/>
  <c r="AX240" i="7" s="1"/>
  <c r="AO343" i="7"/>
  <c r="AV343" i="7" s="1"/>
  <c r="AX343" i="7" s="1"/>
  <c r="AO502" i="7"/>
  <c r="AV502" i="7" s="1"/>
  <c r="AX502" i="7" s="1"/>
  <c r="AO32" i="7"/>
  <c r="AV32" i="7" s="1"/>
  <c r="AX32" i="7" s="1"/>
  <c r="AO375" i="7"/>
  <c r="AV375" i="7" s="1"/>
  <c r="AX375" i="7" s="1"/>
  <c r="AO208" i="7"/>
  <c r="AV208" i="7" s="1"/>
  <c r="AX208" i="7" s="1"/>
  <c r="AO383" i="7"/>
  <c r="AV383" i="7" s="1"/>
  <c r="AX383" i="7" s="1"/>
  <c r="AO475" i="7"/>
  <c r="AV475" i="7" s="1"/>
  <c r="AX475" i="7" s="1"/>
  <c r="AO553" i="7"/>
  <c r="AV553" i="7" s="1"/>
  <c r="AX553" i="7" s="1"/>
  <c r="AO238" i="7"/>
  <c r="AO37" i="7"/>
  <c r="AV37" i="7" s="1"/>
  <c r="AX37" i="7" s="1"/>
  <c r="AO233" i="7"/>
  <c r="AV233" i="7" s="1"/>
  <c r="AX233" i="7" s="1"/>
  <c r="BA233" i="7" s="1"/>
  <c r="BC233" i="7" s="1"/>
  <c r="AO518" i="7"/>
  <c r="AV518" i="7" s="1"/>
  <c r="AX518" i="7" s="1"/>
  <c r="AO148" i="7"/>
  <c r="AV148" i="7" s="1"/>
  <c r="AX148" i="7" s="1"/>
  <c r="AV135" i="7"/>
  <c r="AX135" i="7" s="1"/>
  <c r="AO440" i="7"/>
  <c r="AV440" i="7" s="1"/>
  <c r="AX440" i="7" s="1"/>
  <c r="AO573" i="7"/>
  <c r="AO363" i="7"/>
  <c r="AO550" i="7"/>
  <c r="AO366" i="7"/>
  <c r="AO326" i="7"/>
  <c r="AV326" i="7" s="1"/>
  <c r="AX326" i="7" s="1"/>
  <c r="AO369" i="7"/>
  <c r="AV369" i="7" s="1"/>
  <c r="AX369" i="7" s="1"/>
  <c r="AO347" i="7"/>
  <c r="AV347" i="7" s="1"/>
  <c r="AX347" i="7" s="1"/>
  <c r="AV261" i="7"/>
  <c r="AX261" i="7" s="1"/>
  <c r="AV301" i="7"/>
  <c r="AX301" i="7" s="1"/>
  <c r="AV426" i="7"/>
  <c r="AX426" i="7" s="1"/>
  <c r="AO451" i="7"/>
  <c r="AV451" i="7" s="1"/>
  <c r="AX451" i="7" s="1"/>
  <c r="AO425" i="7"/>
  <c r="AV425" i="7" s="1"/>
  <c r="AX425" i="7" s="1"/>
  <c r="AO569" i="7"/>
  <c r="AV569" i="7" s="1"/>
  <c r="AX569" i="7" s="1"/>
  <c r="AP37" i="6"/>
  <c r="AQ37" i="6" s="1"/>
  <c r="AR37" i="6" s="1"/>
  <c r="AU37" i="6" s="1"/>
  <c r="AO132" i="7"/>
  <c r="AV132" i="7" s="1"/>
  <c r="AX132" i="7" s="1"/>
  <c r="AO434" i="7"/>
  <c r="AO123" i="7"/>
  <c r="AO463" i="7"/>
  <c r="AV463" i="7" s="1"/>
  <c r="AX463" i="7" s="1"/>
  <c r="AO273" i="7"/>
  <c r="AV273" i="7" s="1"/>
  <c r="AX273" i="7" s="1"/>
  <c r="AO291" i="7"/>
  <c r="AV291" i="7" s="1"/>
  <c r="AX291" i="7" s="1"/>
  <c r="AO196" i="7"/>
  <c r="AV428" i="7"/>
  <c r="AX428" i="7" s="1"/>
  <c r="BA428" i="7" s="1"/>
  <c r="BC428" i="7" s="1"/>
  <c r="AO523" i="7"/>
  <c r="AO225" i="7"/>
  <c r="AV225" i="7" s="1"/>
  <c r="AX225" i="7" s="1"/>
  <c r="AV474" i="7"/>
  <c r="AX474" i="7" s="1"/>
  <c r="AV282" i="7"/>
  <c r="AX282" i="7" s="1"/>
  <c r="AV139" i="7"/>
  <c r="AX139" i="7" s="1"/>
  <c r="AO339" i="7"/>
  <c r="AO507" i="7"/>
  <c r="AO462" i="7"/>
  <c r="AV462" i="7" s="1"/>
  <c r="AX462" i="7" s="1"/>
  <c r="AO279" i="7"/>
  <c r="AV279" i="7" s="1"/>
  <c r="AX279" i="7" s="1"/>
  <c r="AO492" i="7"/>
  <c r="AV492" i="7" s="1"/>
  <c r="AX492" i="7" s="1"/>
  <c r="AO406" i="7"/>
  <c r="AO411" i="7"/>
  <c r="AO229" i="7"/>
  <c r="AV229" i="7" s="1"/>
  <c r="AX229" i="7" s="1"/>
  <c r="AO302" i="7"/>
  <c r="AV302" i="7" s="1"/>
  <c r="AX302" i="7" s="1"/>
  <c r="AO248" i="7"/>
  <c r="AV248" i="7" s="1"/>
  <c r="AX248" i="7" s="1"/>
  <c r="AO167" i="7"/>
  <c r="AO329" i="7"/>
  <c r="AV329" i="7" s="1"/>
  <c r="AX329" i="7" s="1"/>
  <c r="AO108" i="7"/>
  <c r="AV108" i="7" s="1"/>
  <c r="AX108" i="7" s="1"/>
  <c r="AO244" i="7"/>
  <c r="AV244" i="7" s="1"/>
  <c r="AX244" i="7" s="1"/>
  <c r="AO205" i="7"/>
  <c r="AV205" i="7" s="1"/>
  <c r="AX205" i="7" s="1"/>
  <c r="AO512" i="7"/>
  <c r="AV512" i="7" s="1"/>
  <c r="AX512" i="7" s="1"/>
  <c r="AO168" i="7"/>
  <c r="AV168" i="7" s="1"/>
  <c r="AX168" i="7" s="1"/>
  <c r="AO544" i="7"/>
  <c r="AO157" i="7"/>
  <c r="AO64" i="7"/>
  <c r="AV64" i="7" s="1"/>
  <c r="AX64" i="7" s="1"/>
  <c r="AO88" i="7"/>
  <c r="AV88" i="7" s="1"/>
  <c r="AX88" i="7" s="1"/>
  <c r="AO141" i="7"/>
  <c r="AV141" i="7" s="1"/>
  <c r="AX141" i="7" s="1"/>
  <c r="AO454" i="7"/>
  <c r="AV454" i="7" s="1"/>
  <c r="AX454" i="7" s="1"/>
  <c r="AO486" i="7"/>
  <c r="AV486" i="7" s="1"/>
  <c r="AX486" i="7" s="1"/>
  <c r="AO400" i="7"/>
  <c r="AV400" i="7" s="1"/>
  <c r="AX400" i="7" s="1"/>
  <c r="AK37" i="6"/>
  <c r="AL37" i="6" s="1"/>
  <c r="AN37" i="6" s="1"/>
  <c r="AO304" i="7"/>
  <c r="AV304" i="7" s="1"/>
  <c r="AX304" i="7" s="1"/>
  <c r="AO534" i="7"/>
  <c r="AV534" i="7" s="1"/>
  <c r="AX534" i="7" s="1"/>
  <c r="AK5" i="6"/>
  <c r="AL20" i="16"/>
  <c r="AN20" i="16" s="1"/>
  <c r="AL12" i="16"/>
  <c r="AN12" i="16" s="1"/>
  <c r="AV365" i="7"/>
  <c r="AX365" i="7" s="1"/>
  <c r="AL37" i="16"/>
  <c r="AN37" i="16" s="1"/>
  <c r="AL46" i="16"/>
  <c r="AN46" i="16" s="1"/>
  <c r="AL41" i="16"/>
  <c r="AN41" i="16" s="1"/>
  <c r="AL43" i="16"/>
  <c r="AN43" i="16" s="1"/>
  <c r="AL22" i="16"/>
  <c r="AN22" i="16" s="1"/>
  <c r="AO412" i="7"/>
  <c r="AV412" i="7" s="1"/>
  <c r="AX412" i="7" s="1"/>
  <c r="AO433" i="7"/>
  <c r="AV433" i="7" s="1"/>
  <c r="AX433" i="7" s="1"/>
  <c r="AO415" i="7"/>
  <c r="AV415" i="7" s="1"/>
  <c r="AX415" i="7" s="1"/>
  <c r="AL25" i="16"/>
  <c r="AN25" i="16" s="1"/>
  <c r="AL33" i="16"/>
  <c r="AN33" i="16" s="1"/>
  <c r="AL40" i="16"/>
  <c r="AN40" i="16" s="1"/>
  <c r="AO154" i="7"/>
  <c r="AL17" i="16"/>
  <c r="AN17" i="16" s="1"/>
  <c r="AO432" i="7"/>
  <c r="AV432" i="7" s="1"/>
  <c r="AX432" i="7" s="1"/>
  <c r="AV219" i="7"/>
  <c r="AX219" i="7" s="1"/>
  <c r="AL34" i="16"/>
  <c r="AN34" i="16" s="1"/>
  <c r="AL15" i="16"/>
  <c r="AN15" i="16" s="1"/>
  <c r="AL39" i="16"/>
  <c r="AN39" i="16" s="1"/>
  <c r="AL36" i="16"/>
  <c r="AN36" i="16" s="1"/>
  <c r="AL26" i="16"/>
  <c r="AN26" i="16" s="1"/>
  <c r="AF13" i="6"/>
  <c r="AF20" i="6"/>
  <c r="AF25" i="6"/>
  <c r="AF5" i="6"/>
  <c r="AA39" i="6"/>
  <c r="AB39" i="6" s="1"/>
  <c r="AA32" i="6"/>
  <c r="AB32" i="6" s="1"/>
  <c r="AF9" i="6"/>
  <c r="AA8" i="6"/>
  <c r="AB8" i="6" s="1"/>
  <c r="AA4" i="6"/>
  <c r="AB4" i="6" s="1"/>
  <c r="AF39" i="6"/>
  <c r="AA19" i="6"/>
  <c r="AB19" i="6" s="1"/>
  <c r="AF8" i="6"/>
  <c r="AA6" i="6"/>
  <c r="AB6" i="6" s="1"/>
  <c r="AF35" i="6"/>
  <c r="AF21" i="6"/>
  <c r="AF4" i="6"/>
  <c r="AA23" i="6"/>
  <c r="AB23" i="6" s="1"/>
  <c r="AF7" i="6"/>
  <c r="AF6" i="6"/>
  <c r="AA31" i="6"/>
  <c r="AB31" i="6" s="1"/>
  <c r="AA36" i="6"/>
  <c r="AB36" i="6" s="1"/>
  <c r="AA24" i="6"/>
  <c r="AB24" i="6" s="1"/>
  <c r="AF24" i="6"/>
  <c r="AF23" i="6"/>
  <c r="AF36" i="6"/>
  <c r="AF30" i="6"/>
  <c r="AA40" i="6"/>
  <c r="AB40" i="6" s="1"/>
  <c r="AA30" i="6"/>
  <c r="AB30" i="6" s="1"/>
  <c r="AA5" i="6"/>
  <c r="AB5" i="6" s="1"/>
  <c r="AF31" i="6"/>
  <c r="AA7" i="6"/>
  <c r="AB7" i="6" s="1"/>
  <c r="AA25" i="6"/>
  <c r="AB25" i="6" s="1"/>
  <c r="AF106" i="7"/>
  <c r="AA117" i="7"/>
  <c r="AB117" i="7" s="1"/>
  <c r="AF324" i="7"/>
  <c r="AF331" i="7"/>
  <c r="AA224" i="7"/>
  <c r="AB224" i="7" s="1"/>
  <c r="AF231" i="7"/>
  <c r="AF226" i="7"/>
  <c r="AF173" i="7"/>
  <c r="AF188" i="7"/>
  <c r="AF195" i="7"/>
  <c r="AF398" i="7"/>
  <c r="AF23" i="16"/>
  <c r="AA19" i="16"/>
  <c r="AB19" i="16" s="1"/>
  <c r="AF142" i="7"/>
  <c r="AF137" i="7"/>
  <c r="AA20" i="6"/>
  <c r="AB20" i="6" s="1"/>
  <c r="AF10" i="16"/>
  <c r="AA14" i="16"/>
  <c r="AB14" i="16" s="1"/>
  <c r="AF36" i="16"/>
  <c r="AR40" i="6"/>
  <c r="AU40" i="6" s="1"/>
  <c r="AR20" i="6"/>
  <c r="AU20" i="6" s="1"/>
  <c r="AL36" i="6"/>
  <c r="AN36" i="6" s="1"/>
  <c r="AL40" i="6"/>
  <c r="AN40" i="6" s="1"/>
  <c r="AL29" i="6"/>
  <c r="AN29" i="6" s="1"/>
  <c r="AR29" i="6"/>
  <c r="AU29" i="6" s="1"/>
  <c r="AL10" i="6"/>
  <c r="AN10" i="6" s="1"/>
  <c r="AL32" i="6"/>
  <c r="AN32" i="6" s="1"/>
  <c r="AR32" i="6"/>
  <c r="AU32" i="6" s="1"/>
  <c r="AL35" i="6"/>
  <c r="AN35" i="6" s="1"/>
  <c r="AO35" i="6" s="1"/>
  <c r="AO6" i="7"/>
  <c r="AV6" i="7" s="1"/>
  <c r="AO226" i="7"/>
  <c r="AV226" i="7" s="1"/>
  <c r="AO255" i="7"/>
  <c r="AV255" i="7" s="1"/>
  <c r="AO146" i="7"/>
  <c r="AV146" i="7" s="1"/>
  <c r="AO78" i="7"/>
  <c r="AV78" i="7" s="1"/>
  <c r="AO11" i="7"/>
  <c r="AV11" i="7" s="1"/>
  <c r="AO30" i="7"/>
  <c r="AV30" i="7" s="1"/>
  <c r="AO9" i="16"/>
  <c r="AV9" i="16" s="1"/>
  <c r="AO143" i="7"/>
  <c r="AV143" i="7" s="1"/>
  <c r="AO87" i="7"/>
  <c r="AV87" i="7" s="1"/>
  <c r="AO170" i="7"/>
  <c r="AV170" i="7" s="1"/>
  <c r="AO75" i="7"/>
  <c r="AV75" i="7" s="1"/>
  <c r="AO7" i="7"/>
  <c r="AV7" i="7" s="1"/>
  <c r="AO34" i="7"/>
  <c r="AV34" i="7" s="1"/>
  <c r="AO194" i="7"/>
  <c r="AV194" i="7" s="1"/>
  <c r="AO103" i="7"/>
  <c r="AV103" i="7" s="1"/>
  <c r="AO42" i="16"/>
  <c r="AV42" i="16" s="1"/>
  <c r="AO166" i="7"/>
  <c r="AV166" i="7" s="1"/>
  <c r="AO19" i="16"/>
  <c r="AV19" i="16" s="1"/>
  <c r="AO162" i="7"/>
  <c r="AV162" i="7" s="1"/>
  <c r="AO70" i="7"/>
  <c r="AV70" i="7" s="1"/>
  <c r="AO122" i="7"/>
  <c r="AV122" i="7" s="1"/>
  <c r="AO142" i="7"/>
  <c r="AV142" i="7" s="1"/>
  <c r="AO287" i="7"/>
  <c r="AV287" i="7" s="1"/>
  <c r="AO18" i="16"/>
  <c r="AV18" i="16" s="1"/>
  <c r="AO190" i="7"/>
  <c r="AV190" i="7" s="1"/>
  <c r="AO211" i="7"/>
  <c r="AV211" i="7" s="1"/>
  <c r="AR20" i="16"/>
  <c r="AU20" i="16" s="1"/>
  <c r="AO159" i="7"/>
  <c r="AV159" i="7" s="1"/>
  <c r="AO54" i="7"/>
  <c r="AV54" i="7" s="1"/>
  <c r="AR34" i="16"/>
  <c r="AU34" i="16" s="1"/>
  <c r="AO35" i="7"/>
  <c r="AV35" i="7" s="1"/>
  <c r="AO71" i="7"/>
  <c r="AV71" i="7" s="1"/>
  <c r="AO114" i="7"/>
  <c r="AV114" i="7" s="1"/>
  <c r="AR39" i="16"/>
  <c r="AU39" i="16" s="1"/>
  <c r="AK23" i="6"/>
  <c r="AL23" i="6" s="1"/>
  <c r="AN23" i="6" s="1"/>
  <c r="AK8" i="6"/>
  <c r="AO46" i="7"/>
  <c r="AV46" i="7" s="1"/>
  <c r="AO115" i="7"/>
  <c r="AV115" i="7" s="1"/>
  <c r="AO206" i="7"/>
  <c r="AV206" i="7" s="1"/>
  <c r="AR44" i="16"/>
  <c r="AU44" i="16" s="1"/>
  <c r="AO38" i="7"/>
  <c r="AV38" i="7" s="1"/>
  <c r="AO74" i="7"/>
  <c r="AV74" i="7" s="1"/>
  <c r="AO102" i="7"/>
  <c r="AV102" i="7" s="1"/>
  <c r="AO7" i="16"/>
  <c r="AV7" i="16" s="1"/>
  <c r="AO19" i="7"/>
  <c r="AV19" i="7" s="1"/>
  <c r="AO158" i="7"/>
  <c r="AV158" i="7" s="1"/>
  <c r="AO23" i="16"/>
  <c r="AV23" i="16" s="1"/>
  <c r="AO267" i="7"/>
  <c r="AV267" i="7" s="1"/>
  <c r="AO99" i="7"/>
  <c r="AV99" i="7" s="1"/>
  <c r="AR12" i="16"/>
  <c r="AU12" i="16" s="1"/>
  <c r="AL7" i="6"/>
  <c r="AN7" i="6" s="1"/>
  <c r="AO22" i="7"/>
  <c r="AV22" i="7" s="1"/>
  <c r="AO110" i="7"/>
  <c r="AV110" i="7" s="1"/>
  <c r="AO47" i="16"/>
  <c r="AV47" i="16" s="1"/>
  <c r="AO150" i="7"/>
  <c r="AV150" i="7" s="1"/>
  <c r="AO51" i="7"/>
  <c r="AV51" i="7" s="1"/>
  <c r="AO299" i="7"/>
  <c r="AV299" i="7" s="1"/>
  <c r="AO10" i="7"/>
  <c r="AV10" i="7" s="1"/>
  <c r="AR33" i="16"/>
  <c r="AU33" i="16" s="1"/>
  <c r="AO271" i="7"/>
  <c r="AV271" i="7" s="1"/>
  <c r="AO126" i="7"/>
  <c r="AV126" i="7" s="1"/>
  <c r="AP12" i="6"/>
  <c r="AQ12" i="6" s="1"/>
  <c r="AR12" i="6" s="1"/>
  <c r="AU12" i="6" s="1"/>
  <c r="AK12" i="6"/>
  <c r="AO178" i="7"/>
  <c r="AV178" i="7" s="1"/>
  <c r="AO50" i="7"/>
  <c r="AV50" i="7" s="1"/>
  <c r="AO147" i="7"/>
  <c r="AV147" i="7" s="1"/>
  <c r="AR37" i="16"/>
  <c r="AU37" i="16" s="1"/>
  <c r="AO14" i="7"/>
  <c r="AV14" i="7" s="1"/>
  <c r="AR15" i="16"/>
  <c r="AU15" i="16" s="1"/>
  <c r="AO227" i="7"/>
  <c r="AV227" i="7" s="1"/>
  <c r="AO16" i="16"/>
  <c r="AV16" i="16" s="1"/>
  <c r="AO319" i="7"/>
  <c r="AV319" i="7" s="1"/>
  <c r="AO130" i="7"/>
  <c r="AV130" i="7" s="1"/>
  <c r="AL48" i="16"/>
  <c r="AN48" i="16" s="1"/>
  <c r="AL44" i="16"/>
  <c r="AN44" i="16" s="1"/>
  <c r="AO214" i="7"/>
  <c r="AV214" i="7" s="1"/>
  <c r="AO210" i="7"/>
  <c r="AV210" i="7" s="1"/>
  <c r="AO127" i="7"/>
  <c r="AV127" i="7" s="1"/>
  <c r="AO21" i="6"/>
  <c r="AV21" i="6" s="1"/>
  <c r="AR25" i="16"/>
  <c r="AU25" i="16" s="1"/>
  <c r="AO31" i="16"/>
  <c r="AV31" i="16" s="1"/>
  <c r="AO230" i="7"/>
  <c r="AV230" i="7" s="1"/>
  <c r="AO223" i="7"/>
  <c r="AV223" i="7" s="1"/>
  <c r="AO315" i="7"/>
  <c r="AV315" i="7" s="1"/>
  <c r="AO331" i="7"/>
  <c r="AV331" i="7" s="1"/>
  <c r="AR40" i="16"/>
  <c r="AU40" i="16" s="1"/>
  <c r="AO32" i="16"/>
  <c r="AV32" i="16" s="1"/>
  <c r="AR43" i="16"/>
  <c r="AU43" i="16" s="1"/>
  <c r="AR26" i="16"/>
  <c r="AU26" i="16" s="1"/>
  <c r="AO4" i="16"/>
  <c r="AV4" i="16" s="1"/>
  <c r="AO66" i="7"/>
  <c r="AV66" i="7" s="1"/>
  <c r="AK27" i="6"/>
  <c r="AL27" i="6" s="1"/>
  <c r="AN27" i="6" s="1"/>
  <c r="AO10" i="16"/>
  <c r="AV10" i="16" s="1"/>
  <c r="AR22" i="16"/>
  <c r="AU22" i="16" s="1"/>
  <c r="AR48" i="16"/>
  <c r="AU48" i="16" s="1"/>
  <c r="AO39" i="7"/>
  <c r="AV39" i="7" s="1"/>
  <c r="AO195" i="7"/>
  <c r="AV195" i="7" s="1"/>
  <c r="AR19" i="6"/>
  <c r="AU19" i="6" s="1"/>
  <c r="AO45" i="16"/>
  <c r="AV45" i="16" s="1"/>
  <c r="AO6" i="16"/>
  <c r="AV6" i="16" s="1"/>
  <c r="AO222" i="7"/>
  <c r="AV222" i="7" s="1"/>
  <c r="AO191" i="7"/>
  <c r="AV191" i="7" s="1"/>
  <c r="AO283" i="7"/>
  <c r="AV283" i="7" s="1"/>
  <c r="AO28" i="16"/>
  <c r="AV28" i="16" s="1"/>
  <c r="AO67" i="7"/>
  <c r="AV67" i="7" s="1"/>
  <c r="AR46" i="16"/>
  <c r="AU46" i="16" s="1"/>
  <c r="AR36" i="16"/>
  <c r="AU36" i="16" s="1"/>
  <c r="AR41" i="16"/>
  <c r="AU41" i="16" s="1"/>
  <c r="AR17" i="16"/>
  <c r="AU17" i="16" s="1"/>
  <c r="AL191" i="6" l="1"/>
  <c r="AN191" i="6" s="1"/>
  <c r="AG460" i="7"/>
  <c r="AL213" i="6"/>
  <c r="AN213" i="6" s="1"/>
  <c r="AV176" i="7"/>
  <c r="AX176" i="7" s="1"/>
  <c r="BA176" i="7" s="1"/>
  <c r="BC176" i="7" s="1"/>
  <c r="AV363" i="7"/>
  <c r="AX363" i="7" s="1"/>
  <c r="BA363" i="7" s="1"/>
  <c r="BC363" i="7" s="1"/>
  <c r="AV366" i="7"/>
  <c r="AX366" i="7" s="1"/>
  <c r="AV446" i="7"/>
  <c r="AX446" i="7" s="1"/>
  <c r="AL175" i="6"/>
  <c r="AN175" i="6" s="1"/>
  <c r="AO175" i="6" s="1"/>
  <c r="AV175" i="6" s="1"/>
  <c r="AX175" i="6" s="1"/>
  <c r="AV546" i="7"/>
  <c r="AX546" i="7" s="1"/>
  <c r="AV18" i="6"/>
  <c r="AX18" i="6" s="1"/>
  <c r="BA18" i="6" s="1"/>
  <c r="BC18" i="6" s="1"/>
  <c r="AV75" i="6"/>
  <c r="AX75" i="6" s="1"/>
  <c r="BA75" i="6" s="1"/>
  <c r="BC75" i="6" s="1"/>
  <c r="AV201" i="7"/>
  <c r="AX201" i="7" s="1"/>
  <c r="BA201" i="7" s="1"/>
  <c r="BC201" i="7" s="1"/>
  <c r="AV154" i="7"/>
  <c r="AX154" i="7" s="1"/>
  <c r="BA154" i="7" s="1"/>
  <c r="BC154" i="7" s="1"/>
  <c r="AV258" i="7"/>
  <c r="AX258" i="7" s="1"/>
  <c r="BS52" i="7"/>
  <c r="BU52" i="7" s="1"/>
  <c r="BW52" i="7" s="1"/>
  <c r="BY52" i="7" s="1"/>
  <c r="BZ52" i="7" s="1"/>
  <c r="CA52" i="7" s="1"/>
  <c r="AV339" i="7"/>
  <c r="AX339" i="7" s="1"/>
  <c r="AL206" i="6"/>
  <c r="AN206" i="6" s="1"/>
  <c r="AO206" i="6" s="1"/>
  <c r="AV206" i="6" s="1"/>
  <c r="AX206" i="6" s="1"/>
  <c r="BA206" i="6" s="1"/>
  <c r="BC206" i="6" s="1"/>
  <c r="AV215" i="6"/>
  <c r="AX215" i="6" s="1"/>
  <c r="BA215" i="6" s="1"/>
  <c r="BC215" i="6" s="1"/>
  <c r="AV563" i="7"/>
  <c r="AX563" i="7" s="1"/>
  <c r="AV123" i="7"/>
  <c r="AX123" i="7" s="1"/>
  <c r="AV324" i="7"/>
  <c r="AX324" i="7" s="1"/>
  <c r="AL226" i="6"/>
  <c r="AN226" i="6" s="1"/>
  <c r="AO226" i="6" s="1"/>
  <c r="AV226" i="6" s="1"/>
  <c r="AX226" i="6" s="1"/>
  <c r="BA226" i="6" s="1"/>
  <c r="BC226" i="6" s="1"/>
  <c r="AO251" i="7"/>
  <c r="AV251" i="7" s="1"/>
  <c r="AX251" i="7" s="1"/>
  <c r="BA251" i="7" s="1"/>
  <c r="BC251" i="7" s="1"/>
  <c r="AO55" i="7"/>
  <c r="AV55" i="7" s="1"/>
  <c r="AX55" i="7" s="1"/>
  <c r="BA55" i="7" s="1"/>
  <c r="BC55" i="7" s="1"/>
  <c r="AV370" i="7"/>
  <c r="AX370" i="7" s="1"/>
  <c r="AV238" i="7"/>
  <c r="AX238" i="7" s="1"/>
  <c r="AL221" i="6"/>
  <c r="AN221" i="6" s="1"/>
  <c r="AO221" i="6" s="1"/>
  <c r="AV221" i="6" s="1"/>
  <c r="AX221" i="6" s="1"/>
  <c r="BA221" i="6" s="1"/>
  <c r="BC221" i="6" s="1"/>
  <c r="AV157" i="7"/>
  <c r="AX157" i="7" s="1"/>
  <c r="AV265" i="7"/>
  <c r="AX265" i="7" s="1"/>
  <c r="AO424" i="7"/>
  <c r="AV424" i="7" s="1"/>
  <c r="AX424" i="7" s="1"/>
  <c r="AV210" i="6"/>
  <c r="AX210" i="6" s="1"/>
  <c r="BA210" i="6" s="1"/>
  <c r="BC210" i="6" s="1"/>
  <c r="AV183" i="7"/>
  <c r="AX183" i="7" s="1"/>
  <c r="AV263" i="7"/>
  <c r="AX263" i="7" s="1"/>
  <c r="BA263" i="7" s="1"/>
  <c r="BC263" i="7" s="1"/>
  <c r="AO346" i="7"/>
  <c r="AV346" i="7" s="1"/>
  <c r="AX346" i="7" s="1"/>
  <c r="BA346" i="7" s="1"/>
  <c r="BC346" i="7" s="1"/>
  <c r="BE346" i="7" s="1"/>
  <c r="BF346" i="7" s="1"/>
  <c r="BG346" i="7" s="1"/>
  <c r="AO417" i="7"/>
  <c r="AV417" i="7" s="1"/>
  <c r="AX417" i="7" s="1"/>
  <c r="AV438" i="7"/>
  <c r="AX438" i="7" s="1"/>
  <c r="BA438" i="7" s="1"/>
  <c r="BC438" i="7" s="1"/>
  <c r="AO497" i="7"/>
  <c r="AV497" i="7" s="1"/>
  <c r="AX497" i="7" s="1"/>
  <c r="AV559" i="7"/>
  <c r="AX559" i="7" s="1"/>
  <c r="AV58" i="6"/>
  <c r="AX58" i="6" s="1"/>
  <c r="BA58" i="6" s="1"/>
  <c r="BC58" i="6" s="1"/>
  <c r="AO380" i="7"/>
  <c r="AV380" i="7" s="1"/>
  <c r="AX380" i="7" s="1"/>
  <c r="AV450" i="7"/>
  <c r="AX450" i="7" s="1"/>
  <c r="AV31" i="7"/>
  <c r="AX31" i="7" s="1"/>
  <c r="AO197" i="7"/>
  <c r="AV197" i="7" s="1"/>
  <c r="AX197" i="7" s="1"/>
  <c r="BA197" i="7" s="1"/>
  <c r="BC197" i="7" s="1"/>
  <c r="AV212" i="7"/>
  <c r="AX212" i="7" s="1"/>
  <c r="AL187" i="6"/>
  <c r="AN187" i="6" s="1"/>
  <c r="AL207" i="6"/>
  <c r="AN207" i="6" s="1"/>
  <c r="AO207" i="6" s="1"/>
  <c r="AV207" i="6" s="1"/>
  <c r="AX207" i="6" s="1"/>
  <c r="BA207" i="6" s="1"/>
  <c r="BC207" i="6" s="1"/>
  <c r="AV250" i="7"/>
  <c r="AX250" i="7" s="1"/>
  <c r="BA250" i="7" s="1"/>
  <c r="BC250" i="7" s="1"/>
  <c r="AO186" i="7"/>
  <c r="AV186" i="7" s="1"/>
  <c r="AX186" i="7" s="1"/>
  <c r="BA186" i="7" s="1"/>
  <c r="BC186" i="7" s="1"/>
  <c r="AO340" i="7"/>
  <c r="AV340" i="7" s="1"/>
  <c r="AX340" i="7" s="1"/>
  <c r="BA340" i="7" s="1"/>
  <c r="BC340" i="7" s="1"/>
  <c r="AO491" i="7"/>
  <c r="AV491" i="7" s="1"/>
  <c r="AX491" i="7" s="1"/>
  <c r="BA491" i="7" s="1"/>
  <c r="BC491" i="7" s="1"/>
  <c r="AO193" i="7"/>
  <c r="AV193" i="7" s="1"/>
  <c r="AX193" i="7" s="1"/>
  <c r="AV466" i="7"/>
  <c r="AX466" i="7" s="1"/>
  <c r="BA466" i="7" s="1"/>
  <c r="BC466" i="7" s="1"/>
  <c r="AV185" i="6"/>
  <c r="AX185" i="6" s="1"/>
  <c r="BA185" i="6" s="1"/>
  <c r="BC185" i="6" s="1"/>
  <c r="AL180" i="6"/>
  <c r="AN180" i="6" s="1"/>
  <c r="AO180" i="6" s="1"/>
  <c r="AV180" i="6" s="1"/>
  <c r="AX180" i="6" s="1"/>
  <c r="BA180" i="6" s="1"/>
  <c r="BC180" i="6" s="1"/>
  <c r="AL202" i="6"/>
  <c r="AN202" i="6" s="1"/>
  <c r="AO202" i="6" s="1"/>
  <c r="AV202" i="6" s="1"/>
  <c r="AX202" i="6" s="1"/>
  <c r="BA202" i="6" s="1"/>
  <c r="BC202" i="6" s="1"/>
  <c r="AV321" i="7"/>
  <c r="AX321" i="7" s="1"/>
  <c r="AG160" i="6"/>
  <c r="BR160" i="6" s="1"/>
  <c r="AG190" i="6"/>
  <c r="BR190" i="6" s="1"/>
  <c r="AG12" i="6"/>
  <c r="BR12" i="6" s="1"/>
  <c r="AG150" i="6"/>
  <c r="BR150" i="6" s="1"/>
  <c r="BS160" i="6"/>
  <c r="BS162" i="6"/>
  <c r="AG464" i="7"/>
  <c r="BR464" i="7" s="1"/>
  <c r="AA177" i="6"/>
  <c r="AB177" i="6" s="1"/>
  <c r="AG177" i="6" s="1"/>
  <c r="AG215" i="6"/>
  <c r="BR215" i="6" s="1"/>
  <c r="BS199" i="6"/>
  <c r="BS22" i="6"/>
  <c r="BU22" i="6" s="1"/>
  <c r="BW22" i="6" s="1"/>
  <c r="BY22" i="6" s="1"/>
  <c r="BZ22" i="6" s="1"/>
  <c r="CA22" i="6" s="1"/>
  <c r="BS510" i="7"/>
  <c r="AG205" i="6"/>
  <c r="BR205" i="6" s="1"/>
  <c r="AG254" i="7"/>
  <c r="BR254" i="7" s="1"/>
  <c r="AG152" i="6"/>
  <c r="BR152" i="6" s="1"/>
  <c r="AG482" i="7"/>
  <c r="AA87" i="6"/>
  <c r="AB87" i="6" s="1"/>
  <c r="AG87" i="6" s="1"/>
  <c r="BR87" i="6" s="1"/>
  <c r="AG144" i="7"/>
  <c r="BR144" i="7" s="1"/>
  <c r="BS124" i="6"/>
  <c r="AG126" i="6"/>
  <c r="BR126" i="6" s="1"/>
  <c r="AA27" i="6"/>
  <c r="AG9" i="16"/>
  <c r="BR9" i="16" s="1"/>
  <c r="BS150" i="6"/>
  <c r="BS114" i="6"/>
  <c r="BU114" i="6" s="1"/>
  <c r="AG128" i="6"/>
  <c r="BR128" i="6" s="1"/>
  <c r="AG18" i="7"/>
  <c r="BR18" i="7" s="1"/>
  <c r="BE428" i="7"/>
  <c r="BF428" i="7" s="1"/>
  <c r="BG428" i="7" s="1"/>
  <c r="BS464" i="7"/>
  <c r="BS144" i="7"/>
  <c r="AG349" i="7"/>
  <c r="BR349" i="7" s="1"/>
  <c r="AO25" i="6"/>
  <c r="AV25" i="6" s="1"/>
  <c r="AX25" i="6" s="1"/>
  <c r="AO312" i="7"/>
  <c r="AV312" i="7" s="1"/>
  <c r="AX312" i="7" s="1"/>
  <c r="BA312" i="7" s="1"/>
  <c r="BC312" i="7" s="1"/>
  <c r="AV219" i="6"/>
  <c r="AX219" i="6" s="1"/>
  <c r="BA219" i="6" s="1"/>
  <c r="BC219" i="6" s="1"/>
  <c r="AL188" i="6"/>
  <c r="AN188" i="6" s="1"/>
  <c r="AO335" i="7"/>
  <c r="AV335" i="7" s="1"/>
  <c r="AX335" i="7" s="1"/>
  <c r="BA335" i="7" s="1"/>
  <c r="BC335" i="7" s="1"/>
  <c r="AV544" i="7"/>
  <c r="AX544" i="7" s="1"/>
  <c r="BA544" i="7" s="1"/>
  <c r="BC544" i="7" s="1"/>
  <c r="AV573" i="7"/>
  <c r="AX573" i="7" s="1"/>
  <c r="AV434" i="7"/>
  <c r="AX434" i="7" s="1"/>
  <c r="BA434" i="7" s="1"/>
  <c r="BC434" i="7" s="1"/>
  <c r="AV218" i="7"/>
  <c r="AX218" i="7" s="1"/>
  <c r="AL198" i="6"/>
  <c r="AN198" i="6" s="1"/>
  <c r="AO198" i="6" s="1"/>
  <c r="AV198" i="6" s="1"/>
  <c r="AX198" i="6" s="1"/>
  <c r="BA198" i="6" s="1"/>
  <c r="BC198" i="6" s="1"/>
  <c r="AL212" i="6"/>
  <c r="AN212" i="6" s="1"/>
  <c r="AV507" i="7"/>
  <c r="AX507" i="7" s="1"/>
  <c r="BA507" i="7" s="1"/>
  <c r="BC507" i="7" s="1"/>
  <c r="AO8" i="7"/>
  <c r="AV8" i="7" s="1"/>
  <c r="AX8" i="7" s="1"/>
  <c r="AO382" i="7"/>
  <c r="AV382" i="7" s="1"/>
  <c r="AX382" i="7" s="1"/>
  <c r="AO77" i="7"/>
  <c r="AV77" i="7" s="1"/>
  <c r="AX77" i="7" s="1"/>
  <c r="AV554" i="7"/>
  <c r="AX554" i="7" s="1"/>
  <c r="AV196" i="7"/>
  <c r="AX196" i="7" s="1"/>
  <c r="BA196" i="7" s="1"/>
  <c r="BC196" i="7" s="1"/>
  <c r="AO247" i="7"/>
  <c r="AV247" i="7" s="1"/>
  <c r="AX247" i="7" s="1"/>
  <c r="AV169" i="7"/>
  <c r="AX169" i="7" s="1"/>
  <c r="BA169" i="7" s="1"/>
  <c r="BC169" i="7" s="1"/>
  <c r="AV52" i="6"/>
  <c r="AX52" i="6" s="1"/>
  <c r="AO498" i="7"/>
  <c r="AV498" i="7" s="1"/>
  <c r="AX498" i="7" s="1"/>
  <c r="AV167" i="7"/>
  <c r="AX167" i="7" s="1"/>
  <c r="AO384" i="7"/>
  <c r="AV384" i="7" s="1"/>
  <c r="AX384" i="7" s="1"/>
  <c r="AV523" i="7"/>
  <c r="AX523" i="7" s="1"/>
  <c r="AO216" i="7"/>
  <c r="AV216" i="7" s="1"/>
  <c r="AX216" i="7" s="1"/>
  <c r="AV274" i="7"/>
  <c r="AX274" i="7" s="1"/>
  <c r="AV499" i="7"/>
  <c r="AX499" i="7" s="1"/>
  <c r="BA499" i="7" s="1"/>
  <c r="BC499" i="7" s="1"/>
  <c r="AV216" i="6"/>
  <c r="AX216" i="6" s="1"/>
  <c r="BA216" i="6" s="1"/>
  <c r="BC216" i="6" s="1"/>
  <c r="AV192" i="6"/>
  <c r="AX192" i="6" s="1"/>
  <c r="BA192" i="6" s="1"/>
  <c r="BC192" i="6" s="1"/>
  <c r="AO38" i="16"/>
  <c r="AV38" i="16" s="1"/>
  <c r="AX38" i="16" s="1"/>
  <c r="BA38" i="16" s="1"/>
  <c r="BC38" i="16" s="1"/>
  <c r="AG41" i="16"/>
  <c r="BR41" i="16" s="1"/>
  <c r="AO42" i="7"/>
  <c r="AV42" i="7" s="1"/>
  <c r="AX42" i="7" s="1"/>
  <c r="AG199" i="6"/>
  <c r="BR199" i="6" s="1"/>
  <c r="BS109" i="6"/>
  <c r="BS128" i="6"/>
  <c r="AL17" i="6"/>
  <c r="AN17" i="6" s="1"/>
  <c r="AO17" i="6" s="1"/>
  <c r="AV17" i="6" s="1"/>
  <c r="AX17" i="6" s="1"/>
  <c r="BA17" i="6" s="1"/>
  <c r="BC17" i="6" s="1"/>
  <c r="AG72" i="6"/>
  <c r="BR72" i="6" s="1"/>
  <c r="AG186" i="6"/>
  <c r="AG187" i="6"/>
  <c r="BR187" i="6" s="1"/>
  <c r="AL14" i="6"/>
  <c r="AN14" i="6" s="1"/>
  <c r="AO14" i="6" s="1"/>
  <c r="AV14" i="6" s="1"/>
  <c r="AX14" i="6" s="1"/>
  <c r="BA14" i="6" s="1"/>
  <c r="BC14" i="6" s="1"/>
  <c r="AV406" i="7"/>
  <c r="AX406" i="7" s="1"/>
  <c r="AV550" i="7"/>
  <c r="AX550" i="7" s="1"/>
  <c r="BA550" i="7" s="1"/>
  <c r="BC550" i="7" s="1"/>
  <c r="AV427" i="7"/>
  <c r="AX427" i="7" s="1"/>
  <c r="AV38" i="6"/>
  <c r="AX38" i="6" s="1"/>
  <c r="AO213" i="7"/>
  <c r="AV213" i="7" s="1"/>
  <c r="AX213" i="7" s="1"/>
  <c r="BA213" i="7" s="1"/>
  <c r="BC213" i="7" s="1"/>
  <c r="AO352" i="7"/>
  <c r="AV352" i="7" s="1"/>
  <c r="AX352" i="7" s="1"/>
  <c r="BA352" i="7" s="1"/>
  <c r="BC352" i="7" s="1"/>
  <c r="AO24" i="7"/>
  <c r="AV24" i="7" s="1"/>
  <c r="AX24" i="7" s="1"/>
  <c r="AO453" i="7"/>
  <c r="AV453" i="7" s="1"/>
  <c r="AX453" i="7" s="1"/>
  <c r="AV16" i="6"/>
  <c r="AX16" i="6" s="1"/>
  <c r="BA16" i="6" s="1"/>
  <c r="BC16" i="6" s="1"/>
  <c r="AO565" i="7"/>
  <c r="AV565" i="7" s="1"/>
  <c r="AX565" i="7" s="1"/>
  <c r="BA565" i="7" s="1"/>
  <c r="BC565" i="7" s="1"/>
  <c r="AO457" i="7"/>
  <c r="AV457" i="7" s="1"/>
  <c r="AX457" i="7" s="1"/>
  <c r="AV79" i="6"/>
  <c r="AX79" i="6" s="1"/>
  <c r="BA79" i="6" s="1"/>
  <c r="BC79" i="6" s="1"/>
  <c r="AO303" i="7"/>
  <c r="AV303" i="7" s="1"/>
  <c r="AX303" i="7" s="1"/>
  <c r="BA303" i="7" s="1"/>
  <c r="BC303" i="7" s="1"/>
  <c r="AV208" i="6"/>
  <c r="AX208" i="6" s="1"/>
  <c r="BA208" i="6" s="1"/>
  <c r="BC208" i="6" s="1"/>
  <c r="AV114" i="6"/>
  <c r="AX114" i="6" s="1"/>
  <c r="AL193" i="6"/>
  <c r="AN193" i="6" s="1"/>
  <c r="AO270" i="7"/>
  <c r="AV270" i="7" s="1"/>
  <c r="AX270" i="7" s="1"/>
  <c r="AO395" i="7"/>
  <c r="AV395" i="7" s="1"/>
  <c r="AX395" i="7" s="1"/>
  <c r="AV15" i="6"/>
  <c r="AX15" i="6" s="1"/>
  <c r="BA15" i="6" s="1"/>
  <c r="BC15" i="6" s="1"/>
  <c r="AO93" i="7"/>
  <c r="AV93" i="7" s="1"/>
  <c r="AX93" i="7" s="1"/>
  <c r="AL103" i="6"/>
  <c r="AN103" i="6" s="1"/>
  <c r="AO103" i="6" s="1"/>
  <c r="AV103" i="6" s="1"/>
  <c r="AX103" i="6" s="1"/>
  <c r="BA103" i="6" s="1"/>
  <c r="BC103" i="6" s="1"/>
  <c r="AO478" i="7"/>
  <c r="AV478" i="7" s="1"/>
  <c r="AX478" i="7" s="1"/>
  <c r="AO107" i="7"/>
  <c r="AV107" i="7" s="1"/>
  <c r="AX107" i="7" s="1"/>
  <c r="BA107" i="7" s="1"/>
  <c r="BC107" i="7" s="1"/>
  <c r="AO414" i="7"/>
  <c r="AV414" i="7" s="1"/>
  <c r="AX414" i="7" s="1"/>
  <c r="BA414" i="7" s="1"/>
  <c r="BC414" i="7" s="1"/>
  <c r="AL200" i="6"/>
  <c r="AN200" i="6" s="1"/>
  <c r="AV135" i="6"/>
  <c r="AX135" i="6" s="1"/>
  <c r="BA135" i="6" s="1"/>
  <c r="BC135" i="6" s="1"/>
  <c r="AO505" i="7"/>
  <c r="AV505" i="7" s="1"/>
  <c r="AX505" i="7" s="1"/>
  <c r="BA505" i="7" s="1"/>
  <c r="BC505" i="7" s="1"/>
  <c r="AO156" i="7"/>
  <c r="AV156" i="7" s="1"/>
  <c r="AX156" i="7" s="1"/>
  <c r="BA156" i="7" s="1"/>
  <c r="BC156" i="7" s="1"/>
  <c r="AV108" i="6"/>
  <c r="AX108" i="6" s="1"/>
  <c r="AL5" i="6"/>
  <c r="AN5" i="6" s="1"/>
  <c r="AV125" i="6"/>
  <c r="AX125" i="6" s="1"/>
  <c r="AO568" i="7"/>
  <c r="AV568" i="7" s="1"/>
  <c r="AX568" i="7" s="1"/>
  <c r="BA568" i="7" s="1"/>
  <c r="BC568" i="7" s="1"/>
  <c r="AO191" i="6"/>
  <c r="AV191" i="6" s="1"/>
  <c r="AX191" i="6" s="1"/>
  <c r="BA191" i="6" s="1"/>
  <c r="BC191" i="6" s="1"/>
  <c r="AO429" i="7"/>
  <c r="AV429" i="7" s="1"/>
  <c r="AX429" i="7" s="1"/>
  <c r="BA429" i="7" s="1"/>
  <c r="BC429" i="7" s="1"/>
  <c r="AO197" i="6"/>
  <c r="AV197" i="6" s="1"/>
  <c r="AX197" i="6" s="1"/>
  <c r="BA197" i="6" s="1"/>
  <c r="BC197" i="6" s="1"/>
  <c r="AO447" i="7"/>
  <c r="AV447" i="7" s="1"/>
  <c r="AX447" i="7" s="1"/>
  <c r="AV101" i="6"/>
  <c r="AX101" i="6" s="1"/>
  <c r="AV60" i="6"/>
  <c r="AX60" i="6" s="1"/>
  <c r="BA60" i="6" s="1"/>
  <c r="BC60" i="6" s="1"/>
  <c r="AL121" i="6"/>
  <c r="AN121" i="6" s="1"/>
  <c r="AO121" i="6" s="1"/>
  <c r="AV121" i="6" s="1"/>
  <c r="AX121" i="6" s="1"/>
  <c r="BR510" i="7"/>
  <c r="AO547" i="7"/>
  <c r="AV547" i="7" s="1"/>
  <c r="AX547" i="7" s="1"/>
  <c r="BA547" i="7" s="1"/>
  <c r="BC547" i="7" s="1"/>
  <c r="AO444" i="7"/>
  <c r="AV444" i="7" s="1"/>
  <c r="AX444" i="7" s="1"/>
  <c r="AO443" i="7"/>
  <c r="AV443" i="7" s="1"/>
  <c r="AX443" i="7" s="1"/>
  <c r="BA443" i="7" s="1"/>
  <c r="BC443" i="7" s="1"/>
  <c r="AO79" i="7"/>
  <c r="AV79" i="7" s="1"/>
  <c r="AX79" i="7" s="1"/>
  <c r="AO561" i="7"/>
  <c r="AV561" i="7" s="1"/>
  <c r="AX561" i="7" s="1"/>
  <c r="BA561" i="7" s="1"/>
  <c r="BC561" i="7" s="1"/>
  <c r="AG162" i="6"/>
  <c r="BR162" i="6" s="1"/>
  <c r="BS152" i="6"/>
  <c r="AB80" i="6"/>
  <c r="AG80" i="6" s="1"/>
  <c r="BR80" i="6" s="1"/>
  <c r="BS80" i="6"/>
  <c r="BS126" i="6"/>
  <c r="AO204" i="6"/>
  <c r="AV204" i="6" s="1"/>
  <c r="AX204" i="6" s="1"/>
  <c r="BA204" i="6" s="1"/>
  <c r="BC204" i="6" s="1"/>
  <c r="AO333" i="7"/>
  <c r="AV333" i="7" s="1"/>
  <c r="AX333" i="7" s="1"/>
  <c r="AO441" i="7"/>
  <c r="AV441" i="7" s="1"/>
  <c r="AX441" i="7" s="1"/>
  <c r="AG102" i="6"/>
  <c r="BR102" i="6" s="1"/>
  <c r="AV120" i="6"/>
  <c r="AX120" i="6" s="1"/>
  <c r="BS215" i="6"/>
  <c r="BS211" i="6"/>
  <c r="AG300" i="7"/>
  <c r="BR300" i="7" s="1"/>
  <c r="AG26" i="6"/>
  <c r="BR26" i="6" s="1"/>
  <c r="AV27" i="16"/>
  <c r="AX27" i="16" s="1"/>
  <c r="BA27" i="16" s="1"/>
  <c r="BC27" i="16" s="1"/>
  <c r="AV89" i="6"/>
  <c r="AX89" i="6" s="1"/>
  <c r="AG109" i="6"/>
  <c r="BR109" i="6" s="1"/>
  <c r="BS191" i="6"/>
  <c r="AG197" i="6"/>
  <c r="BS190" i="6"/>
  <c r="AG104" i="6"/>
  <c r="BR104" i="6" s="1"/>
  <c r="AG25" i="16"/>
  <c r="BR25" i="16" s="1"/>
  <c r="AL224" i="6"/>
  <c r="AN224" i="6" s="1"/>
  <c r="AG196" i="6"/>
  <c r="BR196" i="6" s="1"/>
  <c r="BS213" i="6"/>
  <c r="AG124" i="6"/>
  <c r="BR124" i="6" s="1"/>
  <c r="AO136" i="6"/>
  <c r="AV136" i="6" s="1"/>
  <c r="AX136" i="6" s="1"/>
  <c r="BA136" i="6" s="1"/>
  <c r="BC136" i="6" s="1"/>
  <c r="AN68" i="6"/>
  <c r="AO68" i="6" s="1"/>
  <c r="AV68" i="6" s="1"/>
  <c r="AX68" i="6" s="1"/>
  <c r="BA68" i="6" s="1"/>
  <c r="BC68" i="6" s="1"/>
  <c r="BS210" i="7"/>
  <c r="AG210" i="7"/>
  <c r="BR210" i="7" s="1"/>
  <c r="AO223" i="6"/>
  <c r="AV223" i="6" s="1"/>
  <c r="AX223" i="6" s="1"/>
  <c r="BA223" i="6" s="1"/>
  <c r="BC223" i="6" s="1"/>
  <c r="AV151" i="6"/>
  <c r="AX151" i="6" s="1"/>
  <c r="AO566" i="7"/>
  <c r="AV566" i="7" s="1"/>
  <c r="AX566" i="7" s="1"/>
  <c r="AL87" i="6"/>
  <c r="AN87" i="6" s="1"/>
  <c r="BS104" i="6"/>
  <c r="BU51" i="7"/>
  <c r="BW51" i="7" s="1"/>
  <c r="BY51" i="7" s="1"/>
  <c r="BZ51" i="7" s="1"/>
  <c r="CA51" i="7" s="1"/>
  <c r="BU233" i="7"/>
  <c r="BW233" i="7" s="1"/>
  <c r="BY233" i="7" s="1"/>
  <c r="BZ233" i="7" s="1"/>
  <c r="CA233" i="7" s="1"/>
  <c r="AV139" i="6"/>
  <c r="AX139" i="6" s="1"/>
  <c r="BA139" i="6" s="1"/>
  <c r="BC139" i="6" s="1"/>
  <c r="AL110" i="6"/>
  <c r="AN110" i="6" s="1"/>
  <c r="AO110" i="6" s="1"/>
  <c r="AV110" i="6" s="1"/>
  <c r="AX110" i="6" s="1"/>
  <c r="BA110" i="6" s="1"/>
  <c r="BC110" i="6" s="1"/>
  <c r="BS203" i="6"/>
  <c r="AA73" i="6"/>
  <c r="AB73" i="6" s="1"/>
  <c r="AG73" i="6" s="1"/>
  <c r="BR73" i="6" s="1"/>
  <c r="BS189" i="6"/>
  <c r="AG157" i="6"/>
  <c r="BR157" i="6" s="1"/>
  <c r="BS157" i="6"/>
  <c r="AB505" i="7"/>
  <c r="AG505" i="7" s="1"/>
  <c r="BS505" i="7"/>
  <c r="AB172" i="6"/>
  <c r="AG172" i="6" s="1"/>
  <c r="BR172" i="6" s="1"/>
  <c r="BS172" i="6"/>
  <c r="AV77" i="6"/>
  <c r="AX77" i="6" s="1"/>
  <c r="BU118" i="7"/>
  <c r="BW118" i="7" s="1"/>
  <c r="BY118" i="7" s="1"/>
  <c r="BZ118" i="7" s="1"/>
  <c r="CA118" i="7" s="1"/>
  <c r="BU232" i="7"/>
  <c r="BW232" i="7" s="1"/>
  <c r="BY232" i="7" s="1"/>
  <c r="BZ232" i="7" s="1"/>
  <c r="CA232" i="7" s="1"/>
  <c r="BU385" i="7"/>
  <c r="BW385" i="7" s="1"/>
  <c r="BY385" i="7" s="1"/>
  <c r="BZ385" i="7" s="1"/>
  <c r="CA385" i="7" s="1"/>
  <c r="AV74" i="6"/>
  <c r="AX74" i="6" s="1"/>
  <c r="BA74" i="6" s="1"/>
  <c r="BC74" i="6" s="1"/>
  <c r="AL105" i="6"/>
  <c r="AN105" i="6" s="1"/>
  <c r="AO105" i="6" s="1"/>
  <c r="AV105" i="6" s="1"/>
  <c r="AX105" i="6" s="1"/>
  <c r="BA105" i="6" s="1"/>
  <c r="BC105" i="6" s="1"/>
  <c r="AG214" i="6"/>
  <c r="AB226" i="6"/>
  <c r="AG226" i="6" s="1"/>
  <c r="BR226" i="6" s="1"/>
  <c r="BS226" i="6"/>
  <c r="AG218" i="6"/>
  <c r="BR218" i="6" s="1"/>
  <c r="AG206" i="6"/>
  <c r="BS225" i="6"/>
  <c r="BS196" i="6"/>
  <c r="BS216" i="6"/>
  <c r="BS197" i="6"/>
  <c r="BS15" i="6"/>
  <c r="BS184" i="6"/>
  <c r="BS198" i="6"/>
  <c r="AV92" i="6"/>
  <c r="AX92" i="6" s="1"/>
  <c r="BA92" i="6" s="1"/>
  <c r="BC92" i="6" s="1"/>
  <c r="BS194" i="6"/>
  <c r="BS220" i="6"/>
  <c r="AB228" i="6"/>
  <c r="AG228" i="6" s="1"/>
  <c r="BS228" i="6"/>
  <c r="BS222" i="6"/>
  <c r="BS16" i="6"/>
  <c r="BS205" i="6"/>
  <c r="BU205" i="6" s="1"/>
  <c r="BW205" i="6" s="1"/>
  <c r="BY205" i="6" s="1"/>
  <c r="BZ205" i="6" s="1"/>
  <c r="CA205" i="6" s="1"/>
  <c r="BS224" i="6"/>
  <c r="AG224" i="6"/>
  <c r="BR224" i="6" s="1"/>
  <c r="AB183" i="6"/>
  <c r="AG183" i="6" s="1"/>
  <c r="BR183" i="6" s="1"/>
  <c r="BS183" i="6"/>
  <c r="BS187" i="6"/>
  <c r="AG180" i="6"/>
  <c r="BR180" i="6" s="1"/>
  <c r="BS185" i="6"/>
  <c r="AO220" i="7"/>
  <c r="AV220" i="7" s="1"/>
  <c r="AX220" i="7" s="1"/>
  <c r="AO489" i="7"/>
  <c r="AV489" i="7" s="1"/>
  <c r="AX489" i="7" s="1"/>
  <c r="AB217" i="6"/>
  <c r="AG217" i="6" s="1"/>
  <c r="BS217" i="6"/>
  <c r="AG14" i="6"/>
  <c r="BR14" i="6" s="1"/>
  <c r="BS14" i="6"/>
  <c r="BS181" i="6"/>
  <c r="AG213" i="6"/>
  <c r="BR213" i="6" s="1"/>
  <c r="AG201" i="6"/>
  <c r="BR201" i="6" s="1"/>
  <c r="BS201" i="6"/>
  <c r="BS180" i="6"/>
  <c r="AB219" i="6"/>
  <c r="AG219" i="6" s="1"/>
  <c r="BS219" i="6"/>
  <c r="AB202" i="6"/>
  <c r="AG202" i="6" s="1"/>
  <c r="BS202" i="6"/>
  <c r="AB209" i="6"/>
  <c r="AG209" i="6" s="1"/>
  <c r="BS209" i="6"/>
  <c r="AG210" i="6"/>
  <c r="BS210" i="6"/>
  <c r="AG182" i="6"/>
  <c r="BR182" i="6" s="1"/>
  <c r="AG225" i="6"/>
  <c r="AO72" i="7"/>
  <c r="AV72" i="7" s="1"/>
  <c r="AX72" i="7" s="1"/>
  <c r="AO542" i="7"/>
  <c r="AV542" i="7" s="1"/>
  <c r="AX542" i="7" s="1"/>
  <c r="BA542" i="7" s="1"/>
  <c r="BC542" i="7" s="1"/>
  <c r="BS195" i="6"/>
  <c r="AG188" i="6"/>
  <c r="BR188" i="6" s="1"/>
  <c r="AG191" i="6"/>
  <c r="BS218" i="6"/>
  <c r="BS182" i="6"/>
  <c r="AG16" i="6"/>
  <c r="BR16" i="6" s="1"/>
  <c r="BS200" i="6"/>
  <c r="AG216" i="6"/>
  <c r="BS188" i="6"/>
  <c r="AG18" i="6"/>
  <c r="BR18" i="6" s="1"/>
  <c r="BS206" i="6"/>
  <c r="AG184" i="6"/>
  <c r="BR184" i="6" s="1"/>
  <c r="BS212" i="6"/>
  <c r="BU212" i="6" s="1"/>
  <c r="BW212" i="6" s="1"/>
  <c r="BY212" i="6" s="1"/>
  <c r="BZ212" i="6" s="1"/>
  <c r="CA212" i="6" s="1"/>
  <c r="BS214" i="6"/>
  <c r="AG200" i="6"/>
  <c r="BR200" i="6" s="1"/>
  <c r="AG194" i="6"/>
  <c r="AG220" i="6"/>
  <c r="AG189" i="6"/>
  <c r="AA223" i="6"/>
  <c r="AB223" i="6" s="1"/>
  <c r="AG223" i="6" s="1"/>
  <c r="AG221" i="6"/>
  <c r="AB192" i="6"/>
  <c r="AG192" i="6" s="1"/>
  <c r="BS192" i="6"/>
  <c r="AB204" i="6"/>
  <c r="AG204" i="6" s="1"/>
  <c r="BS204" i="6"/>
  <c r="AB193" i="6"/>
  <c r="AG193" i="6" s="1"/>
  <c r="BS193" i="6"/>
  <c r="BS17" i="6"/>
  <c r="BS221" i="6"/>
  <c r="BS18" i="6"/>
  <c r="AG17" i="6"/>
  <c r="BR17" i="6" s="1"/>
  <c r="AG181" i="6"/>
  <c r="BR181" i="6" s="1"/>
  <c r="BS227" i="6"/>
  <c r="AG211" i="6"/>
  <c r="BR211" i="6" s="1"/>
  <c r="AG198" i="6"/>
  <c r="BR198" i="6" s="1"/>
  <c r="AG227" i="6"/>
  <c r="AA207" i="6"/>
  <c r="AB207" i="6" s="1"/>
  <c r="AG207" i="6" s="1"/>
  <c r="BS186" i="6"/>
  <c r="AG222" i="6"/>
  <c r="BR222" i="6" s="1"/>
  <c r="AG185" i="6"/>
  <c r="AG15" i="6"/>
  <c r="BR15" i="6" s="1"/>
  <c r="BU15" i="6" s="1"/>
  <c r="BW15" i="6" s="1"/>
  <c r="BY15" i="6" s="1"/>
  <c r="BZ15" i="6" s="1"/>
  <c r="CA15" i="6" s="1"/>
  <c r="AG195" i="6"/>
  <c r="BR195" i="6" s="1"/>
  <c r="BE460" i="7"/>
  <c r="AA208" i="6"/>
  <c r="AG203" i="6"/>
  <c r="AG33" i="7"/>
  <c r="BR33" i="7" s="1"/>
  <c r="AG184" i="7"/>
  <c r="BR184" i="7" s="1"/>
  <c r="AG37" i="16"/>
  <c r="BR37" i="16" s="1"/>
  <c r="AV93" i="6"/>
  <c r="AX93" i="6" s="1"/>
  <c r="AG341" i="7"/>
  <c r="BR341" i="7" s="1"/>
  <c r="AG551" i="7"/>
  <c r="BS41" i="16"/>
  <c r="AG436" i="7"/>
  <c r="BR436" i="7" s="1"/>
  <c r="AG354" i="7"/>
  <c r="BR354" i="7" s="1"/>
  <c r="AO57" i="7"/>
  <c r="AV57" i="7" s="1"/>
  <c r="AX57" i="7" s="1"/>
  <c r="AO161" i="7"/>
  <c r="AV161" i="7" s="1"/>
  <c r="AX161" i="7" s="1"/>
  <c r="AL182" i="6"/>
  <c r="AN182" i="6" s="1"/>
  <c r="AO228" i="7"/>
  <c r="AV228" i="7" s="1"/>
  <c r="AX228" i="7" s="1"/>
  <c r="AO419" i="7"/>
  <c r="AV419" i="7" s="1"/>
  <c r="AX419" i="7" s="1"/>
  <c r="AO76" i="6"/>
  <c r="AV76" i="6" s="1"/>
  <c r="AX76" i="6" s="1"/>
  <c r="AV49" i="6"/>
  <c r="AX49" i="6" s="1"/>
  <c r="BA49" i="6" s="1"/>
  <c r="BC49" i="6" s="1"/>
  <c r="AL227" i="6"/>
  <c r="AN227" i="6" s="1"/>
  <c r="AO227" i="6" s="1"/>
  <c r="AV227" i="6" s="1"/>
  <c r="AX227" i="6" s="1"/>
  <c r="BA227" i="6" s="1"/>
  <c r="BC227" i="6" s="1"/>
  <c r="AL196" i="6"/>
  <c r="AN196" i="6" s="1"/>
  <c r="AO243" i="7"/>
  <c r="AV243" i="7" s="1"/>
  <c r="AX243" i="7" s="1"/>
  <c r="BA243" i="7" s="1"/>
  <c r="BC243" i="7" s="1"/>
  <c r="AO541" i="7"/>
  <c r="AV541" i="7" s="1"/>
  <c r="AX541" i="7" s="1"/>
  <c r="AO195" i="6"/>
  <c r="AV195" i="6" s="1"/>
  <c r="AX195" i="6" s="1"/>
  <c r="BA195" i="6" s="1"/>
  <c r="BC195" i="6" s="1"/>
  <c r="AO295" i="7"/>
  <c r="AV295" i="7" s="1"/>
  <c r="AX295" i="7" s="1"/>
  <c r="AO377" i="7"/>
  <c r="AV377" i="7" s="1"/>
  <c r="AX377" i="7" s="1"/>
  <c r="AO388" i="7"/>
  <c r="AV388" i="7" s="1"/>
  <c r="AX388" i="7" s="1"/>
  <c r="BA388" i="7" s="1"/>
  <c r="BC388" i="7" s="1"/>
  <c r="AO495" i="7"/>
  <c r="AV495" i="7" s="1"/>
  <c r="AX495" i="7" s="1"/>
  <c r="AO181" i="7"/>
  <c r="AV181" i="7" s="1"/>
  <c r="AX181" i="7" s="1"/>
  <c r="AN109" i="6"/>
  <c r="AO109" i="6" s="1"/>
  <c r="AV109" i="6" s="1"/>
  <c r="AX109" i="6" s="1"/>
  <c r="BA109" i="6" s="1"/>
  <c r="BC109" i="6" s="1"/>
  <c r="AO213" i="6"/>
  <c r="AV213" i="6" s="1"/>
  <c r="AX213" i="6" s="1"/>
  <c r="BA213" i="6" s="1"/>
  <c r="BC213" i="6" s="1"/>
  <c r="AN78" i="6"/>
  <c r="AO78" i="6" s="1"/>
  <c r="AV78" i="6" s="1"/>
  <c r="AL211" i="6"/>
  <c r="AN211" i="6" s="1"/>
  <c r="AG187" i="7"/>
  <c r="BR187" i="7" s="1"/>
  <c r="BS482" i="7"/>
  <c r="AO190" i="6"/>
  <c r="AV190" i="6" s="1"/>
  <c r="AX190" i="6" s="1"/>
  <c r="BA190" i="6" s="1"/>
  <c r="BC190" i="6" s="1"/>
  <c r="AL218" i="6"/>
  <c r="AN218" i="6" s="1"/>
  <c r="AL225" i="6"/>
  <c r="AN225" i="6" s="1"/>
  <c r="AL199" i="6"/>
  <c r="AN199" i="6" s="1"/>
  <c r="AL183" i="6"/>
  <c r="AN183" i="6" s="1"/>
  <c r="AV171" i="6"/>
  <c r="AX171" i="6" s="1"/>
  <c r="AV67" i="6"/>
  <c r="AX67" i="6" s="1"/>
  <c r="BA67" i="6" s="1"/>
  <c r="BC67" i="6" s="1"/>
  <c r="AO28" i="7"/>
  <c r="AV28" i="7" s="1"/>
  <c r="AX28" i="7" s="1"/>
  <c r="AV82" i="6"/>
  <c r="AX82" i="6" s="1"/>
  <c r="BA82" i="6" s="1"/>
  <c r="BC82" i="6" s="1"/>
  <c r="AO189" i="6"/>
  <c r="AV189" i="6" s="1"/>
  <c r="AX189" i="6" s="1"/>
  <c r="BA189" i="6" s="1"/>
  <c r="BC189" i="6" s="1"/>
  <c r="AL214" i="6"/>
  <c r="AN214" i="6" s="1"/>
  <c r="AR214" i="6"/>
  <c r="AU214" i="6" s="1"/>
  <c r="AO184" i="6"/>
  <c r="AV184" i="6" s="1"/>
  <c r="AX184" i="6" s="1"/>
  <c r="BA184" i="6" s="1"/>
  <c r="BC184" i="6" s="1"/>
  <c r="AV220" i="6"/>
  <c r="AX220" i="6" s="1"/>
  <c r="BA220" i="6" s="1"/>
  <c r="BC220" i="6" s="1"/>
  <c r="AO521" i="7"/>
  <c r="AV521" i="7" s="1"/>
  <c r="AX521" i="7" s="1"/>
  <c r="BA521" i="7" s="1"/>
  <c r="BC521" i="7" s="1"/>
  <c r="AL228" i="6"/>
  <c r="AN228" i="6" s="1"/>
  <c r="AO141" i="6"/>
  <c r="AV141" i="6" s="1"/>
  <c r="AX141" i="6" s="1"/>
  <c r="AL107" i="6"/>
  <c r="AN107" i="6" s="1"/>
  <c r="AV201" i="6"/>
  <c r="AX201" i="6" s="1"/>
  <c r="BA201" i="6" s="1"/>
  <c r="BC201" i="6" s="1"/>
  <c r="AV194" i="6"/>
  <c r="AX194" i="6" s="1"/>
  <c r="BA194" i="6" s="1"/>
  <c r="BC194" i="6" s="1"/>
  <c r="AO277" i="7"/>
  <c r="AV277" i="7" s="1"/>
  <c r="AX277" i="7" s="1"/>
  <c r="BA277" i="7" s="1"/>
  <c r="BC277" i="7" s="1"/>
  <c r="AO177" i="6"/>
  <c r="AV177" i="6" s="1"/>
  <c r="AO179" i="6"/>
  <c r="AV179" i="6" s="1"/>
  <c r="AX179" i="6" s="1"/>
  <c r="AO176" i="6"/>
  <c r="AV176" i="6" s="1"/>
  <c r="AX176" i="6" s="1"/>
  <c r="AO205" i="6"/>
  <c r="AV205" i="6" s="1"/>
  <c r="AX205" i="6" s="1"/>
  <c r="BA205" i="6" s="1"/>
  <c r="BC205" i="6" s="1"/>
  <c r="AX222" i="6"/>
  <c r="BA222" i="6" s="1"/>
  <c r="BC222" i="6" s="1"/>
  <c r="AO217" i="6"/>
  <c r="AV217" i="6" s="1"/>
  <c r="AO209" i="6"/>
  <c r="AV209" i="6" s="1"/>
  <c r="AX209" i="6" s="1"/>
  <c r="BA209" i="6" s="1"/>
  <c r="BC209" i="6" s="1"/>
  <c r="AO181" i="6"/>
  <c r="AV181" i="6" s="1"/>
  <c r="AX181" i="6" s="1"/>
  <c r="BA181" i="6" s="1"/>
  <c r="BC181" i="6" s="1"/>
  <c r="AO188" i="6"/>
  <c r="AV188" i="6" s="1"/>
  <c r="AX188" i="6" s="1"/>
  <c r="BA188" i="6" s="1"/>
  <c r="BC188" i="6" s="1"/>
  <c r="AL19" i="6"/>
  <c r="AN19" i="6" s="1"/>
  <c r="AO19" i="6" s="1"/>
  <c r="AV19" i="6" s="1"/>
  <c r="AO328" i="7"/>
  <c r="AV328" i="7" s="1"/>
  <c r="AX328" i="7" s="1"/>
  <c r="AO81" i="7"/>
  <c r="AV81" i="7" s="1"/>
  <c r="AX81" i="7" s="1"/>
  <c r="AO351" i="7"/>
  <c r="AV351" i="7" s="1"/>
  <c r="AX351" i="7" s="1"/>
  <c r="AO12" i="7"/>
  <c r="AV12" i="7" s="1"/>
  <c r="AX12" i="7" s="1"/>
  <c r="AO200" i="7"/>
  <c r="AV200" i="7" s="1"/>
  <c r="AX200" i="7" s="1"/>
  <c r="AO560" i="7"/>
  <c r="AV560" i="7" s="1"/>
  <c r="AX560" i="7" s="1"/>
  <c r="BA560" i="7" s="1"/>
  <c r="BC560" i="7" s="1"/>
  <c r="AG237" i="7"/>
  <c r="BR237" i="7" s="1"/>
  <c r="AG58" i="7"/>
  <c r="BR58" i="7" s="1"/>
  <c r="AG74" i="7"/>
  <c r="BR74" i="7" s="1"/>
  <c r="AG560" i="7"/>
  <c r="AG40" i="7"/>
  <c r="BR40" i="7" s="1"/>
  <c r="AG267" i="7"/>
  <c r="BR267" i="7" s="1"/>
  <c r="AG414" i="7"/>
  <c r="BR414" i="7" s="1"/>
  <c r="BS25" i="16"/>
  <c r="BS428" i="7"/>
  <c r="BU428" i="7" s="1"/>
  <c r="BW428" i="7" s="1"/>
  <c r="BY428" i="7" s="1"/>
  <c r="BZ428" i="7" s="1"/>
  <c r="CA428" i="7" s="1"/>
  <c r="AG249" i="7"/>
  <c r="BR249" i="7" s="1"/>
  <c r="AG235" i="7"/>
  <c r="BR235" i="7" s="1"/>
  <c r="AG96" i="7"/>
  <c r="BR96" i="7" s="1"/>
  <c r="BU5" i="7"/>
  <c r="BW5" i="7" s="1"/>
  <c r="BY5" i="7" s="1"/>
  <c r="BZ5" i="7" s="1"/>
  <c r="CA5" i="7" s="1"/>
  <c r="AG440" i="7"/>
  <c r="BR440" i="7" s="1"/>
  <c r="AG31" i="16"/>
  <c r="BR31" i="16" s="1"/>
  <c r="AG506" i="7"/>
  <c r="AG30" i="16"/>
  <c r="BR30" i="16" s="1"/>
  <c r="AG67" i="7"/>
  <c r="BR67" i="7" s="1"/>
  <c r="AG225" i="7"/>
  <c r="BR225" i="7" s="1"/>
  <c r="AG312" i="7"/>
  <c r="BR312" i="7" s="1"/>
  <c r="AG338" i="7"/>
  <c r="BR338" i="7" s="1"/>
  <c r="AG463" i="7"/>
  <c r="AG94" i="6"/>
  <c r="BR94" i="6" s="1"/>
  <c r="BE233" i="7"/>
  <c r="BF233" i="7" s="1"/>
  <c r="BG233" i="7" s="1"/>
  <c r="AG4" i="16"/>
  <c r="BR4" i="16" s="1"/>
  <c r="AG291" i="7"/>
  <c r="BR291" i="7" s="1"/>
  <c r="AG201" i="7"/>
  <c r="BR201" i="7" s="1"/>
  <c r="AG466" i="7"/>
  <c r="AG19" i="16"/>
  <c r="BR19" i="16" s="1"/>
  <c r="AG117" i="7"/>
  <c r="BR117" i="7" s="1"/>
  <c r="AG38" i="16"/>
  <c r="BR38" i="16" s="1"/>
  <c r="AG128" i="7"/>
  <c r="BR128" i="7" s="1"/>
  <c r="AG256" i="7"/>
  <c r="BR256" i="7" s="1"/>
  <c r="AG197" i="7"/>
  <c r="BR197" i="7" s="1"/>
  <c r="AG488" i="7"/>
  <c r="BR488" i="7" s="1"/>
  <c r="AG91" i="7"/>
  <c r="BR91" i="7" s="1"/>
  <c r="AG213" i="7"/>
  <c r="BR213" i="7" s="1"/>
  <c r="AG443" i="7"/>
  <c r="BR443" i="7" s="1"/>
  <c r="AG24" i="16"/>
  <c r="BR24" i="16" s="1"/>
  <c r="AG239" i="7"/>
  <c r="BR239" i="7" s="1"/>
  <c r="AG176" i="7"/>
  <c r="BR176" i="7" s="1"/>
  <c r="AG313" i="7"/>
  <c r="BR313" i="7" s="1"/>
  <c r="AG516" i="7"/>
  <c r="BR516" i="7" s="1"/>
  <c r="AG543" i="7"/>
  <c r="AG169" i="7"/>
  <c r="BR169" i="7" s="1"/>
  <c r="BU346" i="7"/>
  <c r="BW346" i="7" s="1"/>
  <c r="BY346" i="7" s="1"/>
  <c r="BZ346" i="7" s="1"/>
  <c r="CA346" i="7" s="1"/>
  <c r="AG177" i="7"/>
  <c r="BR177" i="7" s="1"/>
  <c r="BE232" i="7"/>
  <c r="BF232" i="7" s="1"/>
  <c r="BG232" i="7" s="1"/>
  <c r="AG224" i="7"/>
  <c r="BR224" i="7" s="1"/>
  <c r="AG19" i="7"/>
  <c r="BR19" i="7" s="1"/>
  <c r="AG191" i="7"/>
  <c r="BR191" i="7" s="1"/>
  <c r="AG531" i="7"/>
  <c r="AG501" i="7"/>
  <c r="AG145" i="7"/>
  <c r="BR145" i="7" s="1"/>
  <c r="AB456" i="7"/>
  <c r="AG456" i="7" s="1"/>
  <c r="BR456" i="7" s="1"/>
  <c r="BS456" i="7"/>
  <c r="AB243" i="7"/>
  <c r="AG243" i="7" s="1"/>
  <c r="BR243" i="7" s="1"/>
  <c r="BS243" i="7"/>
  <c r="AG250" i="7"/>
  <c r="BR250" i="7" s="1"/>
  <c r="AB115" i="7"/>
  <c r="AG115" i="7" s="1"/>
  <c r="BR115" i="7" s="1"/>
  <c r="BS115" i="7"/>
  <c r="AB518" i="7"/>
  <c r="AG518" i="7" s="1"/>
  <c r="BS518" i="7"/>
  <c r="AG110" i="6"/>
  <c r="BR110" i="6" s="1"/>
  <c r="AB27" i="16"/>
  <c r="AG27" i="16" s="1"/>
  <c r="BR27" i="16" s="1"/>
  <c r="BS27" i="16"/>
  <c r="AB374" i="7"/>
  <c r="AG374" i="7" s="1"/>
  <c r="BR374" i="7" s="1"/>
  <c r="BS374" i="7"/>
  <c r="AB400" i="7"/>
  <c r="AG400" i="7" s="1"/>
  <c r="BR400" i="7" s="1"/>
  <c r="BS400" i="7"/>
  <c r="AB449" i="7"/>
  <c r="AG449" i="7" s="1"/>
  <c r="BR449" i="7" s="1"/>
  <c r="BS449" i="7"/>
  <c r="AB293" i="7"/>
  <c r="AG293" i="7" s="1"/>
  <c r="BR293" i="7" s="1"/>
  <c r="BS293" i="7"/>
  <c r="AB407" i="7"/>
  <c r="AG407" i="7" s="1"/>
  <c r="BR407" i="7" s="1"/>
  <c r="BS407" i="7"/>
  <c r="AB435" i="7"/>
  <c r="AG435" i="7" s="1"/>
  <c r="BR435" i="7" s="1"/>
  <c r="BS435" i="7"/>
  <c r="AG363" i="7"/>
  <c r="BR363" i="7" s="1"/>
  <c r="AG130" i="7"/>
  <c r="BR130" i="7" s="1"/>
  <c r="AG277" i="7"/>
  <c r="BR277" i="7" s="1"/>
  <c r="AG340" i="7"/>
  <c r="BR340" i="7" s="1"/>
  <c r="AG403" i="7"/>
  <c r="BR403" i="7" s="1"/>
  <c r="AB9" i="7"/>
  <c r="AG9" i="7" s="1"/>
  <c r="BR9" i="7" s="1"/>
  <c r="BS9" i="7"/>
  <c r="AB533" i="7"/>
  <c r="AG533" i="7" s="1"/>
  <c r="BS533" i="7"/>
  <c r="BR460" i="7"/>
  <c r="BS36" i="16"/>
  <c r="BS10" i="16"/>
  <c r="BS137" i="7"/>
  <c r="BS142" i="7"/>
  <c r="BA96" i="7"/>
  <c r="BC96" i="7" s="1"/>
  <c r="BS23" i="16"/>
  <c r="BS398" i="7"/>
  <c r="BS195" i="7"/>
  <c r="BS188" i="7"/>
  <c r="BS173" i="7"/>
  <c r="BS226" i="7"/>
  <c r="BS231" i="7"/>
  <c r="BA224" i="7"/>
  <c r="BC224" i="7" s="1"/>
  <c r="BS331" i="7"/>
  <c r="BS324" i="7"/>
  <c r="BA117" i="7"/>
  <c r="BC117" i="7" s="1"/>
  <c r="BS106" i="7"/>
  <c r="BA145" i="7"/>
  <c r="BC145" i="7" s="1"/>
  <c r="BA436" i="7"/>
  <c r="BC436" i="7" s="1"/>
  <c r="BA313" i="7"/>
  <c r="BC313" i="7" s="1"/>
  <c r="BA341" i="7"/>
  <c r="BC341" i="7" s="1"/>
  <c r="BA40" i="7"/>
  <c r="BC40" i="7" s="1"/>
  <c r="BA184" i="7"/>
  <c r="BC184" i="7" s="1"/>
  <c r="BA33" i="7"/>
  <c r="BC33" i="7" s="1"/>
  <c r="BS290" i="7"/>
  <c r="BS251" i="7"/>
  <c r="BS236" i="7"/>
  <c r="BS129" i="7"/>
  <c r="BS271" i="7"/>
  <c r="BS356" i="7"/>
  <c r="BA456" i="7"/>
  <c r="BC456" i="7" s="1"/>
  <c r="BS44" i="7"/>
  <c r="BS244" i="7"/>
  <c r="BS401" i="7"/>
  <c r="BS534" i="7"/>
  <c r="BS416" i="7"/>
  <c r="BS198" i="7"/>
  <c r="BS469" i="7"/>
  <c r="BS79" i="7"/>
  <c r="BS329" i="7"/>
  <c r="BS441" i="7"/>
  <c r="BS282" i="7"/>
  <c r="BS492" i="7"/>
  <c r="BS541" i="7"/>
  <c r="BS497" i="7"/>
  <c r="BS101" i="7"/>
  <c r="BS218" i="7"/>
  <c r="BS259" i="7"/>
  <c r="BS252" i="7"/>
  <c r="BS306" i="7"/>
  <c r="BS22" i="16"/>
  <c r="BS56" i="7"/>
  <c r="BS389" i="7"/>
  <c r="BS139" i="7"/>
  <c r="BS470" i="7"/>
  <c r="BS70" i="7"/>
  <c r="BS68" i="7"/>
  <c r="BS422" i="7"/>
  <c r="BS386" i="7"/>
  <c r="BS366" i="7"/>
  <c r="BS457" i="7"/>
  <c r="BS89" i="7"/>
  <c r="BS46" i="16"/>
  <c r="BS527" i="7"/>
  <c r="BS350" i="7"/>
  <c r="BS24" i="7"/>
  <c r="BS25" i="7"/>
  <c r="BS419" i="7"/>
  <c r="BS347" i="7"/>
  <c r="BS7" i="7"/>
  <c r="BS203" i="7"/>
  <c r="BS397" i="7"/>
  <c r="BS481" i="7"/>
  <c r="BS512" i="7"/>
  <c r="BS382" i="7"/>
  <c r="BS132" i="7"/>
  <c r="BS66" i="7"/>
  <c r="BS359" i="7"/>
  <c r="BS134" i="7"/>
  <c r="BS180" i="7"/>
  <c r="BS289" i="7"/>
  <c r="BS76" i="7"/>
  <c r="BS532" i="7"/>
  <c r="BS308" i="7"/>
  <c r="BS15" i="16"/>
  <c r="BS373" i="7"/>
  <c r="BS170" i="7"/>
  <c r="BS206" i="7"/>
  <c r="BS393" i="7"/>
  <c r="BS530" i="7"/>
  <c r="BS542" i="7"/>
  <c r="BS27" i="7"/>
  <c r="BS209" i="7"/>
  <c r="BS442" i="7"/>
  <c r="BS94" i="7"/>
  <c r="BS158" i="7"/>
  <c r="BS11" i="16"/>
  <c r="BS414" i="7"/>
  <c r="BS13" i="7"/>
  <c r="BS96" i="7"/>
  <c r="BS563" i="7"/>
  <c r="BS333" i="7"/>
  <c r="BS430" i="7"/>
  <c r="BS283" i="7"/>
  <c r="BS225" i="7"/>
  <c r="BS150" i="7"/>
  <c r="BS33" i="7"/>
  <c r="BS18" i="16"/>
  <c r="BS455" i="7"/>
  <c r="BS448" i="7"/>
  <c r="BS175" i="7"/>
  <c r="BS197" i="7"/>
  <c r="BS6" i="7"/>
  <c r="BS411" i="7"/>
  <c r="BS391" i="7"/>
  <c r="BS166" i="7"/>
  <c r="BS219" i="7"/>
  <c r="BS212" i="7"/>
  <c r="BS178" i="7"/>
  <c r="BS222" i="7"/>
  <c r="BS44" i="16"/>
  <c r="BS376" i="7"/>
  <c r="BS149" i="7"/>
  <c r="BS36" i="7"/>
  <c r="BS339" i="7"/>
  <c r="BS268" i="7"/>
  <c r="BS439" i="7"/>
  <c r="BS125" i="7"/>
  <c r="BS50" i="7"/>
  <c r="BS313" i="7"/>
  <c r="BS503" i="7"/>
  <c r="BS14" i="16"/>
  <c r="BS304" i="7"/>
  <c r="BS297" i="7"/>
  <c r="BS562" i="7"/>
  <c r="BS294" i="7"/>
  <c r="BS274" i="7"/>
  <c r="BS71" i="7"/>
  <c r="BS64" i="7"/>
  <c r="BS49" i="7"/>
  <c r="BS107" i="7"/>
  <c r="BS100" i="7"/>
  <c r="BS296" i="7"/>
  <c r="BS41" i="7"/>
  <c r="BS516" i="7"/>
  <c r="BS281" i="7"/>
  <c r="BS67" i="7"/>
  <c r="BS60" i="7"/>
  <c r="BS109" i="7"/>
  <c r="BS355" i="7"/>
  <c r="BS506" i="7"/>
  <c r="BS490" i="7"/>
  <c r="BS332" i="7"/>
  <c r="BS303" i="7"/>
  <c r="BS238" i="7"/>
  <c r="BS568" i="7"/>
  <c r="BS543" i="7"/>
  <c r="BS486" i="7"/>
  <c r="BS91" i="7"/>
  <c r="BS9" i="16"/>
  <c r="BS16" i="16"/>
  <c r="BS409" i="7"/>
  <c r="BS368" i="7"/>
  <c r="BS270" i="7"/>
  <c r="BS525" i="7"/>
  <c r="BS202" i="7"/>
  <c r="BS74" i="7"/>
  <c r="BS239" i="7"/>
  <c r="BS19" i="7"/>
  <c r="BS17" i="16"/>
  <c r="BS406" i="7"/>
  <c r="BS362" i="7"/>
  <c r="BS30" i="16"/>
  <c r="BS130" i="7"/>
  <c r="BS135" i="7"/>
  <c r="BS128" i="7"/>
  <c r="BS323" i="7"/>
  <c r="BS316" i="7"/>
  <c r="BS287" i="7"/>
  <c r="BS280" i="7"/>
  <c r="BS122" i="7"/>
  <c r="BS560" i="7"/>
  <c r="BS452" i="7"/>
  <c r="BS544" i="7"/>
  <c r="BS472" i="7"/>
  <c r="BS557" i="7"/>
  <c r="BS431" i="7"/>
  <c r="BS186" i="7"/>
  <c r="BS312" i="7"/>
  <c r="BS224" i="7"/>
  <c r="BS531" i="7"/>
  <c r="BS34" i="16"/>
  <c r="BS433" i="7"/>
  <c r="BS10" i="7"/>
  <c r="BS84" i="7"/>
  <c r="BS237" i="7"/>
  <c r="BS117" i="7"/>
  <c r="BS571" i="7"/>
  <c r="BS458" i="7"/>
  <c r="BS535" i="7"/>
  <c r="BS499" i="7"/>
  <c r="BS479" i="7"/>
  <c r="BS163" i="7"/>
  <c r="BS156" i="7"/>
  <c r="BS141" i="7"/>
  <c r="BS194" i="7"/>
  <c r="BS199" i="7"/>
  <c r="BS192" i="7"/>
  <c r="BS429" i="7"/>
  <c r="BS513" i="7"/>
  <c r="BS319" i="7"/>
  <c r="BS405" i="7"/>
  <c r="BS353" i="7"/>
  <c r="BS85" i="7"/>
  <c r="BS546" i="7"/>
  <c r="BS171" i="7"/>
  <c r="BS328" i="7"/>
  <c r="BS108" i="7"/>
  <c r="BS193" i="7"/>
  <c r="BS500" i="7"/>
  <c r="BS413" i="7"/>
  <c r="BS307" i="7"/>
  <c r="BS364" i="7"/>
  <c r="BS427" i="7"/>
  <c r="BS336" i="7"/>
  <c r="BS200" i="7"/>
  <c r="BS528" i="7"/>
  <c r="BS136" i="7"/>
  <c r="BS121" i="7"/>
  <c r="BS185" i="7"/>
  <c r="BS157" i="7"/>
  <c r="BS15" i="7"/>
  <c r="BS228" i="7"/>
  <c r="BS474" i="7"/>
  <c r="BS438" i="7"/>
  <c r="BS487" i="7"/>
  <c r="BS172" i="7"/>
  <c r="BS515" i="7"/>
  <c r="BS402" i="7"/>
  <c r="BS520" i="7"/>
  <c r="BS315" i="7"/>
  <c r="BS72" i="7"/>
  <c r="BS23" i="7"/>
  <c r="BS265" i="7"/>
  <c r="BS523" i="7"/>
  <c r="BS126" i="7"/>
  <c r="BS264" i="7"/>
  <c r="BS561" i="7"/>
  <c r="BS146" i="7"/>
  <c r="BS514" i="7"/>
  <c r="BS286" i="7"/>
  <c r="BS432" i="7"/>
  <c r="BS424" i="7"/>
  <c r="BS521" i="7"/>
  <c r="BS485" i="7"/>
  <c r="BS365" i="7"/>
  <c r="BS22" i="7"/>
  <c r="BS540" i="7"/>
  <c r="BS305" i="7"/>
  <c r="BS504" i="7"/>
  <c r="BS484" i="7"/>
  <c r="BS35" i="7"/>
  <c r="BS77" i="7"/>
  <c r="BS161" i="7"/>
  <c r="BS493" i="7"/>
  <c r="BS152" i="7"/>
  <c r="BS358" i="7"/>
  <c r="BS19" i="16"/>
  <c r="BS302" i="7"/>
  <c r="BS494" i="7"/>
  <c r="BS112" i="7"/>
  <c r="BS97" i="7"/>
  <c r="BS38" i="16"/>
  <c r="BS291" i="7"/>
  <c r="BS370" i="7"/>
  <c r="BS320" i="7"/>
  <c r="BS461" i="7"/>
  <c r="BS326" i="7"/>
  <c r="BS220" i="7"/>
  <c r="BS205" i="7"/>
  <c r="BS253" i="7"/>
  <c r="BS263" i="7"/>
  <c r="BS256" i="7"/>
  <c r="BS334" i="7"/>
  <c r="BS526" i="7"/>
  <c r="BS83" i="7"/>
  <c r="BS78" i="7"/>
  <c r="BS114" i="7"/>
  <c r="BS555" i="7"/>
  <c r="BS567" i="7"/>
  <c r="BS454" i="7"/>
  <c r="BS418" i="7"/>
  <c r="BS131" i="7"/>
  <c r="BS124" i="7"/>
  <c r="BS491" i="7"/>
  <c r="BS381" i="7"/>
  <c r="BS426" i="7"/>
  <c r="BS467" i="7"/>
  <c r="BS501" i="7"/>
  <c r="BS99" i="7"/>
  <c r="BS352" i="7"/>
  <c r="BS145" i="7"/>
  <c r="BS187" i="7"/>
  <c r="BS58" i="7"/>
  <c r="BS558" i="7"/>
  <c r="BS330" i="7"/>
  <c r="BS522" i="7"/>
  <c r="BS502" i="7"/>
  <c r="BS102" i="7"/>
  <c r="BS524" i="7"/>
  <c r="BS204" i="7"/>
  <c r="BS12" i="7"/>
  <c r="BS498" i="7"/>
  <c r="BS301" i="7"/>
  <c r="BS167" i="7"/>
  <c r="BS160" i="7"/>
  <c r="BS348" i="7"/>
  <c r="BS548" i="7"/>
  <c r="BS92" i="7"/>
  <c r="BS396" i="7"/>
  <c r="BS488" i="7"/>
  <c r="BS48" i="7"/>
  <c r="BS242" i="7"/>
  <c r="BS39" i="7"/>
  <c r="BS444" i="7"/>
  <c r="BS415" i="7"/>
  <c r="BS379" i="7"/>
  <c r="BS13" i="16"/>
  <c r="BS155" i="7"/>
  <c r="BS342" i="7"/>
  <c r="BS211" i="7"/>
  <c r="BS26" i="16"/>
  <c r="BS547" i="7"/>
  <c r="BS434" i="7"/>
  <c r="BS463" i="7"/>
  <c r="BS410" i="7"/>
  <c r="BS392" i="7"/>
  <c r="BS321" i="7"/>
  <c r="BS343" i="7"/>
  <c r="BS564" i="7"/>
  <c r="BS420" i="7"/>
  <c r="BS26" i="7"/>
  <c r="BS143" i="7"/>
  <c r="BS8" i="7"/>
  <c r="BS208" i="7"/>
  <c r="BS16" i="7"/>
  <c r="BS272" i="7"/>
  <c r="BS207" i="7"/>
  <c r="BS179" i="7"/>
  <c r="BS285" i="7"/>
  <c r="BS295" i="7"/>
  <c r="BS288" i="7"/>
  <c r="BS284" i="7"/>
  <c r="BS21" i="7"/>
  <c r="BS478" i="7"/>
  <c r="BS443" i="7"/>
  <c r="BS55" i="7"/>
  <c r="BS105" i="7"/>
  <c r="BS480" i="7"/>
  <c r="BS245" i="7"/>
  <c r="BS344" i="7"/>
  <c r="BS53" i="7"/>
  <c r="BS95" i="7"/>
  <c r="BS88" i="7"/>
  <c r="BS476" i="7"/>
  <c r="BS549" i="7"/>
  <c r="BS556" i="7"/>
  <c r="BS509" i="7"/>
  <c r="BS318" i="7"/>
  <c r="BS154" i="7"/>
  <c r="BS35" i="16"/>
  <c r="BS151" i="7"/>
  <c r="BS62" i="7"/>
  <c r="BS423" i="7"/>
  <c r="BS65" i="7"/>
  <c r="BS80" i="7"/>
  <c r="BS87" i="7"/>
  <c r="BS98" i="7"/>
  <c r="BS48" i="16"/>
  <c r="BS551" i="7"/>
  <c r="BS399" i="7"/>
  <c r="BS90" i="7"/>
  <c r="BS229" i="7"/>
  <c r="BS335" i="7"/>
  <c r="BS538" i="7"/>
  <c r="BS477" i="7"/>
  <c r="BS300" i="7"/>
  <c r="BS12" i="16"/>
  <c r="BS190" i="7"/>
  <c r="BS73" i="7"/>
  <c r="BS164" i="7"/>
  <c r="BS221" i="7"/>
  <c r="BS421" i="7"/>
  <c r="BS250" i="7"/>
  <c r="BS468" i="7"/>
  <c r="BS276" i="7"/>
  <c r="BS57" i="7"/>
  <c r="BS241" i="7"/>
  <c r="BS133" i="7"/>
  <c r="BS103" i="7"/>
  <c r="BS81" i="7"/>
  <c r="BS32" i="7"/>
  <c r="BS17" i="7"/>
  <c r="BS75" i="7"/>
  <c r="BS262" i="7"/>
  <c r="BS189" i="7"/>
  <c r="BS234" i="7"/>
  <c r="BS275" i="7"/>
  <c r="BS437" i="7"/>
  <c r="BS223" i="7"/>
  <c r="BS216" i="7"/>
  <c r="BS552" i="7"/>
  <c r="BS153" i="7"/>
  <c r="BS451" i="7"/>
  <c r="BS511" i="7"/>
  <c r="BS345" i="7"/>
  <c r="BS383" i="7"/>
  <c r="BS473" i="7"/>
  <c r="BS566" i="7"/>
  <c r="BS338" i="7"/>
  <c r="BS372" i="7"/>
  <c r="BS123" i="7"/>
  <c r="BS447" i="7"/>
  <c r="BS387" i="7"/>
  <c r="BS380" i="7"/>
  <c r="BS351" i="7"/>
  <c r="BS43" i="7"/>
  <c r="BS258" i="7"/>
  <c r="BS24" i="16"/>
  <c r="BS375" i="7"/>
  <c r="BS11" i="7"/>
  <c r="BS440" i="7"/>
  <c r="BS404" i="7"/>
  <c r="BS384" i="7"/>
  <c r="BS177" i="7"/>
  <c r="BS213" i="7"/>
  <c r="BS529" i="7"/>
  <c r="BS462" i="7"/>
  <c r="BS45" i="7"/>
  <c r="BS169" i="7"/>
  <c r="BS174" i="7"/>
  <c r="BS565" i="7"/>
  <c r="BS168" i="7"/>
  <c r="BS217" i="7"/>
  <c r="BS39" i="16"/>
  <c r="BS570" i="7"/>
  <c r="BS191" i="7"/>
  <c r="BS47" i="16"/>
  <c r="BS162" i="7"/>
  <c r="BS465" i="7"/>
  <c r="BS255" i="7"/>
  <c r="BS539" i="7"/>
  <c r="BS159" i="7"/>
  <c r="BS201" i="7"/>
  <c r="BS277" i="7"/>
  <c r="BS63" i="7"/>
  <c r="BS496" i="7"/>
  <c r="BS261" i="7"/>
  <c r="BS104" i="7"/>
  <c r="BS361" i="7"/>
  <c r="BS508" i="7"/>
  <c r="BS273" i="7"/>
  <c r="BS403" i="7"/>
  <c r="BS267" i="7"/>
  <c r="BS260" i="7"/>
  <c r="BS42" i="7"/>
  <c r="BS507" i="7"/>
  <c r="BS394" i="7"/>
  <c r="BS471" i="7"/>
  <c r="BS417" i="7"/>
  <c r="BS340" i="7"/>
  <c r="BS21" i="16"/>
  <c r="BS184" i="7"/>
  <c r="BS37" i="16"/>
  <c r="BS367" i="7"/>
  <c r="BS360" i="7"/>
  <c r="BS317" i="7"/>
  <c r="BS40" i="16"/>
  <c r="BS247" i="7"/>
  <c r="BS176" i="7"/>
  <c r="BS299" i="7"/>
  <c r="BS569" i="7"/>
  <c r="BS28" i="16"/>
  <c r="BS215" i="7"/>
  <c r="BS69" i="7"/>
  <c r="BS29" i="16"/>
  <c r="BS466" i="7"/>
  <c r="BS436" i="7"/>
  <c r="BS181" i="7"/>
  <c r="BS369" i="7"/>
  <c r="BS43" i="16"/>
  <c r="BS322" i="7"/>
  <c r="BS7" i="16"/>
  <c r="BS412" i="7"/>
  <c r="BS325" i="7"/>
  <c r="BS445" i="7"/>
  <c r="BS390" i="7"/>
  <c r="BS230" i="7"/>
  <c r="BS278" i="7"/>
  <c r="BS20" i="16"/>
  <c r="BS489" i="7"/>
  <c r="BS408" i="7"/>
  <c r="BS42" i="16"/>
  <c r="BS519" i="7"/>
  <c r="BS572" i="7"/>
  <c r="BS337" i="7"/>
  <c r="BS536" i="7"/>
  <c r="BS120" i="7"/>
  <c r="BS378" i="7"/>
  <c r="BS573" i="7"/>
  <c r="BS4" i="16"/>
  <c r="BS38" i="7"/>
  <c r="BS110" i="7"/>
  <c r="BS47" i="7"/>
  <c r="BS14" i="7"/>
  <c r="BS30" i="7"/>
  <c r="BS517" i="7"/>
  <c r="BS183" i="7"/>
  <c r="BS18" i="7"/>
  <c r="BS8" i="16"/>
  <c r="BS240" i="7"/>
  <c r="BS31" i="16"/>
  <c r="BS292" i="7"/>
  <c r="BS196" i="7"/>
  <c r="BA9" i="7"/>
  <c r="BC9" i="7" s="1"/>
  <c r="BS182" i="7"/>
  <c r="BS377" i="7"/>
  <c r="BS29" i="7"/>
  <c r="BS311" i="7"/>
  <c r="BS450" i="7"/>
  <c r="BS227" i="7"/>
  <c r="BS298" i="7"/>
  <c r="BS140" i="7"/>
  <c r="BS309" i="7"/>
  <c r="BS545" i="7"/>
  <c r="BS357" i="7"/>
  <c r="BS310" i="7"/>
  <c r="BS33" i="16"/>
  <c r="BS257" i="7"/>
  <c r="BS559" i="7"/>
  <c r="BS116" i="7"/>
  <c r="BS483" i="7"/>
  <c r="BS148" i="7"/>
  <c r="BS147" i="7"/>
  <c r="BS266" i="7"/>
  <c r="BS550" i="7"/>
  <c r="BS113" i="7"/>
  <c r="BS138" i="7"/>
  <c r="BS127" i="7"/>
  <c r="BS45" i="16"/>
  <c r="BS111" i="7"/>
  <c r="BS40" i="7"/>
  <c r="BS475" i="7"/>
  <c r="BS214" i="7"/>
  <c r="BS86" i="7"/>
  <c r="BS248" i="7"/>
  <c r="BS246" i="7"/>
  <c r="BS554" i="7"/>
  <c r="BS61" i="7"/>
  <c r="BS235" i="7"/>
  <c r="BS341" i="7"/>
  <c r="BS269" i="7"/>
  <c r="BS249" i="7"/>
  <c r="BS46" i="7"/>
  <c r="BS28" i="7"/>
  <c r="BS82" i="7"/>
  <c r="BS54" i="7"/>
  <c r="BS31" i="7"/>
  <c r="BS446" i="7"/>
  <c r="BS327" i="7"/>
  <c r="BS32" i="16"/>
  <c r="BS165" i="7"/>
  <c r="BS20" i="7"/>
  <c r="BS425" i="7"/>
  <c r="BS553" i="7"/>
  <c r="BS495" i="7"/>
  <c r="BS363" i="7"/>
  <c r="BS34" i="7"/>
  <c r="BS6" i="16"/>
  <c r="BS395" i="7"/>
  <c r="BS388" i="7"/>
  <c r="BS5" i="16"/>
  <c r="BS453" i="7"/>
  <c r="BS119" i="7"/>
  <c r="BS37" i="7"/>
  <c r="BS349" i="7"/>
  <c r="BS93" i="7"/>
  <c r="BS459" i="7"/>
  <c r="BS314" i="7"/>
  <c r="BS354" i="7"/>
  <c r="BS537" i="7"/>
  <c r="BS371" i="7"/>
  <c r="BS279" i="7"/>
  <c r="BS460" i="7"/>
  <c r="BS59" i="7"/>
  <c r="BS4" i="7"/>
  <c r="AL44" i="6"/>
  <c r="AN44" i="6" s="1"/>
  <c r="AO44" i="6" s="1"/>
  <c r="AV44" i="6" s="1"/>
  <c r="AV169" i="6"/>
  <c r="AX169" i="6" s="1"/>
  <c r="AO60" i="7"/>
  <c r="AV60" i="7" s="1"/>
  <c r="AX60" i="7" s="1"/>
  <c r="BA60" i="7" s="1"/>
  <c r="BC60" i="7" s="1"/>
  <c r="AO407" i="7"/>
  <c r="AV407" i="7" s="1"/>
  <c r="AX407" i="7" s="1"/>
  <c r="BA407" i="7" s="1"/>
  <c r="BC407" i="7" s="1"/>
  <c r="AO413" i="7"/>
  <c r="AV413" i="7" s="1"/>
  <c r="AX413" i="7" s="1"/>
  <c r="BA435" i="7"/>
  <c r="BC435" i="7" s="1"/>
  <c r="AO477" i="7"/>
  <c r="AV477" i="7" s="1"/>
  <c r="AX477" i="7" s="1"/>
  <c r="BA477" i="7" s="1"/>
  <c r="BC477" i="7" s="1"/>
  <c r="AO249" i="7"/>
  <c r="AV249" i="7" s="1"/>
  <c r="AX249" i="7" s="1"/>
  <c r="BA249" i="7" s="1"/>
  <c r="BC249" i="7" s="1"/>
  <c r="AO509" i="7"/>
  <c r="AV509" i="7" s="1"/>
  <c r="AX509" i="7" s="1"/>
  <c r="AN64" i="6"/>
  <c r="AO64" i="6" s="1"/>
  <c r="AV64" i="6" s="1"/>
  <c r="AX64" i="6" s="1"/>
  <c r="AL41" i="6"/>
  <c r="AN41" i="6" s="1"/>
  <c r="AO501" i="7"/>
  <c r="AV501" i="7" s="1"/>
  <c r="AX501" i="7" s="1"/>
  <c r="BA501" i="7" s="1"/>
  <c r="BC501" i="7" s="1"/>
  <c r="AO551" i="7"/>
  <c r="AV551" i="7" s="1"/>
  <c r="AX551" i="7" s="1"/>
  <c r="BA551" i="7" s="1"/>
  <c r="BC551" i="7" s="1"/>
  <c r="AO266" i="7"/>
  <c r="AV266" i="7" s="1"/>
  <c r="AX266" i="7" s="1"/>
  <c r="AV15" i="7"/>
  <c r="AX15" i="7" s="1"/>
  <c r="AV334" i="7"/>
  <c r="AX334" i="7" s="1"/>
  <c r="BA144" i="7"/>
  <c r="BC144" i="7" s="1"/>
  <c r="AO286" i="7"/>
  <c r="AV286" i="7" s="1"/>
  <c r="AX286" i="7" s="1"/>
  <c r="AR41" i="6"/>
  <c r="AU41" i="6" s="1"/>
  <c r="AV174" i="7"/>
  <c r="AX174" i="7" s="1"/>
  <c r="AO281" i="7"/>
  <c r="AV281" i="7" s="1"/>
  <c r="AX281" i="7" s="1"/>
  <c r="BP42" i="6"/>
  <c r="BP43" i="6"/>
  <c r="BC11" i="6"/>
  <c r="AO473" i="7"/>
  <c r="AV473" i="7" s="1"/>
  <c r="AX473" i="7" s="1"/>
  <c r="AV144" i="6"/>
  <c r="AX144" i="6" s="1"/>
  <c r="AG163" i="6"/>
  <c r="BR163" i="6" s="1"/>
  <c r="AG48" i="6"/>
  <c r="BR48" i="6" s="1"/>
  <c r="AG82" i="6"/>
  <c r="BR82" i="6" s="1"/>
  <c r="AG68" i="6"/>
  <c r="BR68" i="6" s="1"/>
  <c r="AG103" i="6"/>
  <c r="BR103" i="6" s="1"/>
  <c r="AG137" i="6"/>
  <c r="BR137" i="6" s="1"/>
  <c r="AO34" i="6"/>
  <c r="AV34" i="6" s="1"/>
  <c r="AG155" i="6"/>
  <c r="AG84" i="6"/>
  <c r="BR84" i="6" s="1"/>
  <c r="AG136" i="6"/>
  <c r="BR136" i="6" s="1"/>
  <c r="AG60" i="6"/>
  <c r="BR60" i="6" s="1"/>
  <c r="AO167" i="6"/>
  <c r="AV167" i="6" s="1"/>
  <c r="AX167" i="6" s="1"/>
  <c r="AG117" i="6"/>
  <c r="BR117" i="6" s="1"/>
  <c r="AG107" i="6"/>
  <c r="BR107" i="6" s="1"/>
  <c r="AG58" i="6"/>
  <c r="BR58" i="6" s="1"/>
  <c r="AG121" i="6"/>
  <c r="BR121" i="6" s="1"/>
  <c r="AB11" i="6"/>
  <c r="AG11" i="6" s="1"/>
  <c r="BR11" i="6" s="1"/>
  <c r="BS11" i="6"/>
  <c r="BS28" i="6"/>
  <c r="BU28" i="6" s="1"/>
  <c r="BW28" i="6" s="1"/>
  <c r="BY28" i="6" s="1"/>
  <c r="BZ28" i="6" s="1"/>
  <c r="CA28" i="6" s="1"/>
  <c r="BS12" i="6"/>
  <c r="AV70" i="6"/>
  <c r="AX70" i="6" s="1"/>
  <c r="BS26" i="6"/>
  <c r="BS31" i="6"/>
  <c r="BS30" i="6"/>
  <c r="BS36" i="6"/>
  <c r="BS23" i="6"/>
  <c r="BS24" i="6"/>
  <c r="BS6" i="6"/>
  <c r="BS7" i="6"/>
  <c r="BS4" i="6"/>
  <c r="BS21" i="6"/>
  <c r="BS35" i="6"/>
  <c r="BS8" i="6"/>
  <c r="BS39" i="6"/>
  <c r="BS9" i="6"/>
  <c r="BS5" i="6"/>
  <c r="BS25" i="6"/>
  <c r="BS20" i="6"/>
  <c r="BS13" i="6"/>
  <c r="BS40" i="6"/>
  <c r="BS32" i="6"/>
  <c r="BS10" i="6"/>
  <c r="BS19" i="6"/>
  <c r="BS42" i="6"/>
  <c r="BS37" i="6"/>
  <c r="BS29" i="6"/>
  <c r="BS34" i="6"/>
  <c r="BS41" i="6"/>
  <c r="BS43" i="6"/>
  <c r="BS33" i="6"/>
  <c r="BS38" i="6"/>
  <c r="BS119" i="6"/>
  <c r="BS50" i="6"/>
  <c r="BS59" i="6"/>
  <c r="BS78" i="6"/>
  <c r="BS176" i="6"/>
  <c r="BS146" i="6"/>
  <c r="BS122" i="6"/>
  <c r="BS81" i="6"/>
  <c r="BS171" i="6"/>
  <c r="BS45" i="6"/>
  <c r="BS115" i="6"/>
  <c r="BS54" i="6"/>
  <c r="BS159" i="6"/>
  <c r="BS52" i="6"/>
  <c r="BS147" i="6"/>
  <c r="BS132" i="6"/>
  <c r="BS166" i="6"/>
  <c r="BS92" i="6"/>
  <c r="BS156" i="6"/>
  <c r="BS178" i="6"/>
  <c r="BS98" i="6"/>
  <c r="BS144" i="6"/>
  <c r="BS158" i="6"/>
  <c r="BS139" i="6"/>
  <c r="BS51" i="6"/>
  <c r="BS69" i="6"/>
  <c r="BS70" i="6"/>
  <c r="BS74" i="6"/>
  <c r="BS149" i="6"/>
  <c r="BS138" i="6"/>
  <c r="BS82" i="6"/>
  <c r="BS148" i="6"/>
  <c r="BS60" i="6"/>
  <c r="BS108" i="6"/>
  <c r="BS130" i="6"/>
  <c r="BS102" i="6"/>
  <c r="BS66" i="6"/>
  <c r="BS61" i="6"/>
  <c r="BS83" i="6"/>
  <c r="BS90" i="6"/>
  <c r="BS117" i="6"/>
  <c r="BS49" i="6"/>
  <c r="BS71" i="6"/>
  <c r="BS100" i="6"/>
  <c r="BS75" i="6"/>
  <c r="BS106" i="6"/>
  <c r="BS113" i="6"/>
  <c r="BS68" i="6"/>
  <c r="BS85" i="6"/>
  <c r="BS168" i="6"/>
  <c r="BS145" i="6"/>
  <c r="BS125" i="6"/>
  <c r="BS116" i="6"/>
  <c r="BS67" i="6"/>
  <c r="BS141" i="6"/>
  <c r="BS96" i="6"/>
  <c r="BS103" i="6"/>
  <c r="BS79" i="6"/>
  <c r="BS63" i="6"/>
  <c r="BS47" i="6"/>
  <c r="BS165" i="6"/>
  <c r="BS99" i="6"/>
  <c r="BS142" i="6"/>
  <c r="BS101" i="6"/>
  <c r="BS134" i="6"/>
  <c r="BS129" i="6"/>
  <c r="BS155" i="6"/>
  <c r="BS84" i="6"/>
  <c r="BS143" i="6"/>
  <c r="BS111" i="6"/>
  <c r="BS65" i="6"/>
  <c r="BS48" i="6"/>
  <c r="BS93" i="6"/>
  <c r="BS57" i="6"/>
  <c r="BS161" i="6"/>
  <c r="BS44" i="6"/>
  <c r="BS105" i="6"/>
  <c r="BS118" i="6"/>
  <c r="BS62" i="6"/>
  <c r="BS77" i="6"/>
  <c r="BS153" i="6"/>
  <c r="BS173" i="6"/>
  <c r="BS88" i="6"/>
  <c r="BS72" i="6"/>
  <c r="BS56" i="6"/>
  <c r="BS179" i="6"/>
  <c r="BS89" i="6"/>
  <c r="BS170" i="6"/>
  <c r="BS154" i="6"/>
  <c r="BS121" i="6"/>
  <c r="BS127" i="6"/>
  <c r="BS97" i="6"/>
  <c r="BS64" i="6"/>
  <c r="BS55" i="6"/>
  <c r="BS123" i="6"/>
  <c r="BS131" i="6"/>
  <c r="BS107" i="6"/>
  <c r="BS86" i="6"/>
  <c r="BS175" i="6"/>
  <c r="BS151" i="6"/>
  <c r="BS120" i="6"/>
  <c r="BS53" i="6"/>
  <c r="BS58" i="6"/>
  <c r="BS169" i="6"/>
  <c r="BS46" i="6"/>
  <c r="BS95" i="6"/>
  <c r="BS135" i="6"/>
  <c r="BS91" i="6"/>
  <c r="BS167" i="6"/>
  <c r="BS133" i="6"/>
  <c r="BS136" i="6"/>
  <c r="BS76" i="6"/>
  <c r="BS112" i="6"/>
  <c r="BS137" i="6"/>
  <c r="BS163" i="6"/>
  <c r="BS110" i="6"/>
  <c r="BS94" i="6"/>
  <c r="AO538" i="7"/>
  <c r="AV538" i="7" s="1"/>
  <c r="AX538" i="7" s="1"/>
  <c r="AG138" i="6"/>
  <c r="BR138" i="6" s="1"/>
  <c r="AG100" i="6"/>
  <c r="BR100" i="6" s="1"/>
  <c r="AO386" i="7"/>
  <c r="AV386" i="7" s="1"/>
  <c r="AX386" i="7" s="1"/>
  <c r="AX30" i="6"/>
  <c r="AX127" i="6"/>
  <c r="AX115" i="6"/>
  <c r="AG53" i="6"/>
  <c r="BR53" i="6" s="1"/>
  <c r="AL90" i="6"/>
  <c r="AN90" i="6" s="1"/>
  <c r="AX39" i="6"/>
  <c r="AG97" i="6"/>
  <c r="BR97" i="6" s="1"/>
  <c r="AO540" i="7"/>
  <c r="AV540" i="7" s="1"/>
  <c r="AX540" i="7" s="1"/>
  <c r="AL143" i="6"/>
  <c r="AN143" i="6" s="1"/>
  <c r="AG113" i="6"/>
  <c r="BR113" i="6" s="1"/>
  <c r="AG153" i="6"/>
  <c r="BR153" i="6" s="1"/>
  <c r="AL83" i="6"/>
  <c r="AN83" i="6" s="1"/>
  <c r="AO83" i="6" s="1"/>
  <c r="AV83" i="6" s="1"/>
  <c r="AL56" i="6"/>
  <c r="AN56" i="6" s="1"/>
  <c r="AL116" i="6"/>
  <c r="AN116" i="6" s="1"/>
  <c r="AO116" i="6" s="1"/>
  <c r="AV116" i="6" s="1"/>
  <c r="AL157" i="6"/>
  <c r="AN157" i="6" s="1"/>
  <c r="AL72" i="6"/>
  <c r="AN72" i="6" s="1"/>
  <c r="AO72" i="6" s="1"/>
  <c r="AV72" i="6" s="1"/>
  <c r="AV405" i="7"/>
  <c r="AX405" i="7" s="1"/>
  <c r="AV106" i="7"/>
  <c r="AX106" i="7" s="1"/>
  <c r="AO192" i="7"/>
  <c r="AV192" i="7" s="1"/>
  <c r="AX192" i="7" s="1"/>
  <c r="AO305" i="7"/>
  <c r="AV305" i="7" s="1"/>
  <c r="AX305" i="7" s="1"/>
  <c r="AO297" i="7"/>
  <c r="AV297" i="7" s="1"/>
  <c r="AX297" i="7" s="1"/>
  <c r="BA297" i="7" s="1"/>
  <c r="BC297" i="7" s="1"/>
  <c r="AO97" i="7"/>
  <c r="AV97" i="7" s="1"/>
  <c r="AX97" i="7" s="1"/>
  <c r="AO510" i="7"/>
  <c r="AV510" i="7" s="1"/>
  <c r="AX510" i="7" s="1"/>
  <c r="BA510" i="7" s="1"/>
  <c r="BC510" i="7" s="1"/>
  <c r="BE510" i="7" s="1"/>
  <c r="AO515" i="7"/>
  <c r="AV515" i="7" s="1"/>
  <c r="AX515" i="7" s="1"/>
  <c r="AO306" i="7"/>
  <c r="AV306" i="7" s="1"/>
  <c r="AX306" i="7" s="1"/>
  <c r="AO437" i="7"/>
  <c r="AV437" i="7" s="1"/>
  <c r="AX437" i="7" s="1"/>
  <c r="AO562" i="7"/>
  <c r="AV562" i="7" s="1"/>
  <c r="AX562" i="7" s="1"/>
  <c r="AO185" i="7"/>
  <c r="AV185" i="7" s="1"/>
  <c r="AX185" i="7" s="1"/>
  <c r="AO323" i="7"/>
  <c r="AV323" i="7" s="1"/>
  <c r="AX323" i="7" s="1"/>
  <c r="AO514" i="7"/>
  <c r="AV514" i="7" s="1"/>
  <c r="AX514" i="7" s="1"/>
  <c r="AO496" i="7"/>
  <c r="AV496" i="7" s="1"/>
  <c r="AX496" i="7" s="1"/>
  <c r="AO203" i="7"/>
  <c r="AV203" i="7" s="1"/>
  <c r="AX203" i="7" s="1"/>
  <c r="AO6" i="6"/>
  <c r="AV6" i="6" s="1"/>
  <c r="AO552" i="7"/>
  <c r="AV552" i="7" s="1"/>
  <c r="AX552" i="7" s="1"/>
  <c r="AO119" i="7"/>
  <c r="AV119" i="7" s="1"/>
  <c r="AX119" i="7" s="1"/>
  <c r="AO137" i="6"/>
  <c r="AV137" i="6" s="1"/>
  <c r="AO519" i="7"/>
  <c r="AV519" i="7" s="1"/>
  <c r="AX519" i="7" s="1"/>
  <c r="AO465" i="7"/>
  <c r="AV465" i="7" s="1"/>
  <c r="AX465" i="7" s="1"/>
  <c r="AO125" i="7"/>
  <c r="AV125" i="7" s="1"/>
  <c r="AX125" i="7" s="1"/>
  <c r="AG468" i="7"/>
  <c r="AG175" i="7"/>
  <c r="BR175" i="7" s="1"/>
  <c r="AO353" i="7"/>
  <c r="AV353" i="7" s="1"/>
  <c r="AX353" i="7" s="1"/>
  <c r="AG362" i="7"/>
  <c r="BR362" i="7" s="1"/>
  <c r="AG84" i="7"/>
  <c r="BR84" i="7" s="1"/>
  <c r="AG276" i="7"/>
  <c r="BR276" i="7" s="1"/>
  <c r="AG521" i="7"/>
  <c r="AG48" i="7"/>
  <c r="BR48" i="7" s="1"/>
  <c r="AG174" i="7"/>
  <c r="AG375" i="7"/>
  <c r="BR375" i="7" s="1"/>
  <c r="AG59" i="7"/>
  <c r="BR59" i="7" s="1"/>
  <c r="AO332" i="7"/>
  <c r="AV332" i="7" s="1"/>
  <c r="AX332" i="7" s="1"/>
  <c r="AO392" i="7"/>
  <c r="AV392" i="7" s="1"/>
  <c r="AX392" i="7" s="1"/>
  <c r="AO269" i="7"/>
  <c r="AV269" i="7" s="1"/>
  <c r="AX269" i="7" s="1"/>
  <c r="AO349" i="7"/>
  <c r="AV349" i="7" s="1"/>
  <c r="AX349" i="7" s="1"/>
  <c r="BA349" i="7" s="1"/>
  <c r="BC349" i="7" s="1"/>
  <c r="AO29" i="7"/>
  <c r="AV29" i="7" s="1"/>
  <c r="AX29" i="7" s="1"/>
  <c r="AO242" i="7"/>
  <c r="AV242" i="7" s="1"/>
  <c r="AX242" i="7" s="1"/>
  <c r="AO236" i="7"/>
  <c r="AV236" i="7" s="1"/>
  <c r="AX236" i="7" s="1"/>
  <c r="AO16" i="7"/>
  <c r="AV16" i="7" s="1"/>
  <c r="AX16" i="7" s="1"/>
  <c r="AV411" i="7"/>
  <c r="AX411" i="7" s="1"/>
  <c r="AO204" i="7"/>
  <c r="AV204" i="7" s="1"/>
  <c r="AX204" i="7" s="1"/>
  <c r="AO320" i="7"/>
  <c r="AV320" i="7" s="1"/>
  <c r="AX320" i="7" s="1"/>
  <c r="AO484" i="7"/>
  <c r="AV484" i="7" s="1"/>
  <c r="AX484" i="7" s="1"/>
  <c r="AO464" i="7"/>
  <c r="AV464" i="7" s="1"/>
  <c r="AX464" i="7" s="1"/>
  <c r="BA464" i="7" s="1"/>
  <c r="BC464" i="7" s="1"/>
  <c r="AV522" i="7"/>
  <c r="AX522" i="7" s="1"/>
  <c r="AV122" i="6"/>
  <c r="AV97" i="6"/>
  <c r="AO142" i="6"/>
  <c r="AV142" i="6" s="1"/>
  <c r="AO152" i="6"/>
  <c r="AV152" i="6" s="1"/>
  <c r="AO61" i="6"/>
  <c r="AV61" i="6" s="1"/>
  <c r="AO128" i="7"/>
  <c r="AV128" i="7" s="1"/>
  <c r="AX128" i="7" s="1"/>
  <c r="BA128" i="7" s="1"/>
  <c r="BC128" i="7" s="1"/>
  <c r="AO160" i="7"/>
  <c r="AV160" i="7" s="1"/>
  <c r="AX160" i="7" s="1"/>
  <c r="AO13" i="16"/>
  <c r="AV13" i="16" s="1"/>
  <c r="AX13" i="16" s="1"/>
  <c r="AO105" i="7"/>
  <c r="AV105" i="7" s="1"/>
  <c r="AX105" i="7" s="1"/>
  <c r="AO276" i="7"/>
  <c r="AV276" i="7" s="1"/>
  <c r="AX276" i="7" s="1"/>
  <c r="BA276" i="7" s="1"/>
  <c r="BC276" i="7" s="1"/>
  <c r="AO26" i="6"/>
  <c r="AV26" i="6" s="1"/>
  <c r="AO494" i="7"/>
  <c r="AV494" i="7" s="1"/>
  <c r="AX494" i="7" s="1"/>
  <c r="AO275" i="7"/>
  <c r="AV275" i="7" s="1"/>
  <c r="AX275" i="7" s="1"/>
  <c r="AO9" i="6"/>
  <c r="AV9" i="6" s="1"/>
  <c r="AG63" i="7"/>
  <c r="BR63" i="7" s="1"/>
  <c r="AG186" i="7"/>
  <c r="BR186" i="7" s="1"/>
  <c r="AG263" i="7"/>
  <c r="BR263" i="7" s="1"/>
  <c r="AG524" i="7"/>
  <c r="AG273" i="7"/>
  <c r="AG394" i="7"/>
  <c r="BR394" i="7" s="1"/>
  <c r="AG365" i="7"/>
  <c r="BR365" i="7" s="1"/>
  <c r="AG66" i="6"/>
  <c r="BR66" i="6" s="1"/>
  <c r="AG534" i="7"/>
  <c r="AG337" i="7"/>
  <c r="AG6" i="7"/>
  <c r="BR6" i="7" s="1"/>
  <c r="BA91" i="7"/>
  <c r="BC91" i="7" s="1"/>
  <c r="AG269" i="7"/>
  <c r="BR269" i="7" s="1"/>
  <c r="BA177" i="7"/>
  <c r="BC177" i="7" s="1"/>
  <c r="AG23" i="7"/>
  <c r="BR23" i="7" s="1"/>
  <c r="AG240" i="7"/>
  <c r="BR240" i="7" s="1"/>
  <c r="AG47" i="6"/>
  <c r="BR47" i="6" s="1"/>
  <c r="AG112" i="6"/>
  <c r="BR112" i="6" s="1"/>
  <c r="AG154" i="6"/>
  <c r="AG91" i="6"/>
  <c r="BR91" i="6" s="1"/>
  <c r="AG314" i="7"/>
  <c r="AG14" i="16"/>
  <c r="BR14" i="16" s="1"/>
  <c r="AG467" i="7"/>
  <c r="AG429" i="7"/>
  <c r="BR429" i="7" s="1"/>
  <c r="AG472" i="7"/>
  <c r="AG19" i="6"/>
  <c r="BR19" i="6" s="1"/>
  <c r="AG384" i="7"/>
  <c r="AG318" i="7"/>
  <c r="BR318" i="7" s="1"/>
  <c r="AG172" i="7"/>
  <c r="BR172" i="7" s="1"/>
  <c r="AG245" i="7"/>
  <c r="BR245" i="7" s="1"/>
  <c r="AG537" i="7"/>
  <c r="AO364" i="7"/>
  <c r="AV364" i="7" s="1"/>
  <c r="AX364" i="7" s="1"/>
  <c r="AG79" i="6"/>
  <c r="BR79" i="6" s="1"/>
  <c r="AG175" i="6"/>
  <c r="BR175" i="6" s="1"/>
  <c r="AG134" i="6"/>
  <c r="BR134" i="6" s="1"/>
  <c r="AG63" i="6"/>
  <c r="BR63" i="6" s="1"/>
  <c r="AG105" i="6"/>
  <c r="BR105" i="6" s="1"/>
  <c r="AG55" i="6"/>
  <c r="BR55" i="6" s="1"/>
  <c r="AG135" i="6"/>
  <c r="BR135" i="6" s="1"/>
  <c r="AG520" i="7"/>
  <c r="AG39" i="7"/>
  <c r="BR39" i="7" s="1"/>
  <c r="AG155" i="7"/>
  <c r="AG90" i="6"/>
  <c r="BR90" i="6" s="1"/>
  <c r="AG168" i="6"/>
  <c r="AG131" i="6"/>
  <c r="BR131" i="6" s="1"/>
  <c r="AG56" i="6"/>
  <c r="BR56" i="6" s="1"/>
  <c r="AG76" i="6"/>
  <c r="BR76" i="6" s="1"/>
  <c r="AG458" i="7"/>
  <c r="BR458" i="7" s="1"/>
  <c r="AG156" i="7"/>
  <c r="BR156" i="7" s="1"/>
  <c r="AG192" i="7"/>
  <c r="BR192" i="7" s="1"/>
  <c r="AG20" i="16"/>
  <c r="BR20" i="16" s="1"/>
  <c r="AG145" i="6"/>
  <c r="AG169" i="6"/>
  <c r="AG4" i="7"/>
  <c r="AG315" i="7"/>
  <c r="BR315" i="7" s="1"/>
  <c r="AG151" i="7"/>
  <c r="BR151" i="7" s="1"/>
  <c r="AG367" i="7"/>
  <c r="AG92" i="6"/>
  <c r="BR92" i="6" s="1"/>
  <c r="AG146" i="6"/>
  <c r="BR146" i="6" s="1"/>
  <c r="AG95" i="6"/>
  <c r="BR95" i="6" s="1"/>
  <c r="AG127" i="6"/>
  <c r="BR127" i="6" s="1"/>
  <c r="AG173" i="6"/>
  <c r="BR173" i="6" s="1"/>
  <c r="AG125" i="6"/>
  <c r="BR125" i="6" s="1"/>
  <c r="AG248" i="7"/>
  <c r="BR248" i="7" s="1"/>
  <c r="AG123" i="6"/>
  <c r="BR123" i="6" s="1"/>
  <c r="AG116" i="6"/>
  <c r="BR116" i="6" s="1"/>
  <c r="AG115" i="6"/>
  <c r="AG86" i="6"/>
  <c r="BR86" i="6" s="1"/>
  <c r="AG33" i="16"/>
  <c r="BR33" i="16" s="1"/>
  <c r="AG156" i="6"/>
  <c r="BR156" i="6" s="1"/>
  <c r="AG85" i="6"/>
  <c r="BR85" i="6" s="1"/>
  <c r="AG139" i="6"/>
  <c r="BR139" i="6" s="1"/>
  <c r="AG179" i="6"/>
  <c r="AG65" i="6"/>
  <c r="BR65" i="6" s="1"/>
  <c r="AG44" i="6"/>
  <c r="BR44" i="6" s="1"/>
  <c r="AV98" i="6"/>
  <c r="AV88" i="6"/>
  <c r="AV134" i="6"/>
  <c r="AG67" i="6"/>
  <c r="AV119" i="6"/>
  <c r="AG75" i="7"/>
  <c r="BR75" i="7" s="1"/>
  <c r="AG36" i="7"/>
  <c r="BR36" i="7" s="1"/>
  <c r="AG323" i="7"/>
  <c r="BR323" i="7" s="1"/>
  <c r="AG6" i="16"/>
  <c r="BR6" i="16" s="1"/>
  <c r="AG130" i="6"/>
  <c r="BR130" i="6" s="1"/>
  <c r="AG89" i="6"/>
  <c r="BR89" i="6" s="1"/>
  <c r="AG75" i="6"/>
  <c r="BR75" i="6" s="1"/>
  <c r="AG46" i="6"/>
  <c r="BR46" i="6" s="1"/>
  <c r="AG64" i="6"/>
  <c r="BR64" i="6" s="1"/>
  <c r="AG74" i="6"/>
  <c r="BR74" i="6" s="1"/>
  <c r="AG120" i="6"/>
  <c r="BR120" i="6" s="1"/>
  <c r="AO165" i="6"/>
  <c r="AV165" i="6" s="1"/>
  <c r="AG257" i="7"/>
  <c r="BR257" i="7" s="1"/>
  <c r="AG396" i="7"/>
  <c r="AG471" i="7"/>
  <c r="AG138" i="7"/>
  <c r="BR138" i="7" s="1"/>
  <c r="AG28" i="16"/>
  <c r="BR28" i="16" s="1"/>
  <c r="AG49" i="6"/>
  <c r="BR49" i="6" s="1"/>
  <c r="AG151" i="6"/>
  <c r="BR151" i="6" s="1"/>
  <c r="AG57" i="6"/>
  <c r="BR57" i="6" s="1"/>
  <c r="AG133" i="6"/>
  <c r="BR133" i="6" s="1"/>
  <c r="AG142" i="6"/>
  <c r="BR142" i="6" s="1"/>
  <c r="AO170" i="6"/>
  <c r="AV170" i="6" s="1"/>
  <c r="AG571" i="7"/>
  <c r="AG499" i="7"/>
  <c r="AG163" i="7"/>
  <c r="BR163" i="7" s="1"/>
  <c r="AG199" i="7"/>
  <c r="BR199" i="7" s="1"/>
  <c r="AG153" i="7"/>
  <c r="AG81" i="7"/>
  <c r="AG32" i="7"/>
  <c r="BR32" i="7" s="1"/>
  <c r="AG496" i="7"/>
  <c r="AG474" i="7"/>
  <c r="AG16" i="7"/>
  <c r="BR16" i="7" s="1"/>
  <c r="AG507" i="7"/>
  <c r="AG264" i="7"/>
  <c r="BR264" i="7" s="1"/>
  <c r="AG135" i="7"/>
  <c r="BR135" i="7" s="1"/>
  <c r="AG352" i="7"/>
  <c r="BR352" i="7" s="1"/>
  <c r="AG561" i="7"/>
  <c r="AG550" i="7"/>
  <c r="AG227" i="7"/>
  <c r="BR227" i="7" s="1"/>
  <c r="AG261" i="7"/>
  <c r="AG388" i="7"/>
  <c r="BR388" i="7" s="1"/>
  <c r="AO288" i="7"/>
  <c r="AV288" i="7" s="1"/>
  <c r="AX288" i="7" s="1"/>
  <c r="AV69" i="6"/>
  <c r="AV113" i="6"/>
  <c r="AV94" i="6"/>
  <c r="AV102" i="6"/>
  <c r="AO62" i="6"/>
  <c r="AV62" i="6" s="1"/>
  <c r="AO150" i="6"/>
  <c r="AV150" i="6" s="1"/>
  <c r="AO53" i="6"/>
  <c r="AV53" i="6" s="1"/>
  <c r="AO86" i="6"/>
  <c r="AV86" i="6" s="1"/>
  <c r="AO66" i="6"/>
  <c r="AV66" i="6" s="1"/>
  <c r="AO147" i="6"/>
  <c r="AV147" i="6" s="1"/>
  <c r="AO148" i="6"/>
  <c r="AV148" i="6" s="1"/>
  <c r="AO123" i="6"/>
  <c r="AV123" i="6" s="1"/>
  <c r="AO133" i="6"/>
  <c r="AV133" i="6" s="1"/>
  <c r="AO131" i="6"/>
  <c r="AV131" i="6" s="1"/>
  <c r="AO130" i="6"/>
  <c r="AV130" i="6" s="1"/>
  <c r="AO99" i="6"/>
  <c r="AV99" i="6" s="1"/>
  <c r="AO161" i="6"/>
  <c r="AV161" i="6" s="1"/>
  <c r="AO145" i="6"/>
  <c r="AV145" i="6" s="1"/>
  <c r="AO160" i="6"/>
  <c r="AV160" i="6" s="1"/>
  <c r="AO117" i="6"/>
  <c r="AV117" i="6" s="1"/>
  <c r="AO54" i="6"/>
  <c r="AV54" i="6" s="1"/>
  <c r="AO118" i="6"/>
  <c r="AV118" i="6" s="1"/>
  <c r="AO156" i="6"/>
  <c r="AV156" i="6" s="1"/>
  <c r="AO100" i="6"/>
  <c r="AV100" i="6" s="1"/>
  <c r="AO59" i="6"/>
  <c r="AV59" i="6" s="1"/>
  <c r="AO84" i="6"/>
  <c r="AV84" i="6" s="1"/>
  <c r="AO178" i="6"/>
  <c r="AV178" i="6" s="1"/>
  <c r="AG62" i="6"/>
  <c r="AG88" i="6"/>
  <c r="BR88" i="6" s="1"/>
  <c r="AN158" i="6"/>
  <c r="AO158" i="6" s="1"/>
  <c r="AV158" i="6" s="1"/>
  <c r="AN162" i="6"/>
  <c r="AO162" i="6" s="1"/>
  <c r="AV162" i="6" s="1"/>
  <c r="AN81" i="6"/>
  <c r="AO81" i="6" s="1"/>
  <c r="AV81" i="6" s="1"/>
  <c r="AL146" i="6"/>
  <c r="AN146" i="6" s="1"/>
  <c r="AN163" i="6"/>
  <c r="AN65" i="6"/>
  <c r="AN63" i="6"/>
  <c r="AN159" i="6"/>
  <c r="AK174" i="6"/>
  <c r="AK164" i="6"/>
  <c r="AG425" i="7"/>
  <c r="AG371" i="7"/>
  <c r="BR371" i="7" s="1"/>
  <c r="AO45" i="6"/>
  <c r="AV45" i="6" s="1"/>
  <c r="AO173" i="6"/>
  <c r="AV173" i="6" s="1"/>
  <c r="AN80" i="6"/>
  <c r="AO80" i="6" s="1"/>
  <c r="AV80" i="6" s="1"/>
  <c r="AO172" i="6"/>
  <c r="AV172" i="6" s="1"/>
  <c r="AN95" i="6"/>
  <c r="AG141" i="6"/>
  <c r="BR141" i="6" s="1"/>
  <c r="AG96" i="6"/>
  <c r="BR96" i="6" s="1"/>
  <c r="AN85" i="6"/>
  <c r="AL46" i="6"/>
  <c r="AN46" i="6" s="1"/>
  <c r="AL126" i="6"/>
  <c r="AN126" i="6" s="1"/>
  <c r="AN91" i="6"/>
  <c r="AL129" i="6"/>
  <c r="AN129" i="6" s="1"/>
  <c r="AO124" i="6"/>
  <c r="AV124" i="6" s="1"/>
  <c r="AN166" i="6"/>
  <c r="AO166" i="6" s="1"/>
  <c r="AV166" i="6" s="1"/>
  <c r="AN50" i="6"/>
  <c r="AO50" i="6" s="1"/>
  <c r="AV50" i="6" s="1"/>
  <c r="AK140" i="6"/>
  <c r="AL140" i="6" s="1"/>
  <c r="AN140" i="6" s="1"/>
  <c r="AO140" i="6" s="1"/>
  <c r="AV140" i="6" s="1"/>
  <c r="AN104" i="6"/>
  <c r="AO104" i="6" s="1"/>
  <c r="AV104" i="6" s="1"/>
  <c r="AN71" i="6"/>
  <c r="AL111" i="6"/>
  <c r="AN111" i="6" s="1"/>
  <c r="AN47" i="6"/>
  <c r="AO47" i="6" s="1"/>
  <c r="AV47" i="6" s="1"/>
  <c r="AO48" i="6"/>
  <c r="AV48" i="6" s="1"/>
  <c r="AN112" i="6"/>
  <c r="AO112" i="6" s="1"/>
  <c r="AV112" i="6" s="1"/>
  <c r="AN155" i="6"/>
  <c r="AO155" i="6" s="1"/>
  <c r="AV155" i="6" s="1"/>
  <c r="AN138" i="6"/>
  <c r="AO138" i="6" s="1"/>
  <c r="AV138" i="6" s="1"/>
  <c r="AV128" i="6"/>
  <c r="AN168" i="6"/>
  <c r="AN106" i="6"/>
  <c r="AN57" i="6"/>
  <c r="AO57" i="6" s="1"/>
  <c r="AV57" i="6" s="1"/>
  <c r="AV154" i="6"/>
  <c r="AN51" i="6"/>
  <c r="AN153" i="6"/>
  <c r="AN96" i="6"/>
  <c r="AO96" i="6" s="1"/>
  <c r="AV96" i="6" s="1"/>
  <c r="AN55" i="6"/>
  <c r="AO149" i="6"/>
  <c r="AV149" i="6" s="1"/>
  <c r="AN132" i="6"/>
  <c r="AV73" i="6"/>
  <c r="AG101" i="6"/>
  <c r="BR101" i="6" s="1"/>
  <c r="AG93" i="6"/>
  <c r="BR93" i="6" s="1"/>
  <c r="AG265" i="7"/>
  <c r="AG10" i="7"/>
  <c r="BR10" i="7" s="1"/>
  <c r="AG299" i="7"/>
  <c r="BR299" i="7" s="1"/>
  <c r="AG221" i="7"/>
  <c r="BR221" i="7" s="1"/>
  <c r="AG535" i="7"/>
  <c r="AG479" i="7"/>
  <c r="AG141" i="7"/>
  <c r="BR141" i="7" s="1"/>
  <c r="AG149" i="7"/>
  <c r="AG285" i="7"/>
  <c r="BR285" i="7" s="1"/>
  <c r="AG434" i="7"/>
  <c r="BR434" i="7" s="1"/>
  <c r="AG494" i="7"/>
  <c r="AG565" i="7"/>
  <c r="AG165" i="6"/>
  <c r="BR165" i="6" s="1"/>
  <c r="AG62" i="7"/>
  <c r="BR62" i="7" s="1"/>
  <c r="AG382" i="7"/>
  <c r="AG17" i="7"/>
  <c r="BR17" i="7" s="1"/>
  <c r="AG8" i="16"/>
  <c r="BR8" i="16" s="1"/>
  <c r="AG379" i="7"/>
  <c r="AG149" i="6"/>
  <c r="AG161" i="6"/>
  <c r="BR161" i="6" s="1"/>
  <c r="AG61" i="6"/>
  <c r="BR61" i="6" s="1"/>
  <c r="AG99" i="6"/>
  <c r="BR99" i="6" s="1"/>
  <c r="AG77" i="6"/>
  <c r="BR77" i="6" s="1"/>
  <c r="AO89" i="7"/>
  <c r="AV89" i="7" s="1"/>
  <c r="AX89" i="7" s="1"/>
  <c r="AG376" i="7"/>
  <c r="BR376" i="7" s="1"/>
  <c r="AG167" i="6"/>
  <c r="BA374" i="7"/>
  <c r="BC374" i="7" s="1"/>
  <c r="AG41" i="7"/>
  <c r="AG150" i="7"/>
  <c r="BR150" i="7" s="1"/>
  <c r="AG542" i="7"/>
  <c r="AG60" i="7"/>
  <c r="BR60" i="7" s="1"/>
  <c r="AG83" i="6"/>
  <c r="BR83" i="6" s="1"/>
  <c r="AG297" i="7"/>
  <c r="BR297" i="7" s="1"/>
  <c r="AG71" i="7"/>
  <c r="BR71" i="7" s="1"/>
  <c r="AG511" i="7"/>
  <c r="AG418" i="7"/>
  <c r="AG229" i="7"/>
  <c r="BR229" i="7" s="1"/>
  <c r="AG203" i="7"/>
  <c r="BR203" i="7" s="1"/>
  <c r="AG170" i="6"/>
  <c r="BR170" i="6" s="1"/>
  <c r="AG42" i="7"/>
  <c r="AA174" i="6"/>
  <c r="AB174" i="6" s="1"/>
  <c r="AG174" i="6" s="1"/>
  <c r="AG171" i="6"/>
  <c r="AG143" i="6"/>
  <c r="BR143" i="6" s="1"/>
  <c r="BA187" i="7"/>
  <c r="BC187" i="7" s="1"/>
  <c r="AG477" i="7"/>
  <c r="AG118" i="6"/>
  <c r="BR118" i="6" s="1"/>
  <c r="AG111" i="6"/>
  <c r="BR111" i="6" s="1"/>
  <c r="AG94" i="7"/>
  <c r="BR94" i="7" s="1"/>
  <c r="AA164" i="6"/>
  <c r="AB164" i="6" s="1"/>
  <c r="AG164" i="6" s="1"/>
  <c r="AG129" i="6"/>
  <c r="BR129" i="6" s="1"/>
  <c r="AG132" i="6"/>
  <c r="BR132" i="6" s="1"/>
  <c r="AG144" i="6"/>
  <c r="BR144" i="6" s="1"/>
  <c r="AG51" i="6"/>
  <c r="BR51" i="6" s="1"/>
  <c r="AG166" i="6"/>
  <c r="AG148" i="6"/>
  <c r="AG158" i="6"/>
  <c r="AG70" i="6"/>
  <c r="BR70" i="6" s="1"/>
  <c r="AG108" i="6"/>
  <c r="BR108" i="6" s="1"/>
  <c r="AG178" i="6"/>
  <c r="AG106" i="6"/>
  <c r="BR106" i="6" s="1"/>
  <c r="AA140" i="6"/>
  <c r="AB140" i="6" s="1"/>
  <c r="AG140" i="6" s="1"/>
  <c r="BR140" i="6" s="1"/>
  <c r="AG98" i="6"/>
  <c r="BR98" i="6" s="1"/>
  <c r="AG69" i="6"/>
  <c r="BR69" i="6" s="1"/>
  <c r="AG71" i="6"/>
  <c r="BR71" i="6" s="1"/>
  <c r="AG417" i="7"/>
  <c r="AG279" i="7"/>
  <c r="BR279" i="7" s="1"/>
  <c r="AG176" i="6"/>
  <c r="BR176" i="6" s="1"/>
  <c r="AG50" i="6"/>
  <c r="BR50" i="6" s="1"/>
  <c r="AG59" i="6"/>
  <c r="BR59" i="6" s="1"/>
  <c r="AG81" i="6"/>
  <c r="BR81" i="6" s="1"/>
  <c r="AG52" i="6"/>
  <c r="BR52" i="6" s="1"/>
  <c r="AG147" i="6"/>
  <c r="BR147" i="6" s="1"/>
  <c r="AG159" i="6"/>
  <c r="BR159" i="6" s="1"/>
  <c r="AG119" i="6"/>
  <c r="BR119" i="6" s="1"/>
  <c r="AG572" i="7"/>
  <c r="AG545" i="7"/>
  <c r="AG122" i="6"/>
  <c r="BR122" i="6" s="1"/>
  <c r="AG45" i="6"/>
  <c r="BR45" i="6" s="1"/>
  <c r="AG107" i="7"/>
  <c r="BR107" i="7" s="1"/>
  <c r="AG78" i="6"/>
  <c r="BR78" i="6" s="1"/>
  <c r="AG54" i="6"/>
  <c r="BR54" i="6" s="1"/>
  <c r="AO24" i="6"/>
  <c r="AV24" i="6" s="1"/>
  <c r="AG568" i="7"/>
  <c r="AG270" i="7"/>
  <c r="BR270" i="7" s="1"/>
  <c r="AG525" i="7"/>
  <c r="AG452" i="7"/>
  <c r="BR452" i="7" s="1"/>
  <c r="AG93" i="7"/>
  <c r="BR93" i="7" s="1"/>
  <c r="BA449" i="7"/>
  <c r="BC449" i="7" s="1"/>
  <c r="BA375" i="7"/>
  <c r="BC375" i="7" s="1"/>
  <c r="AG287" i="7"/>
  <c r="BR287" i="7" s="1"/>
  <c r="AG431" i="7"/>
  <c r="BR431" i="7" s="1"/>
  <c r="AG406" i="7"/>
  <c r="AG485" i="7"/>
  <c r="AG56" i="7"/>
  <c r="BR56" i="7" s="1"/>
  <c r="AG444" i="7"/>
  <c r="AG21" i="16"/>
  <c r="BR21" i="16" s="1"/>
  <c r="AG465" i="7"/>
  <c r="AG122" i="7"/>
  <c r="BR122" i="7" s="1"/>
  <c r="AG547" i="7"/>
  <c r="AG281" i="7"/>
  <c r="AG109" i="7"/>
  <c r="AG274" i="7"/>
  <c r="AG162" i="7"/>
  <c r="BR162" i="7" s="1"/>
  <c r="AG16" i="16"/>
  <c r="BR16" i="16" s="1"/>
  <c r="AG438" i="7"/>
  <c r="BR438" i="7" s="1"/>
  <c r="AG283" i="7"/>
  <c r="BR283" i="7" s="1"/>
  <c r="AG486" i="7"/>
  <c r="AG165" i="7"/>
  <c r="BR165" i="7" s="1"/>
  <c r="AG24" i="7"/>
  <c r="AG234" i="7"/>
  <c r="AG133" i="7"/>
  <c r="AG23" i="6"/>
  <c r="BR23" i="6" s="1"/>
  <c r="BA151" i="7"/>
  <c r="BC151" i="7" s="1"/>
  <c r="AG196" i="7"/>
  <c r="BR196" i="7" s="1"/>
  <c r="AG316" i="7"/>
  <c r="AG522" i="7"/>
  <c r="AG78" i="7"/>
  <c r="BR78" i="7" s="1"/>
  <c r="AG114" i="7"/>
  <c r="BR114" i="7" s="1"/>
  <c r="AG272" i="7"/>
  <c r="AG348" i="7"/>
  <c r="BR348" i="7" s="1"/>
  <c r="AG242" i="7"/>
  <c r="BR242" i="7" s="1"/>
  <c r="AG48" i="16"/>
  <c r="BR48" i="16" s="1"/>
  <c r="AG159" i="7"/>
  <c r="BR159" i="7" s="1"/>
  <c r="AG181" i="7"/>
  <c r="BR181" i="7" s="1"/>
  <c r="AG198" i="7"/>
  <c r="BR198" i="7" s="1"/>
  <c r="AG220" i="7"/>
  <c r="BR220" i="7" s="1"/>
  <c r="AG92" i="7"/>
  <c r="AG539" i="7"/>
  <c r="AG154" i="7"/>
  <c r="BR154" i="7" s="1"/>
  <c r="AG103" i="7"/>
  <c r="BR103" i="7" s="1"/>
  <c r="AG209" i="7"/>
  <c r="BR209" i="7" s="1"/>
  <c r="BA36" i="7"/>
  <c r="BC36" i="7" s="1"/>
  <c r="BA199" i="7"/>
  <c r="BC199" i="7" s="1"/>
  <c r="AG40" i="16"/>
  <c r="BR40" i="16" s="1"/>
  <c r="AG49" i="7"/>
  <c r="BR49" i="7" s="1"/>
  <c r="BA135" i="7"/>
  <c r="BC135" i="7" s="1"/>
  <c r="BA52" i="7"/>
  <c r="BC52" i="7" s="1"/>
  <c r="BE52" i="7" s="1"/>
  <c r="BF52" i="7" s="1"/>
  <c r="BG52" i="7" s="1"/>
  <c r="AG353" i="7"/>
  <c r="BR353" i="7" s="1"/>
  <c r="AG43" i="6"/>
  <c r="BR43" i="6" s="1"/>
  <c r="AG544" i="7"/>
  <c r="AG330" i="7"/>
  <c r="AG102" i="7"/>
  <c r="BR102" i="7" s="1"/>
  <c r="AG47" i="16"/>
  <c r="BR47" i="16" s="1"/>
  <c r="AG90" i="7"/>
  <c r="BR90" i="7" s="1"/>
  <c r="AG22" i="7"/>
  <c r="BR22" i="7" s="1"/>
  <c r="AG387" i="7"/>
  <c r="AG461" i="7"/>
  <c r="AG335" i="7"/>
  <c r="BR335" i="7" s="1"/>
  <c r="AG37" i="6"/>
  <c r="BR37" i="6" s="1"/>
  <c r="AG29" i="6"/>
  <c r="BR29" i="6" s="1"/>
  <c r="AG10" i="6"/>
  <c r="BR10" i="6" s="1"/>
  <c r="AG13" i="6"/>
  <c r="BR13" i="6" s="1"/>
  <c r="AO260" i="7"/>
  <c r="AV260" i="7" s="1"/>
  <c r="AX260" i="7" s="1"/>
  <c r="AO548" i="7"/>
  <c r="AV548" i="7" s="1"/>
  <c r="AX548" i="7" s="1"/>
  <c r="BA548" i="7" s="1"/>
  <c r="BC548" i="7" s="1"/>
  <c r="AG7" i="6"/>
  <c r="BR7" i="6" s="1"/>
  <c r="AG35" i="6"/>
  <c r="BR35" i="6" s="1"/>
  <c r="AO164" i="7"/>
  <c r="AV164" i="7" s="1"/>
  <c r="AX164" i="7" s="1"/>
  <c r="AO530" i="7"/>
  <c r="AV530" i="7" s="1"/>
  <c r="AX530" i="7" s="1"/>
  <c r="AO264" i="7"/>
  <c r="AV264" i="7" s="1"/>
  <c r="AX264" i="7" s="1"/>
  <c r="BA264" i="7" s="1"/>
  <c r="BC264" i="7" s="1"/>
  <c r="AX43" i="6"/>
  <c r="AO241" i="7"/>
  <c r="AV241" i="7" s="1"/>
  <c r="AX241" i="7" s="1"/>
  <c r="AO430" i="7"/>
  <c r="AV430" i="7" s="1"/>
  <c r="AX430" i="7" s="1"/>
  <c r="AO84" i="7"/>
  <c r="AV84" i="7" s="1"/>
  <c r="AX84" i="7" s="1"/>
  <c r="BA84" i="7" s="1"/>
  <c r="BC84" i="7" s="1"/>
  <c r="AO508" i="7"/>
  <c r="AV508" i="7" s="1"/>
  <c r="AX508" i="7" s="1"/>
  <c r="AO336" i="7"/>
  <c r="AV336" i="7" s="1"/>
  <c r="AX336" i="7" s="1"/>
  <c r="AO431" i="7"/>
  <c r="AV431" i="7" s="1"/>
  <c r="AX431" i="7" s="1"/>
  <c r="BA431" i="7" s="1"/>
  <c r="BC431" i="7" s="1"/>
  <c r="AO140" i="7"/>
  <c r="AV140" i="7" s="1"/>
  <c r="AX140" i="7" s="1"/>
  <c r="AO476" i="7"/>
  <c r="AV476" i="7" s="1"/>
  <c r="AX476" i="7" s="1"/>
  <c r="AO188" i="7"/>
  <c r="AV188" i="7" s="1"/>
  <c r="AX188" i="7" s="1"/>
  <c r="AO268" i="7"/>
  <c r="AV268" i="7" s="1"/>
  <c r="AX268" i="7" s="1"/>
  <c r="AO318" i="7"/>
  <c r="AV318" i="7" s="1"/>
  <c r="AX318" i="7" s="1"/>
  <c r="BA318" i="7" s="1"/>
  <c r="BC318" i="7" s="1"/>
  <c r="AO113" i="7"/>
  <c r="AV113" i="7" s="1"/>
  <c r="AX113" i="7" s="1"/>
  <c r="BA394" i="7"/>
  <c r="BC394" i="7" s="1"/>
  <c r="BA458" i="7"/>
  <c r="BC458" i="7" s="1"/>
  <c r="BA256" i="7"/>
  <c r="BC256" i="7" s="1"/>
  <c r="BA403" i="7"/>
  <c r="BC403" i="7" s="1"/>
  <c r="AV22" i="6"/>
  <c r="BA221" i="7"/>
  <c r="BC221" i="7" s="1"/>
  <c r="BA56" i="7"/>
  <c r="BC56" i="7" s="1"/>
  <c r="BA240" i="7"/>
  <c r="BC240" i="7" s="1"/>
  <c r="BA385" i="7"/>
  <c r="BC385" i="7" s="1"/>
  <c r="BE385" i="7" s="1"/>
  <c r="BF385" i="7" s="1"/>
  <c r="BG385" i="7" s="1"/>
  <c r="AG20" i="6"/>
  <c r="BR20" i="6" s="1"/>
  <c r="AG25" i="6"/>
  <c r="AG36" i="6"/>
  <c r="BR36" i="6" s="1"/>
  <c r="BA482" i="7"/>
  <c r="BC482" i="7" s="1"/>
  <c r="AG368" i="7"/>
  <c r="BR368" i="7" s="1"/>
  <c r="BA285" i="7"/>
  <c r="BC285" i="7" s="1"/>
  <c r="AG143" i="7"/>
  <c r="BR143" i="7" s="1"/>
  <c r="AG208" i="7"/>
  <c r="BR208" i="7" s="1"/>
  <c r="AG402" i="7"/>
  <c r="BR402" i="7" s="1"/>
  <c r="BA279" i="7"/>
  <c r="BC279" i="7" s="1"/>
  <c r="AG183" i="7"/>
  <c r="AG569" i="7"/>
  <c r="AG12" i="7"/>
  <c r="AG342" i="7"/>
  <c r="AG113" i="7"/>
  <c r="BR113" i="7" s="1"/>
  <c r="AG357" i="7"/>
  <c r="AG179" i="7"/>
  <c r="BR179" i="7" s="1"/>
  <c r="AG41" i="6"/>
  <c r="AG573" i="7"/>
  <c r="AG42" i="16"/>
  <c r="BR42" i="16" s="1"/>
  <c r="AG548" i="7"/>
  <c r="AG513" i="7"/>
  <c r="AG69" i="7"/>
  <c r="AG563" i="7"/>
  <c r="AG377" i="7"/>
  <c r="AG490" i="7"/>
  <c r="AG409" i="7"/>
  <c r="AG317" i="7"/>
  <c r="AG446" i="7"/>
  <c r="BR446" i="7" s="1"/>
  <c r="AG32" i="16"/>
  <c r="BR32" i="16" s="1"/>
  <c r="AG553" i="7"/>
  <c r="AG182" i="7"/>
  <c r="BR182" i="7" s="1"/>
  <c r="AG246" i="7"/>
  <c r="BR246" i="7" s="1"/>
  <c r="AG61" i="7"/>
  <c r="BR61" i="7" s="1"/>
  <c r="AG28" i="7"/>
  <c r="BR28" i="7" s="1"/>
  <c r="AG34" i="7"/>
  <c r="BR34" i="7" s="1"/>
  <c r="AG266" i="7"/>
  <c r="AG475" i="7"/>
  <c r="AG238" i="7"/>
  <c r="BR238" i="7" s="1"/>
  <c r="AG280" i="7"/>
  <c r="BR280" i="7" s="1"/>
  <c r="AG194" i="7"/>
  <c r="BR194" i="7" s="1"/>
  <c r="AG18" i="16"/>
  <c r="BR18" i="16" s="1"/>
  <c r="AG294" i="7"/>
  <c r="BR294" i="7" s="1"/>
  <c r="AG5" i="6"/>
  <c r="BR5" i="6" s="1"/>
  <c r="AG32" i="6"/>
  <c r="BR32" i="6" s="1"/>
  <c r="BA300" i="7"/>
  <c r="BC300" i="7" s="1"/>
  <c r="AG44" i="16"/>
  <c r="BR44" i="16" s="1"/>
  <c r="AG5" i="16"/>
  <c r="BR5" i="16" s="1"/>
  <c r="AG327" i="7"/>
  <c r="AG554" i="7"/>
  <c r="AG116" i="7"/>
  <c r="AG9" i="6"/>
  <c r="BR9" i="6" s="1"/>
  <c r="AG355" i="7"/>
  <c r="AG140" i="7"/>
  <c r="BR140" i="7" s="1"/>
  <c r="AG37" i="7"/>
  <c r="BR37" i="7" s="1"/>
  <c r="AG515" i="7"/>
  <c r="AG207" i="7"/>
  <c r="BR207" i="7" s="1"/>
  <c r="AG405" i="7"/>
  <c r="BR405" i="7" s="1"/>
  <c r="AG459" i="7"/>
  <c r="AG532" i="7"/>
  <c r="AG350" i="7"/>
  <c r="AG34" i="16"/>
  <c r="BR34" i="16" s="1"/>
  <c r="AG15" i="7"/>
  <c r="AG562" i="7"/>
  <c r="AG557" i="7"/>
  <c r="AG369" i="7"/>
  <c r="BR369" i="7" s="1"/>
  <c r="AG448" i="7"/>
  <c r="AG491" i="7"/>
  <c r="AG136" i="7"/>
  <c r="AG433" i="7"/>
  <c r="AG230" i="7"/>
  <c r="BR230" i="7" s="1"/>
  <c r="AG397" i="7"/>
  <c r="AG123" i="7"/>
  <c r="AG455" i="7"/>
  <c r="AG427" i="7"/>
  <c r="AG262" i="7"/>
  <c r="AG247" i="7"/>
  <c r="AG25" i="7"/>
  <c r="AG253" i="7"/>
  <c r="AG119" i="7"/>
  <c r="BR119" i="7" s="1"/>
  <c r="AG378" i="7"/>
  <c r="BR378" i="7" s="1"/>
  <c r="AG559" i="7"/>
  <c r="AG483" i="7"/>
  <c r="AG46" i="7"/>
  <c r="BR46" i="7" s="1"/>
  <c r="AG54" i="7"/>
  <c r="BR54" i="7" s="1"/>
  <c r="AG325" i="7"/>
  <c r="AG43" i="7"/>
  <c r="AG462" i="7"/>
  <c r="AG260" i="7"/>
  <c r="BR260" i="7" s="1"/>
  <c r="AG529" i="7"/>
  <c r="AG215" i="7"/>
  <c r="BR215" i="7" s="1"/>
  <c r="AG519" i="7"/>
  <c r="BR519" i="7" s="1"/>
  <c r="AG517" i="7"/>
  <c r="AG310" i="7"/>
  <c r="BR310" i="7" s="1"/>
  <c r="AG127" i="7"/>
  <c r="BR127" i="7" s="1"/>
  <c r="AG82" i="7"/>
  <c r="BR82" i="7" s="1"/>
  <c r="AG395" i="7"/>
  <c r="BR395" i="7" s="1"/>
  <c r="AG29" i="16"/>
  <c r="BR29" i="16" s="1"/>
  <c r="AG278" i="7"/>
  <c r="BR278" i="7" s="1"/>
  <c r="AG47" i="7"/>
  <c r="BR47" i="7" s="1"/>
  <c r="AG33" i="6"/>
  <c r="BR33" i="6" s="1"/>
  <c r="BA63" i="7"/>
  <c r="BC63" i="7" s="1"/>
  <c r="AG408" i="7"/>
  <c r="AG536" i="7"/>
  <c r="AG404" i="7"/>
  <c r="AG166" i="7"/>
  <c r="BR166" i="7" s="1"/>
  <c r="AG39" i="16"/>
  <c r="BR39" i="16" s="1"/>
  <c r="AG64" i="7"/>
  <c r="BR64" i="7" s="1"/>
  <c r="AG100" i="7"/>
  <c r="BR100" i="7" s="1"/>
  <c r="AG30" i="6"/>
  <c r="BR30" i="6" s="1"/>
  <c r="AG42" i="6"/>
  <c r="BR42" i="6" s="1"/>
  <c r="AG345" i="7"/>
  <c r="AG80" i="7"/>
  <c r="BR80" i="7" s="1"/>
  <c r="AG73" i="7"/>
  <c r="BR73" i="7" s="1"/>
  <c r="AG523" i="7"/>
  <c r="AG360" i="7"/>
  <c r="AG30" i="7"/>
  <c r="BR30" i="7" s="1"/>
  <c r="AG34" i="6"/>
  <c r="AG26" i="7"/>
  <c r="BR26" i="7" s="1"/>
  <c r="AG321" i="7"/>
  <c r="AG168" i="7"/>
  <c r="AG43" i="16"/>
  <c r="BR43" i="16" s="1"/>
  <c r="AG549" i="7"/>
  <c r="AG214" i="7"/>
  <c r="BR214" i="7" s="1"/>
  <c r="AG38" i="7"/>
  <c r="BR38" i="7" s="1"/>
  <c r="AG111" i="7"/>
  <c r="AG566" i="7"/>
  <c r="AG258" i="7"/>
  <c r="AG148" i="7"/>
  <c r="AG311" i="7"/>
  <c r="AG399" i="7"/>
  <c r="AG450" i="7"/>
  <c r="AG423" i="7"/>
  <c r="AG508" i="7"/>
  <c r="AG298" i="7"/>
  <c r="AG432" i="7"/>
  <c r="AG12" i="16"/>
  <c r="BR12" i="16" s="1"/>
  <c r="AG421" i="7"/>
  <c r="BA254" i="7"/>
  <c r="BC254" i="7" s="1"/>
  <c r="AG185" i="7"/>
  <c r="BR185" i="7" s="1"/>
  <c r="AG17" i="16"/>
  <c r="BR17" i="16" s="1"/>
  <c r="AG296" i="7"/>
  <c r="AG308" i="7"/>
  <c r="AG322" i="7"/>
  <c r="AG14" i="7"/>
  <c r="BR14" i="7" s="1"/>
  <c r="AG412" i="7"/>
  <c r="AG217" i="7"/>
  <c r="AG212" i="7"/>
  <c r="AG24" i="6"/>
  <c r="BR24" i="6" s="1"/>
  <c r="BA17" i="7"/>
  <c r="BC17" i="7" s="1"/>
  <c r="BA354" i="7"/>
  <c r="BC354" i="7" s="1"/>
  <c r="BA172" i="7"/>
  <c r="BC172" i="7" s="1"/>
  <c r="BA371" i="7"/>
  <c r="BC371" i="7" s="1"/>
  <c r="BA237" i="7"/>
  <c r="BC237" i="7" s="1"/>
  <c r="AG146" i="7"/>
  <c r="BR146" i="7" s="1"/>
  <c r="AG120" i="7"/>
  <c r="BR120" i="7" s="1"/>
  <c r="AG110" i="7"/>
  <c r="BR110" i="7" s="1"/>
  <c r="AG45" i="16"/>
  <c r="BR45" i="16" s="1"/>
  <c r="AG38" i="6"/>
  <c r="BR38" i="6" s="1"/>
  <c r="AG391" i="7"/>
  <c r="BR391" i="7" s="1"/>
  <c r="AG219" i="7"/>
  <c r="BR219" i="7" s="1"/>
  <c r="AG157" i="7"/>
  <c r="BR157" i="7" s="1"/>
  <c r="AG228" i="7"/>
  <c r="BR228" i="7" s="1"/>
  <c r="AG487" i="7"/>
  <c r="AG451" i="7"/>
  <c r="BR451" i="7" s="1"/>
  <c r="AG11" i="7"/>
  <c r="BR11" i="7" s="1"/>
  <c r="AG255" i="7"/>
  <c r="BR255" i="7" s="1"/>
  <c r="AG361" i="7"/>
  <c r="BR361" i="7" s="1"/>
  <c r="AG489" i="7"/>
  <c r="BA511" i="7"/>
  <c r="BC511" i="7" s="1"/>
  <c r="AG319" i="7"/>
  <c r="BR319" i="7" s="1"/>
  <c r="AG556" i="7"/>
  <c r="AG190" i="7"/>
  <c r="BR190" i="7" s="1"/>
  <c r="AG164" i="7"/>
  <c r="BR164" i="7" s="1"/>
  <c r="AG40" i="6"/>
  <c r="BR40" i="6" s="1"/>
  <c r="BA229" i="7"/>
  <c r="BC229" i="7" s="1"/>
  <c r="BA245" i="7"/>
  <c r="BC245" i="7" s="1"/>
  <c r="BA165" i="7"/>
  <c r="BC165" i="7" s="1"/>
  <c r="AG98" i="7"/>
  <c r="BR98" i="7" s="1"/>
  <c r="AG528" i="7"/>
  <c r="AG495" i="7"/>
  <c r="AG86" i="7"/>
  <c r="BR86" i="7" s="1"/>
  <c r="AG453" i="7"/>
  <c r="AG45" i="7"/>
  <c r="AG147" i="7"/>
  <c r="BR147" i="7" s="1"/>
  <c r="AG104" i="7"/>
  <c r="AG334" i="7"/>
  <c r="AG20" i="7"/>
  <c r="AG567" i="7"/>
  <c r="AG480" i="7"/>
  <c r="BA257" i="7"/>
  <c r="BC257" i="7" s="1"/>
  <c r="BA62" i="7"/>
  <c r="BC62" i="7" s="1"/>
  <c r="AG8" i="7"/>
  <c r="AG29" i="7"/>
  <c r="BR29" i="7" s="1"/>
  <c r="AG31" i="7"/>
  <c r="AG292" i="7"/>
  <c r="AG498" i="7"/>
  <c r="AG309" i="7"/>
  <c r="AG426" i="7"/>
  <c r="AG35" i="16"/>
  <c r="BR35" i="16" s="1"/>
  <c r="AG478" i="7"/>
  <c r="AG178" i="7"/>
  <c r="BR178" i="7" s="1"/>
  <c r="AG538" i="7"/>
  <c r="AG383" i="7"/>
  <c r="BA5" i="7"/>
  <c r="BC5" i="7" s="1"/>
  <c r="BE5" i="7" s="1"/>
  <c r="BF5" i="7" s="1"/>
  <c r="BG5" i="7" s="1"/>
  <c r="AG390" i="7"/>
  <c r="AG7" i="16"/>
  <c r="BR7" i="16" s="1"/>
  <c r="AG445" i="7"/>
  <c r="AG200" i="7"/>
  <c r="AG304" i="7"/>
  <c r="AG333" i="7"/>
  <c r="AG493" i="7"/>
  <c r="AG358" i="7"/>
  <c r="AG392" i="7"/>
  <c r="AG288" i="7"/>
  <c r="AG105" i="7"/>
  <c r="BR105" i="7" s="1"/>
  <c r="AG57" i="7"/>
  <c r="AG95" i="7"/>
  <c r="AG284" i="7"/>
  <c r="AG4" i="6"/>
  <c r="BR4" i="6" s="1"/>
  <c r="AG546" i="7"/>
  <c r="AG72" i="7"/>
  <c r="AG372" i="7"/>
  <c r="AG380" i="7"/>
  <c r="AG189" i="7"/>
  <c r="AG216" i="7"/>
  <c r="AG275" i="7"/>
  <c r="BR275" i="7" s="1"/>
  <c r="AG53" i="7"/>
  <c r="AG88" i="7"/>
  <c r="AG223" i="7"/>
  <c r="BR223" i="7" s="1"/>
  <c r="AG473" i="7"/>
  <c r="AG564" i="7"/>
  <c r="AG343" i="7"/>
  <c r="AG420" i="7"/>
  <c r="AG351" i="7"/>
  <c r="AG509" i="7"/>
  <c r="AG476" i="7"/>
  <c r="AG570" i="7"/>
  <c r="AG344" i="7"/>
  <c r="AG437" i="7"/>
  <c r="BR437" i="7" s="1"/>
  <c r="AG484" i="7"/>
  <c r="AG112" i="7"/>
  <c r="AG410" i="7"/>
  <c r="AG65" i="7"/>
  <c r="AG295" i="7"/>
  <c r="AG87" i="7"/>
  <c r="BR87" i="7" s="1"/>
  <c r="AG447" i="7"/>
  <c r="AG241" i="7"/>
  <c r="BR241" i="7" s="1"/>
  <c r="AG55" i="7"/>
  <c r="BR55" i="7" s="1"/>
  <c r="AG552" i="7"/>
  <c r="AG21" i="7"/>
  <c r="AG286" i="7"/>
  <c r="BR286" i="7" s="1"/>
  <c r="AG83" i="7"/>
  <c r="BR83" i="7" s="1"/>
  <c r="AG555" i="7"/>
  <c r="AG131" i="7"/>
  <c r="BR131" i="7" s="1"/>
  <c r="AG381" i="7"/>
  <c r="BR381" i="7" s="1"/>
  <c r="AG99" i="7"/>
  <c r="BR99" i="7" s="1"/>
  <c r="AG167" i="7"/>
  <c r="BR167" i="7" s="1"/>
  <c r="AG415" i="7"/>
  <c r="BR415" i="7" s="1"/>
  <c r="AG13" i="16"/>
  <c r="BR13" i="16" s="1"/>
  <c r="BA400" i="7"/>
  <c r="BC400" i="7" s="1"/>
  <c r="AG424" i="7"/>
  <c r="AG454" i="7"/>
  <c r="AG211" i="7"/>
  <c r="BR211" i="7" s="1"/>
  <c r="AG500" i="7"/>
  <c r="AG336" i="7"/>
  <c r="BR336" i="7" s="1"/>
  <c r="AG121" i="7"/>
  <c r="BR121" i="7" s="1"/>
  <c r="AG497" i="7"/>
  <c r="AG193" i="7"/>
  <c r="AG504" i="7"/>
  <c r="AG411" i="7"/>
  <c r="BR411" i="7" s="1"/>
  <c r="AG558" i="7"/>
  <c r="AG502" i="7"/>
  <c r="AG85" i="7"/>
  <c r="AG108" i="7"/>
  <c r="AG171" i="7"/>
  <c r="AG328" i="7"/>
  <c r="AG413" i="7"/>
  <c r="AG526" i="7"/>
  <c r="AG326" i="7"/>
  <c r="AG205" i="7"/>
  <c r="AG160" i="7"/>
  <c r="BR160" i="7" s="1"/>
  <c r="AG305" i="7"/>
  <c r="AG77" i="7"/>
  <c r="AG161" i="7"/>
  <c r="AG97" i="7"/>
  <c r="BR97" i="7" s="1"/>
  <c r="AG204" i="7"/>
  <c r="BR204" i="7" s="1"/>
  <c r="AG302" i="7"/>
  <c r="AG364" i="7"/>
  <c r="BR364" i="7" s="1"/>
  <c r="AG126" i="7"/>
  <c r="BR126" i="7" s="1"/>
  <c r="AG370" i="7"/>
  <c r="AG320" i="7"/>
  <c r="BR320" i="7" s="1"/>
  <c r="AG26" i="16"/>
  <c r="BR26" i="16" s="1"/>
  <c r="AG514" i="7"/>
  <c r="AG124" i="7"/>
  <c r="AG307" i="7"/>
  <c r="AG152" i="7"/>
  <c r="AG301" i="7"/>
  <c r="AG540" i="7"/>
  <c r="AG35" i="7"/>
  <c r="BR35" i="7" s="1"/>
  <c r="BA365" i="7"/>
  <c r="BC365" i="7" s="1"/>
  <c r="BA198" i="7"/>
  <c r="BC198" i="7" s="1"/>
  <c r="BA533" i="7"/>
  <c r="BC533" i="7" s="1"/>
  <c r="AG271" i="7"/>
  <c r="BR271" i="7" s="1"/>
  <c r="BA518" i="7"/>
  <c r="BC518" i="7" s="1"/>
  <c r="AG101" i="7"/>
  <c r="AG79" i="7"/>
  <c r="AG416" i="7"/>
  <c r="AG252" i="7"/>
  <c r="AG70" i="7"/>
  <c r="BR70" i="7" s="1"/>
  <c r="AG132" i="7"/>
  <c r="AG332" i="7"/>
  <c r="BR332" i="7" s="1"/>
  <c r="AG289" i="7"/>
  <c r="AG50" i="7"/>
  <c r="BR50" i="7" s="1"/>
  <c r="AG206" i="7"/>
  <c r="BR206" i="7" s="1"/>
  <c r="AG13" i="7"/>
  <c r="AG339" i="7"/>
  <c r="AG386" i="7"/>
  <c r="BR386" i="7" s="1"/>
  <c r="AG441" i="7"/>
  <c r="AG492" i="7"/>
  <c r="AG129" i="7"/>
  <c r="AG306" i="7"/>
  <c r="BR306" i="7" s="1"/>
  <c r="AG530" i="7"/>
  <c r="AG347" i="7"/>
  <c r="AG303" i="7"/>
  <c r="BR303" i="7" s="1"/>
  <c r="AG125" i="7"/>
  <c r="BR125" i="7" s="1"/>
  <c r="AG15" i="16"/>
  <c r="BR15" i="16" s="1"/>
  <c r="AG527" i="7"/>
  <c r="AG46" i="16"/>
  <c r="BR46" i="16" s="1"/>
  <c r="AG442" i="7"/>
  <c r="AG268" i="7"/>
  <c r="BR268" i="7" s="1"/>
  <c r="BA225" i="7"/>
  <c r="BC225" i="7" s="1"/>
  <c r="BA48" i="7"/>
  <c r="BC48" i="7" s="1"/>
  <c r="BA376" i="7"/>
  <c r="BC376" i="7" s="1"/>
  <c r="BA18" i="7"/>
  <c r="BC18" i="7" s="1"/>
  <c r="BA440" i="7"/>
  <c r="BC440" i="7" s="1"/>
  <c r="BA520" i="7"/>
  <c r="BC520" i="7" s="1"/>
  <c r="BA474" i="7"/>
  <c r="BC474" i="7" s="1"/>
  <c r="AG469" i="7"/>
  <c r="AG251" i="7"/>
  <c r="BR251" i="7" s="1"/>
  <c r="AG244" i="7"/>
  <c r="AG329" i="7"/>
  <c r="AG541" i="7"/>
  <c r="AG218" i="7"/>
  <c r="AG7" i="7"/>
  <c r="BR7" i="7" s="1"/>
  <c r="AG470" i="7"/>
  <c r="AG22" i="16"/>
  <c r="BR22" i="16" s="1"/>
  <c r="AG222" i="7"/>
  <c r="BR222" i="7" s="1"/>
  <c r="AG401" i="7"/>
  <c r="AG419" i="7"/>
  <c r="AG359" i="7"/>
  <c r="AG180" i="7"/>
  <c r="AG158" i="7"/>
  <c r="BR158" i="7" s="1"/>
  <c r="AG76" i="7"/>
  <c r="AG373" i="7"/>
  <c r="AG481" i="7"/>
  <c r="AG422" i="7"/>
  <c r="AG366" i="7"/>
  <c r="AG393" i="7"/>
  <c r="AG202" i="7"/>
  <c r="BR202" i="7" s="1"/>
  <c r="BA338" i="7"/>
  <c r="BC338" i="7" s="1"/>
  <c r="AG282" i="7"/>
  <c r="AG290" i="7"/>
  <c r="AG44" i="7"/>
  <c r="AG356" i="7"/>
  <c r="AG236" i="7"/>
  <c r="BR236" i="7" s="1"/>
  <c r="AG139" i="7"/>
  <c r="AG68" i="7"/>
  <c r="AG259" i="7"/>
  <c r="AG134" i="7"/>
  <c r="AG389" i="7"/>
  <c r="AG66" i="7"/>
  <c r="BR66" i="7" s="1"/>
  <c r="AG430" i="7"/>
  <c r="BR430" i="7" s="1"/>
  <c r="AG503" i="7"/>
  <c r="AG89" i="7"/>
  <c r="BR89" i="7" s="1"/>
  <c r="AG27" i="7"/>
  <c r="BR27" i="7" s="1"/>
  <c r="AG439" i="7"/>
  <c r="AG457" i="7"/>
  <c r="AG11" i="16"/>
  <c r="BR11" i="16" s="1"/>
  <c r="AG170" i="7"/>
  <c r="BR170" i="7" s="1"/>
  <c r="AG512" i="7"/>
  <c r="BA32" i="7"/>
  <c r="BC32" i="7" s="1"/>
  <c r="BA248" i="7"/>
  <c r="BC248" i="7" s="1"/>
  <c r="BA141" i="7"/>
  <c r="BC141" i="7" s="1"/>
  <c r="BA291" i="7"/>
  <c r="BC291" i="7" s="1"/>
  <c r="AV20" i="6"/>
  <c r="AG8" i="6"/>
  <c r="BR8" i="6" s="1"/>
  <c r="AG39" i="6"/>
  <c r="AG21" i="6"/>
  <c r="BR21" i="6" s="1"/>
  <c r="AG6" i="6"/>
  <c r="BR6" i="6" s="1"/>
  <c r="AO33" i="6"/>
  <c r="AV33" i="6" s="1"/>
  <c r="BA362" i="7"/>
  <c r="BC362" i="7" s="1"/>
  <c r="BA506" i="7"/>
  <c r="BC506" i="7" s="1"/>
  <c r="AG137" i="7"/>
  <c r="BA571" i="7"/>
  <c r="BC571" i="7" s="1"/>
  <c r="BA479" i="7"/>
  <c r="BC479" i="7" s="1"/>
  <c r="BA537" i="7"/>
  <c r="BC537" i="7" s="1"/>
  <c r="AG36" i="16"/>
  <c r="BR36" i="16" s="1"/>
  <c r="AG398" i="7"/>
  <c r="AG226" i="7"/>
  <c r="BR226" i="7" s="1"/>
  <c r="BA463" i="7"/>
  <c r="BC463" i="7" s="1"/>
  <c r="BA531" i="7"/>
  <c r="BC531" i="7" s="1"/>
  <c r="BA557" i="7"/>
  <c r="BC557" i="7" s="1"/>
  <c r="AG195" i="7"/>
  <c r="BR195" i="7" s="1"/>
  <c r="AG142" i="7"/>
  <c r="BR142" i="7" s="1"/>
  <c r="BA472" i="7"/>
  <c r="BC472" i="7" s="1"/>
  <c r="BA471" i="7"/>
  <c r="BC471" i="7" s="1"/>
  <c r="AG188" i="7"/>
  <c r="BR188" i="7" s="1"/>
  <c r="AG231" i="7"/>
  <c r="BA488" i="7"/>
  <c r="BC488" i="7" s="1"/>
  <c r="BA462" i="7"/>
  <c r="BC462" i="7" s="1"/>
  <c r="BA516" i="7"/>
  <c r="BC516" i="7" s="1"/>
  <c r="BA572" i="7"/>
  <c r="BC572" i="7" s="1"/>
  <c r="BA536" i="7"/>
  <c r="BC536" i="7" s="1"/>
  <c r="BA467" i="7"/>
  <c r="BC467" i="7" s="1"/>
  <c r="BA545" i="7"/>
  <c r="BC545" i="7" s="1"/>
  <c r="AG23" i="16"/>
  <c r="BR23" i="16" s="1"/>
  <c r="BA513" i="7"/>
  <c r="BC513" i="7" s="1"/>
  <c r="BA535" i="7"/>
  <c r="BC535" i="7" s="1"/>
  <c r="BA539" i="7"/>
  <c r="BC539" i="7" s="1"/>
  <c r="AG173" i="7"/>
  <c r="AG10" i="16"/>
  <c r="BR10" i="16" s="1"/>
  <c r="AG331" i="7"/>
  <c r="BR331" i="7" s="1"/>
  <c r="BA486" i="7"/>
  <c r="BC486" i="7" s="1"/>
  <c r="BA209" i="7"/>
  <c r="BC209" i="7" s="1"/>
  <c r="BA475" i="7"/>
  <c r="BC475" i="7" s="1"/>
  <c r="BA534" i="7"/>
  <c r="BC534" i="7" s="1"/>
  <c r="BA543" i="7"/>
  <c r="BC543" i="7" s="1"/>
  <c r="BA369" i="7"/>
  <c r="BC369" i="7" s="1"/>
  <c r="BA524" i="7"/>
  <c r="BC524" i="7" s="1"/>
  <c r="AG324" i="7"/>
  <c r="BA468" i="7"/>
  <c r="BC468" i="7" s="1"/>
  <c r="AG31" i="6"/>
  <c r="BR31" i="6" s="1"/>
  <c r="BA517" i="7"/>
  <c r="BC517" i="7" s="1"/>
  <c r="BA368" i="7"/>
  <c r="BC368" i="7" s="1"/>
  <c r="AG106" i="7"/>
  <c r="BR106" i="7" s="1"/>
  <c r="AO36" i="6"/>
  <c r="AV36" i="6" s="1"/>
  <c r="AO40" i="6"/>
  <c r="AV40" i="6" s="1"/>
  <c r="AO10" i="6"/>
  <c r="AV10" i="6" s="1"/>
  <c r="AO32" i="6"/>
  <c r="AV32" i="6" s="1"/>
  <c r="AO29" i="6"/>
  <c r="AV29" i="6" s="1"/>
  <c r="AL12" i="6"/>
  <c r="AN12" i="6" s="1"/>
  <c r="AO4" i="6"/>
  <c r="AV4" i="6" s="1"/>
  <c r="AO7" i="6"/>
  <c r="AV7" i="6" s="1"/>
  <c r="AO44" i="16"/>
  <c r="AV44" i="16" s="1"/>
  <c r="AO37" i="6"/>
  <c r="AV37" i="6" s="1"/>
  <c r="AO48" i="16"/>
  <c r="AV48" i="16" s="1"/>
  <c r="AX28" i="16"/>
  <c r="BA28" i="16" s="1"/>
  <c r="BC28" i="16" s="1"/>
  <c r="AX94" i="7"/>
  <c r="BA94" i="7" s="1"/>
  <c r="BC94" i="7" s="1"/>
  <c r="AX21" i="6"/>
  <c r="AX127" i="7"/>
  <c r="BA127" i="7" s="1"/>
  <c r="BC127" i="7" s="1"/>
  <c r="AX319" i="7"/>
  <c r="BA319" i="7" s="1"/>
  <c r="BC319" i="7" s="1"/>
  <c r="AX175" i="7"/>
  <c r="BA175" i="7" s="1"/>
  <c r="BC175" i="7" s="1"/>
  <c r="AO34" i="16"/>
  <c r="AV34" i="16" s="1"/>
  <c r="AX14" i="7"/>
  <c r="BA14" i="7" s="1"/>
  <c r="BC14" i="7" s="1"/>
  <c r="AX147" i="7"/>
  <c r="BA147" i="7" s="1"/>
  <c r="BC147" i="7" s="1"/>
  <c r="AX24" i="16"/>
  <c r="BA24" i="16" s="1"/>
  <c r="BC24" i="16" s="1"/>
  <c r="BE24" i="16" s="1"/>
  <c r="BF24" i="16" s="1"/>
  <c r="BG24" i="16" s="1"/>
  <c r="AX126" i="7"/>
  <c r="BA126" i="7" s="1"/>
  <c r="BC126" i="7" s="1"/>
  <c r="AX99" i="7"/>
  <c r="BA99" i="7" s="1"/>
  <c r="BC99" i="7" s="1"/>
  <c r="AX23" i="16"/>
  <c r="BA23" i="16" s="1"/>
  <c r="BC23" i="16" s="1"/>
  <c r="AX42" i="6"/>
  <c r="BA42" i="6" s="1"/>
  <c r="BC42" i="6" s="1"/>
  <c r="AX7" i="16"/>
  <c r="BA7" i="16" s="1"/>
  <c r="BC7" i="16" s="1"/>
  <c r="AX23" i="7"/>
  <c r="BA23" i="7" s="1"/>
  <c r="BC23" i="7" s="1"/>
  <c r="AX46" i="7"/>
  <c r="BA46" i="7" s="1"/>
  <c r="BC46" i="7" s="1"/>
  <c r="AO12" i="16"/>
  <c r="AV12" i="16" s="1"/>
  <c r="AX54" i="7"/>
  <c r="BA54" i="7" s="1"/>
  <c r="BC54" i="7" s="1"/>
  <c r="AO37" i="16"/>
  <c r="AV37" i="16" s="1"/>
  <c r="AX18" i="16"/>
  <c r="BA18" i="16" s="1"/>
  <c r="BC18" i="16" s="1"/>
  <c r="AX287" i="7"/>
  <c r="BA287" i="7" s="1"/>
  <c r="BC287" i="7" s="1"/>
  <c r="AX19" i="16"/>
  <c r="BA19" i="16" s="1"/>
  <c r="BC19" i="16" s="1"/>
  <c r="AX42" i="16"/>
  <c r="BA42" i="16" s="1"/>
  <c r="BC42" i="16" s="1"/>
  <c r="AX170" i="7"/>
  <c r="BA170" i="7" s="1"/>
  <c r="BC170" i="7" s="1"/>
  <c r="AX9" i="16"/>
  <c r="BA9" i="16" s="1"/>
  <c r="BC9" i="16" s="1"/>
  <c r="AX146" i="7"/>
  <c r="BA146" i="7" s="1"/>
  <c r="BC146" i="7" s="1"/>
  <c r="AO40" i="16"/>
  <c r="AV40" i="16" s="1"/>
  <c r="AX67" i="7"/>
  <c r="BA67" i="7" s="1"/>
  <c r="BC67" i="7" s="1"/>
  <c r="AO26" i="16"/>
  <c r="AV26" i="16" s="1"/>
  <c r="AX191" i="7"/>
  <c r="BA191" i="7" s="1"/>
  <c r="BC191" i="7" s="1"/>
  <c r="AX39" i="7"/>
  <c r="BA39" i="7" s="1"/>
  <c r="BC39" i="7" s="1"/>
  <c r="AX10" i="16"/>
  <c r="AO27" i="6"/>
  <c r="AV27" i="6" s="1"/>
  <c r="AX4" i="16"/>
  <c r="BA4" i="16" s="1"/>
  <c r="BC4" i="16" s="1"/>
  <c r="AO36" i="16"/>
  <c r="AV36" i="16" s="1"/>
  <c r="AO46" i="16"/>
  <c r="AV46" i="16" s="1"/>
  <c r="AX223" i="7"/>
  <c r="BA223" i="7" s="1"/>
  <c r="BC223" i="7" s="1"/>
  <c r="AX31" i="16"/>
  <c r="BA31" i="16" s="1"/>
  <c r="BC31" i="16" s="1"/>
  <c r="AX210" i="7"/>
  <c r="BA210" i="7" s="1"/>
  <c r="BC210" i="7" s="1"/>
  <c r="AX207" i="7"/>
  <c r="BA207" i="7" s="1"/>
  <c r="BC207" i="7" s="1"/>
  <c r="AX16" i="16"/>
  <c r="BA16" i="16" s="1"/>
  <c r="BC16" i="16" s="1"/>
  <c r="AX29" i="16"/>
  <c r="BA29" i="16" s="1"/>
  <c r="BC29" i="16" s="1"/>
  <c r="AO20" i="16"/>
  <c r="AV20" i="16" s="1"/>
  <c r="AX271" i="7"/>
  <c r="BA271" i="7" s="1"/>
  <c r="BC271" i="7" s="1"/>
  <c r="AX138" i="7"/>
  <c r="BA138" i="7" s="1"/>
  <c r="BC138" i="7" s="1"/>
  <c r="AX299" i="7"/>
  <c r="BA299" i="7" s="1"/>
  <c r="BC299" i="7" s="1"/>
  <c r="AX150" i="7"/>
  <c r="BA150" i="7" s="1"/>
  <c r="BC150" i="7" s="1"/>
  <c r="AX47" i="16"/>
  <c r="BA47" i="16" s="1"/>
  <c r="BC47" i="16" s="1"/>
  <c r="AX19" i="7"/>
  <c r="BA19" i="7" s="1"/>
  <c r="BC19" i="7" s="1"/>
  <c r="AO43" i="16"/>
  <c r="AV43" i="16" s="1"/>
  <c r="AX74" i="7"/>
  <c r="BA74" i="7" s="1"/>
  <c r="BC74" i="7" s="1"/>
  <c r="AX202" i="7"/>
  <c r="BA202" i="7" s="1"/>
  <c r="BC202" i="7" s="1"/>
  <c r="AX38" i="7"/>
  <c r="BA38" i="7" s="1"/>
  <c r="BC38" i="7" s="1"/>
  <c r="AL8" i="6"/>
  <c r="AN8" i="6" s="1"/>
  <c r="AK28" i="6"/>
  <c r="AL28" i="6" s="1"/>
  <c r="AN28" i="6" s="1"/>
  <c r="AK13" i="6"/>
  <c r="AL13" i="6" s="1"/>
  <c r="AN13" i="6" s="1"/>
  <c r="AX8" i="16"/>
  <c r="BA8" i="16" s="1"/>
  <c r="BC8" i="16" s="1"/>
  <c r="AX58" i="7"/>
  <c r="BA58" i="7" s="1"/>
  <c r="BC58" i="7" s="1"/>
  <c r="AX90" i="7"/>
  <c r="BA90" i="7" s="1"/>
  <c r="BC90" i="7" s="1"/>
  <c r="AX142" i="7"/>
  <c r="AV35" i="6"/>
  <c r="AX122" i="7"/>
  <c r="BA122" i="7" s="1"/>
  <c r="BC122" i="7" s="1"/>
  <c r="AX70" i="7"/>
  <c r="BA70" i="7" s="1"/>
  <c r="BC70" i="7" s="1"/>
  <c r="AX166" i="7"/>
  <c r="BA166" i="7" s="1"/>
  <c r="BC166" i="7" s="1"/>
  <c r="AX131" i="7"/>
  <c r="BA131" i="7" s="1"/>
  <c r="BC131" i="7" s="1"/>
  <c r="AX34" i="7"/>
  <c r="AX75" i="7"/>
  <c r="BA75" i="7" s="1"/>
  <c r="BC75" i="7" s="1"/>
  <c r="AX83" i="7"/>
  <c r="BA83" i="7" s="1"/>
  <c r="BC83" i="7" s="1"/>
  <c r="AX11" i="16"/>
  <c r="BA11" i="16" s="1"/>
  <c r="BC11" i="16" s="1"/>
  <c r="AX226" i="7"/>
  <c r="AX6" i="7"/>
  <c r="BA6" i="7" s="1"/>
  <c r="BC6" i="7" s="1"/>
  <c r="AX118" i="7"/>
  <c r="BA118" i="7" s="1"/>
  <c r="BC118" i="7" s="1"/>
  <c r="BE118" i="7" s="1"/>
  <c r="BF118" i="7" s="1"/>
  <c r="BG118" i="7" s="1"/>
  <c r="AX66" i="7"/>
  <c r="BA66" i="7" s="1"/>
  <c r="BC66" i="7" s="1"/>
  <c r="AO41" i="16"/>
  <c r="AV41" i="16" s="1"/>
  <c r="AX32" i="16"/>
  <c r="BA32" i="16" s="1"/>
  <c r="BC32" i="16" s="1"/>
  <c r="AX179" i="7"/>
  <c r="BA179" i="7" s="1"/>
  <c r="BC179" i="7" s="1"/>
  <c r="AX230" i="7"/>
  <c r="BA230" i="7" s="1"/>
  <c r="BC230" i="7" s="1"/>
  <c r="AX239" i="7"/>
  <c r="BA239" i="7" s="1"/>
  <c r="BC239" i="7" s="1"/>
  <c r="AX130" i="7"/>
  <c r="BA130" i="7" s="1"/>
  <c r="BC130" i="7" s="1"/>
  <c r="AX227" i="7"/>
  <c r="BA227" i="7" s="1"/>
  <c r="BC227" i="7" s="1"/>
  <c r="AX50" i="7"/>
  <c r="BA50" i="7" s="1"/>
  <c r="BC50" i="7" s="1"/>
  <c r="AX178" i="7"/>
  <c r="BA178" i="7" s="1"/>
  <c r="BC178" i="7" s="1"/>
  <c r="AX110" i="7"/>
  <c r="AX22" i="7"/>
  <c r="BA22" i="7" s="1"/>
  <c r="BC22" i="7" s="1"/>
  <c r="AO17" i="16"/>
  <c r="AV17" i="16" s="1"/>
  <c r="AX26" i="7"/>
  <c r="BA26" i="7" s="1"/>
  <c r="BC26" i="7" s="1"/>
  <c r="AX206" i="7"/>
  <c r="BA206" i="7" s="1"/>
  <c r="BC206" i="7" s="1"/>
  <c r="AX115" i="7"/>
  <c r="BA115" i="7" s="1"/>
  <c r="BC115" i="7" s="1"/>
  <c r="AX114" i="7"/>
  <c r="BA114" i="7" s="1"/>
  <c r="BC114" i="7" s="1"/>
  <c r="AX35" i="7"/>
  <c r="BA35" i="7" s="1"/>
  <c r="BC35" i="7" s="1"/>
  <c r="AX87" i="7"/>
  <c r="BA87" i="7" s="1"/>
  <c r="BC87" i="7" s="1"/>
  <c r="AX30" i="7"/>
  <c r="BA30" i="7" s="1"/>
  <c r="BC30" i="7" s="1"/>
  <c r="AX35" i="16"/>
  <c r="BA35" i="16" s="1"/>
  <c r="BC35" i="16" s="1"/>
  <c r="AX14" i="16"/>
  <c r="BA14" i="16" s="1"/>
  <c r="BC14" i="16" s="1"/>
  <c r="AX21" i="16"/>
  <c r="BA21" i="16" s="1"/>
  <c r="BC21" i="16" s="1"/>
  <c r="AO33" i="16"/>
  <c r="AV33" i="16" s="1"/>
  <c r="AX283" i="7"/>
  <c r="BA283" i="7" s="1"/>
  <c r="BC283" i="7" s="1"/>
  <c r="AX222" i="7"/>
  <c r="BA222" i="7" s="1"/>
  <c r="BC222" i="7" s="1"/>
  <c r="AX6" i="16"/>
  <c r="BA6" i="16" s="1"/>
  <c r="BC6" i="16" s="1"/>
  <c r="AX45" i="16"/>
  <c r="BA45" i="16" s="1"/>
  <c r="BC45" i="16" s="1"/>
  <c r="AX195" i="7"/>
  <c r="BA195" i="7" s="1"/>
  <c r="BC195" i="7" s="1"/>
  <c r="AX27" i="7"/>
  <c r="AX98" i="7"/>
  <c r="AX331" i="7"/>
  <c r="AX315" i="7"/>
  <c r="BA315" i="7" s="1"/>
  <c r="BC315" i="7" s="1"/>
  <c r="AX214" i="7"/>
  <c r="BA214" i="7" s="1"/>
  <c r="BC214" i="7" s="1"/>
  <c r="AO22" i="16"/>
  <c r="AV22" i="16" s="1"/>
  <c r="AO39" i="16"/>
  <c r="AV39" i="16" s="1"/>
  <c r="AX5" i="16"/>
  <c r="BA5" i="16" s="1"/>
  <c r="BC5" i="16" s="1"/>
  <c r="AX10" i="7"/>
  <c r="BA10" i="7" s="1"/>
  <c r="BC10" i="7" s="1"/>
  <c r="AX51" i="7"/>
  <c r="BA51" i="7" s="1"/>
  <c r="BC51" i="7" s="1"/>
  <c r="BE51" i="7" s="1"/>
  <c r="BF51" i="7" s="1"/>
  <c r="BG51" i="7" s="1"/>
  <c r="AX59" i="7"/>
  <c r="BA59" i="7" s="1"/>
  <c r="BC59" i="7" s="1"/>
  <c r="AO25" i="16"/>
  <c r="AV25" i="16" s="1"/>
  <c r="AX267" i="7"/>
  <c r="BA267" i="7" s="1"/>
  <c r="BC267" i="7" s="1"/>
  <c r="AX158" i="7"/>
  <c r="AX163" i="7"/>
  <c r="BA163" i="7" s="1"/>
  <c r="BC163" i="7" s="1"/>
  <c r="AX182" i="7"/>
  <c r="BA182" i="7" s="1"/>
  <c r="BC182" i="7" s="1"/>
  <c r="AX102" i="7"/>
  <c r="BA102" i="7" s="1"/>
  <c r="BC102" i="7" s="1"/>
  <c r="AO23" i="6"/>
  <c r="AV23" i="6" s="1"/>
  <c r="AX30" i="16"/>
  <c r="BA30" i="16" s="1"/>
  <c r="BC30" i="16" s="1"/>
  <c r="AX71" i="7"/>
  <c r="BA71" i="7" s="1"/>
  <c r="BC71" i="7" s="1"/>
  <c r="AO15" i="16"/>
  <c r="AV15" i="16" s="1"/>
  <c r="AX159" i="7"/>
  <c r="BA159" i="7" s="1"/>
  <c r="BC159" i="7" s="1"/>
  <c r="AX235" i="7"/>
  <c r="BA235" i="7" s="1"/>
  <c r="BC235" i="7" s="1"/>
  <c r="AX211" i="7"/>
  <c r="BA211" i="7" s="1"/>
  <c r="BC211" i="7" s="1"/>
  <c r="AX190" i="7"/>
  <c r="BA190" i="7" s="1"/>
  <c r="BC190" i="7" s="1"/>
  <c r="AX86" i="7"/>
  <c r="BA86" i="7" s="1"/>
  <c r="BC86" i="7" s="1"/>
  <c r="AX162" i="7"/>
  <c r="BA162" i="7" s="1"/>
  <c r="BC162" i="7" s="1"/>
  <c r="AX103" i="7"/>
  <c r="BA103" i="7" s="1"/>
  <c r="BC103" i="7" s="1"/>
  <c r="AX194" i="7"/>
  <c r="BA194" i="7" s="1"/>
  <c r="BC194" i="7" s="1"/>
  <c r="AX7" i="7"/>
  <c r="BA7" i="7" s="1"/>
  <c r="BC7" i="7" s="1"/>
  <c r="AX143" i="7"/>
  <c r="BA143" i="7" s="1"/>
  <c r="BC143" i="7" s="1"/>
  <c r="AX31" i="6"/>
  <c r="AX11" i="7"/>
  <c r="AX78" i="7"/>
  <c r="BA78" i="7" s="1"/>
  <c r="BC78" i="7" s="1"/>
  <c r="AX255" i="7"/>
  <c r="BA255" i="7" s="1"/>
  <c r="BC255" i="7" s="1"/>
  <c r="BE191" i="7" l="1"/>
  <c r="BF191" i="7" s="1"/>
  <c r="BG191" i="7" s="1"/>
  <c r="BE488" i="7"/>
  <c r="BF488" i="7" s="1"/>
  <c r="BG488" i="7" s="1"/>
  <c r="BE190" i="6"/>
  <c r="BF190" i="6" s="1"/>
  <c r="BG190" i="6" s="1"/>
  <c r="BU144" i="7"/>
  <c r="BW144" i="7" s="1"/>
  <c r="BY144" i="7" s="1"/>
  <c r="BZ144" i="7" s="1"/>
  <c r="CA144" i="7" s="1"/>
  <c r="BE518" i="7"/>
  <c r="BF518" i="7" s="1"/>
  <c r="BG518" i="7" s="1"/>
  <c r="BE130" i="7"/>
  <c r="BF130" i="7" s="1"/>
  <c r="BG130" i="7" s="1"/>
  <c r="BU12" i="6"/>
  <c r="BW12" i="6" s="1"/>
  <c r="BY12" i="6" s="1"/>
  <c r="BZ12" i="6" s="1"/>
  <c r="CA12" i="6" s="1"/>
  <c r="BU211" i="6"/>
  <c r="BW211" i="6" s="1"/>
  <c r="BY211" i="6" s="1"/>
  <c r="BZ211" i="6" s="1"/>
  <c r="CA211" i="6" s="1"/>
  <c r="BU150" i="6"/>
  <c r="BE206" i="6"/>
  <c r="BF206" i="6" s="1"/>
  <c r="BG206" i="6" s="1"/>
  <c r="BU124" i="6"/>
  <c r="BE516" i="7"/>
  <c r="BF516" i="7" s="1"/>
  <c r="BG516" i="7" s="1"/>
  <c r="BE400" i="7"/>
  <c r="BF400" i="7" s="1"/>
  <c r="BG400" i="7" s="1"/>
  <c r="BE464" i="7"/>
  <c r="BF464" i="7" s="1"/>
  <c r="BG464" i="7" s="1"/>
  <c r="BE188" i="6"/>
  <c r="BF188" i="6" s="1"/>
  <c r="BG188" i="6" s="1"/>
  <c r="AO5" i="6"/>
  <c r="AV5" i="6" s="1"/>
  <c r="AX5" i="6" s="1"/>
  <c r="BA5" i="6" s="1"/>
  <c r="BC5" i="6" s="1"/>
  <c r="BE5" i="6" s="1"/>
  <c r="BF5" i="6" s="1"/>
  <c r="BG5" i="6" s="1"/>
  <c r="BE10" i="7"/>
  <c r="BF10" i="7" s="1"/>
  <c r="BG10" i="7" s="1"/>
  <c r="BE74" i="7"/>
  <c r="BF74" i="7" s="1"/>
  <c r="BG74" i="7" s="1"/>
  <c r="AO87" i="6"/>
  <c r="AV87" i="6" s="1"/>
  <c r="AX87" i="6" s="1"/>
  <c r="AO187" i="6"/>
  <c r="AV187" i="6" s="1"/>
  <c r="AX187" i="6" s="1"/>
  <c r="BA187" i="6" s="1"/>
  <c r="BC187" i="6" s="1"/>
  <c r="BE187" i="6" s="1"/>
  <c r="BF187" i="6" s="1"/>
  <c r="BG187" i="6" s="1"/>
  <c r="AO224" i="6"/>
  <c r="AV224" i="6" s="1"/>
  <c r="AX224" i="6" s="1"/>
  <c r="BA224" i="6" s="1"/>
  <c r="BC224" i="6" s="1"/>
  <c r="BE224" i="6" s="1"/>
  <c r="BF224" i="6" s="1"/>
  <c r="BG224" i="6" s="1"/>
  <c r="BR206" i="6"/>
  <c r="BU206" i="6" s="1"/>
  <c r="BW206" i="6" s="1"/>
  <c r="BY206" i="6" s="1"/>
  <c r="BR214" i="6"/>
  <c r="BU214" i="6" s="1"/>
  <c r="BW214" i="6" s="1"/>
  <c r="BY214" i="6" s="1"/>
  <c r="BZ214" i="6" s="1"/>
  <c r="CA214" i="6" s="1"/>
  <c r="BR202" i="6"/>
  <c r="BU202" i="6" s="1"/>
  <c r="BW202" i="6" s="1"/>
  <c r="BY202" i="6" s="1"/>
  <c r="BZ202" i="6" s="1"/>
  <c r="CA202" i="6" s="1"/>
  <c r="BR203" i="6"/>
  <c r="BU203" i="6" s="1"/>
  <c r="BW203" i="6" s="1"/>
  <c r="BY203" i="6" s="1"/>
  <c r="BZ203" i="6" s="1"/>
  <c r="CA203" i="6" s="1"/>
  <c r="BR210" i="6"/>
  <c r="BU210" i="6" s="1"/>
  <c r="BW210" i="6" s="1"/>
  <c r="BY210" i="6" s="1"/>
  <c r="BZ210" i="6" s="1"/>
  <c r="CA210" i="6" s="1"/>
  <c r="AB27" i="6"/>
  <c r="AG27" i="6" s="1"/>
  <c r="BR27" i="6" s="1"/>
  <c r="BS27" i="6"/>
  <c r="BE58" i="7"/>
  <c r="BF58" i="7" s="1"/>
  <c r="BG58" i="7" s="1"/>
  <c r="BE213" i="6"/>
  <c r="BF213" i="6" s="1"/>
  <c r="BG213" i="6" s="1"/>
  <c r="BU254" i="7"/>
  <c r="BW254" i="7" s="1"/>
  <c r="BY254" i="7" s="1"/>
  <c r="BZ254" i="7" s="1"/>
  <c r="CA254" i="7" s="1"/>
  <c r="BE189" i="6"/>
  <c r="BF189" i="6" s="1"/>
  <c r="BG189" i="6" s="1"/>
  <c r="BE210" i="6"/>
  <c r="BF210" i="6" s="1"/>
  <c r="BG210" i="6" s="1"/>
  <c r="BU213" i="6"/>
  <c r="BW213" i="6" s="1"/>
  <c r="BY213" i="6" s="1"/>
  <c r="BZ213" i="6" s="1"/>
  <c r="CA213" i="6" s="1"/>
  <c r="BU14" i="6"/>
  <c r="BW14" i="6" s="1"/>
  <c r="BY14" i="6" s="1"/>
  <c r="BZ14" i="6" s="1"/>
  <c r="CA14" i="6" s="1"/>
  <c r="BE190" i="7"/>
  <c r="BF190" i="7" s="1"/>
  <c r="BG190" i="7" s="1"/>
  <c r="BS177" i="6"/>
  <c r="BE349" i="7"/>
  <c r="BF349" i="7" s="1"/>
  <c r="BG349" i="7" s="1"/>
  <c r="BE235" i="7"/>
  <c r="BF235" i="7" s="1"/>
  <c r="BG235" i="7" s="1"/>
  <c r="BE205" i="6"/>
  <c r="BF205" i="6" s="1"/>
  <c r="BG205" i="6" s="1"/>
  <c r="BE215" i="6"/>
  <c r="BF215" i="6" s="1"/>
  <c r="BG215" i="6" s="1"/>
  <c r="BU166" i="7"/>
  <c r="BW166" i="7" s="1"/>
  <c r="BY166" i="7" s="1"/>
  <c r="BZ166" i="7" s="1"/>
  <c r="CA166" i="7" s="1"/>
  <c r="BE499" i="7"/>
  <c r="BU160" i="6"/>
  <c r="BE169" i="7"/>
  <c r="BF169" i="7" s="1"/>
  <c r="BG169" i="7" s="1"/>
  <c r="BE501" i="7"/>
  <c r="BE467" i="7"/>
  <c r="BE354" i="7"/>
  <c r="BF354" i="7" s="1"/>
  <c r="BG354" i="7" s="1"/>
  <c r="BS87" i="6"/>
  <c r="BU87" i="6" s="1"/>
  <c r="BE227" i="6"/>
  <c r="BF227" i="6" s="1"/>
  <c r="BG227" i="6" s="1"/>
  <c r="BE363" i="7"/>
  <c r="BF363" i="7" s="1"/>
  <c r="BG363" i="7" s="1"/>
  <c r="BE23" i="7"/>
  <c r="BF23" i="7" s="1"/>
  <c r="BG23" i="7" s="1"/>
  <c r="BU44" i="16"/>
  <c r="BW44" i="16" s="1"/>
  <c r="BY44" i="16" s="1"/>
  <c r="BZ44" i="16" s="1"/>
  <c r="CA44" i="16" s="1"/>
  <c r="BE186" i="6"/>
  <c r="BF186" i="6" s="1"/>
  <c r="BG186" i="6" s="1"/>
  <c r="BR223" i="6"/>
  <c r="BR216" i="6"/>
  <c r="BU216" i="6" s="1"/>
  <c r="BW216" i="6" s="1"/>
  <c r="BY216" i="6" s="1"/>
  <c r="BZ216" i="6" s="1"/>
  <c r="CA216" i="6" s="1"/>
  <c r="BR197" i="6"/>
  <c r="BU197" i="6" s="1"/>
  <c r="BW197" i="6" s="1"/>
  <c r="BY197" i="6" s="1"/>
  <c r="BZ197" i="6" s="1"/>
  <c r="CA197" i="6" s="1"/>
  <c r="BE138" i="7"/>
  <c r="BF138" i="7" s="1"/>
  <c r="BG138" i="7" s="1"/>
  <c r="BR186" i="6"/>
  <c r="BU186" i="6" s="1"/>
  <c r="BW186" i="6" s="1"/>
  <c r="BY186" i="6" s="1"/>
  <c r="BZ186" i="6" s="1"/>
  <c r="CA186" i="6" s="1"/>
  <c r="BR482" i="7"/>
  <c r="BU482" i="7" s="1"/>
  <c r="BW482" i="7" s="1"/>
  <c r="BY482" i="7" s="1"/>
  <c r="BE227" i="7"/>
  <c r="BF227" i="7" s="1"/>
  <c r="BG227" i="7" s="1"/>
  <c r="BU206" i="7"/>
  <c r="BW206" i="7" s="1"/>
  <c r="BY206" i="7" s="1"/>
  <c r="BZ206" i="7" s="1"/>
  <c r="CA206" i="7" s="1"/>
  <c r="BE482" i="7"/>
  <c r="BE187" i="7"/>
  <c r="BF187" i="7" s="1"/>
  <c r="BG187" i="7" s="1"/>
  <c r="BU199" i="6"/>
  <c r="BW199" i="6" s="1"/>
  <c r="BY199" i="6" s="1"/>
  <c r="BZ199" i="6" s="1"/>
  <c r="CA199" i="6" s="1"/>
  <c r="BE543" i="7"/>
  <c r="BE254" i="7"/>
  <c r="BF254" i="7" s="1"/>
  <c r="BG254" i="7" s="1"/>
  <c r="BE216" i="6"/>
  <c r="BF216" i="6" s="1"/>
  <c r="BG216" i="6" s="1"/>
  <c r="BU41" i="16"/>
  <c r="BW41" i="16" s="1"/>
  <c r="BY41" i="16" s="1"/>
  <c r="BZ41" i="16" s="1"/>
  <c r="CA41" i="16" s="1"/>
  <c r="BR227" i="6"/>
  <c r="BU227" i="6" s="1"/>
  <c r="BW227" i="6" s="1"/>
  <c r="BY227" i="6" s="1"/>
  <c r="BZ227" i="6" s="1"/>
  <c r="CA227" i="6" s="1"/>
  <c r="BU510" i="7"/>
  <c r="BW510" i="7" s="1"/>
  <c r="BY510" i="7" s="1"/>
  <c r="BE9" i="16"/>
  <c r="BF9" i="16" s="1"/>
  <c r="BG9" i="16" s="1"/>
  <c r="BU105" i="7"/>
  <c r="BW105" i="7" s="1"/>
  <c r="BY105" i="7" s="1"/>
  <c r="BZ105" i="7" s="1"/>
  <c r="CA105" i="7" s="1"/>
  <c r="BE67" i="7"/>
  <c r="BF67" i="7" s="1"/>
  <c r="BG67" i="7" s="1"/>
  <c r="BR192" i="6"/>
  <c r="BU192" i="6" s="1"/>
  <c r="BW192" i="6" s="1"/>
  <c r="BY192" i="6" s="1"/>
  <c r="BZ192" i="6" s="1"/>
  <c r="CA192" i="6" s="1"/>
  <c r="BE32" i="16"/>
  <c r="BF32" i="16" s="1"/>
  <c r="BG32" i="16" s="1"/>
  <c r="BE443" i="7"/>
  <c r="BF443" i="7" s="1"/>
  <c r="BG443" i="7" s="1"/>
  <c r="BE267" i="7"/>
  <c r="BF267" i="7" s="1"/>
  <c r="BG267" i="7" s="1"/>
  <c r="BS73" i="6"/>
  <c r="BU73" i="6" s="1"/>
  <c r="BW73" i="6" s="1"/>
  <c r="BY73" i="6" s="1"/>
  <c r="BZ73" i="6" s="1"/>
  <c r="CA73" i="6" s="1"/>
  <c r="BE6" i="7"/>
  <c r="BF6" i="7" s="1"/>
  <c r="BG6" i="7" s="1"/>
  <c r="BE202" i="7"/>
  <c r="BF202" i="7" s="1"/>
  <c r="BG202" i="7" s="1"/>
  <c r="BE19" i="7"/>
  <c r="BF19" i="7" s="1"/>
  <c r="BG19" i="7" s="1"/>
  <c r="BE175" i="7"/>
  <c r="BF175" i="7" s="1"/>
  <c r="BG175" i="7" s="1"/>
  <c r="BE463" i="7"/>
  <c r="BE18" i="7"/>
  <c r="BF18" i="7" s="1"/>
  <c r="BG18" i="7" s="1"/>
  <c r="BU411" i="7"/>
  <c r="BW411" i="7" s="1"/>
  <c r="BY411" i="7" s="1"/>
  <c r="BZ411" i="7" s="1"/>
  <c r="CA411" i="7" s="1"/>
  <c r="BU303" i="7"/>
  <c r="BW303" i="7" s="1"/>
  <c r="BY303" i="7" s="1"/>
  <c r="BZ303" i="7" s="1"/>
  <c r="CA303" i="7" s="1"/>
  <c r="BU26" i="6"/>
  <c r="BW26" i="6" s="1"/>
  <c r="BY26" i="6" s="1"/>
  <c r="BZ26" i="6" s="1"/>
  <c r="CA26" i="6" s="1"/>
  <c r="BE184" i="7"/>
  <c r="BF184" i="7" s="1"/>
  <c r="BG184" i="7" s="1"/>
  <c r="BE436" i="7"/>
  <c r="BF436" i="7" s="1"/>
  <c r="BG436" i="7" s="1"/>
  <c r="BU190" i="6"/>
  <c r="BW190" i="6" s="1"/>
  <c r="BY190" i="6" s="1"/>
  <c r="BZ190" i="6" s="1"/>
  <c r="CA190" i="6" s="1"/>
  <c r="BU128" i="6"/>
  <c r="BE144" i="7"/>
  <c r="BF144" i="7" s="1"/>
  <c r="BG144" i="7" s="1"/>
  <c r="BE340" i="7"/>
  <c r="BF340" i="7" s="1"/>
  <c r="BG340" i="7" s="1"/>
  <c r="BU27" i="7"/>
  <c r="BW27" i="7" s="1"/>
  <c r="BY27" i="7" s="1"/>
  <c r="BZ27" i="7" s="1"/>
  <c r="CA27" i="7" s="1"/>
  <c r="BU160" i="7"/>
  <c r="BW160" i="7" s="1"/>
  <c r="BY160" i="7" s="1"/>
  <c r="BZ160" i="7" s="1"/>
  <c r="CA160" i="7" s="1"/>
  <c r="BU83" i="7"/>
  <c r="BW83" i="7" s="1"/>
  <c r="BY83" i="7" s="1"/>
  <c r="BZ83" i="7" s="1"/>
  <c r="CA83" i="7" s="1"/>
  <c r="BU30" i="7"/>
  <c r="BW30" i="7" s="1"/>
  <c r="BY30" i="7" s="1"/>
  <c r="BZ30" i="7" s="1"/>
  <c r="CA30" i="7" s="1"/>
  <c r="BE256" i="7"/>
  <c r="BF256" i="7" s="1"/>
  <c r="BG256" i="7" s="1"/>
  <c r="BE30" i="16"/>
  <c r="BF30" i="16" s="1"/>
  <c r="BG30" i="16" s="1"/>
  <c r="BU331" i="7"/>
  <c r="BW331" i="7" s="1"/>
  <c r="BY331" i="7" s="1"/>
  <c r="BZ331" i="7" s="1"/>
  <c r="CA331" i="7" s="1"/>
  <c r="BE533" i="7"/>
  <c r="BU26" i="16"/>
  <c r="BW26" i="16" s="1"/>
  <c r="BY26" i="16" s="1"/>
  <c r="BZ26" i="16" s="1"/>
  <c r="CA26" i="16" s="1"/>
  <c r="BU185" i="7"/>
  <c r="BW185" i="7" s="1"/>
  <c r="BY185" i="7" s="1"/>
  <c r="BZ185" i="7" s="1"/>
  <c r="CA185" i="7" s="1"/>
  <c r="BE407" i="7"/>
  <c r="BF407" i="7" s="1"/>
  <c r="BG407" i="7" s="1"/>
  <c r="BE195" i="6"/>
  <c r="BE19" i="16"/>
  <c r="BF19" i="16" s="1"/>
  <c r="BG19" i="16" s="1"/>
  <c r="BE115" i="7"/>
  <c r="BF115" i="7" s="1"/>
  <c r="BG115" i="7" s="1"/>
  <c r="BE4" i="16"/>
  <c r="BF4" i="16" s="1"/>
  <c r="BG4" i="16" s="1"/>
  <c r="BU306" i="7"/>
  <c r="BW306" i="7" s="1"/>
  <c r="BY306" i="7" s="1"/>
  <c r="BZ306" i="7" s="1"/>
  <c r="CA306" i="7" s="1"/>
  <c r="BU280" i="7"/>
  <c r="BW280" i="7" s="1"/>
  <c r="BY280" i="7" s="1"/>
  <c r="BZ280" i="7" s="1"/>
  <c r="CA280" i="7" s="1"/>
  <c r="BE11" i="6"/>
  <c r="BF11" i="6" s="1"/>
  <c r="BG11" i="6" s="1"/>
  <c r="BE184" i="6"/>
  <c r="BF184" i="6" s="1"/>
  <c r="BG184" i="6" s="1"/>
  <c r="BR221" i="6"/>
  <c r="BU221" i="6" s="1"/>
  <c r="BW221" i="6" s="1"/>
  <c r="BY221" i="6" s="1"/>
  <c r="BZ221" i="6" s="1"/>
  <c r="CA221" i="6" s="1"/>
  <c r="BR217" i="6"/>
  <c r="BU217" i="6" s="1"/>
  <c r="BW217" i="6" s="1"/>
  <c r="BY217" i="6" s="1"/>
  <c r="BZ217" i="6" s="1"/>
  <c r="CA217" i="6" s="1"/>
  <c r="BR209" i="6"/>
  <c r="BU209" i="6" s="1"/>
  <c r="BW209" i="6" s="1"/>
  <c r="BY209" i="6" s="1"/>
  <c r="BZ209" i="6" s="1"/>
  <c r="CA209" i="6" s="1"/>
  <c r="BE163" i="7"/>
  <c r="BF163" i="7" s="1"/>
  <c r="BG163" i="7" s="1"/>
  <c r="BE122" i="7"/>
  <c r="BF122" i="7" s="1"/>
  <c r="BG122" i="7" s="1"/>
  <c r="BE114" i="7"/>
  <c r="BF114" i="7" s="1"/>
  <c r="BG114" i="7" s="1"/>
  <c r="BE39" i="7"/>
  <c r="BF39" i="7" s="1"/>
  <c r="BG39" i="7" s="1"/>
  <c r="BE300" i="7"/>
  <c r="BF300" i="7" s="1"/>
  <c r="BG300" i="7" s="1"/>
  <c r="BE221" i="7"/>
  <c r="BF221" i="7" s="1"/>
  <c r="BG221" i="7" s="1"/>
  <c r="BE209" i="6"/>
  <c r="BF209" i="6" s="1"/>
  <c r="BG209" i="6" s="1"/>
  <c r="BE22" i="7"/>
  <c r="BF22" i="7" s="1"/>
  <c r="BG22" i="7" s="1"/>
  <c r="BU464" i="7"/>
  <c r="BW464" i="7" s="1"/>
  <c r="BY464" i="7" s="1"/>
  <c r="BE201" i="6"/>
  <c r="BF201" i="6" s="1"/>
  <c r="BG201" i="6" s="1"/>
  <c r="BU201" i="6"/>
  <c r="BW201" i="6" s="1"/>
  <c r="BY201" i="6" s="1"/>
  <c r="BZ201" i="6" s="1"/>
  <c r="CA201" i="6" s="1"/>
  <c r="BU172" i="6"/>
  <c r="BU104" i="6"/>
  <c r="BU215" i="6"/>
  <c r="BW215" i="6" s="1"/>
  <c r="BY215" i="6" s="1"/>
  <c r="BZ215" i="6" s="1"/>
  <c r="CA215" i="6" s="1"/>
  <c r="BE197" i="6"/>
  <c r="BF197" i="6" s="1"/>
  <c r="BG197" i="6" s="1"/>
  <c r="BE414" i="7"/>
  <c r="BF414" i="7" s="1"/>
  <c r="BG414" i="7" s="1"/>
  <c r="BE226" i="6"/>
  <c r="BF226" i="6" s="1"/>
  <c r="BG226" i="6" s="1"/>
  <c r="BE14" i="6"/>
  <c r="BF14" i="6" s="1"/>
  <c r="BG14" i="6" s="1"/>
  <c r="BE45" i="16"/>
  <c r="BF45" i="16" s="1"/>
  <c r="BG45" i="16" s="1"/>
  <c r="BR220" i="6"/>
  <c r="BU220" i="6" s="1"/>
  <c r="BW220" i="6" s="1"/>
  <c r="BY220" i="6" s="1"/>
  <c r="BZ220" i="6" s="1"/>
  <c r="CA220" i="6" s="1"/>
  <c r="BR225" i="6"/>
  <c r="BU225" i="6" s="1"/>
  <c r="BW225" i="6" s="1"/>
  <c r="BY225" i="6" s="1"/>
  <c r="BZ225" i="6" s="1"/>
  <c r="CA225" i="6" s="1"/>
  <c r="BR466" i="7"/>
  <c r="BU466" i="7" s="1"/>
  <c r="BW466" i="7" s="1"/>
  <c r="BY466" i="7" s="1"/>
  <c r="BR506" i="7"/>
  <c r="BU506" i="7" s="1"/>
  <c r="BW506" i="7" s="1"/>
  <c r="BY506" i="7" s="1"/>
  <c r="BR560" i="7"/>
  <c r="BU560" i="7" s="1"/>
  <c r="BW560" i="7" s="1"/>
  <c r="BY560" i="7" s="1"/>
  <c r="BE186" i="7"/>
  <c r="BF186" i="7" s="1"/>
  <c r="BG186" i="7" s="1"/>
  <c r="BU188" i="7"/>
  <c r="BW188" i="7" s="1"/>
  <c r="BY188" i="7" s="1"/>
  <c r="BZ188" i="7" s="1"/>
  <c r="CA188" i="7" s="1"/>
  <c r="BE466" i="7"/>
  <c r="BF466" i="7" s="1"/>
  <c r="BG466" i="7" s="1"/>
  <c r="BU226" i="7"/>
  <c r="BW226" i="7" s="1"/>
  <c r="BY226" i="7" s="1"/>
  <c r="BZ226" i="7" s="1"/>
  <c r="CA226" i="7" s="1"/>
  <c r="BU64" i="7"/>
  <c r="BW64" i="7" s="1"/>
  <c r="BY64" i="7" s="1"/>
  <c r="BZ64" i="7" s="1"/>
  <c r="CA64" i="7" s="1"/>
  <c r="BU20" i="6"/>
  <c r="BW20" i="6" s="1"/>
  <c r="BY20" i="6" s="1"/>
  <c r="BZ20" i="6" s="1"/>
  <c r="CA20" i="6" s="1"/>
  <c r="BU218" i="6"/>
  <c r="BW218" i="6" s="1"/>
  <c r="BY218" i="6" s="1"/>
  <c r="BZ218" i="6" s="1"/>
  <c r="CA218" i="6" s="1"/>
  <c r="BU126" i="6"/>
  <c r="BU152" i="6"/>
  <c r="BU187" i="6"/>
  <c r="BW187" i="6" s="1"/>
  <c r="BY187" i="6" s="1"/>
  <c r="BZ187" i="6" s="1"/>
  <c r="CA187" i="6" s="1"/>
  <c r="BE506" i="7"/>
  <c r="BE362" i="7"/>
  <c r="BF362" i="7" s="1"/>
  <c r="BG362" i="7" s="1"/>
  <c r="BU260" i="7"/>
  <c r="BW260" i="7" s="1"/>
  <c r="BY260" i="7" s="1"/>
  <c r="BZ260" i="7" s="1"/>
  <c r="CA260" i="7" s="1"/>
  <c r="BE128" i="7"/>
  <c r="BF128" i="7" s="1"/>
  <c r="BG128" i="7" s="1"/>
  <c r="BE220" i="6"/>
  <c r="BE17" i="6"/>
  <c r="BF17" i="6" s="1"/>
  <c r="BG17" i="6" s="1"/>
  <c r="BU183" i="6"/>
  <c r="BW183" i="6" s="1"/>
  <c r="BY183" i="6" s="1"/>
  <c r="BZ183" i="6" s="1"/>
  <c r="CA183" i="6" s="1"/>
  <c r="BE30" i="7"/>
  <c r="BF30" i="7" s="1"/>
  <c r="BG30" i="7" s="1"/>
  <c r="BE239" i="7"/>
  <c r="BF239" i="7" s="1"/>
  <c r="BG239" i="7" s="1"/>
  <c r="BE210" i="7"/>
  <c r="BF210" i="7" s="1"/>
  <c r="BG210" i="7" s="1"/>
  <c r="BE368" i="7"/>
  <c r="BF368" i="7" s="1"/>
  <c r="BG368" i="7" s="1"/>
  <c r="BU50" i="7"/>
  <c r="BW50" i="7" s="1"/>
  <c r="BY50" i="7" s="1"/>
  <c r="BZ50" i="7" s="1"/>
  <c r="CA50" i="7" s="1"/>
  <c r="BU211" i="7"/>
  <c r="BW211" i="7" s="1"/>
  <c r="BY211" i="7" s="1"/>
  <c r="BZ211" i="7" s="1"/>
  <c r="CA211" i="7" s="1"/>
  <c r="BU255" i="7"/>
  <c r="BW255" i="7" s="1"/>
  <c r="BY255" i="7" s="1"/>
  <c r="BZ255" i="7" s="1"/>
  <c r="CA255" i="7" s="1"/>
  <c r="BU210" i="7"/>
  <c r="BW210" i="7" s="1"/>
  <c r="BY210" i="7" s="1"/>
  <c r="BZ210" i="7" s="1"/>
  <c r="CA210" i="7" s="1"/>
  <c r="BU198" i="6"/>
  <c r="BW198" i="6" s="1"/>
  <c r="BY198" i="6" s="1"/>
  <c r="BZ198" i="6" s="1"/>
  <c r="CA198" i="6" s="1"/>
  <c r="BE223" i="6"/>
  <c r="BF223" i="6" s="1"/>
  <c r="BG223" i="6" s="1"/>
  <c r="BE202" i="6"/>
  <c r="BF202" i="6" s="1"/>
  <c r="BG202" i="6" s="1"/>
  <c r="BU109" i="6"/>
  <c r="BE312" i="7"/>
  <c r="BF312" i="7" s="1"/>
  <c r="BG312" i="7" s="1"/>
  <c r="AO212" i="6"/>
  <c r="AV212" i="6" s="1"/>
  <c r="AX212" i="6" s="1"/>
  <c r="BA212" i="6" s="1"/>
  <c r="BC212" i="6" s="1"/>
  <c r="BE212" i="6" s="1"/>
  <c r="BF212" i="6" s="1"/>
  <c r="BG212" i="6" s="1"/>
  <c r="BF460" i="7"/>
  <c r="BG460" i="7" s="1"/>
  <c r="BE38" i="16"/>
  <c r="BF38" i="16" s="1"/>
  <c r="BG38" i="16" s="1"/>
  <c r="BU36" i="16"/>
  <c r="BW36" i="16" s="1"/>
  <c r="BY36" i="16" s="1"/>
  <c r="BZ36" i="16" s="1"/>
  <c r="CA36" i="16" s="1"/>
  <c r="BE31" i="16"/>
  <c r="BF31" i="16" s="1"/>
  <c r="BG31" i="16" s="1"/>
  <c r="BU45" i="16"/>
  <c r="BW45" i="16" s="1"/>
  <c r="BY45" i="16" s="1"/>
  <c r="BZ45" i="16" s="1"/>
  <c r="CA45" i="16" s="1"/>
  <c r="BE21" i="16"/>
  <c r="BF21" i="16" s="1"/>
  <c r="BG21" i="16" s="1"/>
  <c r="BE14" i="16"/>
  <c r="BF14" i="16" s="1"/>
  <c r="BG14" i="16" s="1"/>
  <c r="BE42" i="16"/>
  <c r="BF42" i="16" s="1"/>
  <c r="BG42" i="16" s="1"/>
  <c r="BU35" i="16"/>
  <c r="BW35" i="16" s="1"/>
  <c r="BY35" i="16" s="1"/>
  <c r="BZ35" i="16" s="1"/>
  <c r="CA35" i="16" s="1"/>
  <c r="BE27" i="16"/>
  <c r="BF27" i="16" s="1"/>
  <c r="BG27" i="16" s="1"/>
  <c r="BE6" i="16"/>
  <c r="BF6" i="16" s="1"/>
  <c r="BG6" i="16" s="1"/>
  <c r="BE28" i="16"/>
  <c r="BF28" i="16" s="1"/>
  <c r="BG28" i="16" s="1"/>
  <c r="BE178" i="7"/>
  <c r="BF178" i="7" s="1"/>
  <c r="BG178" i="7" s="1"/>
  <c r="BE521" i="7"/>
  <c r="BR194" i="6"/>
  <c r="BU194" i="6" s="1"/>
  <c r="BW194" i="6" s="1"/>
  <c r="BY194" i="6" s="1"/>
  <c r="BZ194" i="6" s="1"/>
  <c r="CA194" i="6" s="1"/>
  <c r="BU31" i="6"/>
  <c r="BU13" i="6"/>
  <c r="BW13" i="6" s="1"/>
  <c r="BY13" i="6" s="1"/>
  <c r="BZ13" i="6" s="1"/>
  <c r="CA13" i="6" s="1"/>
  <c r="BR185" i="6"/>
  <c r="BU185" i="6" s="1"/>
  <c r="BW185" i="6" s="1"/>
  <c r="BY185" i="6" s="1"/>
  <c r="BZ185" i="6" s="1"/>
  <c r="CA185" i="6" s="1"/>
  <c r="BR193" i="6"/>
  <c r="BU193" i="6" s="1"/>
  <c r="BW193" i="6" s="1"/>
  <c r="BY193" i="6" s="1"/>
  <c r="BZ193" i="6" s="1"/>
  <c r="CA193" i="6" s="1"/>
  <c r="BU33" i="6"/>
  <c r="BU32" i="6"/>
  <c r="BU21" i="6"/>
  <c r="BW21" i="6" s="1"/>
  <c r="BY21" i="6" s="1"/>
  <c r="BZ21" i="6" s="1"/>
  <c r="CA21" i="6" s="1"/>
  <c r="BU157" i="6"/>
  <c r="BU80" i="6"/>
  <c r="BU162" i="6"/>
  <c r="BE194" i="6"/>
  <c r="BF194" i="6" s="1"/>
  <c r="BG194" i="6" s="1"/>
  <c r="BE221" i="6"/>
  <c r="BF221" i="6" s="1"/>
  <c r="BG221" i="6" s="1"/>
  <c r="BE181" i="6"/>
  <c r="BF181" i="6" s="1"/>
  <c r="BG181" i="6" s="1"/>
  <c r="BU196" i="6"/>
  <c r="BW196" i="6" s="1"/>
  <c r="BY196" i="6" s="1"/>
  <c r="BZ196" i="6" s="1"/>
  <c r="CA196" i="6" s="1"/>
  <c r="AO193" i="6"/>
  <c r="AV193" i="6" s="1"/>
  <c r="AX193" i="6" s="1"/>
  <c r="BA193" i="6" s="1"/>
  <c r="BC193" i="6" s="1"/>
  <c r="BE193" i="6" s="1"/>
  <c r="BF193" i="6" s="1"/>
  <c r="BG193" i="6" s="1"/>
  <c r="AO200" i="6"/>
  <c r="AV200" i="6" s="1"/>
  <c r="AX200" i="6" s="1"/>
  <c r="BA200" i="6" s="1"/>
  <c r="BC200" i="6" s="1"/>
  <c r="BE200" i="6" s="1"/>
  <c r="BF200" i="6" s="1"/>
  <c r="BG200" i="6" s="1"/>
  <c r="BE86" i="7"/>
  <c r="BF86" i="7" s="1"/>
  <c r="BG86" i="7" s="1"/>
  <c r="BE102" i="7"/>
  <c r="BF102" i="7" s="1"/>
  <c r="BG102" i="7" s="1"/>
  <c r="BE59" i="7"/>
  <c r="BF59" i="7" s="1"/>
  <c r="BG59" i="7" s="1"/>
  <c r="BE75" i="7"/>
  <c r="BF75" i="7" s="1"/>
  <c r="BG75" i="7" s="1"/>
  <c r="BE90" i="7"/>
  <c r="BF90" i="7" s="1"/>
  <c r="BG90" i="7" s="1"/>
  <c r="BE8" i="16"/>
  <c r="BF8" i="16" s="1"/>
  <c r="BG8" i="16" s="1"/>
  <c r="BE16" i="16"/>
  <c r="BF16" i="16" s="1"/>
  <c r="BG16" i="16" s="1"/>
  <c r="BE7" i="16"/>
  <c r="BF7" i="16" s="1"/>
  <c r="BG7" i="16" s="1"/>
  <c r="BE544" i="7"/>
  <c r="BE507" i="7"/>
  <c r="BE545" i="7"/>
  <c r="BE571" i="7"/>
  <c r="BU180" i="6"/>
  <c r="BW180" i="6" s="1"/>
  <c r="BY180" i="6" s="1"/>
  <c r="BZ180" i="6" s="1"/>
  <c r="CA180" i="6" s="1"/>
  <c r="BE103" i="7"/>
  <c r="BF103" i="7" s="1"/>
  <c r="BG103" i="7" s="1"/>
  <c r="BE179" i="7"/>
  <c r="BF179" i="7" s="1"/>
  <c r="BG179" i="7" s="1"/>
  <c r="BE131" i="7"/>
  <c r="BF131" i="7" s="1"/>
  <c r="BG131" i="7" s="1"/>
  <c r="BE150" i="7"/>
  <c r="BF150" i="7" s="1"/>
  <c r="BG150" i="7" s="1"/>
  <c r="BE335" i="7"/>
  <c r="BF335" i="7" s="1"/>
  <c r="BG335" i="7" s="1"/>
  <c r="BE568" i="7"/>
  <c r="BE209" i="7"/>
  <c r="BF209" i="7" s="1"/>
  <c r="BG209" i="7" s="1"/>
  <c r="BE572" i="7"/>
  <c r="BE479" i="7"/>
  <c r="BE198" i="6"/>
  <c r="BF198" i="6" s="1"/>
  <c r="BG198" i="6" s="1"/>
  <c r="BE185" i="6"/>
  <c r="BF185" i="6" s="1"/>
  <c r="BG185" i="6" s="1"/>
  <c r="BU222" i="6"/>
  <c r="BW222" i="6" s="1"/>
  <c r="BY222" i="6" s="1"/>
  <c r="BZ222" i="6" s="1"/>
  <c r="CA222" i="6" s="1"/>
  <c r="BU16" i="6"/>
  <c r="BW16" i="6" s="1"/>
  <c r="BY16" i="6" s="1"/>
  <c r="BZ16" i="6" s="1"/>
  <c r="CA16" i="6" s="1"/>
  <c r="BU226" i="6"/>
  <c r="BW226" i="6" s="1"/>
  <c r="BY226" i="6" s="1"/>
  <c r="BZ226" i="6" s="1"/>
  <c r="CA226" i="6" s="1"/>
  <c r="BE50" i="7"/>
  <c r="BF50" i="7" s="1"/>
  <c r="BG50" i="7" s="1"/>
  <c r="BE11" i="16"/>
  <c r="BF11" i="16" s="1"/>
  <c r="BG11" i="16" s="1"/>
  <c r="BR204" i="6"/>
  <c r="BU204" i="6" s="1"/>
  <c r="BW204" i="6" s="1"/>
  <c r="BY204" i="6" s="1"/>
  <c r="BZ204" i="6" s="1"/>
  <c r="CA204" i="6" s="1"/>
  <c r="BR505" i="7"/>
  <c r="BU505" i="7" s="1"/>
  <c r="BW505" i="7" s="1"/>
  <c r="BY505" i="7" s="1"/>
  <c r="BE505" i="7"/>
  <c r="AO182" i="6"/>
  <c r="AV182" i="6" s="1"/>
  <c r="AX182" i="6" s="1"/>
  <c r="BA182" i="6" s="1"/>
  <c r="BC182" i="6" s="1"/>
  <c r="BE182" i="6" s="1"/>
  <c r="BF182" i="6" s="1"/>
  <c r="BG182" i="6" s="1"/>
  <c r="BU18" i="16"/>
  <c r="BW18" i="16" s="1"/>
  <c r="BY18" i="16" s="1"/>
  <c r="BZ18" i="16" s="1"/>
  <c r="CA18" i="16" s="1"/>
  <c r="BE277" i="7"/>
  <c r="BF277" i="7" s="1"/>
  <c r="BG277" i="7" s="1"/>
  <c r="BU87" i="7"/>
  <c r="BW87" i="7" s="1"/>
  <c r="BY87" i="7" s="1"/>
  <c r="BZ87" i="7" s="1"/>
  <c r="CA87" i="7" s="1"/>
  <c r="BU14" i="7"/>
  <c r="BW14" i="7" s="1"/>
  <c r="BY14" i="7" s="1"/>
  <c r="BZ14" i="7" s="1"/>
  <c r="CA14" i="7" s="1"/>
  <c r="BU73" i="7"/>
  <c r="BW73" i="7" s="1"/>
  <c r="BY73" i="7" s="1"/>
  <c r="BZ73" i="7" s="1"/>
  <c r="CA73" i="7" s="1"/>
  <c r="BU143" i="7"/>
  <c r="BW143" i="7" s="1"/>
  <c r="BY143" i="7" s="1"/>
  <c r="BZ143" i="7" s="1"/>
  <c r="CA143" i="7" s="1"/>
  <c r="BU102" i="7"/>
  <c r="BW102" i="7" s="1"/>
  <c r="BY102" i="7" s="1"/>
  <c r="BZ102" i="7" s="1"/>
  <c r="CA102" i="7" s="1"/>
  <c r="BU154" i="7"/>
  <c r="BW154" i="7" s="1"/>
  <c r="BY154" i="7" s="1"/>
  <c r="BZ154" i="7" s="1"/>
  <c r="CA154" i="7" s="1"/>
  <c r="BU172" i="7"/>
  <c r="BW172" i="7" s="1"/>
  <c r="BY172" i="7" s="1"/>
  <c r="BZ172" i="7" s="1"/>
  <c r="CA172" i="7" s="1"/>
  <c r="BR189" i="6"/>
  <c r="BU189" i="6" s="1"/>
  <c r="BW189" i="6" s="1"/>
  <c r="BY189" i="6" s="1"/>
  <c r="BZ189" i="6" s="1"/>
  <c r="CA189" i="6" s="1"/>
  <c r="BR191" i="6"/>
  <c r="BU191" i="6" s="1"/>
  <c r="BW191" i="6" s="1"/>
  <c r="BY191" i="6" s="1"/>
  <c r="BZ191" i="6" s="1"/>
  <c r="CA191" i="6" s="1"/>
  <c r="BE191" i="6"/>
  <c r="BR228" i="6"/>
  <c r="BU228" i="6" s="1"/>
  <c r="BW228" i="6" s="1"/>
  <c r="BY228" i="6" s="1"/>
  <c r="BZ228" i="6" s="1"/>
  <c r="CA228" i="6" s="1"/>
  <c r="BU207" i="7"/>
  <c r="BW207" i="7" s="1"/>
  <c r="BY207" i="7" s="1"/>
  <c r="BZ207" i="7" s="1"/>
  <c r="CA207" i="7" s="1"/>
  <c r="BU238" i="7"/>
  <c r="BW238" i="7" s="1"/>
  <c r="BY238" i="7" s="1"/>
  <c r="BZ238" i="7" s="1"/>
  <c r="CA238" i="7" s="1"/>
  <c r="BE55" i="7"/>
  <c r="BF55" i="7" s="1"/>
  <c r="BG55" i="7" s="1"/>
  <c r="BE299" i="7"/>
  <c r="BF299" i="7" s="1"/>
  <c r="BG299" i="7" s="1"/>
  <c r="BU320" i="7"/>
  <c r="BW320" i="7" s="1"/>
  <c r="BY320" i="7" s="1"/>
  <c r="BZ320" i="7" s="1"/>
  <c r="CA320" i="7" s="1"/>
  <c r="BU121" i="7"/>
  <c r="BW121" i="7" s="1"/>
  <c r="BY121" i="7" s="1"/>
  <c r="BZ121" i="7" s="1"/>
  <c r="CA121" i="7" s="1"/>
  <c r="BU286" i="7"/>
  <c r="BW286" i="7" s="1"/>
  <c r="BY286" i="7" s="1"/>
  <c r="BZ286" i="7" s="1"/>
  <c r="CA286" i="7" s="1"/>
  <c r="BU241" i="7"/>
  <c r="BW241" i="7" s="1"/>
  <c r="BY241" i="7" s="1"/>
  <c r="BZ241" i="7" s="1"/>
  <c r="CA241" i="7" s="1"/>
  <c r="BU319" i="7"/>
  <c r="BW319" i="7" s="1"/>
  <c r="BY319" i="7" s="1"/>
  <c r="BZ319" i="7" s="1"/>
  <c r="CA319" i="7" s="1"/>
  <c r="BU228" i="7"/>
  <c r="BW228" i="7" s="1"/>
  <c r="BY228" i="7" s="1"/>
  <c r="BZ228" i="7" s="1"/>
  <c r="CA228" i="7" s="1"/>
  <c r="BU39" i="16"/>
  <c r="BW39" i="16" s="1"/>
  <c r="BY39" i="16" s="1"/>
  <c r="BZ39" i="16" s="1"/>
  <c r="CA39" i="16" s="1"/>
  <c r="BU90" i="7"/>
  <c r="BW90" i="7" s="1"/>
  <c r="BY90" i="7" s="1"/>
  <c r="BZ90" i="7" s="1"/>
  <c r="CA90" i="7" s="1"/>
  <c r="BU285" i="7"/>
  <c r="BW285" i="7" s="1"/>
  <c r="BY285" i="7" s="1"/>
  <c r="BZ285" i="7" s="1"/>
  <c r="CA285" i="7" s="1"/>
  <c r="BE159" i="7"/>
  <c r="BF159" i="7" s="1"/>
  <c r="BG159" i="7" s="1"/>
  <c r="BE71" i="7"/>
  <c r="BF71" i="7" s="1"/>
  <c r="BG71" i="7" s="1"/>
  <c r="BE182" i="7"/>
  <c r="BF182" i="7" s="1"/>
  <c r="BG182" i="7" s="1"/>
  <c r="BE251" i="7"/>
  <c r="BF251" i="7" s="1"/>
  <c r="BG251" i="7" s="1"/>
  <c r="BE283" i="7"/>
  <c r="BF283" i="7" s="1"/>
  <c r="BG283" i="7" s="1"/>
  <c r="BE166" i="7"/>
  <c r="BF166" i="7" s="1"/>
  <c r="BG166" i="7" s="1"/>
  <c r="BE54" i="7"/>
  <c r="BF54" i="7" s="1"/>
  <c r="BG54" i="7" s="1"/>
  <c r="BE126" i="7"/>
  <c r="BF126" i="7" s="1"/>
  <c r="BG126" i="7" s="1"/>
  <c r="BE319" i="7"/>
  <c r="BF319" i="7" s="1"/>
  <c r="BG319" i="7" s="1"/>
  <c r="BU106" i="7"/>
  <c r="BW106" i="7" s="1"/>
  <c r="BY106" i="7" s="1"/>
  <c r="BZ106" i="7" s="1"/>
  <c r="CA106" i="7" s="1"/>
  <c r="BE539" i="7"/>
  <c r="BU195" i="7"/>
  <c r="BW195" i="7" s="1"/>
  <c r="BY195" i="7" s="1"/>
  <c r="BZ195" i="7" s="1"/>
  <c r="CA195" i="7" s="1"/>
  <c r="BE531" i="7"/>
  <c r="BU158" i="7"/>
  <c r="BW158" i="7" s="1"/>
  <c r="BY158" i="7" s="1"/>
  <c r="BZ158" i="7" s="1"/>
  <c r="CA158" i="7" s="1"/>
  <c r="BU386" i="7"/>
  <c r="BW386" i="7" s="1"/>
  <c r="BY386" i="7" s="1"/>
  <c r="BZ386" i="7" s="1"/>
  <c r="CA386" i="7" s="1"/>
  <c r="BU178" i="7"/>
  <c r="BW178" i="7" s="1"/>
  <c r="BY178" i="7" s="1"/>
  <c r="BZ178" i="7" s="1"/>
  <c r="CA178" i="7" s="1"/>
  <c r="BU190" i="7"/>
  <c r="BW190" i="7" s="1"/>
  <c r="BY190" i="7" s="1"/>
  <c r="BZ190" i="7" s="1"/>
  <c r="CA190" i="7" s="1"/>
  <c r="BU157" i="7"/>
  <c r="BW157" i="7" s="1"/>
  <c r="BY157" i="7" s="1"/>
  <c r="BZ157" i="7" s="1"/>
  <c r="CA157" i="7" s="1"/>
  <c r="BU194" i="7"/>
  <c r="BW194" i="7" s="1"/>
  <c r="BY194" i="7" s="1"/>
  <c r="BZ194" i="7" s="1"/>
  <c r="CA194" i="7" s="1"/>
  <c r="BU135" i="7"/>
  <c r="BW135" i="7" s="1"/>
  <c r="BY135" i="7" s="1"/>
  <c r="BZ135" i="7" s="1"/>
  <c r="CA135" i="7" s="1"/>
  <c r="BU335" i="7"/>
  <c r="BW335" i="7" s="1"/>
  <c r="BY335" i="7" s="1"/>
  <c r="BZ335" i="7" s="1"/>
  <c r="CA335" i="7" s="1"/>
  <c r="BU47" i="16"/>
  <c r="BW47" i="16" s="1"/>
  <c r="BY47" i="16" s="1"/>
  <c r="BZ47" i="16" s="1"/>
  <c r="CA47" i="16" s="1"/>
  <c r="BU103" i="7"/>
  <c r="BW103" i="7" s="1"/>
  <c r="BY103" i="7" s="1"/>
  <c r="BZ103" i="7" s="1"/>
  <c r="CA103" i="7" s="1"/>
  <c r="BU48" i="16"/>
  <c r="BW48" i="16" s="1"/>
  <c r="BY48" i="16" s="1"/>
  <c r="BZ48" i="16" s="1"/>
  <c r="CA48" i="16" s="1"/>
  <c r="BU114" i="7"/>
  <c r="BW114" i="7" s="1"/>
  <c r="BY114" i="7" s="1"/>
  <c r="BZ114" i="7" s="1"/>
  <c r="CA114" i="7" s="1"/>
  <c r="BU315" i="7"/>
  <c r="BW315" i="7" s="1"/>
  <c r="BY315" i="7" s="1"/>
  <c r="BZ315" i="7" s="1"/>
  <c r="CA315" i="7" s="1"/>
  <c r="BU263" i="7"/>
  <c r="BW263" i="7" s="1"/>
  <c r="BY263" i="7" s="1"/>
  <c r="BZ263" i="7" s="1"/>
  <c r="CA263" i="7" s="1"/>
  <c r="BU63" i="7"/>
  <c r="BW63" i="7" s="1"/>
  <c r="BY63" i="7" s="1"/>
  <c r="BZ63" i="7" s="1"/>
  <c r="CA63" i="7" s="1"/>
  <c r="BU175" i="7"/>
  <c r="BW175" i="7" s="1"/>
  <c r="BY175" i="7" s="1"/>
  <c r="BZ175" i="7" s="1"/>
  <c r="CA175" i="7" s="1"/>
  <c r="BE180" i="6"/>
  <c r="BF180" i="6" s="1"/>
  <c r="BG180" i="6" s="1"/>
  <c r="BU202" i="7"/>
  <c r="BW202" i="7" s="1"/>
  <c r="BY202" i="7" s="1"/>
  <c r="BZ202" i="7" s="1"/>
  <c r="CA202" i="7" s="1"/>
  <c r="BU35" i="7"/>
  <c r="BW35" i="7" s="1"/>
  <c r="BY35" i="7" s="1"/>
  <c r="BZ35" i="7" s="1"/>
  <c r="CA35" i="7" s="1"/>
  <c r="BU204" i="7"/>
  <c r="BW204" i="7" s="1"/>
  <c r="BY204" i="7" s="1"/>
  <c r="BZ204" i="7" s="1"/>
  <c r="CA204" i="7" s="1"/>
  <c r="BU381" i="7"/>
  <c r="BW381" i="7" s="1"/>
  <c r="BY381" i="7" s="1"/>
  <c r="BZ381" i="7" s="1"/>
  <c r="CA381" i="7" s="1"/>
  <c r="BU361" i="7"/>
  <c r="BW361" i="7" s="1"/>
  <c r="BY361" i="7" s="1"/>
  <c r="BZ361" i="7" s="1"/>
  <c r="CA361" i="7" s="1"/>
  <c r="BU451" i="7"/>
  <c r="BW451" i="7" s="1"/>
  <c r="BY451" i="7" s="1"/>
  <c r="BZ451" i="7" s="1"/>
  <c r="CA451" i="7" s="1"/>
  <c r="BU146" i="7"/>
  <c r="BW146" i="7" s="1"/>
  <c r="BY146" i="7" s="1"/>
  <c r="BZ146" i="7" s="1"/>
  <c r="CA146" i="7" s="1"/>
  <c r="BU369" i="7"/>
  <c r="BW369" i="7" s="1"/>
  <c r="BY369" i="7" s="1"/>
  <c r="BZ369" i="7" s="1"/>
  <c r="CA369" i="7" s="1"/>
  <c r="BU34" i="16"/>
  <c r="BW34" i="16" s="1"/>
  <c r="BY34" i="16" s="1"/>
  <c r="BZ34" i="16" s="1"/>
  <c r="CA34" i="16" s="1"/>
  <c r="BU42" i="16"/>
  <c r="BW42" i="16" s="1"/>
  <c r="BY42" i="16" s="1"/>
  <c r="BZ42" i="16" s="1"/>
  <c r="CA42" i="16" s="1"/>
  <c r="BU208" i="7"/>
  <c r="BW208" i="7" s="1"/>
  <c r="BY208" i="7" s="1"/>
  <c r="BZ208" i="7" s="1"/>
  <c r="CA208" i="7" s="1"/>
  <c r="BU22" i="7"/>
  <c r="BW22" i="7" s="1"/>
  <c r="BY22" i="7" s="1"/>
  <c r="BZ22" i="7" s="1"/>
  <c r="CA22" i="7" s="1"/>
  <c r="BU40" i="16"/>
  <c r="BW40" i="16" s="1"/>
  <c r="BY40" i="16" s="1"/>
  <c r="BZ40" i="16" s="1"/>
  <c r="CA40" i="16" s="1"/>
  <c r="BU297" i="7"/>
  <c r="BW297" i="7" s="1"/>
  <c r="BY297" i="7" s="1"/>
  <c r="BZ297" i="7" s="1"/>
  <c r="CA297" i="7" s="1"/>
  <c r="BE374" i="7"/>
  <c r="BF374" i="7" s="1"/>
  <c r="BG374" i="7" s="1"/>
  <c r="BU181" i="6"/>
  <c r="BW181" i="6" s="1"/>
  <c r="BY181" i="6" s="1"/>
  <c r="BZ181" i="6" s="1"/>
  <c r="CA181" i="6" s="1"/>
  <c r="BE222" i="6"/>
  <c r="BU184" i="6"/>
  <c r="BW184" i="6" s="1"/>
  <c r="BY184" i="6" s="1"/>
  <c r="BZ184" i="6" s="1"/>
  <c r="CA184" i="6" s="1"/>
  <c r="BE462" i="7"/>
  <c r="BU224" i="6"/>
  <c r="BW224" i="6" s="1"/>
  <c r="BY224" i="6" s="1"/>
  <c r="BZ224" i="6" s="1"/>
  <c r="CA224" i="6" s="1"/>
  <c r="BE194" i="7"/>
  <c r="BF194" i="7" s="1"/>
  <c r="BG194" i="7" s="1"/>
  <c r="BE303" i="7"/>
  <c r="BF303" i="7" s="1"/>
  <c r="BG303" i="7" s="1"/>
  <c r="BE127" i="7"/>
  <c r="BF127" i="7" s="1"/>
  <c r="BG127" i="7" s="1"/>
  <c r="BS207" i="6"/>
  <c r="BU182" i="6"/>
  <c r="BW182" i="6" s="1"/>
  <c r="BY182" i="6" s="1"/>
  <c r="BZ182" i="6" s="1"/>
  <c r="CA182" i="6" s="1"/>
  <c r="BS223" i="6"/>
  <c r="BE214" i="7"/>
  <c r="BF214" i="7" s="1"/>
  <c r="BG214" i="7" s="1"/>
  <c r="BE29" i="16"/>
  <c r="BF29" i="16" s="1"/>
  <c r="BG29" i="16" s="1"/>
  <c r="BE547" i="7"/>
  <c r="BE15" i="6"/>
  <c r="BF15" i="6" s="1"/>
  <c r="BG15" i="6" s="1"/>
  <c r="BU188" i="6"/>
  <c r="BW188" i="6" s="1"/>
  <c r="BY188" i="6" s="1"/>
  <c r="BZ188" i="6" s="1"/>
  <c r="CA188" i="6" s="1"/>
  <c r="BU200" i="6"/>
  <c r="BW200" i="6" s="1"/>
  <c r="BY200" i="6" s="1"/>
  <c r="BZ200" i="6" s="1"/>
  <c r="CA200" i="6" s="1"/>
  <c r="BR219" i="6"/>
  <c r="BU219" i="6" s="1"/>
  <c r="BW219" i="6" s="1"/>
  <c r="BY219" i="6" s="1"/>
  <c r="BZ219" i="6" s="1"/>
  <c r="CA219" i="6" s="1"/>
  <c r="BE219" i="6"/>
  <c r="BF219" i="6" s="1"/>
  <c r="BG219" i="6" s="1"/>
  <c r="BE146" i="7"/>
  <c r="BF146" i="7" s="1"/>
  <c r="BG146" i="7" s="1"/>
  <c r="BE147" i="7"/>
  <c r="BF147" i="7" s="1"/>
  <c r="BG147" i="7" s="1"/>
  <c r="BE38" i="7"/>
  <c r="BF38" i="7" s="1"/>
  <c r="BG38" i="7" s="1"/>
  <c r="BE475" i="7"/>
  <c r="BF475" i="7" s="1"/>
  <c r="BG475" i="7" s="1"/>
  <c r="BE156" i="7"/>
  <c r="BF156" i="7" s="1"/>
  <c r="BG156" i="7" s="1"/>
  <c r="BE63" i="7"/>
  <c r="BF63" i="7" s="1"/>
  <c r="BG63" i="7" s="1"/>
  <c r="BE315" i="7"/>
  <c r="BF315" i="7" s="1"/>
  <c r="BG315" i="7" s="1"/>
  <c r="BE87" i="7"/>
  <c r="BF87" i="7" s="1"/>
  <c r="BG87" i="7" s="1"/>
  <c r="BE223" i="7"/>
  <c r="BF223" i="7" s="1"/>
  <c r="BG223" i="7" s="1"/>
  <c r="BE14" i="7"/>
  <c r="BF14" i="7" s="1"/>
  <c r="BG14" i="7" s="1"/>
  <c r="BE468" i="7"/>
  <c r="BE318" i="7"/>
  <c r="BF318" i="7" s="1"/>
  <c r="BG318" i="7" s="1"/>
  <c r="BE7" i="7"/>
  <c r="BF7" i="7" s="1"/>
  <c r="BG7" i="7" s="1"/>
  <c r="BE162" i="7"/>
  <c r="BF162" i="7" s="1"/>
  <c r="BG162" i="7" s="1"/>
  <c r="BE287" i="7"/>
  <c r="BF287" i="7" s="1"/>
  <c r="BG287" i="7" s="1"/>
  <c r="BE99" i="7"/>
  <c r="BF99" i="7" s="1"/>
  <c r="BG99" i="7" s="1"/>
  <c r="BE94" i="7"/>
  <c r="BF94" i="7" s="1"/>
  <c r="BG94" i="7" s="1"/>
  <c r="BE534" i="7"/>
  <c r="BR531" i="7"/>
  <c r="BU531" i="7" s="1"/>
  <c r="BW531" i="7" s="1"/>
  <c r="BY531" i="7" s="1"/>
  <c r="BR543" i="7"/>
  <c r="BU543" i="7" s="1"/>
  <c r="BW543" i="7" s="1"/>
  <c r="BY543" i="7" s="1"/>
  <c r="BE243" i="7"/>
  <c r="BF243" i="7" s="1"/>
  <c r="BG243" i="7" s="1"/>
  <c r="BE263" i="7"/>
  <c r="BF263" i="7" s="1"/>
  <c r="BG263" i="7" s="1"/>
  <c r="BE291" i="7"/>
  <c r="BF291" i="7" s="1"/>
  <c r="BG291" i="7" s="1"/>
  <c r="BE520" i="7"/>
  <c r="BE225" i="7"/>
  <c r="BF225" i="7" s="1"/>
  <c r="BG225" i="7" s="1"/>
  <c r="BE403" i="7"/>
  <c r="BF403" i="7" s="1"/>
  <c r="BG403" i="7" s="1"/>
  <c r="BE176" i="7"/>
  <c r="BF176" i="7" s="1"/>
  <c r="BG176" i="7" s="1"/>
  <c r="BE537" i="7"/>
  <c r="BF537" i="7" s="1"/>
  <c r="BG537" i="7" s="1"/>
  <c r="BE198" i="7"/>
  <c r="BF198" i="7" s="1"/>
  <c r="BG198" i="7" s="1"/>
  <c r="BU147" i="7"/>
  <c r="BW147" i="7" s="1"/>
  <c r="BY147" i="7" s="1"/>
  <c r="BZ147" i="7" s="1"/>
  <c r="CA147" i="7" s="1"/>
  <c r="BE237" i="7"/>
  <c r="BF237" i="7" s="1"/>
  <c r="BG237" i="7" s="1"/>
  <c r="BE279" i="7"/>
  <c r="BF279" i="7" s="1"/>
  <c r="BG279" i="7" s="1"/>
  <c r="BU196" i="7"/>
  <c r="BW196" i="7" s="1"/>
  <c r="BY196" i="7" s="1"/>
  <c r="BZ196" i="7" s="1"/>
  <c r="CA196" i="7" s="1"/>
  <c r="BE449" i="7"/>
  <c r="BF449" i="7" s="1"/>
  <c r="BG449" i="7" s="1"/>
  <c r="BU195" i="6"/>
  <c r="BW195" i="6" s="1"/>
  <c r="BY195" i="6" s="1"/>
  <c r="BZ195" i="6" s="1"/>
  <c r="CA195" i="6" s="1"/>
  <c r="BU18" i="6"/>
  <c r="BW18" i="6" s="1"/>
  <c r="BY18" i="6" s="1"/>
  <c r="BZ18" i="6" s="1"/>
  <c r="CA18" i="6" s="1"/>
  <c r="BE18" i="6"/>
  <c r="BF18" i="6" s="1"/>
  <c r="BG18" i="6" s="1"/>
  <c r="BE16" i="6"/>
  <c r="BF16" i="6" s="1"/>
  <c r="BG16" i="6" s="1"/>
  <c r="BE18" i="16"/>
  <c r="BF18" i="16" s="1"/>
  <c r="BG18" i="16" s="1"/>
  <c r="BU17" i="6"/>
  <c r="BW17" i="6" s="1"/>
  <c r="BY17" i="6" s="1"/>
  <c r="BZ17" i="6" s="1"/>
  <c r="CA17" i="6" s="1"/>
  <c r="BE204" i="6"/>
  <c r="BF204" i="6" s="1"/>
  <c r="BG204" i="6" s="1"/>
  <c r="AO211" i="6"/>
  <c r="AV211" i="6" s="1"/>
  <c r="AX211" i="6" s="1"/>
  <c r="BA211" i="6" s="1"/>
  <c r="BC211" i="6" s="1"/>
  <c r="BE211" i="6" s="1"/>
  <c r="BF211" i="6" s="1"/>
  <c r="BG211" i="6" s="1"/>
  <c r="BE192" i="6"/>
  <c r="BF192" i="6" s="1"/>
  <c r="BG192" i="6" s="1"/>
  <c r="BE565" i="7"/>
  <c r="BU30" i="6"/>
  <c r="BU43" i="6"/>
  <c r="BW43" i="6" s="1"/>
  <c r="BY43" i="6" s="1"/>
  <c r="BZ43" i="6" s="1"/>
  <c r="CA43" i="6" s="1"/>
  <c r="BU52" i="6"/>
  <c r="BU71" i="6"/>
  <c r="BE257" i="7"/>
  <c r="BF257" i="7" s="1"/>
  <c r="BG257" i="7" s="1"/>
  <c r="BE222" i="7"/>
  <c r="BF222" i="7" s="1"/>
  <c r="BG222" i="7" s="1"/>
  <c r="BE550" i="7"/>
  <c r="BU42" i="6"/>
  <c r="BW42" i="6" s="1"/>
  <c r="BY42" i="6" s="1"/>
  <c r="BZ42" i="6" s="1"/>
  <c r="CA42" i="6" s="1"/>
  <c r="BE434" i="7"/>
  <c r="BF434" i="7" s="1"/>
  <c r="BG434" i="7" s="1"/>
  <c r="BU119" i="7"/>
  <c r="BW119" i="7" s="1"/>
  <c r="BY119" i="7" s="1"/>
  <c r="BZ119" i="7" s="1"/>
  <c r="CA119" i="7" s="1"/>
  <c r="BE206" i="7"/>
  <c r="BF206" i="7" s="1"/>
  <c r="BG206" i="7" s="1"/>
  <c r="BE66" i="7"/>
  <c r="BF66" i="7" s="1"/>
  <c r="BG66" i="7" s="1"/>
  <c r="BE70" i="7"/>
  <c r="BF70" i="7" s="1"/>
  <c r="BG70" i="7" s="1"/>
  <c r="BE78" i="7"/>
  <c r="BF78" i="7" s="1"/>
  <c r="BG78" i="7" s="1"/>
  <c r="BE195" i="7"/>
  <c r="BF195" i="7" s="1"/>
  <c r="BG195" i="7" s="1"/>
  <c r="BE83" i="7"/>
  <c r="BF83" i="7" s="1"/>
  <c r="BG83" i="7" s="1"/>
  <c r="BE47" i="16"/>
  <c r="BF47" i="16" s="1"/>
  <c r="BG47" i="16" s="1"/>
  <c r="BE486" i="7"/>
  <c r="BE561" i="7"/>
  <c r="BU34" i="7"/>
  <c r="BW34" i="7" s="1"/>
  <c r="BY34" i="7" s="1"/>
  <c r="BZ34" i="7" s="1"/>
  <c r="CA34" i="7" s="1"/>
  <c r="BE458" i="7"/>
  <c r="BF458" i="7" s="1"/>
  <c r="BG458" i="7" s="1"/>
  <c r="BR551" i="7"/>
  <c r="BU551" i="7" s="1"/>
  <c r="BW551" i="7" s="1"/>
  <c r="BY551" i="7" s="1"/>
  <c r="BU28" i="7"/>
  <c r="BW28" i="7" s="1"/>
  <c r="BY28" i="7" s="1"/>
  <c r="BZ28" i="7" s="1"/>
  <c r="CA28" i="7" s="1"/>
  <c r="BE474" i="7"/>
  <c r="BU38" i="6"/>
  <c r="BW38" i="6" s="1"/>
  <c r="BY38" i="6" s="1"/>
  <c r="BZ38" i="6" s="1"/>
  <c r="CA38" i="6" s="1"/>
  <c r="BE17" i="7"/>
  <c r="BF17" i="7" s="1"/>
  <c r="BG17" i="7" s="1"/>
  <c r="BU54" i="7"/>
  <c r="BW54" i="7" s="1"/>
  <c r="BY54" i="7" s="1"/>
  <c r="BZ54" i="7" s="1"/>
  <c r="CA54" i="7" s="1"/>
  <c r="BU294" i="7"/>
  <c r="BW294" i="7" s="1"/>
  <c r="BY294" i="7" s="1"/>
  <c r="BZ294" i="7" s="1"/>
  <c r="CA294" i="7" s="1"/>
  <c r="BE141" i="7"/>
  <c r="BF141" i="7" s="1"/>
  <c r="BG141" i="7" s="1"/>
  <c r="BE551" i="7"/>
  <c r="BE438" i="7"/>
  <c r="BF438" i="7" s="1"/>
  <c r="BG438" i="7" s="1"/>
  <c r="BU40" i="6"/>
  <c r="BU405" i="7"/>
  <c r="BW405" i="7" s="1"/>
  <c r="BY405" i="7" s="1"/>
  <c r="BZ405" i="7" s="1"/>
  <c r="CA405" i="7" s="1"/>
  <c r="BU5" i="16"/>
  <c r="BW5" i="16" s="1"/>
  <c r="BY5" i="16" s="1"/>
  <c r="BZ5" i="16" s="1"/>
  <c r="CA5" i="16" s="1"/>
  <c r="BU182" i="7"/>
  <c r="BW182" i="7" s="1"/>
  <c r="BY182" i="7" s="1"/>
  <c r="BZ182" i="7" s="1"/>
  <c r="CA182" i="7" s="1"/>
  <c r="BE151" i="7"/>
  <c r="BF151" i="7" s="1"/>
  <c r="BG151" i="7" s="1"/>
  <c r="BU59" i="6"/>
  <c r="BE9" i="7"/>
  <c r="BF9" i="7" s="1"/>
  <c r="BG9" i="7" s="1"/>
  <c r="BU86" i="7"/>
  <c r="BW86" i="7" s="1"/>
  <c r="BY86" i="7" s="1"/>
  <c r="BZ86" i="7" s="1"/>
  <c r="CA86" i="7" s="1"/>
  <c r="BE285" i="7"/>
  <c r="BF285" i="7" s="1"/>
  <c r="BG285" i="7" s="1"/>
  <c r="BE199" i="7"/>
  <c r="BF199" i="7" s="1"/>
  <c r="BG199" i="7" s="1"/>
  <c r="BU237" i="7"/>
  <c r="BW237" i="7" s="1"/>
  <c r="BY237" i="7" s="1"/>
  <c r="BZ237" i="7" s="1"/>
  <c r="CA237" i="7" s="1"/>
  <c r="BU128" i="7"/>
  <c r="BW128" i="7" s="1"/>
  <c r="BY128" i="7" s="1"/>
  <c r="BZ128" i="7" s="1"/>
  <c r="CA128" i="7" s="1"/>
  <c r="BU225" i="7"/>
  <c r="BW225" i="7" s="1"/>
  <c r="BY225" i="7" s="1"/>
  <c r="BZ225" i="7" s="1"/>
  <c r="CA225" i="7" s="1"/>
  <c r="AB208" i="6"/>
  <c r="AG208" i="6" s="1"/>
  <c r="BS208" i="6"/>
  <c r="BE203" i="6"/>
  <c r="BR207" i="6"/>
  <c r="BE207" i="6"/>
  <c r="BF207" i="6" s="1"/>
  <c r="BG207" i="6" s="1"/>
  <c r="BE46" i="7"/>
  <c r="BF46" i="7" s="1"/>
  <c r="BG46" i="7" s="1"/>
  <c r="BE23" i="16"/>
  <c r="BF23" i="16" s="1"/>
  <c r="BG23" i="16" s="1"/>
  <c r="BE517" i="7"/>
  <c r="BE33" i="7"/>
  <c r="BF33" i="7" s="1"/>
  <c r="BG33" i="7" s="1"/>
  <c r="BR463" i="7"/>
  <c r="BU463" i="7" s="1"/>
  <c r="BW463" i="7" s="1"/>
  <c r="BY463" i="7" s="1"/>
  <c r="BE255" i="7"/>
  <c r="BF255" i="7" s="1"/>
  <c r="BG255" i="7" s="1"/>
  <c r="BE35" i="16"/>
  <c r="BF35" i="16" s="1"/>
  <c r="BG35" i="16" s="1"/>
  <c r="BE230" i="7"/>
  <c r="BF230" i="7" s="1"/>
  <c r="BG230" i="7" s="1"/>
  <c r="BE513" i="7"/>
  <c r="BE557" i="7"/>
  <c r="BE201" i="7"/>
  <c r="BF201" i="7" s="1"/>
  <c r="BG201" i="7" s="1"/>
  <c r="BE338" i="7"/>
  <c r="BF338" i="7" s="1"/>
  <c r="BG338" i="7" s="1"/>
  <c r="BE491" i="7"/>
  <c r="BE440" i="7"/>
  <c r="BF440" i="7" s="1"/>
  <c r="BG440" i="7" s="1"/>
  <c r="BE229" i="7"/>
  <c r="BF229" i="7" s="1"/>
  <c r="BG229" i="7" s="1"/>
  <c r="BU197" i="7"/>
  <c r="BW197" i="7" s="1"/>
  <c r="BY197" i="7" s="1"/>
  <c r="BZ197" i="7" s="1"/>
  <c r="CA197" i="7" s="1"/>
  <c r="BE107" i="7"/>
  <c r="BF107" i="7" s="1"/>
  <c r="BG107" i="7" s="1"/>
  <c r="BE91" i="7"/>
  <c r="BF91" i="7" s="1"/>
  <c r="BG91" i="7" s="1"/>
  <c r="BE197" i="7"/>
  <c r="BF197" i="7" s="1"/>
  <c r="BG197" i="7" s="1"/>
  <c r="BU242" i="7"/>
  <c r="BW242" i="7" s="1"/>
  <c r="BY242" i="7" s="1"/>
  <c r="BZ242" i="7" s="1"/>
  <c r="CA242" i="7" s="1"/>
  <c r="BU23" i="6"/>
  <c r="BW23" i="6" s="1"/>
  <c r="BY23" i="6" s="1"/>
  <c r="BZ23" i="6" s="1"/>
  <c r="CA23" i="6" s="1"/>
  <c r="BU165" i="7"/>
  <c r="BW165" i="7" s="1"/>
  <c r="BY165" i="7" s="1"/>
  <c r="BZ165" i="7" s="1"/>
  <c r="CA165" i="7" s="1"/>
  <c r="BU78" i="6"/>
  <c r="BU119" i="6"/>
  <c r="BU176" i="6"/>
  <c r="BU17" i="7"/>
  <c r="BW17" i="7" s="1"/>
  <c r="BY17" i="7" s="1"/>
  <c r="BZ17" i="7" s="1"/>
  <c r="CA17" i="7" s="1"/>
  <c r="BU151" i="7"/>
  <c r="BW151" i="7" s="1"/>
  <c r="BY151" i="7" s="1"/>
  <c r="BZ151" i="7" s="1"/>
  <c r="CA151" i="7" s="1"/>
  <c r="BU365" i="7"/>
  <c r="BW365" i="7" s="1"/>
  <c r="BY365" i="7" s="1"/>
  <c r="BZ365" i="7" s="1"/>
  <c r="CA365" i="7" s="1"/>
  <c r="BU375" i="7"/>
  <c r="BW375" i="7" s="1"/>
  <c r="BY375" i="7" s="1"/>
  <c r="BZ375" i="7" s="1"/>
  <c r="CA375" i="7" s="1"/>
  <c r="BU10" i="7"/>
  <c r="BW10" i="7" s="1"/>
  <c r="BY10" i="7" s="1"/>
  <c r="BZ10" i="7" s="1"/>
  <c r="CA10" i="7" s="1"/>
  <c r="BU156" i="7"/>
  <c r="BW156" i="7" s="1"/>
  <c r="BY156" i="7" s="1"/>
  <c r="BZ156" i="7" s="1"/>
  <c r="CA156" i="7" s="1"/>
  <c r="BU318" i="7"/>
  <c r="BW318" i="7" s="1"/>
  <c r="BY318" i="7" s="1"/>
  <c r="BZ318" i="7" s="1"/>
  <c r="CA318" i="7" s="1"/>
  <c r="BE341" i="7"/>
  <c r="BF341" i="7" s="1"/>
  <c r="BG341" i="7" s="1"/>
  <c r="BU37" i="16"/>
  <c r="BW37" i="16" s="1"/>
  <c r="BY37" i="16" s="1"/>
  <c r="BZ37" i="16" s="1"/>
  <c r="CA37" i="16" s="1"/>
  <c r="BU74" i="7"/>
  <c r="BW74" i="7" s="1"/>
  <c r="BY74" i="7" s="1"/>
  <c r="BZ74" i="7" s="1"/>
  <c r="CA74" i="7" s="1"/>
  <c r="BE535" i="7"/>
  <c r="BE135" i="7"/>
  <c r="BF135" i="7" s="1"/>
  <c r="BG135" i="7" s="1"/>
  <c r="BU201" i="7"/>
  <c r="BW201" i="7" s="1"/>
  <c r="BY201" i="7" s="1"/>
  <c r="BZ201" i="7" s="1"/>
  <c r="CA201" i="7" s="1"/>
  <c r="BU312" i="7"/>
  <c r="BW312" i="7" s="1"/>
  <c r="BY312" i="7" s="1"/>
  <c r="BZ312" i="7" s="1"/>
  <c r="CA312" i="7" s="1"/>
  <c r="BU30" i="16"/>
  <c r="BW30" i="16" s="1"/>
  <c r="BY30" i="16" s="1"/>
  <c r="BZ30" i="16" s="1"/>
  <c r="CA30" i="16" s="1"/>
  <c r="BU9" i="16"/>
  <c r="BW9" i="16" s="1"/>
  <c r="BY9" i="16" s="1"/>
  <c r="BZ9" i="16" s="1"/>
  <c r="CA9" i="16" s="1"/>
  <c r="BU414" i="7"/>
  <c r="BW414" i="7" s="1"/>
  <c r="BY414" i="7" s="1"/>
  <c r="BZ414" i="7" s="1"/>
  <c r="CA414" i="7" s="1"/>
  <c r="BU25" i="16"/>
  <c r="BW25" i="16" s="1"/>
  <c r="BY25" i="16" s="1"/>
  <c r="BZ25" i="16" s="1"/>
  <c r="CA25" i="16" s="1"/>
  <c r="BU249" i="7"/>
  <c r="BW249" i="7" s="1"/>
  <c r="BY249" i="7" s="1"/>
  <c r="BZ249" i="7" s="1"/>
  <c r="CA249" i="7" s="1"/>
  <c r="BU31" i="16"/>
  <c r="BW31" i="16" s="1"/>
  <c r="BY31" i="16" s="1"/>
  <c r="BZ31" i="16" s="1"/>
  <c r="CA31" i="16" s="1"/>
  <c r="BU18" i="7"/>
  <c r="BW18" i="7" s="1"/>
  <c r="BY18" i="7" s="1"/>
  <c r="BZ18" i="7" s="1"/>
  <c r="CA18" i="7" s="1"/>
  <c r="BE249" i="7"/>
  <c r="BF249" i="7" s="1"/>
  <c r="BG249" i="7" s="1"/>
  <c r="BE369" i="7"/>
  <c r="BF369" i="7" s="1"/>
  <c r="BG369" i="7" s="1"/>
  <c r="BE62" i="7"/>
  <c r="BF62" i="7" s="1"/>
  <c r="BG62" i="7" s="1"/>
  <c r="BE477" i="7"/>
  <c r="BE40" i="7"/>
  <c r="BF40" i="7" s="1"/>
  <c r="BG40" i="7" s="1"/>
  <c r="BE117" i="7"/>
  <c r="BF117" i="7" s="1"/>
  <c r="BG117" i="7" s="1"/>
  <c r="BE560" i="7"/>
  <c r="BU91" i="7"/>
  <c r="BW91" i="7" s="1"/>
  <c r="BY91" i="7" s="1"/>
  <c r="BZ91" i="7" s="1"/>
  <c r="CA91" i="7" s="1"/>
  <c r="BE60" i="7"/>
  <c r="BF60" i="7" s="1"/>
  <c r="BG60" i="7" s="1"/>
  <c r="BU407" i="7"/>
  <c r="BW407" i="7" s="1"/>
  <c r="BY407" i="7" s="1"/>
  <c r="BZ407" i="7" s="1"/>
  <c r="CA407" i="7" s="1"/>
  <c r="BU449" i="7"/>
  <c r="BW449" i="7" s="1"/>
  <c r="BY449" i="7" s="1"/>
  <c r="BZ449" i="7" s="1"/>
  <c r="CA449" i="7" s="1"/>
  <c r="BE49" i="6"/>
  <c r="BF49" i="6" s="1"/>
  <c r="BG49" i="6" s="1"/>
  <c r="AO183" i="6"/>
  <c r="AV183" i="6" s="1"/>
  <c r="AX183" i="6" s="1"/>
  <c r="BA183" i="6" s="1"/>
  <c r="BC183" i="6" s="1"/>
  <c r="BE183" i="6" s="1"/>
  <c r="BF183" i="6" s="1"/>
  <c r="BG183" i="6" s="1"/>
  <c r="AO199" i="6"/>
  <c r="AV199" i="6" s="1"/>
  <c r="AX199" i="6" s="1"/>
  <c r="BA199" i="6" s="1"/>
  <c r="BC199" i="6" s="1"/>
  <c r="BE199" i="6" s="1"/>
  <c r="BF199" i="6" s="1"/>
  <c r="BG199" i="6" s="1"/>
  <c r="BP31" i="6"/>
  <c r="AO214" i="6"/>
  <c r="AV214" i="6" s="1"/>
  <c r="AO225" i="6"/>
  <c r="AV225" i="6" s="1"/>
  <c r="AX225" i="6" s="1"/>
  <c r="BA225" i="6" s="1"/>
  <c r="BC225" i="6" s="1"/>
  <c r="BE225" i="6" s="1"/>
  <c r="BF225" i="6" s="1"/>
  <c r="BG225" i="6" s="1"/>
  <c r="AO218" i="6"/>
  <c r="AV218" i="6" s="1"/>
  <c r="AX218" i="6" s="1"/>
  <c r="BA218" i="6" s="1"/>
  <c r="BC218" i="6" s="1"/>
  <c r="BE218" i="6" s="1"/>
  <c r="AO196" i="6"/>
  <c r="AV196" i="6" s="1"/>
  <c r="AX196" i="6" s="1"/>
  <c r="BA196" i="6" s="1"/>
  <c r="BC196" i="6" s="1"/>
  <c r="BE196" i="6" s="1"/>
  <c r="BF196" i="6" s="1"/>
  <c r="BG196" i="6" s="1"/>
  <c r="AO65" i="6"/>
  <c r="AV65" i="6" s="1"/>
  <c r="AX65" i="6" s="1"/>
  <c r="BA65" i="6" s="1"/>
  <c r="BC65" i="6" s="1"/>
  <c r="AO228" i="6"/>
  <c r="AV228" i="6" s="1"/>
  <c r="AX228" i="6" s="1"/>
  <c r="BA228" i="6" s="1"/>
  <c r="BC228" i="6" s="1"/>
  <c r="BE228" i="6" s="1"/>
  <c r="BF228" i="6" s="1"/>
  <c r="BG228" i="6" s="1"/>
  <c r="AX217" i="6"/>
  <c r="BA217" i="6" s="1"/>
  <c r="BC217" i="6" s="1"/>
  <c r="BE217" i="6" s="1"/>
  <c r="BF217" i="6" s="1"/>
  <c r="BG217" i="6" s="1"/>
  <c r="AO41" i="6"/>
  <c r="AV41" i="6" s="1"/>
  <c r="AX41" i="6" s="1"/>
  <c r="BA41" i="6" s="1"/>
  <c r="BC41" i="6" s="1"/>
  <c r="BE41" i="6" s="1"/>
  <c r="BF41" i="6" s="1"/>
  <c r="BG41" i="6" s="1"/>
  <c r="BR148" i="6"/>
  <c r="BU148" i="6" s="1"/>
  <c r="BR166" i="6"/>
  <c r="BU166" i="6" s="1"/>
  <c r="BE79" i="6"/>
  <c r="BF79" i="6" s="1"/>
  <c r="BG79" i="6" s="1"/>
  <c r="BR178" i="6"/>
  <c r="BU178" i="6" s="1"/>
  <c r="BE264" i="7"/>
  <c r="BF264" i="7" s="1"/>
  <c r="BG264" i="7" s="1"/>
  <c r="BE36" i="7"/>
  <c r="BF36" i="7" s="1"/>
  <c r="BG36" i="7" s="1"/>
  <c r="BE375" i="7"/>
  <c r="BF375" i="7" s="1"/>
  <c r="BG375" i="7" s="1"/>
  <c r="BE429" i="7"/>
  <c r="BF429" i="7" s="1"/>
  <c r="BG429" i="7" s="1"/>
  <c r="BU84" i="6"/>
  <c r="BU136" i="6"/>
  <c r="BE35" i="7"/>
  <c r="BF35" i="7" s="1"/>
  <c r="BG35" i="7" s="1"/>
  <c r="BE207" i="7"/>
  <c r="BF207" i="7" s="1"/>
  <c r="BG207" i="7" s="1"/>
  <c r="BR167" i="6"/>
  <c r="BU167" i="6" s="1"/>
  <c r="BU323" i="7"/>
  <c r="BW323" i="7" s="1"/>
  <c r="BY323" i="7" s="1"/>
  <c r="BZ323" i="7" s="1"/>
  <c r="CA323" i="7" s="1"/>
  <c r="BE211" i="7"/>
  <c r="BF211" i="7" s="1"/>
  <c r="BG211" i="7" s="1"/>
  <c r="BU170" i="7"/>
  <c r="BW170" i="7" s="1"/>
  <c r="BY170" i="7" s="1"/>
  <c r="BZ170" i="7" s="1"/>
  <c r="CA170" i="7" s="1"/>
  <c r="BE143" i="7"/>
  <c r="BF143" i="7" s="1"/>
  <c r="BG143" i="7" s="1"/>
  <c r="BE5" i="16"/>
  <c r="BF5" i="16" s="1"/>
  <c r="BG5" i="16" s="1"/>
  <c r="BE536" i="7"/>
  <c r="BU7" i="7"/>
  <c r="BW7" i="7" s="1"/>
  <c r="BY7" i="7" s="1"/>
  <c r="BZ7" i="7" s="1"/>
  <c r="CA7" i="7" s="1"/>
  <c r="BU46" i="16"/>
  <c r="BW46" i="16" s="1"/>
  <c r="BY46" i="16" s="1"/>
  <c r="BZ46" i="16" s="1"/>
  <c r="CA46" i="16" s="1"/>
  <c r="BU15" i="16"/>
  <c r="BW15" i="16" s="1"/>
  <c r="BY15" i="16" s="1"/>
  <c r="BZ15" i="16" s="1"/>
  <c r="CA15" i="16" s="1"/>
  <c r="BU49" i="7"/>
  <c r="BW49" i="7" s="1"/>
  <c r="BY49" i="7" s="1"/>
  <c r="BZ49" i="7" s="1"/>
  <c r="CA49" i="7" s="1"/>
  <c r="BU122" i="7"/>
  <c r="BW122" i="7" s="1"/>
  <c r="BY122" i="7" s="1"/>
  <c r="BZ122" i="7" s="1"/>
  <c r="CA122" i="7" s="1"/>
  <c r="BU287" i="7"/>
  <c r="BW287" i="7" s="1"/>
  <c r="BY287" i="7" s="1"/>
  <c r="BZ287" i="7" s="1"/>
  <c r="CA287" i="7" s="1"/>
  <c r="BE32" i="7"/>
  <c r="BF32" i="7" s="1"/>
  <c r="BG32" i="7" s="1"/>
  <c r="BU66" i="7"/>
  <c r="BW66" i="7" s="1"/>
  <c r="BY66" i="7" s="1"/>
  <c r="BZ66" i="7" s="1"/>
  <c r="CA66" i="7" s="1"/>
  <c r="BU22" i="16"/>
  <c r="BW22" i="16" s="1"/>
  <c r="BY22" i="16" s="1"/>
  <c r="BZ22" i="16" s="1"/>
  <c r="CA22" i="16" s="1"/>
  <c r="BU268" i="7"/>
  <c r="BW268" i="7" s="1"/>
  <c r="BY268" i="7" s="1"/>
  <c r="BZ268" i="7" s="1"/>
  <c r="CA268" i="7" s="1"/>
  <c r="BU70" i="7"/>
  <c r="BW70" i="7" s="1"/>
  <c r="BY70" i="7" s="1"/>
  <c r="BZ70" i="7" s="1"/>
  <c r="CA70" i="7" s="1"/>
  <c r="BE196" i="7"/>
  <c r="BF196" i="7" s="1"/>
  <c r="BG196" i="7" s="1"/>
  <c r="BU100" i="7"/>
  <c r="BW100" i="7" s="1"/>
  <c r="BY100" i="7" s="1"/>
  <c r="BZ100" i="7" s="1"/>
  <c r="CA100" i="7" s="1"/>
  <c r="BU16" i="16"/>
  <c r="BW16" i="16" s="1"/>
  <c r="BY16" i="16" s="1"/>
  <c r="BZ16" i="16" s="1"/>
  <c r="CA16" i="16" s="1"/>
  <c r="BE139" i="6"/>
  <c r="BF139" i="6" s="1"/>
  <c r="BG139" i="6" s="1"/>
  <c r="BU141" i="7"/>
  <c r="BW141" i="7" s="1"/>
  <c r="BY141" i="7" s="1"/>
  <c r="BZ141" i="7" s="1"/>
  <c r="CA141" i="7" s="1"/>
  <c r="BU125" i="7"/>
  <c r="BW125" i="7" s="1"/>
  <c r="BY125" i="7" s="1"/>
  <c r="BZ125" i="7" s="1"/>
  <c r="CA125" i="7" s="1"/>
  <c r="BU332" i="7"/>
  <c r="BW332" i="7" s="1"/>
  <c r="BY332" i="7" s="1"/>
  <c r="BZ332" i="7" s="1"/>
  <c r="CA332" i="7" s="1"/>
  <c r="BU364" i="7"/>
  <c r="BW364" i="7" s="1"/>
  <c r="BY364" i="7" s="1"/>
  <c r="BZ364" i="7" s="1"/>
  <c r="CA364" i="7" s="1"/>
  <c r="BU336" i="7"/>
  <c r="BW336" i="7" s="1"/>
  <c r="BY336" i="7" s="1"/>
  <c r="BZ336" i="7" s="1"/>
  <c r="CA336" i="7" s="1"/>
  <c r="BE511" i="7"/>
  <c r="BU219" i="7"/>
  <c r="BW219" i="7" s="1"/>
  <c r="BY219" i="7" s="1"/>
  <c r="BZ219" i="7" s="1"/>
  <c r="CA219" i="7" s="1"/>
  <c r="BU209" i="7"/>
  <c r="BW209" i="7" s="1"/>
  <c r="BY209" i="7" s="1"/>
  <c r="BZ209" i="7" s="1"/>
  <c r="CA209" i="7" s="1"/>
  <c r="BU270" i="7"/>
  <c r="BW270" i="7" s="1"/>
  <c r="BY270" i="7" s="1"/>
  <c r="BZ270" i="7" s="1"/>
  <c r="CA270" i="7" s="1"/>
  <c r="BU94" i="7"/>
  <c r="BW94" i="7" s="1"/>
  <c r="BY94" i="7" s="1"/>
  <c r="BZ94" i="7" s="1"/>
  <c r="CA94" i="7" s="1"/>
  <c r="BU89" i="7"/>
  <c r="BW89" i="7" s="1"/>
  <c r="BY89" i="7" s="1"/>
  <c r="BZ89" i="7" s="1"/>
  <c r="CA89" i="7" s="1"/>
  <c r="BU236" i="7"/>
  <c r="BW236" i="7" s="1"/>
  <c r="BY236" i="7" s="1"/>
  <c r="BZ236" i="7" s="1"/>
  <c r="CA236" i="7" s="1"/>
  <c r="BU222" i="7"/>
  <c r="BW222" i="7" s="1"/>
  <c r="BY222" i="7" s="1"/>
  <c r="BZ222" i="7" s="1"/>
  <c r="CA222" i="7" s="1"/>
  <c r="BU251" i="7"/>
  <c r="BW251" i="7" s="1"/>
  <c r="BY251" i="7" s="1"/>
  <c r="BZ251" i="7" s="1"/>
  <c r="CA251" i="7" s="1"/>
  <c r="BU271" i="7"/>
  <c r="BW271" i="7" s="1"/>
  <c r="BY271" i="7" s="1"/>
  <c r="BZ271" i="7" s="1"/>
  <c r="CA271" i="7" s="1"/>
  <c r="BE365" i="7"/>
  <c r="BF365" i="7" s="1"/>
  <c r="BG365" i="7" s="1"/>
  <c r="BE165" i="7"/>
  <c r="BF165" i="7" s="1"/>
  <c r="BG165" i="7" s="1"/>
  <c r="BU391" i="7"/>
  <c r="BW391" i="7" s="1"/>
  <c r="BY391" i="7" s="1"/>
  <c r="BZ391" i="7" s="1"/>
  <c r="CA391" i="7" s="1"/>
  <c r="BU198" i="7"/>
  <c r="BW198" i="7" s="1"/>
  <c r="BY198" i="7" s="1"/>
  <c r="BZ198" i="7" s="1"/>
  <c r="CA198" i="7" s="1"/>
  <c r="BU60" i="7"/>
  <c r="BW60" i="7" s="1"/>
  <c r="BY60" i="7" s="1"/>
  <c r="BZ60" i="7" s="1"/>
  <c r="CA60" i="7" s="1"/>
  <c r="BU6" i="7"/>
  <c r="BW6" i="7" s="1"/>
  <c r="BY6" i="7" s="1"/>
  <c r="BZ6" i="7" s="1"/>
  <c r="CA6" i="7" s="1"/>
  <c r="BU362" i="7"/>
  <c r="BW362" i="7" s="1"/>
  <c r="BY362" i="7" s="1"/>
  <c r="BZ362" i="7" s="1"/>
  <c r="CA362" i="7" s="1"/>
  <c r="BU71" i="7"/>
  <c r="BW71" i="7" s="1"/>
  <c r="BY71" i="7" s="1"/>
  <c r="BZ71" i="7" s="1"/>
  <c r="CA71" i="7" s="1"/>
  <c r="BU376" i="7"/>
  <c r="BW376" i="7" s="1"/>
  <c r="BY376" i="7" s="1"/>
  <c r="BZ376" i="7" s="1"/>
  <c r="CA376" i="7" s="1"/>
  <c r="BU62" i="7"/>
  <c r="BW62" i="7" s="1"/>
  <c r="BY62" i="7" s="1"/>
  <c r="BZ62" i="7" s="1"/>
  <c r="CA62" i="7" s="1"/>
  <c r="BU371" i="7"/>
  <c r="BW371" i="7" s="1"/>
  <c r="BY371" i="7" s="1"/>
  <c r="BZ371" i="7" s="1"/>
  <c r="CA371" i="7" s="1"/>
  <c r="BU352" i="7"/>
  <c r="BW352" i="7" s="1"/>
  <c r="BY352" i="7" s="1"/>
  <c r="BZ352" i="7" s="1"/>
  <c r="CA352" i="7" s="1"/>
  <c r="BU16" i="7"/>
  <c r="BW16" i="7" s="1"/>
  <c r="BY16" i="7" s="1"/>
  <c r="BZ16" i="7" s="1"/>
  <c r="CA16" i="7" s="1"/>
  <c r="BU20" i="16"/>
  <c r="BW20" i="16" s="1"/>
  <c r="BY20" i="16" s="1"/>
  <c r="BZ20" i="16" s="1"/>
  <c r="CA20" i="16" s="1"/>
  <c r="BE136" i="6"/>
  <c r="BF136" i="6" s="1"/>
  <c r="BG136" i="6" s="1"/>
  <c r="BU245" i="7"/>
  <c r="BW245" i="7" s="1"/>
  <c r="BY245" i="7" s="1"/>
  <c r="BZ245" i="7" s="1"/>
  <c r="CA245" i="7" s="1"/>
  <c r="BU394" i="7"/>
  <c r="BW394" i="7" s="1"/>
  <c r="BY394" i="7" s="1"/>
  <c r="BZ394" i="7" s="1"/>
  <c r="CA394" i="7" s="1"/>
  <c r="BU67" i="7"/>
  <c r="BW67" i="7" s="1"/>
  <c r="BY67" i="7" s="1"/>
  <c r="BZ67" i="7" s="1"/>
  <c r="CA67" i="7" s="1"/>
  <c r="BR155" i="6"/>
  <c r="BU155" i="6" s="1"/>
  <c r="BE542" i="7"/>
  <c r="BU97" i="7"/>
  <c r="BW97" i="7" s="1"/>
  <c r="BY97" i="7" s="1"/>
  <c r="BZ97" i="7" s="1"/>
  <c r="CA97" i="7" s="1"/>
  <c r="BU167" i="7"/>
  <c r="BW167" i="7" s="1"/>
  <c r="BY167" i="7" s="1"/>
  <c r="BZ167" i="7" s="1"/>
  <c r="CA167" i="7" s="1"/>
  <c r="BU131" i="7"/>
  <c r="BW131" i="7" s="1"/>
  <c r="BY131" i="7" s="1"/>
  <c r="BZ131" i="7" s="1"/>
  <c r="CA131" i="7" s="1"/>
  <c r="BU275" i="7"/>
  <c r="BW275" i="7" s="1"/>
  <c r="BY275" i="7" s="1"/>
  <c r="BZ275" i="7" s="1"/>
  <c r="CA275" i="7" s="1"/>
  <c r="BU98" i="7"/>
  <c r="BW98" i="7" s="1"/>
  <c r="BY98" i="7" s="1"/>
  <c r="BZ98" i="7" s="1"/>
  <c r="CA98" i="7" s="1"/>
  <c r="BU164" i="7"/>
  <c r="BW164" i="7" s="1"/>
  <c r="BY164" i="7" s="1"/>
  <c r="BZ164" i="7" s="1"/>
  <c r="CA164" i="7" s="1"/>
  <c r="BR177" i="6"/>
  <c r="BR149" i="6"/>
  <c r="BU149" i="6" s="1"/>
  <c r="BE524" i="7"/>
  <c r="BE471" i="7"/>
  <c r="BU142" i="7"/>
  <c r="BW142" i="7" s="1"/>
  <c r="BY142" i="7" s="1"/>
  <c r="BZ142" i="7" s="1"/>
  <c r="CA142" i="7" s="1"/>
  <c r="BE248" i="7"/>
  <c r="BF248" i="7" s="1"/>
  <c r="BG248" i="7" s="1"/>
  <c r="BE472" i="7"/>
  <c r="BE376" i="7"/>
  <c r="BF376" i="7" s="1"/>
  <c r="BG376" i="7" s="1"/>
  <c r="BU26" i="7"/>
  <c r="BW26" i="7" s="1"/>
  <c r="BY26" i="7" s="1"/>
  <c r="BZ26" i="7" s="1"/>
  <c r="CA26" i="7" s="1"/>
  <c r="BU80" i="7"/>
  <c r="BW80" i="7" s="1"/>
  <c r="BY80" i="7" s="1"/>
  <c r="BZ80" i="7" s="1"/>
  <c r="CA80" i="7" s="1"/>
  <c r="BU278" i="7"/>
  <c r="BW278" i="7" s="1"/>
  <c r="BY278" i="7" s="1"/>
  <c r="BZ278" i="7" s="1"/>
  <c r="CA278" i="7" s="1"/>
  <c r="BU215" i="7"/>
  <c r="BW215" i="7" s="1"/>
  <c r="BY215" i="7" s="1"/>
  <c r="BZ215" i="7" s="1"/>
  <c r="CA215" i="7" s="1"/>
  <c r="BE240" i="7"/>
  <c r="BF240" i="7" s="1"/>
  <c r="BG240" i="7" s="1"/>
  <c r="BE394" i="7"/>
  <c r="BF394" i="7" s="1"/>
  <c r="BG394" i="7" s="1"/>
  <c r="BE352" i="7"/>
  <c r="BF352" i="7" s="1"/>
  <c r="BG352" i="7" s="1"/>
  <c r="BE48" i="7"/>
  <c r="BF48" i="7" s="1"/>
  <c r="BG48" i="7" s="1"/>
  <c r="BU99" i="7"/>
  <c r="BW99" i="7" s="1"/>
  <c r="BY99" i="7" s="1"/>
  <c r="BZ99" i="7" s="1"/>
  <c r="CA99" i="7" s="1"/>
  <c r="BU126" i="7"/>
  <c r="BW126" i="7" s="1"/>
  <c r="BY126" i="7" s="1"/>
  <c r="BZ126" i="7" s="1"/>
  <c r="CA126" i="7" s="1"/>
  <c r="BU223" i="7"/>
  <c r="BW223" i="7" s="1"/>
  <c r="BY223" i="7" s="1"/>
  <c r="BZ223" i="7" s="1"/>
  <c r="CA223" i="7" s="1"/>
  <c r="BU214" i="7"/>
  <c r="BW214" i="7" s="1"/>
  <c r="BY214" i="7" s="1"/>
  <c r="BZ214" i="7" s="1"/>
  <c r="CA214" i="7" s="1"/>
  <c r="BU43" i="16"/>
  <c r="BW43" i="16" s="1"/>
  <c r="BY43" i="16" s="1"/>
  <c r="BZ43" i="16" s="1"/>
  <c r="CA43" i="16" s="1"/>
  <c r="BE58" i="6"/>
  <c r="BF58" i="6" s="1"/>
  <c r="BG58" i="6" s="1"/>
  <c r="BU415" i="7"/>
  <c r="BW415" i="7" s="1"/>
  <c r="BY415" i="7" s="1"/>
  <c r="BZ415" i="7" s="1"/>
  <c r="CA415" i="7" s="1"/>
  <c r="BU55" i="7"/>
  <c r="BW55" i="7" s="1"/>
  <c r="BY55" i="7" s="1"/>
  <c r="BZ55" i="7" s="1"/>
  <c r="CA55" i="7" s="1"/>
  <c r="BU29" i="7"/>
  <c r="BW29" i="7" s="1"/>
  <c r="BY29" i="7" s="1"/>
  <c r="BZ29" i="7" s="1"/>
  <c r="CA29" i="7" s="1"/>
  <c r="BU11" i="7"/>
  <c r="BW11" i="7" s="1"/>
  <c r="BY11" i="7" s="1"/>
  <c r="BZ11" i="7" s="1"/>
  <c r="CA11" i="7" s="1"/>
  <c r="BE371" i="7"/>
  <c r="BF371" i="7" s="1"/>
  <c r="BG371" i="7" s="1"/>
  <c r="BU310" i="7"/>
  <c r="BW310" i="7" s="1"/>
  <c r="BY310" i="7" s="1"/>
  <c r="BZ310" i="7" s="1"/>
  <c r="CA310" i="7" s="1"/>
  <c r="BU378" i="7"/>
  <c r="BW378" i="7" s="1"/>
  <c r="BY378" i="7" s="1"/>
  <c r="BZ378" i="7" s="1"/>
  <c r="CA378" i="7" s="1"/>
  <c r="BU230" i="7"/>
  <c r="BW230" i="7" s="1"/>
  <c r="BY230" i="7" s="1"/>
  <c r="BZ230" i="7" s="1"/>
  <c r="CA230" i="7" s="1"/>
  <c r="BU402" i="7"/>
  <c r="BW402" i="7" s="1"/>
  <c r="BY402" i="7" s="1"/>
  <c r="BZ402" i="7" s="1"/>
  <c r="CA402" i="7" s="1"/>
  <c r="BU348" i="7"/>
  <c r="BW348" i="7" s="1"/>
  <c r="BY348" i="7" s="1"/>
  <c r="BZ348" i="7" s="1"/>
  <c r="CA348" i="7" s="1"/>
  <c r="BE245" i="7"/>
  <c r="BF245" i="7" s="1"/>
  <c r="BG245" i="7" s="1"/>
  <c r="BU110" i="7"/>
  <c r="BW110" i="7" s="1"/>
  <c r="BY110" i="7" s="1"/>
  <c r="BZ110" i="7" s="1"/>
  <c r="CA110" i="7" s="1"/>
  <c r="BE172" i="7"/>
  <c r="BF172" i="7" s="1"/>
  <c r="BG172" i="7" s="1"/>
  <c r="BU29" i="16"/>
  <c r="BW29" i="16" s="1"/>
  <c r="BY29" i="16" s="1"/>
  <c r="BZ29" i="16" s="1"/>
  <c r="CA29" i="16" s="1"/>
  <c r="BE388" i="7"/>
  <c r="BF388" i="7" s="1"/>
  <c r="BG388" i="7" s="1"/>
  <c r="BU140" i="7"/>
  <c r="BW140" i="7" s="1"/>
  <c r="BY140" i="7" s="1"/>
  <c r="BZ140" i="7" s="1"/>
  <c r="CA140" i="7" s="1"/>
  <c r="BU163" i="7"/>
  <c r="BW163" i="7" s="1"/>
  <c r="BY163" i="7" s="1"/>
  <c r="BZ163" i="7" s="1"/>
  <c r="CA163" i="7" s="1"/>
  <c r="BU186" i="7"/>
  <c r="BW186" i="7" s="1"/>
  <c r="BY186" i="7" s="1"/>
  <c r="BZ186" i="7" s="1"/>
  <c r="CA186" i="7" s="1"/>
  <c r="BE68" i="6"/>
  <c r="BF68" i="6" s="1"/>
  <c r="BG68" i="6" s="1"/>
  <c r="BU199" i="7"/>
  <c r="BW199" i="7" s="1"/>
  <c r="BY199" i="7" s="1"/>
  <c r="BZ199" i="7" s="1"/>
  <c r="CA199" i="7" s="1"/>
  <c r="BU23" i="7"/>
  <c r="BW23" i="7" s="1"/>
  <c r="BY23" i="7" s="1"/>
  <c r="BZ23" i="7" s="1"/>
  <c r="CA23" i="7" s="1"/>
  <c r="BU84" i="7"/>
  <c r="BW84" i="7" s="1"/>
  <c r="BY84" i="7" s="1"/>
  <c r="BZ84" i="7" s="1"/>
  <c r="CA84" i="7" s="1"/>
  <c r="BE435" i="7"/>
  <c r="BF435" i="7" s="1"/>
  <c r="BG435" i="7" s="1"/>
  <c r="BE224" i="7"/>
  <c r="BF224" i="7" s="1"/>
  <c r="BG224" i="7" s="1"/>
  <c r="BE96" i="7"/>
  <c r="BF96" i="7" s="1"/>
  <c r="BG96" i="7" s="1"/>
  <c r="BU354" i="7"/>
  <c r="BW354" i="7" s="1"/>
  <c r="BY354" i="7" s="1"/>
  <c r="BZ354" i="7" s="1"/>
  <c r="CA354" i="7" s="1"/>
  <c r="BU349" i="7"/>
  <c r="BW349" i="7" s="1"/>
  <c r="BY349" i="7" s="1"/>
  <c r="BZ349" i="7" s="1"/>
  <c r="CA349" i="7" s="1"/>
  <c r="BU235" i="7"/>
  <c r="BW235" i="7" s="1"/>
  <c r="BY235" i="7" s="1"/>
  <c r="BZ235" i="7" s="1"/>
  <c r="CA235" i="7" s="1"/>
  <c r="BU9" i="7"/>
  <c r="BW9" i="7" s="1"/>
  <c r="BY9" i="7" s="1"/>
  <c r="BZ9" i="7" s="1"/>
  <c r="CA9" i="7" s="1"/>
  <c r="BU4" i="16"/>
  <c r="BW4" i="16" s="1"/>
  <c r="BY4" i="16" s="1"/>
  <c r="BZ4" i="16" s="1"/>
  <c r="CA4" i="16" s="1"/>
  <c r="BU176" i="7"/>
  <c r="BW176" i="7" s="1"/>
  <c r="BY176" i="7" s="1"/>
  <c r="BZ176" i="7" s="1"/>
  <c r="CA176" i="7" s="1"/>
  <c r="BU267" i="7"/>
  <c r="BW267" i="7" s="1"/>
  <c r="BY267" i="7" s="1"/>
  <c r="BZ267" i="7" s="1"/>
  <c r="CA267" i="7" s="1"/>
  <c r="BU191" i="7"/>
  <c r="BW191" i="7" s="1"/>
  <c r="BY191" i="7" s="1"/>
  <c r="BZ191" i="7" s="1"/>
  <c r="CA191" i="7" s="1"/>
  <c r="BU169" i="7"/>
  <c r="BW169" i="7" s="1"/>
  <c r="BY169" i="7" s="1"/>
  <c r="BZ169" i="7" s="1"/>
  <c r="CA169" i="7" s="1"/>
  <c r="BU94" i="6"/>
  <c r="BU58" i="6"/>
  <c r="BU338" i="7"/>
  <c r="BW338" i="7" s="1"/>
  <c r="BY338" i="7" s="1"/>
  <c r="BZ338" i="7" s="1"/>
  <c r="CA338" i="7" s="1"/>
  <c r="BE456" i="7"/>
  <c r="BF456" i="7" s="1"/>
  <c r="BG456" i="7" s="1"/>
  <c r="BE154" i="7"/>
  <c r="BF154" i="7" s="1"/>
  <c r="BG154" i="7" s="1"/>
  <c r="BE431" i="7"/>
  <c r="BF431" i="7" s="1"/>
  <c r="BG431" i="7" s="1"/>
  <c r="BE145" i="7"/>
  <c r="BF145" i="7" s="1"/>
  <c r="BG145" i="7" s="1"/>
  <c r="BU256" i="7"/>
  <c r="BW256" i="7" s="1"/>
  <c r="BY256" i="7" s="1"/>
  <c r="BZ256" i="7" s="1"/>
  <c r="CA256" i="7" s="1"/>
  <c r="BU300" i="7"/>
  <c r="BW300" i="7" s="1"/>
  <c r="BY300" i="7" s="1"/>
  <c r="BZ300" i="7" s="1"/>
  <c r="CA300" i="7" s="1"/>
  <c r="BU443" i="7"/>
  <c r="BW443" i="7" s="1"/>
  <c r="BY443" i="7" s="1"/>
  <c r="BZ443" i="7" s="1"/>
  <c r="CA443" i="7" s="1"/>
  <c r="BU58" i="7"/>
  <c r="BW58" i="7" s="1"/>
  <c r="BY58" i="7" s="1"/>
  <c r="BZ58" i="7" s="1"/>
  <c r="CA58" i="7" s="1"/>
  <c r="BU187" i="7"/>
  <c r="BW187" i="7" s="1"/>
  <c r="BY187" i="7" s="1"/>
  <c r="BZ187" i="7" s="1"/>
  <c r="CA187" i="7" s="1"/>
  <c r="BU291" i="7"/>
  <c r="BW291" i="7" s="1"/>
  <c r="BY291" i="7" s="1"/>
  <c r="BZ291" i="7" s="1"/>
  <c r="CA291" i="7" s="1"/>
  <c r="BU132" i="6"/>
  <c r="BU101" i="6"/>
  <c r="BW101" i="6" s="1"/>
  <c r="BY101" i="6" s="1"/>
  <c r="BZ101" i="6" s="1"/>
  <c r="CA101" i="6" s="1"/>
  <c r="BU138" i="7"/>
  <c r="BW138" i="7" s="1"/>
  <c r="BY138" i="7" s="1"/>
  <c r="BZ138" i="7" s="1"/>
  <c r="CA138" i="7" s="1"/>
  <c r="BU130" i="6"/>
  <c r="BU139" i="6"/>
  <c r="BW139" i="6" s="1"/>
  <c r="BY139" i="6" s="1"/>
  <c r="BZ139" i="6" s="1"/>
  <c r="CA139" i="6" s="1"/>
  <c r="BU74" i="6"/>
  <c r="BU75" i="6"/>
  <c r="BU44" i="6"/>
  <c r="BW44" i="6" s="1"/>
  <c r="BY44" i="6" s="1"/>
  <c r="BZ44" i="6" s="1"/>
  <c r="CA44" i="6" s="1"/>
  <c r="BU63" i="6"/>
  <c r="BW63" i="6" s="1"/>
  <c r="BY63" i="6" s="1"/>
  <c r="BZ63" i="6" s="1"/>
  <c r="CA63" i="6" s="1"/>
  <c r="BU175" i="6"/>
  <c r="BU240" i="7"/>
  <c r="BW240" i="7" s="1"/>
  <c r="BY240" i="7" s="1"/>
  <c r="BZ240" i="7" s="1"/>
  <c r="CA240" i="7" s="1"/>
  <c r="BU129" i="6"/>
  <c r="BU111" i="6"/>
  <c r="BU173" i="6"/>
  <c r="BU92" i="6"/>
  <c r="BW92" i="6" s="1"/>
  <c r="BY92" i="6" s="1"/>
  <c r="BZ92" i="6" s="1"/>
  <c r="CA92" i="6" s="1"/>
  <c r="BU56" i="6"/>
  <c r="BW56" i="6" s="1"/>
  <c r="BY56" i="6" s="1"/>
  <c r="BZ56" i="6" s="1"/>
  <c r="CA56" i="6" s="1"/>
  <c r="BU105" i="6"/>
  <c r="BU19" i="6"/>
  <c r="BW19" i="6" s="1"/>
  <c r="BY19" i="6" s="1"/>
  <c r="BZ19" i="6" s="1"/>
  <c r="CA19" i="6" s="1"/>
  <c r="BU59" i="7"/>
  <c r="BW59" i="7" s="1"/>
  <c r="BY59" i="7" s="1"/>
  <c r="BZ59" i="7" s="1"/>
  <c r="CA59" i="7" s="1"/>
  <c r="BU97" i="6"/>
  <c r="BU138" i="6"/>
  <c r="BE26" i="7"/>
  <c r="BF26" i="7" s="1"/>
  <c r="BG26" i="7" s="1"/>
  <c r="BE271" i="7"/>
  <c r="BF271" i="7" s="1"/>
  <c r="BG271" i="7" s="1"/>
  <c r="BR168" i="6"/>
  <c r="BU168" i="6" s="1"/>
  <c r="BR154" i="6"/>
  <c r="BU154" i="6" s="1"/>
  <c r="BE170" i="7"/>
  <c r="BF170" i="7" s="1"/>
  <c r="BG170" i="7" s="1"/>
  <c r="BR501" i="7"/>
  <c r="BU501" i="7" s="1"/>
  <c r="BW501" i="7" s="1"/>
  <c r="BY501" i="7" s="1"/>
  <c r="BU177" i="7"/>
  <c r="BW177" i="7" s="1"/>
  <c r="BY177" i="7" s="1"/>
  <c r="BZ177" i="7" s="1"/>
  <c r="CA177" i="7" s="1"/>
  <c r="BU239" i="7"/>
  <c r="BW239" i="7" s="1"/>
  <c r="BY239" i="7" s="1"/>
  <c r="BZ239" i="7" s="1"/>
  <c r="CA239" i="7" s="1"/>
  <c r="BU120" i="7"/>
  <c r="BW120" i="7" s="1"/>
  <c r="BY120" i="7" s="1"/>
  <c r="BZ120" i="7" s="1"/>
  <c r="CA120" i="7" s="1"/>
  <c r="BU38" i="7"/>
  <c r="BW38" i="7" s="1"/>
  <c r="BY38" i="7" s="1"/>
  <c r="BZ38" i="7" s="1"/>
  <c r="CA38" i="7" s="1"/>
  <c r="BU47" i="7"/>
  <c r="BW47" i="7" s="1"/>
  <c r="BY47" i="7" s="1"/>
  <c r="BZ47" i="7" s="1"/>
  <c r="CA47" i="7" s="1"/>
  <c r="BU395" i="7"/>
  <c r="BW395" i="7" s="1"/>
  <c r="BY395" i="7" s="1"/>
  <c r="BZ395" i="7" s="1"/>
  <c r="CA395" i="7" s="1"/>
  <c r="BU127" i="7"/>
  <c r="BW127" i="7" s="1"/>
  <c r="BY127" i="7" s="1"/>
  <c r="BZ127" i="7" s="1"/>
  <c r="CA127" i="7" s="1"/>
  <c r="BU519" i="7"/>
  <c r="BW519" i="7" s="1"/>
  <c r="BY519" i="7" s="1"/>
  <c r="BU5" i="6"/>
  <c r="BW5" i="6" s="1"/>
  <c r="BY5" i="6" s="1"/>
  <c r="BZ5" i="6" s="1"/>
  <c r="CA5" i="6" s="1"/>
  <c r="BU36" i="6"/>
  <c r="BE84" i="7"/>
  <c r="BF84" i="7" s="1"/>
  <c r="BG84" i="7" s="1"/>
  <c r="BU24" i="6"/>
  <c r="BW24" i="6" s="1"/>
  <c r="BY24" i="6" s="1"/>
  <c r="BZ24" i="6" s="1"/>
  <c r="CA24" i="6" s="1"/>
  <c r="BU82" i="7"/>
  <c r="BW82" i="7" s="1"/>
  <c r="BY82" i="7" s="1"/>
  <c r="BZ82" i="7" s="1"/>
  <c r="CA82" i="7" s="1"/>
  <c r="BU46" i="7"/>
  <c r="BW46" i="7" s="1"/>
  <c r="BY46" i="7" s="1"/>
  <c r="BZ46" i="7" s="1"/>
  <c r="CA46" i="7" s="1"/>
  <c r="BU37" i="7"/>
  <c r="BW37" i="7" s="1"/>
  <c r="BY37" i="7" s="1"/>
  <c r="BZ37" i="7" s="1"/>
  <c r="CA37" i="7" s="1"/>
  <c r="BU9" i="6"/>
  <c r="BW9" i="6" s="1"/>
  <c r="BY9" i="6" s="1"/>
  <c r="BZ9" i="6" s="1"/>
  <c r="CA9" i="6" s="1"/>
  <c r="BU61" i="7"/>
  <c r="BW61" i="7" s="1"/>
  <c r="BY61" i="7" s="1"/>
  <c r="BZ61" i="7" s="1"/>
  <c r="CA61" i="7" s="1"/>
  <c r="BU159" i="7"/>
  <c r="BW159" i="7" s="1"/>
  <c r="BY159" i="7" s="1"/>
  <c r="BZ159" i="7" s="1"/>
  <c r="CA159" i="7" s="1"/>
  <c r="BU221" i="7"/>
  <c r="BW221" i="7" s="1"/>
  <c r="BY221" i="7" s="1"/>
  <c r="BZ221" i="7" s="1"/>
  <c r="CA221" i="7" s="1"/>
  <c r="BU96" i="6"/>
  <c r="BU75" i="7"/>
  <c r="BW75" i="7" s="1"/>
  <c r="BY75" i="7" s="1"/>
  <c r="BZ75" i="7" s="1"/>
  <c r="CA75" i="7" s="1"/>
  <c r="BU86" i="6"/>
  <c r="BU125" i="6"/>
  <c r="BU220" i="7"/>
  <c r="BW220" i="7" s="1"/>
  <c r="BY220" i="7" s="1"/>
  <c r="BZ220" i="7" s="1"/>
  <c r="CA220" i="7" s="1"/>
  <c r="BU162" i="7"/>
  <c r="BW162" i="7" s="1"/>
  <c r="BY162" i="7" s="1"/>
  <c r="BZ162" i="7" s="1"/>
  <c r="CA162" i="7" s="1"/>
  <c r="BU56" i="7"/>
  <c r="BW56" i="7" s="1"/>
  <c r="BY56" i="7" s="1"/>
  <c r="BZ56" i="7" s="1"/>
  <c r="CA56" i="7" s="1"/>
  <c r="BU54" i="6"/>
  <c r="BW54" i="6" s="1"/>
  <c r="BY54" i="6" s="1"/>
  <c r="BZ54" i="6" s="1"/>
  <c r="CA54" i="6" s="1"/>
  <c r="BE74" i="6"/>
  <c r="BF74" i="6" s="1"/>
  <c r="BG74" i="6" s="1"/>
  <c r="BU107" i="7"/>
  <c r="BW107" i="7" s="1"/>
  <c r="BY107" i="7" s="1"/>
  <c r="BZ107" i="7" s="1"/>
  <c r="CA107" i="7" s="1"/>
  <c r="BU159" i="6"/>
  <c r="BE92" i="6"/>
  <c r="BF92" i="6" s="1"/>
  <c r="BG92" i="6" s="1"/>
  <c r="BU203" i="7"/>
  <c r="BW203" i="7" s="1"/>
  <c r="BY203" i="7" s="1"/>
  <c r="BZ203" i="7" s="1"/>
  <c r="CA203" i="7" s="1"/>
  <c r="BU99" i="6"/>
  <c r="BU32" i="7"/>
  <c r="BW32" i="7" s="1"/>
  <c r="BY32" i="7" s="1"/>
  <c r="BZ32" i="7" s="1"/>
  <c r="CA32" i="7" s="1"/>
  <c r="BU123" i="6"/>
  <c r="BU39" i="7"/>
  <c r="BW39" i="7" s="1"/>
  <c r="BY39" i="7" s="1"/>
  <c r="BZ39" i="7" s="1"/>
  <c r="CA39" i="7" s="1"/>
  <c r="BU135" i="6"/>
  <c r="BE177" i="7"/>
  <c r="BF177" i="7" s="1"/>
  <c r="BG177" i="7" s="1"/>
  <c r="BU48" i="7"/>
  <c r="BW48" i="7" s="1"/>
  <c r="BY48" i="7" s="1"/>
  <c r="BZ48" i="7" s="1"/>
  <c r="CA48" i="7" s="1"/>
  <c r="BU276" i="7"/>
  <c r="BW276" i="7" s="1"/>
  <c r="BY276" i="7" s="1"/>
  <c r="BZ276" i="7" s="1"/>
  <c r="CA276" i="7" s="1"/>
  <c r="BU48" i="6"/>
  <c r="BU179" i="7"/>
  <c r="BW179" i="7" s="1"/>
  <c r="BY179" i="7" s="1"/>
  <c r="BZ179" i="7" s="1"/>
  <c r="CA179" i="7" s="1"/>
  <c r="BU368" i="7"/>
  <c r="BW368" i="7" s="1"/>
  <c r="BY368" i="7" s="1"/>
  <c r="BZ368" i="7" s="1"/>
  <c r="CA368" i="7" s="1"/>
  <c r="BU37" i="6"/>
  <c r="BU353" i="7"/>
  <c r="BW353" i="7" s="1"/>
  <c r="BY353" i="7" s="1"/>
  <c r="BZ353" i="7" s="1"/>
  <c r="CA353" i="7" s="1"/>
  <c r="BU181" i="7"/>
  <c r="BW181" i="7" s="1"/>
  <c r="BY181" i="7" s="1"/>
  <c r="BZ181" i="7" s="1"/>
  <c r="CA181" i="7" s="1"/>
  <c r="BU431" i="7"/>
  <c r="BW431" i="7" s="1"/>
  <c r="BY431" i="7" s="1"/>
  <c r="BZ431" i="7" s="1"/>
  <c r="CA431" i="7" s="1"/>
  <c r="BE75" i="6"/>
  <c r="BF75" i="6" s="1"/>
  <c r="BG75" i="6" s="1"/>
  <c r="BE60" i="6"/>
  <c r="BF60" i="6" s="1"/>
  <c r="BG60" i="6" s="1"/>
  <c r="BU279" i="7"/>
  <c r="BW279" i="7" s="1"/>
  <c r="BY279" i="7" s="1"/>
  <c r="BZ279" i="7" s="1"/>
  <c r="CA279" i="7" s="1"/>
  <c r="BU246" i="7"/>
  <c r="BW246" i="7" s="1"/>
  <c r="BY246" i="7" s="1"/>
  <c r="BZ246" i="7" s="1"/>
  <c r="CA246" i="7" s="1"/>
  <c r="BU32" i="16"/>
  <c r="BW32" i="16" s="1"/>
  <c r="BY32" i="16" s="1"/>
  <c r="BZ32" i="16" s="1"/>
  <c r="CA32" i="16" s="1"/>
  <c r="BU113" i="7"/>
  <c r="BW113" i="7" s="1"/>
  <c r="BY113" i="7" s="1"/>
  <c r="BZ113" i="7" s="1"/>
  <c r="CA113" i="7" s="1"/>
  <c r="BE56" i="7"/>
  <c r="BF56" i="7" s="1"/>
  <c r="BG56" i="7" s="1"/>
  <c r="BU35" i="6"/>
  <c r="BU29" i="6"/>
  <c r="BU78" i="7"/>
  <c r="BW78" i="7" s="1"/>
  <c r="BY78" i="7" s="1"/>
  <c r="BZ78" i="7" s="1"/>
  <c r="CA78" i="7" s="1"/>
  <c r="BU283" i="7"/>
  <c r="BW283" i="7" s="1"/>
  <c r="BY283" i="7" s="1"/>
  <c r="BZ283" i="7" s="1"/>
  <c r="CA283" i="7" s="1"/>
  <c r="BU93" i="7"/>
  <c r="BW93" i="7" s="1"/>
  <c r="BY93" i="7" s="1"/>
  <c r="BZ93" i="7" s="1"/>
  <c r="CA93" i="7" s="1"/>
  <c r="BE103" i="6"/>
  <c r="BF103" i="6" s="1"/>
  <c r="BG103" i="6" s="1"/>
  <c r="BE105" i="6"/>
  <c r="BF105" i="6" s="1"/>
  <c r="BG105" i="6" s="1"/>
  <c r="BU50" i="6"/>
  <c r="BU70" i="6"/>
  <c r="BU144" i="6"/>
  <c r="BU143" i="6"/>
  <c r="BU170" i="6"/>
  <c r="BU150" i="7"/>
  <c r="BW150" i="7" s="1"/>
  <c r="BY150" i="7" s="1"/>
  <c r="BZ150" i="7" s="1"/>
  <c r="CA150" i="7" s="1"/>
  <c r="BU161" i="6"/>
  <c r="BU51" i="6"/>
  <c r="BU229" i="7"/>
  <c r="BW229" i="7" s="1"/>
  <c r="BY229" i="7" s="1"/>
  <c r="BZ229" i="7" s="1"/>
  <c r="CA229" i="7" s="1"/>
  <c r="BU83" i="6"/>
  <c r="BE250" i="7"/>
  <c r="BF250" i="7" s="1"/>
  <c r="BG250" i="7" s="1"/>
  <c r="BU299" i="7"/>
  <c r="BW299" i="7" s="1"/>
  <c r="BY299" i="7" s="1"/>
  <c r="BZ299" i="7" s="1"/>
  <c r="CA299" i="7" s="1"/>
  <c r="BU88" i="6"/>
  <c r="BU227" i="7"/>
  <c r="BW227" i="7" s="1"/>
  <c r="BY227" i="7" s="1"/>
  <c r="BZ227" i="7" s="1"/>
  <c r="CA227" i="7" s="1"/>
  <c r="BU264" i="7"/>
  <c r="BW264" i="7" s="1"/>
  <c r="BY264" i="7" s="1"/>
  <c r="BZ264" i="7" s="1"/>
  <c r="CA264" i="7" s="1"/>
  <c r="BU257" i="7"/>
  <c r="BW257" i="7" s="1"/>
  <c r="BY257" i="7" s="1"/>
  <c r="BZ257" i="7" s="1"/>
  <c r="CA257" i="7" s="1"/>
  <c r="BU6" i="16"/>
  <c r="BW6" i="16" s="1"/>
  <c r="BY6" i="16" s="1"/>
  <c r="BZ6" i="16" s="1"/>
  <c r="CA6" i="16" s="1"/>
  <c r="BU36" i="7"/>
  <c r="BW36" i="7" s="1"/>
  <c r="BY36" i="7" s="1"/>
  <c r="BZ36" i="7" s="1"/>
  <c r="CA36" i="7" s="1"/>
  <c r="BU192" i="7"/>
  <c r="BW192" i="7" s="1"/>
  <c r="BY192" i="7" s="1"/>
  <c r="BZ192" i="7" s="1"/>
  <c r="CA192" i="7" s="1"/>
  <c r="BU269" i="7"/>
  <c r="BW269" i="7" s="1"/>
  <c r="BY269" i="7" s="1"/>
  <c r="BZ269" i="7" s="1"/>
  <c r="CA269" i="7" s="1"/>
  <c r="BU440" i="7"/>
  <c r="BW440" i="7" s="1"/>
  <c r="BY440" i="7" s="1"/>
  <c r="BZ440" i="7" s="1"/>
  <c r="CA440" i="7" s="1"/>
  <c r="BU24" i="16"/>
  <c r="BW24" i="16" s="1"/>
  <c r="BY24" i="16" s="1"/>
  <c r="BZ24" i="16" s="1"/>
  <c r="CA24" i="16" s="1"/>
  <c r="BE213" i="7"/>
  <c r="BF213" i="7" s="1"/>
  <c r="BG213" i="7" s="1"/>
  <c r="BE313" i="7"/>
  <c r="BF313" i="7" s="1"/>
  <c r="BG313" i="7" s="1"/>
  <c r="BU400" i="7"/>
  <c r="BW400" i="7" s="1"/>
  <c r="BY400" i="7" s="1"/>
  <c r="BZ400" i="7" s="1"/>
  <c r="CA400" i="7" s="1"/>
  <c r="BU115" i="7"/>
  <c r="BW115" i="7" s="1"/>
  <c r="BY115" i="7" s="1"/>
  <c r="BZ115" i="7" s="1"/>
  <c r="CA115" i="7" s="1"/>
  <c r="BU165" i="6"/>
  <c r="BU141" i="6"/>
  <c r="BU388" i="7"/>
  <c r="BW388" i="7" s="1"/>
  <c r="BY388" i="7" s="1"/>
  <c r="BZ388" i="7" s="1"/>
  <c r="CA388" i="7" s="1"/>
  <c r="BU28" i="16"/>
  <c r="BW28" i="16" s="1"/>
  <c r="BY28" i="16" s="1"/>
  <c r="BZ28" i="16" s="1"/>
  <c r="CA28" i="16" s="1"/>
  <c r="BU33" i="16"/>
  <c r="BW33" i="16" s="1"/>
  <c r="BY33" i="16" s="1"/>
  <c r="BZ33" i="16" s="1"/>
  <c r="CA33" i="16" s="1"/>
  <c r="BU248" i="7"/>
  <c r="BW248" i="7" s="1"/>
  <c r="BY248" i="7" s="1"/>
  <c r="BZ248" i="7" s="1"/>
  <c r="CA248" i="7" s="1"/>
  <c r="BU14" i="16"/>
  <c r="BW14" i="16" s="1"/>
  <c r="BY14" i="16" s="1"/>
  <c r="BZ14" i="16" s="1"/>
  <c r="CA14" i="16" s="1"/>
  <c r="BU19" i="16"/>
  <c r="BW19" i="16" s="1"/>
  <c r="BY19" i="16" s="1"/>
  <c r="BZ19" i="16" s="1"/>
  <c r="CA19" i="16" s="1"/>
  <c r="BU435" i="7"/>
  <c r="BW435" i="7" s="1"/>
  <c r="BY435" i="7" s="1"/>
  <c r="BZ435" i="7" s="1"/>
  <c r="CA435" i="7" s="1"/>
  <c r="BU243" i="7"/>
  <c r="BW243" i="7" s="1"/>
  <c r="BY243" i="7" s="1"/>
  <c r="BZ243" i="7" s="1"/>
  <c r="CA243" i="7" s="1"/>
  <c r="BU38" i="16"/>
  <c r="BW38" i="16" s="1"/>
  <c r="BY38" i="16" s="1"/>
  <c r="BZ38" i="16" s="1"/>
  <c r="CA38" i="16" s="1"/>
  <c r="BU19" i="7"/>
  <c r="BW19" i="7" s="1"/>
  <c r="BY19" i="7" s="1"/>
  <c r="BZ19" i="7" s="1"/>
  <c r="CA19" i="7" s="1"/>
  <c r="BR504" i="7"/>
  <c r="BU504" i="7" s="1"/>
  <c r="BW504" i="7" s="1"/>
  <c r="BY504" i="7" s="1"/>
  <c r="BZ504" i="7" s="1"/>
  <c r="CA504" i="7" s="1"/>
  <c r="BR484" i="7"/>
  <c r="BU484" i="7" s="1"/>
  <c r="BW484" i="7" s="1"/>
  <c r="BY484" i="7" s="1"/>
  <c r="BZ484" i="7" s="1"/>
  <c r="CA484" i="7" s="1"/>
  <c r="BR476" i="7"/>
  <c r="BU476" i="7" s="1"/>
  <c r="BW476" i="7" s="1"/>
  <c r="BY476" i="7" s="1"/>
  <c r="BR493" i="7"/>
  <c r="BU493" i="7" s="1"/>
  <c r="BW493" i="7" s="1"/>
  <c r="BY493" i="7" s="1"/>
  <c r="BZ493" i="7" s="1"/>
  <c r="CA493" i="7" s="1"/>
  <c r="BR517" i="7"/>
  <c r="BU517" i="7" s="1"/>
  <c r="BW517" i="7" s="1"/>
  <c r="BY517" i="7" s="1"/>
  <c r="BR562" i="7"/>
  <c r="BU562" i="7" s="1"/>
  <c r="BW562" i="7" s="1"/>
  <c r="BY562" i="7" s="1"/>
  <c r="BZ562" i="7" s="1"/>
  <c r="CA562" i="7" s="1"/>
  <c r="BR515" i="7"/>
  <c r="BU515" i="7" s="1"/>
  <c r="BW515" i="7" s="1"/>
  <c r="BY515" i="7" s="1"/>
  <c r="BR513" i="7"/>
  <c r="BU513" i="7" s="1"/>
  <c r="BW513" i="7" s="1"/>
  <c r="BY513" i="7" s="1"/>
  <c r="BZ513" i="7" s="1"/>
  <c r="CA513" i="7" s="1"/>
  <c r="BR486" i="7"/>
  <c r="BU486" i="7" s="1"/>
  <c r="BW486" i="7" s="1"/>
  <c r="BY486" i="7" s="1"/>
  <c r="BR496" i="7"/>
  <c r="BU496" i="7" s="1"/>
  <c r="BW496" i="7" s="1"/>
  <c r="BY496" i="7" s="1"/>
  <c r="BU133" i="6"/>
  <c r="BU64" i="6"/>
  <c r="BU46" i="6"/>
  <c r="BW46" i="6" s="1"/>
  <c r="BY46" i="6" s="1"/>
  <c r="BZ46" i="6" s="1"/>
  <c r="CA46" i="6" s="1"/>
  <c r="BU156" i="6"/>
  <c r="BU127" i="6"/>
  <c r="BU146" i="6"/>
  <c r="BU76" i="6"/>
  <c r="BR520" i="7"/>
  <c r="BU520" i="7" s="1"/>
  <c r="BW520" i="7" s="1"/>
  <c r="BY520" i="7" s="1"/>
  <c r="BU55" i="6"/>
  <c r="BW55" i="6" s="1"/>
  <c r="BY55" i="6" s="1"/>
  <c r="BZ55" i="6" s="1"/>
  <c r="CA55" i="6" s="1"/>
  <c r="BU91" i="6"/>
  <c r="BW91" i="6" s="1"/>
  <c r="BY91" i="6" s="1"/>
  <c r="BZ91" i="6" s="1"/>
  <c r="CA91" i="6" s="1"/>
  <c r="BR521" i="7"/>
  <c r="BU521" i="7" s="1"/>
  <c r="BW521" i="7" s="1"/>
  <c r="BY521" i="7" s="1"/>
  <c r="BR478" i="7"/>
  <c r="BU478" i="7" s="1"/>
  <c r="BW478" i="7" s="1"/>
  <c r="BY478" i="7" s="1"/>
  <c r="BZ478" i="7" s="1"/>
  <c r="CA478" i="7" s="1"/>
  <c r="BR487" i="7"/>
  <c r="BU487" i="7" s="1"/>
  <c r="BW487" i="7" s="1"/>
  <c r="BY487" i="7" s="1"/>
  <c r="BZ487" i="7" s="1"/>
  <c r="CA487" i="7" s="1"/>
  <c r="BR536" i="7"/>
  <c r="BU536" i="7" s="1"/>
  <c r="BW536" i="7" s="1"/>
  <c r="BY536" i="7" s="1"/>
  <c r="BR557" i="7"/>
  <c r="BU557" i="7" s="1"/>
  <c r="BW557" i="7" s="1"/>
  <c r="BY557" i="7" s="1"/>
  <c r="BZ557" i="7" s="1"/>
  <c r="CA557" i="7" s="1"/>
  <c r="BR532" i="7"/>
  <c r="BU532" i="7" s="1"/>
  <c r="BW532" i="7" s="1"/>
  <c r="BY532" i="7" s="1"/>
  <c r="BR475" i="7"/>
  <c r="BU475" i="7" s="1"/>
  <c r="BW475" i="7" s="1"/>
  <c r="BY475" i="7" s="1"/>
  <c r="BR573" i="7"/>
  <c r="BU573" i="7" s="1"/>
  <c r="BW573" i="7" s="1"/>
  <c r="BY573" i="7" s="1"/>
  <c r="BR465" i="7"/>
  <c r="BU465" i="7" s="1"/>
  <c r="BW465" i="7" s="1"/>
  <c r="BY465" i="7" s="1"/>
  <c r="BR485" i="7"/>
  <c r="BU485" i="7" s="1"/>
  <c r="BW485" i="7" s="1"/>
  <c r="BY485" i="7" s="1"/>
  <c r="BZ485" i="7" s="1"/>
  <c r="CA485" i="7" s="1"/>
  <c r="BR568" i="7"/>
  <c r="BU568" i="7" s="1"/>
  <c r="BW568" i="7" s="1"/>
  <c r="BY568" i="7" s="1"/>
  <c r="BR507" i="7"/>
  <c r="BU507" i="7" s="1"/>
  <c r="BW507" i="7" s="1"/>
  <c r="BY507" i="7" s="1"/>
  <c r="BZ507" i="7" s="1"/>
  <c r="CA507" i="7" s="1"/>
  <c r="BR474" i="7"/>
  <c r="BU474" i="7" s="1"/>
  <c r="BW474" i="7" s="1"/>
  <c r="BY474" i="7" s="1"/>
  <c r="BZ474" i="7" s="1"/>
  <c r="CA474" i="7" s="1"/>
  <c r="BR534" i="7"/>
  <c r="BU534" i="7" s="1"/>
  <c r="BW534" i="7" s="1"/>
  <c r="BY534" i="7" s="1"/>
  <c r="BZ534" i="7" s="1"/>
  <c r="CA534" i="7" s="1"/>
  <c r="BR468" i="7"/>
  <c r="BU468" i="7" s="1"/>
  <c r="BW468" i="7" s="1"/>
  <c r="BY468" i="7" s="1"/>
  <c r="BZ468" i="7" s="1"/>
  <c r="CA468" i="7" s="1"/>
  <c r="BR469" i="7"/>
  <c r="BU469" i="7" s="1"/>
  <c r="BW469" i="7" s="1"/>
  <c r="BY469" i="7" s="1"/>
  <c r="BR527" i="7"/>
  <c r="BU527" i="7" s="1"/>
  <c r="BW527" i="7" s="1"/>
  <c r="BY527" i="7" s="1"/>
  <c r="BR514" i="7"/>
  <c r="BU514" i="7" s="1"/>
  <c r="BW514" i="7" s="1"/>
  <c r="BY514" i="7" s="1"/>
  <c r="BZ514" i="7" s="1"/>
  <c r="CA514" i="7" s="1"/>
  <c r="BR502" i="7"/>
  <c r="BU502" i="7" s="1"/>
  <c r="BW502" i="7" s="1"/>
  <c r="BY502" i="7" s="1"/>
  <c r="BZ502" i="7" s="1"/>
  <c r="CA502" i="7" s="1"/>
  <c r="BR509" i="7"/>
  <c r="BU509" i="7" s="1"/>
  <c r="BW509" i="7" s="1"/>
  <c r="BY509" i="7" s="1"/>
  <c r="BR538" i="7"/>
  <c r="BU538" i="7" s="1"/>
  <c r="BW538" i="7" s="1"/>
  <c r="BY538" i="7" s="1"/>
  <c r="BZ538" i="7" s="1"/>
  <c r="CA538" i="7" s="1"/>
  <c r="BR498" i="7"/>
  <c r="BU498" i="7" s="1"/>
  <c r="BW498" i="7" s="1"/>
  <c r="BY498" i="7" s="1"/>
  <c r="BR480" i="7"/>
  <c r="BU480" i="7" s="1"/>
  <c r="BW480" i="7" s="1"/>
  <c r="BY480" i="7" s="1"/>
  <c r="BR556" i="7"/>
  <c r="BU556" i="7" s="1"/>
  <c r="BW556" i="7" s="1"/>
  <c r="BY556" i="7" s="1"/>
  <c r="BR489" i="7"/>
  <c r="BU489" i="7" s="1"/>
  <c r="BW489" i="7" s="1"/>
  <c r="BY489" i="7" s="1"/>
  <c r="BR529" i="7"/>
  <c r="BU529" i="7" s="1"/>
  <c r="BW529" i="7" s="1"/>
  <c r="BY529" i="7" s="1"/>
  <c r="BZ529" i="7" s="1"/>
  <c r="CA529" i="7" s="1"/>
  <c r="BE548" i="7"/>
  <c r="BF548" i="7" s="1"/>
  <c r="BG548" i="7" s="1"/>
  <c r="BR544" i="7"/>
  <c r="BU544" i="7" s="1"/>
  <c r="BW544" i="7" s="1"/>
  <c r="BY544" i="7" s="1"/>
  <c r="BR525" i="7"/>
  <c r="BU525" i="7" s="1"/>
  <c r="BW525" i="7" s="1"/>
  <c r="BY525" i="7" s="1"/>
  <c r="BZ525" i="7" s="1"/>
  <c r="CA525" i="7" s="1"/>
  <c r="BR477" i="7"/>
  <c r="BU477" i="7" s="1"/>
  <c r="BW477" i="7" s="1"/>
  <c r="BY477" i="7" s="1"/>
  <c r="BZ477" i="7" s="1"/>
  <c r="CA477" i="7" s="1"/>
  <c r="BR494" i="7"/>
  <c r="BU494" i="7" s="1"/>
  <c r="BW494" i="7" s="1"/>
  <c r="BY494" i="7" s="1"/>
  <c r="BZ494" i="7" s="1"/>
  <c r="CA494" i="7" s="1"/>
  <c r="BR479" i="7"/>
  <c r="BU479" i="7" s="1"/>
  <c r="BW479" i="7" s="1"/>
  <c r="BY479" i="7" s="1"/>
  <c r="BR499" i="7"/>
  <c r="BU499" i="7" s="1"/>
  <c r="BW499" i="7" s="1"/>
  <c r="BY499" i="7" s="1"/>
  <c r="BZ499" i="7" s="1"/>
  <c r="CA499" i="7" s="1"/>
  <c r="BU142" i="6"/>
  <c r="BR471" i="7"/>
  <c r="BU471" i="7" s="1"/>
  <c r="BW471" i="7" s="1"/>
  <c r="BY471" i="7" s="1"/>
  <c r="BZ471" i="7" s="1"/>
  <c r="CA471" i="7" s="1"/>
  <c r="BU131" i="6"/>
  <c r="BU90" i="6"/>
  <c r="BU134" i="6"/>
  <c r="BU79" i="6"/>
  <c r="BR537" i="7"/>
  <c r="BU537" i="7" s="1"/>
  <c r="BW537" i="7" s="1"/>
  <c r="BY537" i="7" s="1"/>
  <c r="BZ537" i="7" s="1"/>
  <c r="CA537" i="7" s="1"/>
  <c r="BR467" i="7"/>
  <c r="BU467" i="7" s="1"/>
  <c r="BW467" i="7" s="1"/>
  <c r="BY467" i="7" s="1"/>
  <c r="BU47" i="6"/>
  <c r="BW47" i="6" s="1"/>
  <c r="BY47" i="6" s="1"/>
  <c r="BZ47" i="6" s="1"/>
  <c r="CA47" i="6" s="1"/>
  <c r="BU66" i="6"/>
  <c r="BE276" i="7"/>
  <c r="BF276" i="7" s="1"/>
  <c r="BG276" i="7" s="1"/>
  <c r="BE297" i="7"/>
  <c r="BF297" i="7" s="1"/>
  <c r="BG297" i="7" s="1"/>
  <c r="BU153" i="6"/>
  <c r="BU113" i="6"/>
  <c r="BR512" i="7"/>
  <c r="BU512" i="7" s="1"/>
  <c r="BW512" i="7" s="1"/>
  <c r="BY512" i="7" s="1"/>
  <c r="BZ512" i="7" s="1"/>
  <c r="CA512" i="7" s="1"/>
  <c r="BR473" i="7"/>
  <c r="BU473" i="7" s="1"/>
  <c r="BW473" i="7" s="1"/>
  <c r="BY473" i="7" s="1"/>
  <c r="BR462" i="7"/>
  <c r="BU462" i="7" s="1"/>
  <c r="BW462" i="7" s="1"/>
  <c r="BY462" i="7" s="1"/>
  <c r="BZ462" i="7" s="1"/>
  <c r="CA462" i="7" s="1"/>
  <c r="BR559" i="7"/>
  <c r="BU559" i="7" s="1"/>
  <c r="BW559" i="7" s="1"/>
  <c r="BY559" i="7" s="1"/>
  <c r="BR554" i="7"/>
  <c r="BU554" i="7" s="1"/>
  <c r="BW554" i="7" s="1"/>
  <c r="BY554" i="7" s="1"/>
  <c r="BR548" i="7"/>
  <c r="BU548" i="7" s="1"/>
  <c r="BW548" i="7" s="1"/>
  <c r="BY548" i="7" s="1"/>
  <c r="BZ548" i="7" s="1"/>
  <c r="CA548" i="7" s="1"/>
  <c r="BR539" i="7"/>
  <c r="BU539" i="7" s="1"/>
  <c r="BW539" i="7" s="1"/>
  <c r="BY539" i="7" s="1"/>
  <c r="BZ539" i="7" s="1"/>
  <c r="CA539" i="7" s="1"/>
  <c r="BR572" i="7"/>
  <c r="BU572" i="7" s="1"/>
  <c r="BW572" i="7" s="1"/>
  <c r="BY572" i="7" s="1"/>
  <c r="BZ572" i="7" s="1"/>
  <c r="CA572" i="7" s="1"/>
  <c r="BR535" i="7"/>
  <c r="BU535" i="7" s="1"/>
  <c r="BW535" i="7" s="1"/>
  <c r="BY535" i="7" s="1"/>
  <c r="BR524" i="7"/>
  <c r="BU524" i="7" s="1"/>
  <c r="BW524" i="7" s="1"/>
  <c r="BY524" i="7" s="1"/>
  <c r="BZ524" i="7" s="1"/>
  <c r="CA524" i="7" s="1"/>
  <c r="BU446" i="7"/>
  <c r="BW446" i="7" s="1"/>
  <c r="BY446" i="7" s="1"/>
  <c r="BZ446" i="7" s="1"/>
  <c r="CA446" i="7" s="1"/>
  <c r="BU21" i="16"/>
  <c r="BW21" i="16" s="1"/>
  <c r="BY21" i="16" s="1"/>
  <c r="BZ21" i="16" s="1"/>
  <c r="CA21" i="16" s="1"/>
  <c r="BU13" i="16"/>
  <c r="BW13" i="16" s="1"/>
  <c r="BY13" i="16" s="1"/>
  <c r="BZ13" i="16" s="1"/>
  <c r="CA13" i="16" s="1"/>
  <c r="BU17" i="16"/>
  <c r="BW17" i="16" s="1"/>
  <c r="BY17" i="16" s="1"/>
  <c r="BZ17" i="16" s="1"/>
  <c r="CA17" i="16" s="1"/>
  <c r="BU11" i="16"/>
  <c r="BW11" i="16" s="1"/>
  <c r="BY11" i="16" s="1"/>
  <c r="BZ11" i="16" s="1"/>
  <c r="CA11" i="16" s="1"/>
  <c r="BU23" i="16"/>
  <c r="BW23" i="16" s="1"/>
  <c r="BY23" i="16" s="1"/>
  <c r="BZ23" i="16" s="1"/>
  <c r="CA23" i="16" s="1"/>
  <c r="BU340" i="7"/>
  <c r="BW340" i="7" s="1"/>
  <c r="BY340" i="7" s="1"/>
  <c r="BZ340" i="7" s="1"/>
  <c r="CA340" i="7" s="1"/>
  <c r="BU130" i="7"/>
  <c r="BW130" i="7" s="1"/>
  <c r="BY130" i="7" s="1"/>
  <c r="BZ130" i="7" s="1"/>
  <c r="CA130" i="7" s="1"/>
  <c r="BU293" i="7"/>
  <c r="BW293" i="7" s="1"/>
  <c r="BY293" i="7" s="1"/>
  <c r="BZ293" i="7" s="1"/>
  <c r="CA293" i="7" s="1"/>
  <c r="BU516" i="7"/>
  <c r="BW516" i="7" s="1"/>
  <c r="BY516" i="7" s="1"/>
  <c r="BU7" i="16"/>
  <c r="BW7" i="16" s="1"/>
  <c r="BY7" i="16" s="1"/>
  <c r="BZ7" i="16" s="1"/>
  <c r="CA7" i="16" s="1"/>
  <c r="BU12" i="16"/>
  <c r="BW12" i="16" s="1"/>
  <c r="BY12" i="16" s="1"/>
  <c r="BZ12" i="16" s="1"/>
  <c r="CA12" i="16" s="1"/>
  <c r="BU452" i="7"/>
  <c r="BW452" i="7" s="1"/>
  <c r="BY452" i="7" s="1"/>
  <c r="BZ452" i="7" s="1"/>
  <c r="CA452" i="7" s="1"/>
  <c r="BU430" i="7"/>
  <c r="BW430" i="7" s="1"/>
  <c r="BY430" i="7" s="1"/>
  <c r="BZ430" i="7" s="1"/>
  <c r="CA430" i="7" s="1"/>
  <c r="BU184" i="7"/>
  <c r="BW184" i="7" s="1"/>
  <c r="BY184" i="7" s="1"/>
  <c r="BZ184" i="7" s="1"/>
  <c r="CA184" i="7" s="1"/>
  <c r="BU341" i="7"/>
  <c r="BW341" i="7" s="1"/>
  <c r="BY341" i="7" s="1"/>
  <c r="BZ341" i="7" s="1"/>
  <c r="CA341" i="7" s="1"/>
  <c r="BU436" i="7"/>
  <c r="BW436" i="7" s="1"/>
  <c r="BY436" i="7" s="1"/>
  <c r="BZ436" i="7" s="1"/>
  <c r="CA436" i="7" s="1"/>
  <c r="BU117" i="7"/>
  <c r="BW117" i="7" s="1"/>
  <c r="BY117" i="7" s="1"/>
  <c r="BZ117" i="7" s="1"/>
  <c r="CA117" i="7" s="1"/>
  <c r="BU277" i="7"/>
  <c r="BW277" i="7" s="1"/>
  <c r="BY277" i="7" s="1"/>
  <c r="BZ277" i="7" s="1"/>
  <c r="CA277" i="7" s="1"/>
  <c r="BU363" i="7"/>
  <c r="BW363" i="7" s="1"/>
  <c r="BY363" i="7" s="1"/>
  <c r="BZ363" i="7" s="1"/>
  <c r="CA363" i="7" s="1"/>
  <c r="BR518" i="7"/>
  <c r="BU518" i="7" s="1"/>
  <c r="BW518" i="7" s="1"/>
  <c r="BY518" i="7" s="1"/>
  <c r="BU250" i="7"/>
  <c r="BW250" i="7" s="1"/>
  <c r="BY250" i="7" s="1"/>
  <c r="BZ250" i="7" s="1"/>
  <c r="CA250" i="7" s="1"/>
  <c r="BU8" i="16"/>
  <c r="BW8" i="16" s="1"/>
  <c r="BY8" i="16" s="1"/>
  <c r="BZ8" i="16" s="1"/>
  <c r="CA8" i="16" s="1"/>
  <c r="BU437" i="7"/>
  <c r="BW437" i="7" s="1"/>
  <c r="BY437" i="7" s="1"/>
  <c r="BZ437" i="7" s="1"/>
  <c r="CA437" i="7" s="1"/>
  <c r="BU438" i="7"/>
  <c r="BW438" i="7" s="1"/>
  <c r="BY438" i="7" s="1"/>
  <c r="BZ438" i="7" s="1"/>
  <c r="CA438" i="7" s="1"/>
  <c r="BU10" i="16"/>
  <c r="BW10" i="16" s="1"/>
  <c r="BY10" i="16" s="1"/>
  <c r="BZ10" i="16" s="1"/>
  <c r="CA10" i="16" s="1"/>
  <c r="BU403" i="7"/>
  <c r="BW403" i="7" s="1"/>
  <c r="BY403" i="7" s="1"/>
  <c r="BZ403" i="7" s="1"/>
  <c r="CA403" i="7" s="1"/>
  <c r="BU374" i="7"/>
  <c r="BW374" i="7" s="1"/>
  <c r="BY374" i="7" s="1"/>
  <c r="BZ374" i="7" s="1"/>
  <c r="CA374" i="7" s="1"/>
  <c r="BU27" i="16"/>
  <c r="BW27" i="16" s="1"/>
  <c r="BY27" i="16" s="1"/>
  <c r="BZ27" i="16" s="1"/>
  <c r="CA27" i="16" s="1"/>
  <c r="BU488" i="7"/>
  <c r="BW488" i="7" s="1"/>
  <c r="BY488" i="7" s="1"/>
  <c r="BU456" i="7"/>
  <c r="BW456" i="7" s="1"/>
  <c r="BY456" i="7" s="1"/>
  <c r="BZ456" i="7" s="1"/>
  <c r="CA456" i="7" s="1"/>
  <c r="BU434" i="7"/>
  <c r="BW434" i="7" s="1"/>
  <c r="BY434" i="7" s="1"/>
  <c r="BZ434" i="7" s="1"/>
  <c r="CA434" i="7" s="1"/>
  <c r="BU429" i="7"/>
  <c r="BW429" i="7" s="1"/>
  <c r="BY429" i="7" s="1"/>
  <c r="BZ429" i="7" s="1"/>
  <c r="CA429" i="7" s="1"/>
  <c r="BU458" i="7"/>
  <c r="BW458" i="7" s="1"/>
  <c r="BY458" i="7" s="1"/>
  <c r="BZ458" i="7" s="1"/>
  <c r="CA458" i="7" s="1"/>
  <c r="BU33" i="7"/>
  <c r="BW33" i="7" s="1"/>
  <c r="BY33" i="7" s="1"/>
  <c r="BZ33" i="7" s="1"/>
  <c r="CA33" i="7" s="1"/>
  <c r="BU40" i="7"/>
  <c r="BW40" i="7" s="1"/>
  <c r="BY40" i="7" s="1"/>
  <c r="BZ40" i="7" s="1"/>
  <c r="CA40" i="7" s="1"/>
  <c r="BU213" i="7"/>
  <c r="BW213" i="7" s="1"/>
  <c r="BY213" i="7" s="1"/>
  <c r="BZ213" i="7" s="1"/>
  <c r="CA213" i="7" s="1"/>
  <c r="BU313" i="7"/>
  <c r="BW313" i="7" s="1"/>
  <c r="BY313" i="7" s="1"/>
  <c r="BZ313" i="7" s="1"/>
  <c r="CA313" i="7" s="1"/>
  <c r="BU145" i="7"/>
  <c r="BW145" i="7" s="1"/>
  <c r="BY145" i="7" s="1"/>
  <c r="BZ145" i="7" s="1"/>
  <c r="CA145" i="7" s="1"/>
  <c r="BU224" i="7"/>
  <c r="BW224" i="7" s="1"/>
  <c r="BY224" i="7" s="1"/>
  <c r="BZ224" i="7" s="1"/>
  <c r="CA224" i="7" s="1"/>
  <c r="BU96" i="7"/>
  <c r="BW96" i="7" s="1"/>
  <c r="BY96" i="7" s="1"/>
  <c r="BZ96" i="7" s="1"/>
  <c r="CA96" i="7" s="1"/>
  <c r="BU460" i="7"/>
  <c r="BW460" i="7" s="1"/>
  <c r="BY460" i="7" s="1"/>
  <c r="BR533" i="7"/>
  <c r="BU533" i="7" s="1"/>
  <c r="BW533" i="7" s="1"/>
  <c r="BY533" i="7" s="1"/>
  <c r="BZ533" i="7" s="1"/>
  <c r="CA533" i="7" s="1"/>
  <c r="BE293" i="7"/>
  <c r="BF293" i="7" s="1"/>
  <c r="BG293" i="7" s="1"/>
  <c r="BR503" i="7"/>
  <c r="BU503" i="7" s="1"/>
  <c r="BW503" i="7" s="1"/>
  <c r="BY503" i="7" s="1"/>
  <c r="BZ503" i="7" s="1"/>
  <c r="CA503" i="7" s="1"/>
  <c r="BR492" i="7"/>
  <c r="BU492" i="7" s="1"/>
  <c r="BW492" i="7" s="1"/>
  <c r="BY492" i="7" s="1"/>
  <c r="BZ492" i="7" s="1"/>
  <c r="CA492" i="7" s="1"/>
  <c r="BR491" i="7"/>
  <c r="BU491" i="7" s="1"/>
  <c r="BW491" i="7" s="1"/>
  <c r="BY491" i="7" s="1"/>
  <c r="BZ491" i="7" s="1"/>
  <c r="CA491" i="7" s="1"/>
  <c r="BR472" i="7"/>
  <c r="BU472" i="7" s="1"/>
  <c r="BW472" i="7" s="1"/>
  <c r="BY472" i="7" s="1"/>
  <c r="BA324" i="7"/>
  <c r="BC324" i="7" s="1"/>
  <c r="BE324" i="7" s="1"/>
  <c r="BF324" i="7" s="1"/>
  <c r="BG324" i="7" s="1"/>
  <c r="BR324" i="7"/>
  <c r="BU324" i="7" s="1"/>
  <c r="BW324" i="7" s="1"/>
  <c r="BY324" i="7" s="1"/>
  <c r="BZ324" i="7" s="1"/>
  <c r="CA324" i="7" s="1"/>
  <c r="BA173" i="7"/>
  <c r="BC173" i="7" s="1"/>
  <c r="BE173" i="7" s="1"/>
  <c r="BF173" i="7" s="1"/>
  <c r="BG173" i="7" s="1"/>
  <c r="BR173" i="7"/>
  <c r="BU173" i="7" s="1"/>
  <c r="BW173" i="7" s="1"/>
  <c r="BY173" i="7" s="1"/>
  <c r="BZ173" i="7" s="1"/>
  <c r="CA173" i="7" s="1"/>
  <c r="BA231" i="7"/>
  <c r="BC231" i="7" s="1"/>
  <c r="BE231" i="7" s="1"/>
  <c r="BF231" i="7" s="1"/>
  <c r="BG231" i="7" s="1"/>
  <c r="BR231" i="7"/>
  <c r="BU231" i="7" s="1"/>
  <c r="BW231" i="7" s="1"/>
  <c r="BY231" i="7" s="1"/>
  <c r="BZ231" i="7" s="1"/>
  <c r="CA231" i="7" s="1"/>
  <c r="BA398" i="7"/>
  <c r="BC398" i="7" s="1"/>
  <c r="BE398" i="7" s="1"/>
  <c r="BF398" i="7" s="1"/>
  <c r="BG398" i="7" s="1"/>
  <c r="BR398" i="7"/>
  <c r="BU398" i="7" s="1"/>
  <c r="BW398" i="7" s="1"/>
  <c r="BY398" i="7" s="1"/>
  <c r="BZ398" i="7" s="1"/>
  <c r="CA398" i="7" s="1"/>
  <c r="BA137" i="7"/>
  <c r="BC137" i="7" s="1"/>
  <c r="BE137" i="7" s="1"/>
  <c r="BF137" i="7" s="1"/>
  <c r="BG137" i="7" s="1"/>
  <c r="BR137" i="7"/>
  <c r="BU137" i="7" s="1"/>
  <c r="BW137" i="7" s="1"/>
  <c r="BY137" i="7" s="1"/>
  <c r="BZ137" i="7" s="1"/>
  <c r="CA137" i="7" s="1"/>
  <c r="BA457" i="7"/>
  <c r="BC457" i="7" s="1"/>
  <c r="BE457" i="7" s="1"/>
  <c r="BF457" i="7" s="1"/>
  <c r="BG457" i="7" s="1"/>
  <c r="BR457" i="7"/>
  <c r="BU457" i="7" s="1"/>
  <c r="BW457" i="7" s="1"/>
  <c r="BY457" i="7" s="1"/>
  <c r="BZ457" i="7" s="1"/>
  <c r="CA457" i="7" s="1"/>
  <c r="BA439" i="7"/>
  <c r="BC439" i="7" s="1"/>
  <c r="BE439" i="7" s="1"/>
  <c r="BF439" i="7" s="1"/>
  <c r="BG439" i="7" s="1"/>
  <c r="BR439" i="7"/>
  <c r="BU439" i="7" s="1"/>
  <c r="BW439" i="7" s="1"/>
  <c r="BY439" i="7" s="1"/>
  <c r="BZ439" i="7" s="1"/>
  <c r="CA439" i="7" s="1"/>
  <c r="BA389" i="7"/>
  <c r="BC389" i="7" s="1"/>
  <c r="BE389" i="7" s="1"/>
  <c r="BF389" i="7" s="1"/>
  <c r="BG389" i="7" s="1"/>
  <c r="BR389" i="7"/>
  <c r="BU389" i="7" s="1"/>
  <c r="BW389" i="7" s="1"/>
  <c r="BY389" i="7" s="1"/>
  <c r="BZ389" i="7" s="1"/>
  <c r="CA389" i="7" s="1"/>
  <c r="BA134" i="7"/>
  <c r="BC134" i="7" s="1"/>
  <c r="BE134" i="7" s="1"/>
  <c r="BF134" i="7" s="1"/>
  <c r="BG134" i="7" s="1"/>
  <c r="BR134" i="7"/>
  <c r="BU134" i="7" s="1"/>
  <c r="BW134" i="7" s="1"/>
  <c r="BY134" i="7" s="1"/>
  <c r="BZ134" i="7" s="1"/>
  <c r="CA134" i="7" s="1"/>
  <c r="BA259" i="7"/>
  <c r="BC259" i="7" s="1"/>
  <c r="BE259" i="7" s="1"/>
  <c r="BF259" i="7" s="1"/>
  <c r="BG259" i="7" s="1"/>
  <c r="BR259" i="7"/>
  <c r="BU259" i="7" s="1"/>
  <c r="BW259" i="7" s="1"/>
  <c r="BY259" i="7" s="1"/>
  <c r="BZ259" i="7" s="1"/>
  <c r="CA259" i="7" s="1"/>
  <c r="BA68" i="7"/>
  <c r="BC68" i="7" s="1"/>
  <c r="BE68" i="7" s="1"/>
  <c r="BF68" i="7" s="1"/>
  <c r="BG68" i="7" s="1"/>
  <c r="BR68" i="7"/>
  <c r="BU68" i="7" s="1"/>
  <c r="BW68" i="7" s="1"/>
  <c r="BY68" i="7" s="1"/>
  <c r="BZ68" i="7" s="1"/>
  <c r="CA68" i="7" s="1"/>
  <c r="BA139" i="7"/>
  <c r="BC139" i="7" s="1"/>
  <c r="BE139" i="7" s="1"/>
  <c r="BF139" i="7" s="1"/>
  <c r="BG139" i="7" s="1"/>
  <c r="BR139" i="7"/>
  <c r="BU139" i="7" s="1"/>
  <c r="BW139" i="7" s="1"/>
  <c r="BY139" i="7" s="1"/>
  <c r="BZ139" i="7" s="1"/>
  <c r="CA139" i="7" s="1"/>
  <c r="BA356" i="7"/>
  <c r="BC356" i="7" s="1"/>
  <c r="BE356" i="7" s="1"/>
  <c r="BF356" i="7" s="1"/>
  <c r="BG356" i="7" s="1"/>
  <c r="BR356" i="7"/>
  <c r="BU356" i="7" s="1"/>
  <c r="BW356" i="7" s="1"/>
  <c r="BY356" i="7" s="1"/>
  <c r="BZ356" i="7" s="1"/>
  <c r="CA356" i="7" s="1"/>
  <c r="BA44" i="7"/>
  <c r="BC44" i="7" s="1"/>
  <c r="BE44" i="7" s="1"/>
  <c r="BF44" i="7" s="1"/>
  <c r="BG44" i="7" s="1"/>
  <c r="BR44" i="7"/>
  <c r="BU44" i="7" s="1"/>
  <c r="BW44" i="7" s="1"/>
  <c r="BY44" i="7" s="1"/>
  <c r="BZ44" i="7" s="1"/>
  <c r="CA44" i="7" s="1"/>
  <c r="BA290" i="7"/>
  <c r="BC290" i="7" s="1"/>
  <c r="BE290" i="7" s="1"/>
  <c r="BF290" i="7" s="1"/>
  <c r="BG290" i="7" s="1"/>
  <c r="BR290" i="7"/>
  <c r="BU290" i="7" s="1"/>
  <c r="BW290" i="7" s="1"/>
  <c r="BY290" i="7" s="1"/>
  <c r="BZ290" i="7" s="1"/>
  <c r="CA290" i="7" s="1"/>
  <c r="BA282" i="7"/>
  <c r="BC282" i="7" s="1"/>
  <c r="BE282" i="7" s="1"/>
  <c r="BF282" i="7" s="1"/>
  <c r="BG282" i="7" s="1"/>
  <c r="BR282" i="7"/>
  <c r="BU282" i="7" s="1"/>
  <c r="BW282" i="7" s="1"/>
  <c r="BY282" i="7" s="1"/>
  <c r="BZ282" i="7" s="1"/>
  <c r="CA282" i="7" s="1"/>
  <c r="BA393" i="7"/>
  <c r="BC393" i="7" s="1"/>
  <c r="BE393" i="7" s="1"/>
  <c r="BF393" i="7" s="1"/>
  <c r="BG393" i="7" s="1"/>
  <c r="BR393" i="7"/>
  <c r="BU393" i="7" s="1"/>
  <c r="BW393" i="7" s="1"/>
  <c r="BY393" i="7" s="1"/>
  <c r="BZ393" i="7" s="1"/>
  <c r="CA393" i="7" s="1"/>
  <c r="BA366" i="7"/>
  <c r="BC366" i="7" s="1"/>
  <c r="BE366" i="7" s="1"/>
  <c r="BF366" i="7" s="1"/>
  <c r="BG366" i="7" s="1"/>
  <c r="BR366" i="7"/>
  <c r="BU366" i="7" s="1"/>
  <c r="BW366" i="7" s="1"/>
  <c r="BY366" i="7" s="1"/>
  <c r="BZ366" i="7" s="1"/>
  <c r="CA366" i="7" s="1"/>
  <c r="BA422" i="7"/>
  <c r="BC422" i="7" s="1"/>
  <c r="BE422" i="7" s="1"/>
  <c r="BF422" i="7" s="1"/>
  <c r="BG422" i="7" s="1"/>
  <c r="BR422" i="7"/>
  <c r="BU422" i="7" s="1"/>
  <c r="BW422" i="7" s="1"/>
  <c r="BY422" i="7" s="1"/>
  <c r="BZ422" i="7" s="1"/>
  <c r="CA422" i="7" s="1"/>
  <c r="BR481" i="7"/>
  <c r="BU481" i="7" s="1"/>
  <c r="BW481" i="7" s="1"/>
  <c r="BY481" i="7" s="1"/>
  <c r="BA373" i="7"/>
  <c r="BC373" i="7" s="1"/>
  <c r="BE373" i="7" s="1"/>
  <c r="BF373" i="7" s="1"/>
  <c r="BG373" i="7" s="1"/>
  <c r="BR373" i="7"/>
  <c r="BU373" i="7" s="1"/>
  <c r="BW373" i="7" s="1"/>
  <c r="BY373" i="7" s="1"/>
  <c r="BZ373" i="7" s="1"/>
  <c r="CA373" i="7" s="1"/>
  <c r="BA76" i="7"/>
  <c r="BC76" i="7" s="1"/>
  <c r="BE76" i="7" s="1"/>
  <c r="BF76" i="7" s="1"/>
  <c r="BG76" i="7" s="1"/>
  <c r="BR76" i="7"/>
  <c r="BU76" i="7" s="1"/>
  <c r="BW76" i="7" s="1"/>
  <c r="BY76" i="7" s="1"/>
  <c r="BZ76" i="7" s="1"/>
  <c r="CA76" i="7" s="1"/>
  <c r="BA180" i="7"/>
  <c r="BC180" i="7" s="1"/>
  <c r="BE180" i="7" s="1"/>
  <c r="BF180" i="7" s="1"/>
  <c r="BG180" i="7" s="1"/>
  <c r="BR180" i="7"/>
  <c r="BU180" i="7" s="1"/>
  <c r="BW180" i="7" s="1"/>
  <c r="BY180" i="7" s="1"/>
  <c r="BZ180" i="7" s="1"/>
  <c r="CA180" i="7" s="1"/>
  <c r="BA359" i="7"/>
  <c r="BC359" i="7" s="1"/>
  <c r="BE359" i="7" s="1"/>
  <c r="BF359" i="7" s="1"/>
  <c r="BG359" i="7" s="1"/>
  <c r="BR359" i="7"/>
  <c r="BU359" i="7" s="1"/>
  <c r="BW359" i="7" s="1"/>
  <c r="BY359" i="7" s="1"/>
  <c r="BZ359" i="7" s="1"/>
  <c r="CA359" i="7" s="1"/>
  <c r="BA419" i="7"/>
  <c r="BC419" i="7" s="1"/>
  <c r="BE419" i="7" s="1"/>
  <c r="BF419" i="7" s="1"/>
  <c r="BG419" i="7" s="1"/>
  <c r="BR419" i="7"/>
  <c r="BU419" i="7" s="1"/>
  <c r="BW419" i="7" s="1"/>
  <c r="BY419" i="7" s="1"/>
  <c r="BZ419" i="7" s="1"/>
  <c r="CA419" i="7" s="1"/>
  <c r="BA401" i="7"/>
  <c r="BC401" i="7" s="1"/>
  <c r="BE401" i="7" s="1"/>
  <c r="BF401" i="7" s="1"/>
  <c r="BG401" i="7" s="1"/>
  <c r="BR401" i="7"/>
  <c r="BU401" i="7" s="1"/>
  <c r="BW401" i="7" s="1"/>
  <c r="BY401" i="7" s="1"/>
  <c r="BZ401" i="7" s="1"/>
  <c r="CA401" i="7" s="1"/>
  <c r="BR470" i="7"/>
  <c r="BU470" i="7" s="1"/>
  <c r="BW470" i="7" s="1"/>
  <c r="BY470" i="7" s="1"/>
  <c r="BZ470" i="7" s="1"/>
  <c r="CA470" i="7" s="1"/>
  <c r="BA218" i="7"/>
  <c r="BC218" i="7" s="1"/>
  <c r="BE218" i="7" s="1"/>
  <c r="BF218" i="7" s="1"/>
  <c r="BG218" i="7" s="1"/>
  <c r="BR218" i="7"/>
  <c r="BU218" i="7" s="1"/>
  <c r="BW218" i="7" s="1"/>
  <c r="BY218" i="7" s="1"/>
  <c r="BZ218" i="7" s="1"/>
  <c r="CA218" i="7" s="1"/>
  <c r="BR541" i="7"/>
  <c r="BU541" i="7" s="1"/>
  <c r="BW541" i="7" s="1"/>
  <c r="BY541" i="7" s="1"/>
  <c r="BA329" i="7"/>
  <c r="BC329" i="7" s="1"/>
  <c r="BE329" i="7" s="1"/>
  <c r="BF329" i="7" s="1"/>
  <c r="BG329" i="7" s="1"/>
  <c r="BR329" i="7"/>
  <c r="BU329" i="7" s="1"/>
  <c r="BW329" i="7" s="1"/>
  <c r="BY329" i="7" s="1"/>
  <c r="BZ329" i="7" s="1"/>
  <c r="CA329" i="7" s="1"/>
  <c r="BA244" i="7"/>
  <c r="BC244" i="7" s="1"/>
  <c r="BE244" i="7" s="1"/>
  <c r="BF244" i="7" s="1"/>
  <c r="BG244" i="7" s="1"/>
  <c r="BR244" i="7"/>
  <c r="BU244" i="7" s="1"/>
  <c r="BW244" i="7" s="1"/>
  <c r="BY244" i="7" s="1"/>
  <c r="BZ244" i="7" s="1"/>
  <c r="CA244" i="7" s="1"/>
  <c r="BA442" i="7"/>
  <c r="BC442" i="7" s="1"/>
  <c r="BE442" i="7" s="1"/>
  <c r="BF442" i="7" s="1"/>
  <c r="BG442" i="7" s="1"/>
  <c r="BR442" i="7"/>
  <c r="BU442" i="7" s="1"/>
  <c r="BW442" i="7" s="1"/>
  <c r="BY442" i="7" s="1"/>
  <c r="BZ442" i="7" s="1"/>
  <c r="CA442" i="7" s="1"/>
  <c r="BA347" i="7"/>
  <c r="BC347" i="7" s="1"/>
  <c r="BE347" i="7" s="1"/>
  <c r="BF347" i="7" s="1"/>
  <c r="BG347" i="7" s="1"/>
  <c r="BR347" i="7"/>
  <c r="BU347" i="7" s="1"/>
  <c r="BW347" i="7" s="1"/>
  <c r="BY347" i="7" s="1"/>
  <c r="BZ347" i="7" s="1"/>
  <c r="CA347" i="7" s="1"/>
  <c r="BR530" i="7"/>
  <c r="BU530" i="7" s="1"/>
  <c r="BW530" i="7" s="1"/>
  <c r="BY530" i="7" s="1"/>
  <c r="BA129" i="7"/>
  <c r="BC129" i="7" s="1"/>
  <c r="BE129" i="7" s="1"/>
  <c r="BF129" i="7" s="1"/>
  <c r="BG129" i="7" s="1"/>
  <c r="BR129" i="7"/>
  <c r="BU129" i="7" s="1"/>
  <c r="BW129" i="7" s="1"/>
  <c r="BY129" i="7" s="1"/>
  <c r="BZ129" i="7" s="1"/>
  <c r="CA129" i="7" s="1"/>
  <c r="BA441" i="7"/>
  <c r="BC441" i="7" s="1"/>
  <c r="BE441" i="7" s="1"/>
  <c r="BF441" i="7" s="1"/>
  <c r="BG441" i="7" s="1"/>
  <c r="BR441" i="7"/>
  <c r="BU441" i="7" s="1"/>
  <c r="BW441" i="7" s="1"/>
  <c r="BY441" i="7" s="1"/>
  <c r="BZ441" i="7" s="1"/>
  <c r="CA441" i="7" s="1"/>
  <c r="BA339" i="7"/>
  <c r="BC339" i="7" s="1"/>
  <c r="BE339" i="7" s="1"/>
  <c r="BF339" i="7" s="1"/>
  <c r="BG339" i="7" s="1"/>
  <c r="BR339" i="7"/>
  <c r="BU339" i="7" s="1"/>
  <c r="BW339" i="7" s="1"/>
  <c r="BY339" i="7" s="1"/>
  <c r="BZ339" i="7" s="1"/>
  <c r="CA339" i="7" s="1"/>
  <c r="BA13" i="7"/>
  <c r="BC13" i="7" s="1"/>
  <c r="BE13" i="7" s="1"/>
  <c r="BF13" i="7" s="1"/>
  <c r="BG13" i="7" s="1"/>
  <c r="BR13" i="7"/>
  <c r="BU13" i="7" s="1"/>
  <c r="BW13" i="7" s="1"/>
  <c r="BY13" i="7" s="1"/>
  <c r="BZ13" i="7" s="1"/>
  <c r="CA13" i="7" s="1"/>
  <c r="BA289" i="7"/>
  <c r="BC289" i="7" s="1"/>
  <c r="BE289" i="7" s="1"/>
  <c r="BF289" i="7" s="1"/>
  <c r="BG289" i="7" s="1"/>
  <c r="BR289" i="7"/>
  <c r="BU289" i="7" s="1"/>
  <c r="BW289" i="7" s="1"/>
  <c r="BY289" i="7" s="1"/>
  <c r="BZ289" i="7" s="1"/>
  <c r="CA289" i="7" s="1"/>
  <c r="BA132" i="7"/>
  <c r="BC132" i="7" s="1"/>
  <c r="BE132" i="7" s="1"/>
  <c r="BF132" i="7" s="1"/>
  <c r="BG132" i="7" s="1"/>
  <c r="BR132" i="7"/>
  <c r="BU132" i="7" s="1"/>
  <c r="BW132" i="7" s="1"/>
  <c r="BY132" i="7" s="1"/>
  <c r="BZ132" i="7" s="1"/>
  <c r="CA132" i="7" s="1"/>
  <c r="BA252" i="7"/>
  <c r="BC252" i="7" s="1"/>
  <c r="BE252" i="7" s="1"/>
  <c r="BF252" i="7" s="1"/>
  <c r="BG252" i="7" s="1"/>
  <c r="BR252" i="7"/>
  <c r="BU252" i="7" s="1"/>
  <c r="BW252" i="7" s="1"/>
  <c r="BY252" i="7" s="1"/>
  <c r="BZ252" i="7" s="1"/>
  <c r="CA252" i="7" s="1"/>
  <c r="BA416" i="7"/>
  <c r="BC416" i="7" s="1"/>
  <c r="BE416" i="7" s="1"/>
  <c r="BF416" i="7" s="1"/>
  <c r="BG416" i="7" s="1"/>
  <c r="BR416" i="7"/>
  <c r="BU416" i="7" s="1"/>
  <c r="BW416" i="7" s="1"/>
  <c r="BY416" i="7" s="1"/>
  <c r="BZ416" i="7" s="1"/>
  <c r="CA416" i="7" s="1"/>
  <c r="BA79" i="7"/>
  <c r="BC79" i="7" s="1"/>
  <c r="BE79" i="7" s="1"/>
  <c r="BF79" i="7" s="1"/>
  <c r="BG79" i="7" s="1"/>
  <c r="BR79" i="7"/>
  <c r="BU79" i="7" s="1"/>
  <c r="BW79" i="7" s="1"/>
  <c r="BY79" i="7" s="1"/>
  <c r="BZ79" i="7" s="1"/>
  <c r="CA79" i="7" s="1"/>
  <c r="BA101" i="7"/>
  <c r="BC101" i="7" s="1"/>
  <c r="BE101" i="7" s="1"/>
  <c r="BF101" i="7" s="1"/>
  <c r="BG101" i="7" s="1"/>
  <c r="BR101" i="7"/>
  <c r="BU101" i="7" s="1"/>
  <c r="BW101" i="7" s="1"/>
  <c r="BY101" i="7" s="1"/>
  <c r="BZ101" i="7" s="1"/>
  <c r="CA101" i="7" s="1"/>
  <c r="BR540" i="7"/>
  <c r="BU540" i="7" s="1"/>
  <c r="BW540" i="7" s="1"/>
  <c r="BY540" i="7" s="1"/>
  <c r="BA301" i="7"/>
  <c r="BC301" i="7" s="1"/>
  <c r="BE301" i="7" s="1"/>
  <c r="BF301" i="7" s="1"/>
  <c r="BG301" i="7" s="1"/>
  <c r="BR301" i="7"/>
  <c r="BU301" i="7" s="1"/>
  <c r="BW301" i="7" s="1"/>
  <c r="BY301" i="7" s="1"/>
  <c r="BZ301" i="7" s="1"/>
  <c r="CA301" i="7" s="1"/>
  <c r="BA152" i="7"/>
  <c r="BC152" i="7" s="1"/>
  <c r="BE152" i="7" s="1"/>
  <c r="BF152" i="7" s="1"/>
  <c r="BG152" i="7" s="1"/>
  <c r="BR152" i="7"/>
  <c r="BU152" i="7" s="1"/>
  <c r="BW152" i="7" s="1"/>
  <c r="BY152" i="7" s="1"/>
  <c r="BZ152" i="7" s="1"/>
  <c r="CA152" i="7" s="1"/>
  <c r="BA307" i="7"/>
  <c r="BC307" i="7" s="1"/>
  <c r="BE307" i="7" s="1"/>
  <c r="BF307" i="7" s="1"/>
  <c r="BG307" i="7" s="1"/>
  <c r="BR307" i="7"/>
  <c r="BU307" i="7" s="1"/>
  <c r="BW307" i="7" s="1"/>
  <c r="BY307" i="7" s="1"/>
  <c r="BZ307" i="7" s="1"/>
  <c r="CA307" i="7" s="1"/>
  <c r="BA124" i="7"/>
  <c r="BC124" i="7" s="1"/>
  <c r="BE124" i="7" s="1"/>
  <c r="BF124" i="7" s="1"/>
  <c r="BG124" i="7" s="1"/>
  <c r="BR124" i="7"/>
  <c r="BU124" i="7" s="1"/>
  <c r="BW124" i="7" s="1"/>
  <c r="BY124" i="7" s="1"/>
  <c r="BZ124" i="7" s="1"/>
  <c r="CA124" i="7" s="1"/>
  <c r="BA370" i="7"/>
  <c r="BC370" i="7" s="1"/>
  <c r="BE370" i="7" s="1"/>
  <c r="BF370" i="7" s="1"/>
  <c r="BG370" i="7" s="1"/>
  <c r="BR370" i="7"/>
  <c r="BU370" i="7" s="1"/>
  <c r="BW370" i="7" s="1"/>
  <c r="BY370" i="7" s="1"/>
  <c r="BZ370" i="7" s="1"/>
  <c r="CA370" i="7" s="1"/>
  <c r="BA302" i="7"/>
  <c r="BC302" i="7" s="1"/>
  <c r="BE302" i="7" s="1"/>
  <c r="BF302" i="7" s="1"/>
  <c r="BG302" i="7" s="1"/>
  <c r="BR302" i="7"/>
  <c r="BU302" i="7" s="1"/>
  <c r="BW302" i="7" s="1"/>
  <c r="BY302" i="7" s="1"/>
  <c r="BZ302" i="7" s="1"/>
  <c r="CA302" i="7" s="1"/>
  <c r="BA161" i="7"/>
  <c r="BC161" i="7" s="1"/>
  <c r="BE161" i="7" s="1"/>
  <c r="BF161" i="7" s="1"/>
  <c r="BG161" i="7" s="1"/>
  <c r="BR161" i="7"/>
  <c r="BU161" i="7" s="1"/>
  <c r="BW161" i="7" s="1"/>
  <c r="BY161" i="7" s="1"/>
  <c r="BZ161" i="7" s="1"/>
  <c r="CA161" i="7" s="1"/>
  <c r="BA77" i="7"/>
  <c r="BC77" i="7" s="1"/>
  <c r="BE77" i="7" s="1"/>
  <c r="BF77" i="7" s="1"/>
  <c r="BG77" i="7" s="1"/>
  <c r="BR77" i="7"/>
  <c r="BU77" i="7" s="1"/>
  <c r="BW77" i="7" s="1"/>
  <c r="BY77" i="7" s="1"/>
  <c r="BZ77" i="7" s="1"/>
  <c r="CA77" i="7" s="1"/>
  <c r="BA305" i="7"/>
  <c r="BC305" i="7" s="1"/>
  <c r="BE305" i="7" s="1"/>
  <c r="BF305" i="7" s="1"/>
  <c r="BG305" i="7" s="1"/>
  <c r="BR305" i="7"/>
  <c r="BU305" i="7" s="1"/>
  <c r="BW305" i="7" s="1"/>
  <c r="BY305" i="7" s="1"/>
  <c r="BZ305" i="7" s="1"/>
  <c r="CA305" i="7" s="1"/>
  <c r="BA205" i="7"/>
  <c r="BC205" i="7" s="1"/>
  <c r="BE205" i="7" s="1"/>
  <c r="BF205" i="7" s="1"/>
  <c r="BG205" i="7" s="1"/>
  <c r="BR205" i="7"/>
  <c r="BU205" i="7" s="1"/>
  <c r="BW205" i="7" s="1"/>
  <c r="BY205" i="7" s="1"/>
  <c r="BZ205" i="7" s="1"/>
  <c r="CA205" i="7" s="1"/>
  <c r="BA326" i="7"/>
  <c r="BC326" i="7" s="1"/>
  <c r="BE326" i="7" s="1"/>
  <c r="BF326" i="7" s="1"/>
  <c r="BG326" i="7" s="1"/>
  <c r="BR326" i="7"/>
  <c r="BU326" i="7" s="1"/>
  <c r="BW326" i="7" s="1"/>
  <c r="BY326" i="7" s="1"/>
  <c r="BZ326" i="7" s="1"/>
  <c r="CA326" i="7" s="1"/>
  <c r="BR526" i="7"/>
  <c r="BU526" i="7" s="1"/>
  <c r="BW526" i="7" s="1"/>
  <c r="BY526" i="7" s="1"/>
  <c r="BZ526" i="7" s="1"/>
  <c r="CA526" i="7" s="1"/>
  <c r="BA413" i="7"/>
  <c r="BC413" i="7" s="1"/>
  <c r="BE413" i="7" s="1"/>
  <c r="BF413" i="7" s="1"/>
  <c r="BG413" i="7" s="1"/>
  <c r="BR413" i="7"/>
  <c r="BU413" i="7" s="1"/>
  <c r="BW413" i="7" s="1"/>
  <c r="BY413" i="7" s="1"/>
  <c r="BZ413" i="7" s="1"/>
  <c r="CA413" i="7" s="1"/>
  <c r="BA328" i="7"/>
  <c r="BC328" i="7" s="1"/>
  <c r="BE328" i="7" s="1"/>
  <c r="BF328" i="7" s="1"/>
  <c r="BG328" i="7" s="1"/>
  <c r="BR328" i="7"/>
  <c r="BU328" i="7" s="1"/>
  <c r="BW328" i="7" s="1"/>
  <c r="BY328" i="7" s="1"/>
  <c r="BZ328" i="7" s="1"/>
  <c r="CA328" i="7" s="1"/>
  <c r="BA171" i="7"/>
  <c r="BC171" i="7" s="1"/>
  <c r="BE171" i="7" s="1"/>
  <c r="BF171" i="7" s="1"/>
  <c r="BG171" i="7" s="1"/>
  <c r="BR171" i="7"/>
  <c r="BU171" i="7" s="1"/>
  <c r="BW171" i="7" s="1"/>
  <c r="BY171" i="7" s="1"/>
  <c r="BZ171" i="7" s="1"/>
  <c r="CA171" i="7" s="1"/>
  <c r="BA108" i="7"/>
  <c r="BC108" i="7" s="1"/>
  <c r="BE108" i="7" s="1"/>
  <c r="BF108" i="7" s="1"/>
  <c r="BG108" i="7" s="1"/>
  <c r="BR108" i="7"/>
  <c r="BU108" i="7" s="1"/>
  <c r="BW108" i="7" s="1"/>
  <c r="BY108" i="7" s="1"/>
  <c r="BZ108" i="7" s="1"/>
  <c r="CA108" i="7" s="1"/>
  <c r="BA85" i="7"/>
  <c r="BC85" i="7" s="1"/>
  <c r="BE85" i="7" s="1"/>
  <c r="BF85" i="7" s="1"/>
  <c r="BG85" i="7" s="1"/>
  <c r="BR85" i="7"/>
  <c r="BU85" i="7" s="1"/>
  <c r="BW85" i="7" s="1"/>
  <c r="BY85" i="7" s="1"/>
  <c r="BZ85" i="7" s="1"/>
  <c r="CA85" i="7" s="1"/>
  <c r="BR558" i="7"/>
  <c r="BU558" i="7" s="1"/>
  <c r="BW558" i="7" s="1"/>
  <c r="BY558" i="7" s="1"/>
  <c r="BA193" i="7"/>
  <c r="BC193" i="7" s="1"/>
  <c r="BE193" i="7" s="1"/>
  <c r="BF193" i="7" s="1"/>
  <c r="BG193" i="7" s="1"/>
  <c r="BR193" i="7"/>
  <c r="BU193" i="7" s="1"/>
  <c r="BW193" i="7" s="1"/>
  <c r="BY193" i="7" s="1"/>
  <c r="BZ193" i="7" s="1"/>
  <c r="CA193" i="7" s="1"/>
  <c r="BR497" i="7"/>
  <c r="BU497" i="7" s="1"/>
  <c r="BW497" i="7" s="1"/>
  <c r="BY497" i="7" s="1"/>
  <c r="BR500" i="7"/>
  <c r="BU500" i="7" s="1"/>
  <c r="BW500" i="7" s="1"/>
  <c r="BY500" i="7" s="1"/>
  <c r="BA454" i="7"/>
  <c r="BC454" i="7" s="1"/>
  <c r="BE454" i="7" s="1"/>
  <c r="BF454" i="7" s="1"/>
  <c r="BG454" i="7" s="1"/>
  <c r="BR454" i="7"/>
  <c r="BU454" i="7" s="1"/>
  <c r="BW454" i="7" s="1"/>
  <c r="BY454" i="7" s="1"/>
  <c r="BZ454" i="7" s="1"/>
  <c r="CA454" i="7" s="1"/>
  <c r="BA424" i="7"/>
  <c r="BC424" i="7" s="1"/>
  <c r="BE424" i="7" s="1"/>
  <c r="BF424" i="7" s="1"/>
  <c r="BG424" i="7" s="1"/>
  <c r="BR424" i="7"/>
  <c r="BU424" i="7" s="1"/>
  <c r="BW424" i="7" s="1"/>
  <c r="BY424" i="7" s="1"/>
  <c r="BZ424" i="7" s="1"/>
  <c r="CA424" i="7" s="1"/>
  <c r="BR555" i="7"/>
  <c r="BU555" i="7" s="1"/>
  <c r="BW555" i="7" s="1"/>
  <c r="BY555" i="7" s="1"/>
  <c r="BA21" i="7"/>
  <c r="BC21" i="7" s="1"/>
  <c r="BE21" i="7" s="1"/>
  <c r="BF21" i="7" s="1"/>
  <c r="BG21" i="7" s="1"/>
  <c r="BR21" i="7"/>
  <c r="BU21" i="7" s="1"/>
  <c r="BW21" i="7" s="1"/>
  <c r="BY21" i="7" s="1"/>
  <c r="BZ21" i="7" s="1"/>
  <c r="CA21" i="7" s="1"/>
  <c r="BR552" i="7"/>
  <c r="BU552" i="7" s="1"/>
  <c r="BW552" i="7" s="1"/>
  <c r="BY552" i="7" s="1"/>
  <c r="BA447" i="7"/>
  <c r="BC447" i="7" s="1"/>
  <c r="BE447" i="7" s="1"/>
  <c r="BF447" i="7" s="1"/>
  <c r="BG447" i="7" s="1"/>
  <c r="BR447" i="7"/>
  <c r="BU447" i="7" s="1"/>
  <c r="BW447" i="7" s="1"/>
  <c r="BY447" i="7" s="1"/>
  <c r="BZ447" i="7" s="1"/>
  <c r="CA447" i="7" s="1"/>
  <c r="BA295" i="7"/>
  <c r="BC295" i="7" s="1"/>
  <c r="BE295" i="7" s="1"/>
  <c r="BF295" i="7" s="1"/>
  <c r="BG295" i="7" s="1"/>
  <c r="BR295" i="7"/>
  <c r="BU295" i="7" s="1"/>
  <c r="BW295" i="7" s="1"/>
  <c r="BY295" i="7" s="1"/>
  <c r="BZ295" i="7" s="1"/>
  <c r="CA295" i="7" s="1"/>
  <c r="BA65" i="7"/>
  <c r="BC65" i="7" s="1"/>
  <c r="BE65" i="7" s="1"/>
  <c r="BF65" i="7" s="1"/>
  <c r="BG65" i="7" s="1"/>
  <c r="BR65" i="7"/>
  <c r="BU65" i="7" s="1"/>
  <c r="BW65" i="7" s="1"/>
  <c r="BY65" i="7" s="1"/>
  <c r="BZ65" i="7" s="1"/>
  <c r="CA65" i="7" s="1"/>
  <c r="BA410" i="7"/>
  <c r="BC410" i="7" s="1"/>
  <c r="BE410" i="7" s="1"/>
  <c r="BF410" i="7" s="1"/>
  <c r="BG410" i="7" s="1"/>
  <c r="BR410" i="7"/>
  <c r="BU410" i="7" s="1"/>
  <c r="BW410" i="7" s="1"/>
  <c r="BY410" i="7" s="1"/>
  <c r="BZ410" i="7" s="1"/>
  <c r="CA410" i="7" s="1"/>
  <c r="BA112" i="7"/>
  <c r="BC112" i="7" s="1"/>
  <c r="BE112" i="7" s="1"/>
  <c r="BF112" i="7" s="1"/>
  <c r="BG112" i="7" s="1"/>
  <c r="BR112" i="7"/>
  <c r="BU112" i="7" s="1"/>
  <c r="BW112" i="7" s="1"/>
  <c r="BY112" i="7" s="1"/>
  <c r="BZ112" i="7" s="1"/>
  <c r="CA112" i="7" s="1"/>
  <c r="BA344" i="7"/>
  <c r="BC344" i="7" s="1"/>
  <c r="BE344" i="7" s="1"/>
  <c r="BF344" i="7" s="1"/>
  <c r="BG344" i="7" s="1"/>
  <c r="BR344" i="7"/>
  <c r="BU344" i="7" s="1"/>
  <c r="BW344" i="7" s="1"/>
  <c r="BY344" i="7" s="1"/>
  <c r="BZ344" i="7" s="1"/>
  <c r="CA344" i="7" s="1"/>
  <c r="BR570" i="7"/>
  <c r="BU570" i="7" s="1"/>
  <c r="BW570" i="7" s="1"/>
  <c r="BY570" i="7" s="1"/>
  <c r="BA351" i="7"/>
  <c r="BC351" i="7" s="1"/>
  <c r="BE351" i="7" s="1"/>
  <c r="BF351" i="7" s="1"/>
  <c r="BG351" i="7" s="1"/>
  <c r="BR351" i="7"/>
  <c r="BU351" i="7" s="1"/>
  <c r="BW351" i="7" s="1"/>
  <c r="BY351" i="7" s="1"/>
  <c r="BZ351" i="7" s="1"/>
  <c r="CA351" i="7" s="1"/>
  <c r="BA420" i="7"/>
  <c r="BC420" i="7" s="1"/>
  <c r="BE420" i="7" s="1"/>
  <c r="BF420" i="7" s="1"/>
  <c r="BG420" i="7" s="1"/>
  <c r="BR420" i="7"/>
  <c r="BU420" i="7" s="1"/>
  <c r="BW420" i="7" s="1"/>
  <c r="BY420" i="7" s="1"/>
  <c r="BZ420" i="7" s="1"/>
  <c r="CA420" i="7" s="1"/>
  <c r="BA343" i="7"/>
  <c r="BC343" i="7" s="1"/>
  <c r="BE343" i="7" s="1"/>
  <c r="BF343" i="7" s="1"/>
  <c r="BG343" i="7" s="1"/>
  <c r="BR343" i="7"/>
  <c r="BU343" i="7" s="1"/>
  <c r="BW343" i="7" s="1"/>
  <c r="BY343" i="7" s="1"/>
  <c r="BZ343" i="7" s="1"/>
  <c r="CA343" i="7" s="1"/>
  <c r="BR564" i="7"/>
  <c r="BU564" i="7" s="1"/>
  <c r="BW564" i="7" s="1"/>
  <c r="BY564" i="7" s="1"/>
  <c r="BZ564" i="7" s="1"/>
  <c r="CA564" i="7" s="1"/>
  <c r="BA88" i="7"/>
  <c r="BC88" i="7" s="1"/>
  <c r="BE88" i="7" s="1"/>
  <c r="BF88" i="7" s="1"/>
  <c r="BG88" i="7" s="1"/>
  <c r="BR88" i="7"/>
  <c r="BU88" i="7" s="1"/>
  <c r="BW88" i="7" s="1"/>
  <c r="BY88" i="7" s="1"/>
  <c r="BZ88" i="7" s="1"/>
  <c r="CA88" i="7" s="1"/>
  <c r="BA53" i="7"/>
  <c r="BC53" i="7" s="1"/>
  <c r="BE53" i="7" s="1"/>
  <c r="BF53" i="7" s="1"/>
  <c r="BG53" i="7" s="1"/>
  <c r="BR53" i="7"/>
  <c r="BU53" i="7" s="1"/>
  <c r="BW53" i="7" s="1"/>
  <c r="BY53" i="7" s="1"/>
  <c r="BZ53" i="7" s="1"/>
  <c r="CA53" i="7" s="1"/>
  <c r="BA216" i="7"/>
  <c r="BC216" i="7" s="1"/>
  <c r="BE216" i="7" s="1"/>
  <c r="BF216" i="7" s="1"/>
  <c r="BG216" i="7" s="1"/>
  <c r="BR216" i="7"/>
  <c r="BU216" i="7" s="1"/>
  <c r="BW216" i="7" s="1"/>
  <c r="BY216" i="7" s="1"/>
  <c r="BZ216" i="7" s="1"/>
  <c r="CA216" i="7" s="1"/>
  <c r="BA189" i="7"/>
  <c r="BC189" i="7" s="1"/>
  <c r="BE189" i="7" s="1"/>
  <c r="BF189" i="7" s="1"/>
  <c r="BG189" i="7" s="1"/>
  <c r="BR189" i="7"/>
  <c r="BU189" i="7" s="1"/>
  <c r="BW189" i="7" s="1"/>
  <c r="BY189" i="7" s="1"/>
  <c r="BZ189" i="7" s="1"/>
  <c r="CA189" i="7" s="1"/>
  <c r="BA380" i="7"/>
  <c r="BC380" i="7" s="1"/>
  <c r="BE380" i="7" s="1"/>
  <c r="BF380" i="7" s="1"/>
  <c r="BG380" i="7" s="1"/>
  <c r="BR380" i="7"/>
  <c r="BU380" i="7" s="1"/>
  <c r="BW380" i="7" s="1"/>
  <c r="BY380" i="7" s="1"/>
  <c r="BZ380" i="7" s="1"/>
  <c r="CA380" i="7" s="1"/>
  <c r="BA372" i="7"/>
  <c r="BC372" i="7" s="1"/>
  <c r="BE372" i="7" s="1"/>
  <c r="BF372" i="7" s="1"/>
  <c r="BG372" i="7" s="1"/>
  <c r="BR372" i="7"/>
  <c r="BU372" i="7" s="1"/>
  <c r="BW372" i="7" s="1"/>
  <c r="BY372" i="7" s="1"/>
  <c r="BZ372" i="7" s="1"/>
  <c r="CA372" i="7" s="1"/>
  <c r="BA72" i="7"/>
  <c r="BC72" i="7" s="1"/>
  <c r="BE72" i="7" s="1"/>
  <c r="BF72" i="7" s="1"/>
  <c r="BG72" i="7" s="1"/>
  <c r="BR72" i="7"/>
  <c r="BU72" i="7" s="1"/>
  <c r="BW72" i="7" s="1"/>
  <c r="BY72" i="7" s="1"/>
  <c r="BZ72" i="7" s="1"/>
  <c r="CA72" i="7" s="1"/>
  <c r="BR546" i="7"/>
  <c r="BU546" i="7" s="1"/>
  <c r="BW546" i="7" s="1"/>
  <c r="BY546" i="7" s="1"/>
  <c r="BA284" i="7"/>
  <c r="BC284" i="7" s="1"/>
  <c r="BE284" i="7" s="1"/>
  <c r="BF284" i="7" s="1"/>
  <c r="BG284" i="7" s="1"/>
  <c r="BR284" i="7"/>
  <c r="BU284" i="7" s="1"/>
  <c r="BW284" i="7" s="1"/>
  <c r="BY284" i="7" s="1"/>
  <c r="BZ284" i="7" s="1"/>
  <c r="CA284" i="7" s="1"/>
  <c r="BA95" i="7"/>
  <c r="BC95" i="7" s="1"/>
  <c r="BE95" i="7" s="1"/>
  <c r="BF95" i="7" s="1"/>
  <c r="BG95" i="7" s="1"/>
  <c r="BR95" i="7"/>
  <c r="BU95" i="7" s="1"/>
  <c r="BW95" i="7" s="1"/>
  <c r="BY95" i="7" s="1"/>
  <c r="BZ95" i="7" s="1"/>
  <c r="CA95" i="7" s="1"/>
  <c r="BA57" i="7"/>
  <c r="BC57" i="7" s="1"/>
  <c r="BE57" i="7" s="1"/>
  <c r="BF57" i="7" s="1"/>
  <c r="BG57" i="7" s="1"/>
  <c r="BR57" i="7"/>
  <c r="BU57" i="7" s="1"/>
  <c r="BW57" i="7" s="1"/>
  <c r="BY57" i="7" s="1"/>
  <c r="BZ57" i="7" s="1"/>
  <c r="CA57" i="7" s="1"/>
  <c r="BA288" i="7"/>
  <c r="BC288" i="7" s="1"/>
  <c r="BE288" i="7" s="1"/>
  <c r="BF288" i="7" s="1"/>
  <c r="BG288" i="7" s="1"/>
  <c r="BR288" i="7"/>
  <c r="BU288" i="7" s="1"/>
  <c r="BW288" i="7" s="1"/>
  <c r="BY288" i="7" s="1"/>
  <c r="BZ288" i="7" s="1"/>
  <c r="CA288" i="7" s="1"/>
  <c r="BA392" i="7"/>
  <c r="BC392" i="7" s="1"/>
  <c r="BE392" i="7" s="1"/>
  <c r="BF392" i="7" s="1"/>
  <c r="BG392" i="7" s="1"/>
  <c r="BR392" i="7"/>
  <c r="BU392" i="7" s="1"/>
  <c r="BW392" i="7" s="1"/>
  <c r="BY392" i="7" s="1"/>
  <c r="BZ392" i="7" s="1"/>
  <c r="CA392" i="7" s="1"/>
  <c r="BA358" i="7"/>
  <c r="BC358" i="7" s="1"/>
  <c r="BE358" i="7" s="1"/>
  <c r="BF358" i="7" s="1"/>
  <c r="BG358" i="7" s="1"/>
  <c r="BR358" i="7"/>
  <c r="BU358" i="7" s="1"/>
  <c r="BW358" i="7" s="1"/>
  <c r="BY358" i="7" s="1"/>
  <c r="BZ358" i="7" s="1"/>
  <c r="CA358" i="7" s="1"/>
  <c r="BA333" i="7"/>
  <c r="BC333" i="7" s="1"/>
  <c r="BE333" i="7" s="1"/>
  <c r="BF333" i="7" s="1"/>
  <c r="BG333" i="7" s="1"/>
  <c r="BR333" i="7"/>
  <c r="BU333" i="7" s="1"/>
  <c r="BW333" i="7" s="1"/>
  <c r="BY333" i="7" s="1"/>
  <c r="BZ333" i="7" s="1"/>
  <c r="CA333" i="7" s="1"/>
  <c r="BA304" i="7"/>
  <c r="BC304" i="7" s="1"/>
  <c r="BE304" i="7" s="1"/>
  <c r="BF304" i="7" s="1"/>
  <c r="BG304" i="7" s="1"/>
  <c r="BR304" i="7"/>
  <c r="BU304" i="7" s="1"/>
  <c r="BW304" i="7" s="1"/>
  <c r="BY304" i="7" s="1"/>
  <c r="BZ304" i="7" s="1"/>
  <c r="CA304" i="7" s="1"/>
  <c r="BA200" i="7"/>
  <c r="BC200" i="7" s="1"/>
  <c r="BE200" i="7" s="1"/>
  <c r="BF200" i="7" s="1"/>
  <c r="BG200" i="7" s="1"/>
  <c r="BR200" i="7"/>
  <c r="BU200" i="7" s="1"/>
  <c r="BW200" i="7" s="1"/>
  <c r="BY200" i="7" s="1"/>
  <c r="BZ200" i="7" s="1"/>
  <c r="CA200" i="7" s="1"/>
  <c r="BA445" i="7"/>
  <c r="BC445" i="7" s="1"/>
  <c r="BE445" i="7" s="1"/>
  <c r="BF445" i="7" s="1"/>
  <c r="BG445" i="7" s="1"/>
  <c r="BR445" i="7"/>
  <c r="BU445" i="7" s="1"/>
  <c r="BW445" i="7" s="1"/>
  <c r="BY445" i="7" s="1"/>
  <c r="BZ445" i="7" s="1"/>
  <c r="CA445" i="7" s="1"/>
  <c r="BA390" i="7"/>
  <c r="BC390" i="7" s="1"/>
  <c r="BE390" i="7" s="1"/>
  <c r="BF390" i="7" s="1"/>
  <c r="BG390" i="7" s="1"/>
  <c r="BR390" i="7"/>
  <c r="BU390" i="7" s="1"/>
  <c r="BW390" i="7" s="1"/>
  <c r="BY390" i="7" s="1"/>
  <c r="BZ390" i="7" s="1"/>
  <c r="CA390" i="7" s="1"/>
  <c r="BA383" i="7"/>
  <c r="BC383" i="7" s="1"/>
  <c r="BE383" i="7" s="1"/>
  <c r="BF383" i="7" s="1"/>
  <c r="BG383" i="7" s="1"/>
  <c r="BR383" i="7"/>
  <c r="BU383" i="7" s="1"/>
  <c r="BW383" i="7" s="1"/>
  <c r="BY383" i="7" s="1"/>
  <c r="BZ383" i="7" s="1"/>
  <c r="CA383" i="7" s="1"/>
  <c r="BA426" i="7"/>
  <c r="BC426" i="7" s="1"/>
  <c r="BE426" i="7" s="1"/>
  <c r="BF426" i="7" s="1"/>
  <c r="BG426" i="7" s="1"/>
  <c r="BR426" i="7"/>
  <c r="BU426" i="7" s="1"/>
  <c r="BW426" i="7" s="1"/>
  <c r="BY426" i="7" s="1"/>
  <c r="BZ426" i="7" s="1"/>
  <c r="CA426" i="7" s="1"/>
  <c r="BA309" i="7"/>
  <c r="BC309" i="7" s="1"/>
  <c r="BE309" i="7" s="1"/>
  <c r="BF309" i="7" s="1"/>
  <c r="BG309" i="7" s="1"/>
  <c r="BR309" i="7"/>
  <c r="BU309" i="7" s="1"/>
  <c r="BW309" i="7" s="1"/>
  <c r="BY309" i="7" s="1"/>
  <c r="BZ309" i="7" s="1"/>
  <c r="CA309" i="7" s="1"/>
  <c r="BA292" i="7"/>
  <c r="BC292" i="7" s="1"/>
  <c r="BE292" i="7" s="1"/>
  <c r="BF292" i="7" s="1"/>
  <c r="BG292" i="7" s="1"/>
  <c r="BR292" i="7"/>
  <c r="BU292" i="7" s="1"/>
  <c r="BW292" i="7" s="1"/>
  <c r="BY292" i="7" s="1"/>
  <c r="BZ292" i="7" s="1"/>
  <c r="CA292" i="7" s="1"/>
  <c r="BA31" i="7"/>
  <c r="BC31" i="7" s="1"/>
  <c r="BE31" i="7" s="1"/>
  <c r="BF31" i="7" s="1"/>
  <c r="BG31" i="7" s="1"/>
  <c r="BR31" i="7"/>
  <c r="BU31" i="7" s="1"/>
  <c r="BW31" i="7" s="1"/>
  <c r="BY31" i="7" s="1"/>
  <c r="BZ31" i="7" s="1"/>
  <c r="CA31" i="7" s="1"/>
  <c r="BA8" i="7"/>
  <c r="BC8" i="7" s="1"/>
  <c r="BE8" i="7" s="1"/>
  <c r="BF8" i="7" s="1"/>
  <c r="BG8" i="7" s="1"/>
  <c r="BR8" i="7"/>
  <c r="BU8" i="7" s="1"/>
  <c r="BW8" i="7" s="1"/>
  <c r="BY8" i="7" s="1"/>
  <c r="BZ8" i="7" s="1"/>
  <c r="CA8" i="7" s="1"/>
  <c r="BR567" i="7"/>
  <c r="BU567" i="7" s="1"/>
  <c r="BW567" i="7" s="1"/>
  <c r="BY567" i="7" s="1"/>
  <c r="BZ567" i="7" s="1"/>
  <c r="CA567" i="7" s="1"/>
  <c r="BA20" i="7"/>
  <c r="BC20" i="7" s="1"/>
  <c r="BE20" i="7" s="1"/>
  <c r="BF20" i="7" s="1"/>
  <c r="BG20" i="7" s="1"/>
  <c r="BR20" i="7"/>
  <c r="BU20" i="7" s="1"/>
  <c r="BW20" i="7" s="1"/>
  <c r="BY20" i="7" s="1"/>
  <c r="BZ20" i="7" s="1"/>
  <c r="CA20" i="7" s="1"/>
  <c r="BA334" i="7"/>
  <c r="BC334" i="7" s="1"/>
  <c r="BE334" i="7" s="1"/>
  <c r="BF334" i="7" s="1"/>
  <c r="BG334" i="7" s="1"/>
  <c r="BR334" i="7"/>
  <c r="BU334" i="7" s="1"/>
  <c r="BW334" i="7" s="1"/>
  <c r="BY334" i="7" s="1"/>
  <c r="BZ334" i="7" s="1"/>
  <c r="CA334" i="7" s="1"/>
  <c r="BA104" i="7"/>
  <c r="BC104" i="7" s="1"/>
  <c r="BE104" i="7" s="1"/>
  <c r="BF104" i="7" s="1"/>
  <c r="BG104" i="7" s="1"/>
  <c r="BR104" i="7"/>
  <c r="BU104" i="7" s="1"/>
  <c r="BW104" i="7" s="1"/>
  <c r="BY104" i="7" s="1"/>
  <c r="BZ104" i="7" s="1"/>
  <c r="CA104" i="7" s="1"/>
  <c r="BA45" i="7"/>
  <c r="BC45" i="7" s="1"/>
  <c r="BE45" i="7" s="1"/>
  <c r="BF45" i="7" s="1"/>
  <c r="BG45" i="7" s="1"/>
  <c r="BR45" i="7"/>
  <c r="BU45" i="7" s="1"/>
  <c r="BW45" i="7" s="1"/>
  <c r="BY45" i="7" s="1"/>
  <c r="BZ45" i="7" s="1"/>
  <c r="CA45" i="7" s="1"/>
  <c r="BA453" i="7"/>
  <c r="BC453" i="7" s="1"/>
  <c r="BE453" i="7" s="1"/>
  <c r="BF453" i="7" s="1"/>
  <c r="BG453" i="7" s="1"/>
  <c r="BR453" i="7"/>
  <c r="BU453" i="7" s="1"/>
  <c r="BW453" i="7" s="1"/>
  <c r="BY453" i="7" s="1"/>
  <c r="BZ453" i="7" s="1"/>
  <c r="CA453" i="7" s="1"/>
  <c r="BR495" i="7"/>
  <c r="BU495" i="7" s="1"/>
  <c r="BW495" i="7" s="1"/>
  <c r="BY495" i="7" s="1"/>
  <c r="BR528" i="7"/>
  <c r="BU528" i="7" s="1"/>
  <c r="BW528" i="7" s="1"/>
  <c r="BY528" i="7" s="1"/>
  <c r="BA212" i="7"/>
  <c r="BC212" i="7" s="1"/>
  <c r="BE212" i="7" s="1"/>
  <c r="BF212" i="7" s="1"/>
  <c r="BG212" i="7" s="1"/>
  <c r="BR212" i="7"/>
  <c r="BU212" i="7" s="1"/>
  <c r="BW212" i="7" s="1"/>
  <c r="BY212" i="7" s="1"/>
  <c r="BZ212" i="7" s="1"/>
  <c r="CA212" i="7" s="1"/>
  <c r="BA217" i="7"/>
  <c r="BC217" i="7" s="1"/>
  <c r="BE217" i="7" s="1"/>
  <c r="BF217" i="7" s="1"/>
  <c r="BG217" i="7" s="1"/>
  <c r="BR217" i="7"/>
  <c r="BU217" i="7" s="1"/>
  <c r="BW217" i="7" s="1"/>
  <c r="BY217" i="7" s="1"/>
  <c r="BZ217" i="7" s="1"/>
  <c r="CA217" i="7" s="1"/>
  <c r="BA412" i="7"/>
  <c r="BC412" i="7" s="1"/>
  <c r="BE412" i="7" s="1"/>
  <c r="BF412" i="7" s="1"/>
  <c r="BG412" i="7" s="1"/>
  <c r="BR412" i="7"/>
  <c r="BU412" i="7" s="1"/>
  <c r="BW412" i="7" s="1"/>
  <c r="BY412" i="7" s="1"/>
  <c r="BZ412" i="7" s="1"/>
  <c r="CA412" i="7" s="1"/>
  <c r="BA322" i="7"/>
  <c r="BC322" i="7" s="1"/>
  <c r="BE322" i="7" s="1"/>
  <c r="BF322" i="7" s="1"/>
  <c r="BG322" i="7" s="1"/>
  <c r="BR322" i="7"/>
  <c r="BU322" i="7" s="1"/>
  <c r="BW322" i="7" s="1"/>
  <c r="BY322" i="7" s="1"/>
  <c r="BZ322" i="7" s="1"/>
  <c r="CA322" i="7" s="1"/>
  <c r="BA308" i="7"/>
  <c r="BC308" i="7" s="1"/>
  <c r="BE308" i="7" s="1"/>
  <c r="BF308" i="7" s="1"/>
  <c r="BG308" i="7" s="1"/>
  <c r="BR308" i="7"/>
  <c r="BU308" i="7" s="1"/>
  <c r="BW308" i="7" s="1"/>
  <c r="BY308" i="7" s="1"/>
  <c r="BZ308" i="7" s="1"/>
  <c r="CA308" i="7" s="1"/>
  <c r="BA296" i="7"/>
  <c r="BC296" i="7" s="1"/>
  <c r="BE296" i="7" s="1"/>
  <c r="BF296" i="7" s="1"/>
  <c r="BG296" i="7" s="1"/>
  <c r="BR296" i="7"/>
  <c r="BU296" i="7" s="1"/>
  <c r="BW296" i="7" s="1"/>
  <c r="BY296" i="7" s="1"/>
  <c r="BZ296" i="7" s="1"/>
  <c r="CA296" i="7" s="1"/>
  <c r="BA421" i="7"/>
  <c r="BC421" i="7" s="1"/>
  <c r="BE421" i="7" s="1"/>
  <c r="BF421" i="7" s="1"/>
  <c r="BG421" i="7" s="1"/>
  <c r="BR421" i="7"/>
  <c r="BU421" i="7" s="1"/>
  <c r="BW421" i="7" s="1"/>
  <c r="BY421" i="7" s="1"/>
  <c r="BZ421" i="7" s="1"/>
  <c r="CA421" i="7" s="1"/>
  <c r="BA432" i="7"/>
  <c r="BC432" i="7" s="1"/>
  <c r="BE432" i="7" s="1"/>
  <c r="BF432" i="7" s="1"/>
  <c r="BG432" i="7" s="1"/>
  <c r="BR432" i="7"/>
  <c r="BU432" i="7" s="1"/>
  <c r="BW432" i="7" s="1"/>
  <c r="BY432" i="7" s="1"/>
  <c r="BZ432" i="7" s="1"/>
  <c r="CA432" i="7" s="1"/>
  <c r="BA298" i="7"/>
  <c r="BC298" i="7" s="1"/>
  <c r="BE298" i="7" s="1"/>
  <c r="BF298" i="7" s="1"/>
  <c r="BG298" i="7" s="1"/>
  <c r="BR298" i="7"/>
  <c r="BU298" i="7" s="1"/>
  <c r="BW298" i="7" s="1"/>
  <c r="BY298" i="7" s="1"/>
  <c r="BZ298" i="7" s="1"/>
  <c r="CA298" i="7" s="1"/>
  <c r="BR508" i="7"/>
  <c r="BU508" i="7" s="1"/>
  <c r="BW508" i="7" s="1"/>
  <c r="BY508" i="7" s="1"/>
  <c r="BA423" i="7"/>
  <c r="BC423" i="7" s="1"/>
  <c r="BE423" i="7" s="1"/>
  <c r="BF423" i="7" s="1"/>
  <c r="BG423" i="7" s="1"/>
  <c r="BR423" i="7"/>
  <c r="BU423" i="7" s="1"/>
  <c r="BW423" i="7" s="1"/>
  <c r="BY423" i="7" s="1"/>
  <c r="BZ423" i="7" s="1"/>
  <c r="CA423" i="7" s="1"/>
  <c r="BA450" i="7"/>
  <c r="BC450" i="7" s="1"/>
  <c r="BE450" i="7" s="1"/>
  <c r="BF450" i="7" s="1"/>
  <c r="BG450" i="7" s="1"/>
  <c r="BR450" i="7"/>
  <c r="BU450" i="7" s="1"/>
  <c r="BW450" i="7" s="1"/>
  <c r="BY450" i="7" s="1"/>
  <c r="BZ450" i="7" s="1"/>
  <c r="CA450" i="7" s="1"/>
  <c r="BA399" i="7"/>
  <c r="BC399" i="7" s="1"/>
  <c r="BE399" i="7" s="1"/>
  <c r="BF399" i="7" s="1"/>
  <c r="BG399" i="7" s="1"/>
  <c r="BR399" i="7"/>
  <c r="BU399" i="7" s="1"/>
  <c r="BW399" i="7" s="1"/>
  <c r="BY399" i="7" s="1"/>
  <c r="BZ399" i="7" s="1"/>
  <c r="CA399" i="7" s="1"/>
  <c r="BA311" i="7"/>
  <c r="BC311" i="7" s="1"/>
  <c r="BE311" i="7" s="1"/>
  <c r="BF311" i="7" s="1"/>
  <c r="BG311" i="7" s="1"/>
  <c r="BR311" i="7"/>
  <c r="BU311" i="7" s="1"/>
  <c r="BW311" i="7" s="1"/>
  <c r="BY311" i="7" s="1"/>
  <c r="BZ311" i="7" s="1"/>
  <c r="CA311" i="7" s="1"/>
  <c r="BA148" i="7"/>
  <c r="BC148" i="7" s="1"/>
  <c r="BE148" i="7" s="1"/>
  <c r="BF148" i="7" s="1"/>
  <c r="BG148" i="7" s="1"/>
  <c r="BR148" i="7"/>
  <c r="BU148" i="7" s="1"/>
  <c r="BW148" i="7" s="1"/>
  <c r="BY148" i="7" s="1"/>
  <c r="BZ148" i="7" s="1"/>
  <c r="CA148" i="7" s="1"/>
  <c r="BA258" i="7"/>
  <c r="BC258" i="7" s="1"/>
  <c r="BE258" i="7" s="1"/>
  <c r="BF258" i="7" s="1"/>
  <c r="BG258" i="7" s="1"/>
  <c r="BR258" i="7"/>
  <c r="BU258" i="7" s="1"/>
  <c r="BW258" i="7" s="1"/>
  <c r="BY258" i="7" s="1"/>
  <c r="BZ258" i="7" s="1"/>
  <c r="CA258" i="7" s="1"/>
  <c r="BA566" i="7"/>
  <c r="BC566" i="7" s="1"/>
  <c r="BE566" i="7" s="1"/>
  <c r="BR566" i="7"/>
  <c r="BU566" i="7" s="1"/>
  <c r="BW566" i="7" s="1"/>
  <c r="BY566" i="7" s="1"/>
  <c r="BA111" i="7"/>
  <c r="BC111" i="7" s="1"/>
  <c r="BE111" i="7" s="1"/>
  <c r="BF111" i="7" s="1"/>
  <c r="BG111" i="7" s="1"/>
  <c r="BR111" i="7"/>
  <c r="BU111" i="7" s="1"/>
  <c r="BW111" i="7" s="1"/>
  <c r="BY111" i="7" s="1"/>
  <c r="BZ111" i="7" s="1"/>
  <c r="CA111" i="7" s="1"/>
  <c r="BR549" i="7"/>
  <c r="BU549" i="7" s="1"/>
  <c r="BW549" i="7" s="1"/>
  <c r="BY549" i="7" s="1"/>
  <c r="BZ549" i="7" s="1"/>
  <c r="CA549" i="7" s="1"/>
  <c r="BA168" i="7"/>
  <c r="BC168" i="7" s="1"/>
  <c r="BE168" i="7" s="1"/>
  <c r="BF168" i="7" s="1"/>
  <c r="BG168" i="7" s="1"/>
  <c r="BR168" i="7"/>
  <c r="BU168" i="7" s="1"/>
  <c r="BW168" i="7" s="1"/>
  <c r="BY168" i="7" s="1"/>
  <c r="BZ168" i="7" s="1"/>
  <c r="CA168" i="7" s="1"/>
  <c r="BA321" i="7"/>
  <c r="BC321" i="7" s="1"/>
  <c r="BE321" i="7" s="1"/>
  <c r="BF321" i="7" s="1"/>
  <c r="BG321" i="7" s="1"/>
  <c r="BR321" i="7"/>
  <c r="BU321" i="7" s="1"/>
  <c r="BW321" i="7" s="1"/>
  <c r="BY321" i="7" s="1"/>
  <c r="BZ321" i="7" s="1"/>
  <c r="CA321" i="7" s="1"/>
  <c r="BA360" i="7"/>
  <c r="BC360" i="7" s="1"/>
  <c r="BE360" i="7" s="1"/>
  <c r="BF360" i="7" s="1"/>
  <c r="BG360" i="7" s="1"/>
  <c r="BR360" i="7"/>
  <c r="BU360" i="7" s="1"/>
  <c r="BW360" i="7" s="1"/>
  <c r="BY360" i="7" s="1"/>
  <c r="BZ360" i="7" s="1"/>
  <c r="CA360" i="7" s="1"/>
  <c r="BR523" i="7"/>
  <c r="BU523" i="7" s="1"/>
  <c r="BW523" i="7" s="1"/>
  <c r="BY523" i="7" s="1"/>
  <c r="BA345" i="7"/>
  <c r="BC345" i="7" s="1"/>
  <c r="BE345" i="7" s="1"/>
  <c r="BF345" i="7" s="1"/>
  <c r="BG345" i="7" s="1"/>
  <c r="BR345" i="7"/>
  <c r="BU345" i="7" s="1"/>
  <c r="BW345" i="7" s="1"/>
  <c r="BY345" i="7" s="1"/>
  <c r="BZ345" i="7" s="1"/>
  <c r="CA345" i="7" s="1"/>
  <c r="BA404" i="7"/>
  <c r="BC404" i="7" s="1"/>
  <c r="BE404" i="7" s="1"/>
  <c r="BF404" i="7" s="1"/>
  <c r="BG404" i="7" s="1"/>
  <c r="BR404" i="7"/>
  <c r="BU404" i="7" s="1"/>
  <c r="BW404" i="7" s="1"/>
  <c r="BY404" i="7" s="1"/>
  <c r="BZ404" i="7" s="1"/>
  <c r="CA404" i="7" s="1"/>
  <c r="BA408" i="7"/>
  <c r="BC408" i="7" s="1"/>
  <c r="BE408" i="7" s="1"/>
  <c r="BF408" i="7" s="1"/>
  <c r="BG408" i="7" s="1"/>
  <c r="BR408" i="7"/>
  <c r="BU408" i="7" s="1"/>
  <c r="BW408" i="7" s="1"/>
  <c r="BY408" i="7" s="1"/>
  <c r="BZ408" i="7" s="1"/>
  <c r="CA408" i="7" s="1"/>
  <c r="BA43" i="7"/>
  <c r="BC43" i="7" s="1"/>
  <c r="BE43" i="7" s="1"/>
  <c r="BF43" i="7" s="1"/>
  <c r="BG43" i="7" s="1"/>
  <c r="BR43" i="7"/>
  <c r="BU43" i="7" s="1"/>
  <c r="BW43" i="7" s="1"/>
  <c r="BY43" i="7" s="1"/>
  <c r="BZ43" i="7" s="1"/>
  <c r="CA43" i="7" s="1"/>
  <c r="BA325" i="7"/>
  <c r="BC325" i="7" s="1"/>
  <c r="BE325" i="7" s="1"/>
  <c r="BF325" i="7" s="1"/>
  <c r="BG325" i="7" s="1"/>
  <c r="BR325" i="7"/>
  <c r="BU325" i="7" s="1"/>
  <c r="BW325" i="7" s="1"/>
  <c r="BY325" i="7" s="1"/>
  <c r="BZ325" i="7" s="1"/>
  <c r="CA325" i="7" s="1"/>
  <c r="BR483" i="7"/>
  <c r="BU483" i="7" s="1"/>
  <c r="BW483" i="7" s="1"/>
  <c r="BY483" i="7" s="1"/>
  <c r="BA253" i="7"/>
  <c r="BC253" i="7" s="1"/>
  <c r="BE253" i="7" s="1"/>
  <c r="BF253" i="7" s="1"/>
  <c r="BG253" i="7" s="1"/>
  <c r="BR253" i="7"/>
  <c r="BU253" i="7" s="1"/>
  <c r="BW253" i="7" s="1"/>
  <c r="BY253" i="7" s="1"/>
  <c r="BZ253" i="7" s="1"/>
  <c r="CA253" i="7" s="1"/>
  <c r="BA25" i="7"/>
  <c r="BC25" i="7" s="1"/>
  <c r="BE25" i="7" s="1"/>
  <c r="BF25" i="7" s="1"/>
  <c r="BG25" i="7" s="1"/>
  <c r="BR25" i="7"/>
  <c r="BU25" i="7" s="1"/>
  <c r="BW25" i="7" s="1"/>
  <c r="BY25" i="7" s="1"/>
  <c r="BZ25" i="7" s="1"/>
  <c r="CA25" i="7" s="1"/>
  <c r="BA247" i="7"/>
  <c r="BC247" i="7" s="1"/>
  <c r="BE247" i="7" s="1"/>
  <c r="BF247" i="7" s="1"/>
  <c r="BG247" i="7" s="1"/>
  <c r="BR247" i="7"/>
  <c r="BU247" i="7" s="1"/>
  <c r="BW247" i="7" s="1"/>
  <c r="BY247" i="7" s="1"/>
  <c r="BZ247" i="7" s="1"/>
  <c r="CA247" i="7" s="1"/>
  <c r="BA262" i="7"/>
  <c r="BC262" i="7" s="1"/>
  <c r="BE262" i="7" s="1"/>
  <c r="BF262" i="7" s="1"/>
  <c r="BG262" i="7" s="1"/>
  <c r="BR262" i="7"/>
  <c r="BU262" i="7" s="1"/>
  <c r="BW262" i="7" s="1"/>
  <c r="BY262" i="7" s="1"/>
  <c r="BZ262" i="7" s="1"/>
  <c r="CA262" i="7" s="1"/>
  <c r="BA427" i="7"/>
  <c r="BC427" i="7" s="1"/>
  <c r="BE427" i="7" s="1"/>
  <c r="BF427" i="7" s="1"/>
  <c r="BG427" i="7" s="1"/>
  <c r="BR427" i="7"/>
  <c r="BU427" i="7" s="1"/>
  <c r="BW427" i="7" s="1"/>
  <c r="BY427" i="7" s="1"/>
  <c r="BZ427" i="7" s="1"/>
  <c r="CA427" i="7" s="1"/>
  <c r="BA455" i="7"/>
  <c r="BC455" i="7" s="1"/>
  <c r="BE455" i="7" s="1"/>
  <c r="BF455" i="7" s="1"/>
  <c r="BG455" i="7" s="1"/>
  <c r="BR455" i="7"/>
  <c r="BU455" i="7" s="1"/>
  <c r="BW455" i="7" s="1"/>
  <c r="BY455" i="7" s="1"/>
  <c r="BZ455" i="7" s="1"/>
  <c r="CA455" i="7" s="1"/>
  <c r="BA123" i="7"/>
  <c r="BC123" i="7" s="1"/>
  <c r="BE123" i="7" s="1"/>
  <c r="BF123" i="7" s="1"/>
  <c r="BG123" i="7" s="1"/>
  <c r="BR123" i="7"/>
  <c r="BU123" i="7" s="1"/>
  <c r="BW123" i="7" s="1"/>
  <c r="BY123" i="7" s="1"/>
  <c r="BZ123" i="7" s="1"/>
  <c r="CA123" i="7" s="1"/>
  <c r="BA397" i="7"/>
  <c r="BC397" i="7" s="1"/>
  <c r="BE397" i="7" s="1"/>
  <c r="BF397" i="7" s="1"/>
  <c r="BG397" i="7" s="1"/>
  <c r="BR397" i="7"/>
  <c r="BU397" i="7" s="1"/>
  <c r="BW397" i="7" s="1"/>
  <c r="BY397" i="7" s="1"/>
  <c r="BZ397" i="7" s="1"/>
  <c r="CA397" i="7" s="1"/>
  <c r="BA433" i="7"/>
  <c r="BC433" i="7" s="1"/>
  <c r="BE433" i="7" s="1"/>
  <c r="BF433" i="7" s="1"/>
  <c r="BG433" i="7" s="1"/>
  <c r="BR433" i="7"/>
  <c r="BU433" i="7" s="1"/>
  <c r="BW433" i="7" s="1"/>
  <c r="BY433" i="7" s="1"/>
  <c r="BZ433" i="7" s="1"/>
  <c r="CA433" i="7" s="1"/>
  <c r="BA136" i="7"/>
  <c r="BC136" i="7" s="1"/>
  <c r="BE136" i="7" s="1"/>
  <c r="BF136" i="7" s="1"/>
  <c r="BG136" i="7" s="1"/>
  <c r="BR136" i="7"/>
  <c r="BU136" i="7" s="1"/>
  <c r="BW136" i="7" s="1"/>
  <c r="BY136" i="7" s="1"/>
  <c r="BZ136" i="7" s="1"/>
  <c r="CA136" i="7" s="1"/>
  <c r="BA448" i="7"/>
  <c r="BC448" i="7" s="1"/>
  <c r="BE448" i="7" s="1"/>
  <c r="BF448" i="7" s="1"/>
  <c r="BG448" i="7" s="1"/>
  <c r="BR448" i="7"/>
  <c r="BU448" i="7" s="1"/>
  <c r="BW448" i="7" s="1"/>
  <c r="BY448" i="7" s="1"/>
  <c r="BZ448" i="7" s="1"/>
  <c r="CA448" i="7" s="1"/>
  <c r="BA15" i="7"/>
  <c r="BC15" i="7" s="1"/>
  <c r="BE15" i="7" s="1"/>
  <c r="BF15" i="7" s="1"/>
  <c r="BG15" i="7" s="1"/>
  <c r="BR15" i="7"/>
  <c r="BU15" i="7" s="1"/>
  <c r="BW15" i="7" s="1"/>
  <c r="BY15" i="7" s="1"/>
  <c r="BZ15" i="7" s="1"/>
  <c r="CA15" i="7" s="1"/>
  <c r="BA350" i="7"/>
  <c r="BC350" i="7" s="1"/>
  <c r="BE350" i="7" s="1"/>
  <c r="BF350" i="7" s="1"/>
  <c r="BG350" i="7" s="1"/>
  <c r="BR350" i="7"/>
  <c r="BU350" i="7" s="1"/>
  <c r="BW350" i="7" s="1"/>
  <c r="BY350" i="7" s="1"/>
  <c r="BZ350" i="7" s="1"/>
  <c r="CA350" i="7" s="1"/>
  <c r="BA459" i="7"/>
  <c r="BC459" i="7" s="1"/>
  <c r="BE459" i="7" s="1"/>
  <c r="BF459" i="7" s="1"/>
  <c r="BG459" i="7" s="1"/>
  <c r="BR459" i="7"/>
  <c r="BU459" i="7" s="1"/>
  <c r="BW459" i="7" s="1"/>
  <c r="BY459" i="7" s="1"/>
  <c r="BZ459" i="7" s="1"/>
  <c r="CA459" i="7" s="1"/>
  <c r="BA355" i="7"/>
  <c r="BC355" i="7" s="1"/>
  <c r="BE355" i="7" s="1"/>
  <c r="BF355" i="7" s="1"/>
  <c r="BG355" i="7" s="1"/>
  <c r="BR355" i="7"/>
  <c r="BU355" i="7" s="1"/>
  <c r="BW355" i="7" s="1"/>
  <c r="BY355" i="7" s="1"/>
  <c r="BZ355" i="7" s="1"/>
  <c r="CA355" i="7" s="1"/>
  <c r="BA116" i="7"/>
  <c r="BC116" i="7" s="1"/>
  <c r="BE116" i="7" s="1"/>
  <c r="BF116" i="7" s="1"/>
  <c r="BG116" i="7" s="1"/>
  <c r="BR116" i="7"/>
  <c r="BU116" i="7" s="1"/>
  <c r="BW116" i="7" s="1"/>
  <c r="BY116" i="7" s="1"/>
  <c r="BZ116" i="7" s="1"/>
  <c r="CA116" i="7" s="1"/>
  <c r="BA327" i="7"/>
  <c r="BC327" i="7" s="1"/>
  <c r="BE327" i="7" s="1"/>
  <c r="BF327" i="7" s="1"/>
  <c r="BG327" i="7" s="1"/>
  <c r="BR327" i="7"/>
  <c r="BU327" i="7" s="1"/>
  <c r="BW327" i="7" s="1"/>
  <c r="BY327" i="7" s="1"/>
  <c r="BZ327" i="7" s="1"/>
  <c r="CA327" i="7" s="1"/>
  <c r="BA266" i="7"/>
  <c r="BC266" i="7" s="1"/>
  <c r="BE266" i="7" s="1"/>
  <c r="BF266" i="7" s="1"/>
  <c r="BG266" i="7" s="1"/>
  <c r="BR266" i="7"/>
  <c r="BU266" i="7" s="1"/>
  <c r="BW266" i="7" s="1"/>
  <c r="BY266" i="7" s="1"/>
  <c r="BZ266" i="7" s="1"/>
  <c r="CA266" i="7" s="1"/>
  <c r="BR553" i="7"/>
  <c r="BU553" i="7" s="1"/>
  <c r="BW553" i="7" s="1"/>
  <c r="BY553" i="7" s="1"/>
  <c r="BA317" i="7"/>
  <c r="BC317" i="7" s="1"/>
  <c r="BE317" i="7" s="1"/>
  <c r="BF317" i="7" s="1"/>
  <c r="BG317" i="7" s="1"/>
  <c r="BR317" i="7"/>
  <c r="BU317" i="7" s="1"/>
  <c r="BW317" i="7" s="1"/>
  <c r="BY317" i="7" s="1"/>
  <c r="BZ317" i="7" s="1"/>
  <c r="CA317" i="7" s="1"/>
  <c r="BA409" i="7"/>
  <c r="BC409" i="7" s="1"/>
  <c r="BE409" i="7" s="1"/>
  <c r="BF409" i="7" s="1"/>
  <c r="BG409" i="7" s="1"/>
  <c r="BR409" i="7"/>
  <c r="BU409" i="7" s="1"/>
  <c r="BW409" i="7" s="1"/>
  <c r="BY409" i="7" s="1"/>
  <c r="BZ409" i="7" s="1"/>
  <c r="CA409" i="7" s="1"/>
  <c r="BR490" i="7"/>
  <c r="BU490" i="7" s="1"/>
  <c r="BW490" i="7" s="1"/>
  <c r="BY490" i="7" s="1"/>
  <c r="BA377" i="7"/>
  <c r="BC377" i="7" s="1"/>
  <c r="BE377" i="7" s="1"/>
  <c r="BF377" i="7" s="1"/>
  <c r="BG377" i="7" s="1"/>
  <c r="BR377" i="7"/>
  <c r="BU377" i="7" s="1"/>
  <c r="BW377" i="7" s="1"/>
  <c r="BY377" i="7" s="1"/>
  <c r="BZ377" i="7" s="1"/>
  <c r="CA377" i="7" s="1"/>
  <c r="BR563" i="7"/>
  <c r="BU563" i="7" s="1"/>
  <c r="BW563" i="7" s="1"/>
  <c r="BY563" i="7" s="1"/>
  <c r="BA69" i="7"/>
  <c r="BC69" i="7" s="1"/>
  <c r="BE69" i="7" s="1"/>
  <c r="BF69" i="7" s="1"/>
  <c r="BG69" i="7" s="1"/>
  <c r="BR69" i="7"/>
  <c r="BU69" i="7" s="1"/>
  <c r="BW69" i="7" s="1"/>
  <c r="BY69" i="7" s="1"/>
  <c r="BZ69" i="7" s="1"/>
  <c r="CA69" i="7" s="1"/>
  <c r="BA357" i="7"/>
  <c r="BC357" i="7" s="1"/>
  <c r="BE357" i="7" s="1"/>
  <c r="BF357" i="7" s="1"/>
  <c r="BG357" i="7" s="1"/>
  <c r="BR357" i="7"/>
  <c r="BU357" i="7" s="1"/>
  <c r="BW357" i="7" s="1"/>
  <c r="BY357" i="7" s="1"/>
  <c r="BZ357" i="7" s="1"/>
  <c r="CA357" i="7" s="1"/>
  <c r="BA342" i="7"/>
  <c r="BC342" i="7" s="1"/>
  <c r="BE342" i="7" s="1"/>
  <c r="BF342" i="7" s="1"/>
  <c r="BG342" i="7" s="1"/>
  <c r="BR342" i="7"/>
  <c r="BU342" i="7" s="1"/>
  <c r="BW342" i="7" s="1"/>
  <c r="BY342" i="7" s="1"/>
  <c r="BZ342" i="7" s="1"/>
  <c r="CA342" i="7" s="1"/>
  <c r="BA12" i="7"/>
  <c r="BC12" i="7" s="1"/>
  <c r="BE12" i="7" s="1"/>
  <c r="BF12" i="7" s="1"/>
  <c r="BG12" i="7" s="1"/>
  <c r="BR12" i="7"/>
  <c r="BU12" i="7" s="1"/>
  <c r="BW12" i="7" s="1"/>
  <c r="BY12" i="7" s="1"/>
  <c r="BZ12" i="7" s="1"/>
  <c r="CA12" i="7" s="1"/>
  <c r="BR569" i="7"/>
  <c r="BU569" i="7" s="1"/>
  <c r="BW569" i="7" s="1"/>
  <c r="BY569" i="7" s="1"/>
  <c r="BA183" i="7"/>
  <c r="BC183" i="7" s="1"/>
  <c r="BE183" i="7" s="1"/>
  <c r="BF183" i="7" s="1"/>
  <c r="BG183" i="7" s="1"/>
  <c r="BR183" i="7"/>
  <c r="BU183" i="7" s="1"/>
  <c r="BW183" i="7" s="1"/>
  <c r="BY183" i="7" s="1"/>
  <c r="BZ183" i="7" s="1"/>
  <c r="CA183" i="7" s="1"/>
  <c r="BR461" i="7"/>
  <c r="BU461" i="7" s="1"/>
  <c r="BW461" i="7" s="1"/>
  <c r="BY461" i="7" s="1"/>
  <c r="BZ461" i="7" s="1"/>
  <c r="CA461" i="7" s="1"/>
  <c r="BA387" i="7"/>
  <c r="BC387" i="7" s="1"/>
  <c r="BE387" i="7" s="1"/>
  <c r="BF387" i="7" s="1"/>
  <c r="BG387" i="7" s="1"/>
  <c r="BR387" i="7"/>
  <c r="BU387" i="7" s="1"/>
  <c r="BW387" i="7" s="1"/>
  <c r="BY387" i="7" s="1"/>
  <c r="BZ387" i="7" s="1"/>
  <c r="CA387" i="7" s="1"/>
  <c r="BA330" i="7"/>
  <c r="BC330" i="7" s="1"/>
  <c r="BE330" i="7" s="1"/>
  <c r="BF330" i="7" s="1"/>
  <c r="BG330" i="7" s="1"/>
  <c r="BR330" i="7"/>
  <c r="BU330" i="7" s="1"/>
  <c r="BW330" i="7" s="1"/>
  <c r="BY330" i="7" s="1"/>
  <c r="BZ330" i="7" s="1"/>
  <c r="CA330" i="7" s="1"/>
  <c r="BA92" i="7"/>
  <c r="BC92" i="7" s="1"/>
  <c r="BE92" i="7" s="1"/>
  <c r="BF92" i="7" s="1"/>
  <c r="BG92" i="7" s="1"/>
  <c r="BR92" i="7"/>
  <c r="BU92" i="7" s="1"/>
  <c r="BW92" i="7" s="1"/>
  <c r="BY92" i="7" s="1"/>
  <c r="BZ92" i="7" s="1"/>
  <c r="CA92" i="7" s="1"/>
  <c r="BA272" i="7"/>
  <c r="BC272" i="7" s="1"/>
  <c r="BE272" i="7" s="1"/>
  <c r="BF272" i="7" s="1"/>
  <c r="BG272" i="7" s="1"/>
  <c r="BR272" i="7"/>
  <c r="BU272" i="7" s="1"/>
  <c r="BW272" i="7" s="1"/>
  <c r="BY272" i="7" s="1"/>
  <c r="BZ272" i="7" s="1"/>
  <c r="CA272" i="7" s="1"/>
  <c r="BR522" i="7"/>
  <c r="BU522" i="7" s="1"/>
  <c r="BW522" i="7" s="1"/>
  <c r="BY522" i="7" s="1"/>
  <c r="BZ522" i="7" s="1"/>
  <c r="CA522" i="7" s="1"/>
  <c r="BA316" i="7"/>
  <c r="BC316" i="7" s="1"/>
  <c r="BE316" i="7" s="1"/>
  <c r="BF316" i="7" s="1"/>
  <c r="BG316" i="7" s="1"/>
  <c r="BR316" i="7"/>
  <c r="BU316" i="7" s="1"/>
  <c r="BW316" i="7" s="1"/>
  <c r="BY316" i="7" s="1"/>
  <c r="BZ316" i="7" s="1"/>
  <c r="CA316" i="7" s="1"/>
  <c r="BA133" i="7"/>
  <c r="BC133" i="7" s="1"/>
  <c r="BE133" i="7" s="1"/>
  <c r="BF133" i="7" s="1"/>
  <c r="BG133" i="7" s="1"/>
  <c r="BR133" i="7"/>
  <c r="BU133" i="7" s="1"/>
  <c r="BW133" i="7" s="1"/>
  <c r="BY133" i="7" s="1"/>
  <c r="BZ133" i="7" s="1"/>
  <c r="CA133" i="7" s="1"/>
  <c r="BA234" i="7"/>
  <c r="BC234" i="7" s="1"/>
  <c r="BE234" i="7" s="1"/>
  <c r="BF234" i="7" s="1"/>
  <c r="BG234" i="7" s="1"/>
  <c r="BR234" i="7"/>
  <c r="BU234" i="7" s="1"/>
  <c r="BW234" i="7" s="1"/>
  <c r="BY234" i="7" s="1"/>
  <c r="BZ234" i="7" s="1"/>
  <c r="CA234" i="7" s="1"/>
  <c r="BA24" i="7"/>
  <c r="BC24" i="7" s="1"/>
  <c r="BE24" i="7" s="1"/>
  <c r="BF24" i="7" s="1"/>
  <c r="BG24" i="7" s="1"/>
  <c r="BR24" i="7"/>
  <c r="BU24" i="7" s="1"/>
  <c r="BW24" i="7" s="1"/>
  <c r="BY24" i="7" s="1"/>
  <c r="BZ24" i="7" s="1"/>
  <c r="CA24" i="7" s="1"/>
  <c r="BA274" i="7"/>
  <c r="BC274" i="7" s="1"/>
  <c r="BE274" i="7" s="1"/>
  <c r="BF274" i="7" s="1"/>
  <c r="BG274" i="7" s="1"/>
  <c r="BR274" i="7"/>
  <c r="BU274" i="7" s="1"/>
  <c r="BW274" i="7" s="1"/>
  <c r="BY274" i="7" s="1"/>
  <c r="BZ274" i="7" s="1"/>
  <c r="CA274" i="7" s="1"/>
  <c r="BA109" i="7"/>
  <c r="BC109" i="7" s="1"/>
  <c r="BE109" i="7" s="1"/>
  <c r="BF109" i="7" s="1"/>
  <c r="BG109" i="7" s="1"/>
  <c r="BR109" i="7"/>
  <c r="BU109" i="7" s="1"/>
  <c r="BW109" i="7" s="1"/>
  <c r="BY109" i="7" s="1"/>
  <c r="BZ109" i="7" s="1"/>
  <c r="CA109" i="7" s="1"/>
  <c r="BA281" i="7"/>
  <c r="BC281" i="7" s="1"/>
  <c r="BE281" i="7" s="1"/>
  <c r="BF281" i="7" s="1"/>
  <c r="BG281" i="7" s="1"/>
  <c r="BR281" i="7"/>
  <c r="BU281" i="7" s="1"/>
  <c r="BW281" i="7" s="1"/>
  <c r="BY281" i="7" s="1"/>
  <c r="BZ281" i="7" s="1"/>
  <c r="CA281" i="7" s="1"/>
  <c r="BR547" i="7"/>
  <c r="BU547" i="7" s="1"/>
  <c r="BW547" i="7" s="1"/>
  <c r="BY547" i="7" s="1"/>
  <c r="BA444" i="7"/>
  <c r="BC444" i="7" s="1"/>
  <c r="BE444" i="7" s="1"/>
  <c r="BF444" i="7" s="1"/>
  <c r="BG444" i="7" s="1"/>
  <c r="BR444" i="7"/>
  <c r="BU444" i="7" s="1"/>
  <c r="BW444" i="7" s="1"/>
  <c r="BY444" i="7" s="1"/>
  <c r="BZ444" i="7" s="1"/>
  <c r="CA444" i="7" s="1"/>
  <c r="BA406" i="7"/>
  <c r="BC406" i="7" s="1"/>
  <c r="BE406" i="7" s="1"/>
  <c r="BF406" i="7" s="1"/>
  <c r="BG406" i="7" s="1"/>
  <c r="BR406" i="7"/>
  <c r="BU406" i="7" s="1"/>
  <c r="BW406" i="7" s="1"/>
  <c r="BY406" i="7" s="1"/>
  <c r="BZ406" i="7" s="1"/>
  <c r="CA406" i="7" s="1"/>
  <c r="BR545" i="7"/>
  <c r="BU545" i="7" s="1"/>
  <c r="BW545" i="7" s="1"/>
  <c r="BY545" i="7" s="1"/>
  <c r="BZ545" i="7" s="1"/>
  <c r="CA545" i="7" s="1"/>
  <c r="BA417" i="7"/>
  <c r="BC417" i="7" s="1"/>
  <c r="BE417" i="7" s="1"/>
  <c r="BF417" i="7" s="1"/>
  <c r="BG417" i="7" s="1"/>
  <c r="BR417" i="7"/>
  <c r="BU417" i="7" s="1"/>
  <c r="BW417" i="7" s="1"/>
  <c r="BY417" i="7" s="1"/>
  <c r="BZ417" i="7" s="1"/>
  <c r="CA417" i="7" s="1"/>
  <c r="BA42" i="7"/>
  <c r="BC42" i="7" s="1"/>
  <c r="BE42" i="7" s="1"/>
  <c r="BF42" i="7" s="1"/>
  <c r="BG42" i="7" s="1"/>
  <c r="BR42" i="7"/>
  <c r="BU42" i="7" s="1"/>
  <c r="BW42" i="7" s="1"/>
  <c r="BY42" i="7" s="1"/>
  <c r="BZ42" i="7" s="1"/>
  <c r="CA42" i="7" s="1"/>
  <c r="BA418" i="7"/>
  <c r="BC418" i="7" s="1"/>
  <c r="BE418" i="7" s="1"/>
  <c r="BF418" i="7" s="1"/>
  <c r="BG418" i="7" s="1"/>
  <c r="BR418" i="7"/>
  <c r="BU418" i="7" s="1"/>
  <c r="BW418" i="7" s="1"/>
  <c r="BY418" i="7" s="1"/>
  <c r="BZ418" i="7" s="1"/>
  <c r="CA418" i="7" s="1"/>
  <c r="BR511" i="7"/>
  <c r="BU511" i="7" s="1"/>
  <c r="BW511" i="7" s="1"/>
  <c r="BY511" i="7" s="1"/>
  <c r="BR542" i="7"/>
  <c r="BU542" i="7" s="1"/>
  <c r="BW542" i="7" s="1"/>
  <c r="BY542" i="7" s="1"/>
  <c r="BZ542" i="7" s="1"/>
  <c r="CA542" i="7" s="1"/>
  <c r="BA41" i="7"/>
  <c r="BC41" i="7" s="1"/>
  <c r="BE41" i="7" s="1"/>
  <c r="BF41" i="7" s="1"/>
  <c r="BG41" i="7" s="1"/>
  <c r="BR41" i="7"/>
  <c r="BU41" i="7" s="1"/>
  <c r="BW41" i="7" s="1"/>
  <c r="BY41" i="7" s="1"/>
  <c r="BZ41" i="7" s="1"/>
  <c r="CA41" i="7" s="1"/>
  <c r="BA379" i="7"/>
  <c r="BC379" i="7" s="1"/>
  <c r="BE379" i="7" s="1"/>
  <c r="BF379" i="7" s="1"/>
  <c r="BG379" i="7" s="1"/>
  <c r="BR379" i="7"/>
  <c r="BU379" i="7" s="1"/>
  <c r="BW379" i="7" s="1"/>
  <c r="BY379" i="7" s="1"/>
  <c r="BZ379" i="7" s="1"/>
  <c r="CA379" i="7" s="1"/>
  <c r="BA382" i="7"/>
  <c r="BC382" i="7" s="1"/>
  <c r="BE382" i="7" s="1"/>
  <c r="BF382" i="7" s="1"/>
  <c r="BG382" i="7" s="1"/>
  <c r="BR382" i="7"/>
  <c r="BU382" i="7" s="1"/>
  <c r="BW382" i="7" s="1"/>
  <c r="BY382" i="7" s="1"/>
  <c r="BZ382" i="7" s="1"/>
  <c r="CA382" i="7" s="1"/>
  <c r="BR565" i="7"/>
  <c r="BU565" i="7" s="1"/>
  <c r="BW565" i="7" s="1"/>
  <c r="BY565" i="7" s="1"/>
  <c r="BZ565" i="7" s="1"/>
  <c r="CA565" i="7" s="1"/>
  <c r="BA149" i="7"/>
  <c r="BC149" i="7" s="1"/>
  <c r="BE149" i="7" s="1"/>
  <c r="BF149" i="7" s="1"/>
  <c r="BG149" i="7" s="1"/>
  <c r="BR149" i="7"/>
  <c r="BU149" i="7" s="1"/>
  <c r="BW149" i="7" s="1"/>
  <c r="BY149" i="7" s="1"/>
  <c r="BZ149" i="7" s="1"/>
  <c r="CA149" i="7" s="1"/>
  <c r="BA265" i="7"/>
  <c r="BC265" i="7" s="1"/>
  <c r="BE265" i="7" s="1"/>
  <c r="BF265" i="7" s="1"/>
  <c r="BG265" i="7" s="1"/>
  <c r="BR265" i="7"/>
  <c r="BU265" i="7" s="1"/>
  <c r="BW265" i="7" s="1"/>
  <c r="BY265" i="7" s="1"/>
  <c r="BZ265" i="7" s="1"/>
  <c r="CA265" i="7" s="1"/>
  <c r="BA425" i="7"/>
  <c r="BC425" i="7" s="1"/>
  <c r="BE425" i="7" s="1"/>
  <c r="BF425" i="7" s="1"/>
  <c r="BG425" i="7" s="1"/>
  <c r="BR425" i="7"/>
  <c r="BU425" i="7" s="1"/>
  <c r="BW425" i="7" s="1"/>
  <c r="BY425" i="7" s="1"/>
  <c r="BZ425" i="7" s="1"/>
  <c r="CA425" i="7" s="1"/>
  <c r="BA261" i="7"/>
  <c r="BC261" i="7" s="1"/>
  <c r="BE261" i="7" s="1"/>
  <c r="BF261" i="7" s="1"/>
  <c r="BG261" i="7" s="1"/>
  <c r="BR261" i="7"/>
  <c r="BU261" i="7" s="1"/>
  <c r="BW261" i="7" s="1"/>
  <c r="BY261" i="7" s="1"/>
  <c r="BZ261" i="7" s="1"/>
  <c r="CA261" i="7" s="1"/>
  <c r="BR550" i="7"/>
  <c r="BU550" i="7" s="1"/>
  <c r="BW550" i="7" s="1"/>
  <c r="BY550" i="7" s="1"/>
  <c r="BR561" i="7"/>
  <c r="BU561" i="7" s="1"/>
  <c r="BW561" i="7" s="1"/>
  <c r="BY561" i="7" s="1"/>
  <c r="BZ561" i="7" s="1"/>
  <c r="CA561" i="7" s="1"/>
  <c r="BA81" i="7"/>
  <c r="BC81" i="7" s="1"/>
  <c r="BE81" i="7" s="1"/>
  <c r="BF81" i="7" s="1"/>
  <c r="BG81" i="7" s="1"/>
  <c r="BR81" i="7"/>
  <c r="BU81" i="7" s="1"/>
  <c r="BW81" i="7" s="1"/>
  <c r="BY81" i="7" s="1"/>
  <c r="BZ81" i="7" s="1"/>
  <c r="CA81" i="7" s="1"/>
  <c r="BA153" i="7"/>
  <c r="BC153" i="7" s="1"/>
  <c r="BE153" i="7" s="1"/>
  <c r="BF153" i="7" s="1"/>
  <c r="BG153" i="7" s="1"/>
  <c r="BR153" i="7"/>
  <c r="BU153" i="7" s="1"/>
  <c r="BW153" i="7" s="1"/>
  <c r="BY153" i="7" s="1"/>
  <c r="BZ153" i="7" s="1"/>
  <c r="CA153" i="7" s="1"/>
  <c r="BR571" i="7"/>
  <c r="BU571" i="7" s="1"/>
  <c r="BW571" i="7" s="1"/>
  <c r="BY571" i="7" s="1"/>
  <c r="BA396" i="7"/>
  <c r="BC396" i="7" s="1"/>
  <c r="BE396" i="7" s="1"/>
  <c r="BF396" i="7" s="1"/>
  <c r="BG396" i="7" s="1"/>
  <c r="BR396" i="7"/>
  <c r="BU396" i="7" s="1"/>
  <c r="BW396" i="7" s="1"/>
  <c r="BY396" i="7" s="1"/>
  <c r="BZ396" i="7" s="1"/>
  <c r="CA396" i="7" s="1"/>
  <c r="BA367" i="7"/>
  <c r="BC367" i="7" s="1"/>
  <c r="BE367" i="7" s="1"/>
  <c r="BF367" i="7" s="1"/>
  <c r="BG367" i="7" s="1"/>
  <c r="BR367" i="7"/>
  <c r="BU367" i="7" s="1"/>
  <c r="BW367" i="7" s="1"/>
  <c r="BY367" i="7" s="1"/>
  <c r="BZ367" i="7" s="1"/>
  <c r="CA367" i="7" s="1"/>
  <c r="BA4" i="7"/>
  <c r="BC4" i="7" s="1"/>
  <c r="BE4" i="7" s="1"/>
  <c r="BF4" i="7" s="1"/>
  <c r="BG4" i="7" s="1"/>
  <c r="BR4" i="7"/>
  <c r="BU4" i="7" s="1"/>
  <c r="BW4" i="7" s="1"/>
  <c r="BY4" i="7" s="1"/>
  <c r="BZ4" i="7" s="1"/>
  <c r="CA4" i="7" s="1"/>
  <c r="BA155" i="7"/>
  <c r="BC155" i="7" s="1"/>
  <c r="BE155" i="7" s="1"/>
  <c r="BF155" i="7" s="1"/>
  <c r="BG155" i="7" s="1"/>
  <c r="BR155" i="7"/>
  <c r="BU155" i="7" s="1"/>
  <c r="BW155" i="7" s="1"/>
  <c r="BY155" i="7" s="1"/>
  <c r="BZ155" i="7" s="1"/>
  <c r="CA155" i="7" s="1"/>
  <c r="BA384" i="7"/>
  <c r="BC384" i="7" s="1"/>
  <c r="BE384" i="7" s="1"/>
  <c r="BF384" i="7" s="1"/>
  <c r="BG384" i="7" s="1"/>
  <c r="BR384" i="7"/>
  <c r="BU384" i="7" s="1"/>
  <c r="BW384" i="7" s="1"/>
  <c r="BY384" i="7" s="1"/>
  <c r="BZ384" i="7" s="1"/>
  <c r="CA384" i="7" s="1"/>
  <c r="BA314" i="7"/>
  <c r="BC314" i="7" s="1"/>
  <c r="BE314" i="7" s="1"/>
  <c r="BF314" i="7" s="1"/>
  <c r="BG314" i="7" s="1"/>
  <c r="BR314" i="7"/>
  <c r="BU314" i="7" s="1"/>
  <c r="BW314" i="7" s="1"/>
  <c r="BY314" i="7" s="1"/>
  <c r="BZ314" i="7" s="1"/>
  <c r="CA314" i="7" s="1"/>
  <c r="BA337" i="7"/>
  <c r="BC337" i="7" s="1"/>
  <c r="BE337" i="7" s="1"/>
  <c r="BF337" i="7" s="1"/>
  <c r="BG337" i="7" s="1"/>
  <c r="BR337" i="7"/>
  <c r="BU337" i="7" s="1"/>
  <c r="BW337" i="7" s="1"/>
  <c r="BY337" i="7" s="1"/>
  <c r="BZ337" i="7" s="1"/>
  <c r="CA337" i="7" s="1"/>
  <c r="BA273" i="7"/>
  <c r="BC273" i="7" s="1"/>
  <c r="BE273" i="7" s="1"/>
  <c r="BF273" i="7" s="1"/>
  <c r="BG273" i="7" s="1"/>
  <c r="BR273" i="7"/>
  <c r="BU273" i="7" s="1"/>
  <c r="BW273" i="7" s="1"/>
  <c r="BY273" i="7" s="1"/>
  <c r="BZ273" i="7" s="1"/>
  <c r="CA273" i="7" s="1"/>
  <c r="BA174" i="7"/>
  <c r="BC174" i="7" s="1"/>
  <c r="BE174" i="7" s="1"/>
  <c r="BF174" i="7" s="1"/>
  <c r="BG174" i="7" s="1"/>
  <c r="BR174" i="7"/>
  <c r="BU174" i="7" s="1"/>
  <c r="BW174" i="7" s="1"/>
  <c r="BY174" i="7" s="1"/>
  <c r="BZ174" i="7" s="1"/>
  <c r="CA174" i="7" s="1"/>
  <c r="BA203" i="7"/>
  <c r="BC203" i="7" s="1"/>
  <c r="BE203" i="7" s="1"/>
  <c r="BF203" i="7" s="1"/>
  <c r="BG203" i="7" s="1"/>
  <c r="AO107" i="6"/>
  <c r="AV107" i="6" s="1"/>
  <c r="BA430" i="7"/>
  <c r="BC430" i="7" s="1"/>
  <c r="BE430" i="7" s="1"/>
  <c r="BF430" i="7" s="1"/>
  <c r="BG430" i="7" s="1"/>
  <c r="BA125" i="7"/>
  <c r="BC125" i="7" s="1"/>
  <c r="BE125" i="7" s="1"/>
  <c r="BF125" i="7" s="1"/>
  <c r="BG125" i="7" s="1"/>
  <c r="BA236" i="7"/>
  <c r="BC236" i="7" s="1"/>
  <c r="BE236" i="7" s="1"/>
  <c r="BF236" i="7" s="1"/>
  <c r="BG236" i="7" s="1"/>
  <c r="BA386" i="7"/>
  <c r="BC386" i="7" s="1"/>
  <c r="BE386" i="7" s="1"/>
  <c r="BF386" i="7" s="1"/>
  <c r="BG386" i="7" s="1"/>
  <c r="BA204" i="7"/>
  <c r="BC204" i="7" s="1"/>
  <c r="BE204" i="7" s="1"/>
  <c r="BF204" i="7" s="1"/>
  <c r="BG204" i="7" s="1"/>
  <c r="BA405" i="7"/>
  <c r="BC405" i="7" s="1"/>
  <c r="BE405" i="7" s="1"/>
  <c r="BF405" i="7" s="1"/>
  <c r="BG405" i="7" s="1"/>
  <c r="BA364" i="7"/>
  <c r="BC364" i="7" s="1"/>
  <c r="BE364" i="7" s="1"/>
  <c r="BF364" i="7" s="1"/>
  <c r="BG364" i="7" s="1"/>
  <c r="BA119" i="7"/>
  <c r="BC119" i="7" s="1"/>
  <c r="BE119" i="7" s="1"/>
  <c r="BF119" i="7" s="1"/>
  <c r="BG119" i="7" s="1"/>
  <c r="AX24" i="6"/>
  <c r="BA24" i="6" s="1"/>
  <c r="BC24" i="6" s="1"/>
  <c r="BE24" i="6" s="1"/>
  <c r="BF24" i="6" s="1"/>
  <c r="BG24" i="6" s="1"/>
  <c r="AX57" i="6"/>
  <c r="BA57" i="6" s="1"/>
  <c r="BC57" i="6" s="1"/>
  <c r="AX47" i="6"/>
  <c r="BA47" i="6" s="1"/>
  <c r="BC47" i="6" s="1"/>
  <c r="AX72" i="6"/>
  <c r="BA72" i="6" s="1"/>
  <c r="BC72" i="6" s="1"/>
  <c r="BE72" i="6" s="1"/>
  <c r="BF72" i="6" s="1"/>
  <c r="BG72" i="6" s="1"/>
  <c r="AX54" i="6"/>
  <c r="BA54" i="6" s="1"/>
  <c r="BC54" i="6" s="1"/>
  <c r="BE54" i="6" s="1"/>
  <c r="BF54" i="6" s="1"/>
  <c r="BG54" i="6" s="1"/>
  <c r="AX62" i="6"/>
  <c r="BA62" i="6" s="1"/>
  <c r="BC62" i="6" s="1"/>
  <c r="BE62" i="6" s="1"/>
  <c r="BF62" i="6" s="1"/>
  <c r="BG62" i="6" s="1"/>
  <c r="BE110" i="6"/>
  <c r="BF110" i="6" s="1"/>
  <c r="BG110" i="6" s="1"/>
  <c r="AX177" i="6"/>
  <c r="BA177" i="6" s="1"/>
  <c r="BC177" i="6" s="1"/>
  <c r="BE177" i="6" s="1"/>
  <c r="BF177" i="6" s="1"/>
  <c r="BG177" i="6" s="1"/>
  <c r="BP40" i="6"/>
  <c r="BP33" i="6"/>
  <c r="AX45" i="6"/>
  <c r="BA45" i="6" s="1"/>
  <c r="BC45" i="6" s="1"/>
  <c r="BE45" i="6" s="1"/>
  <c r="BF45" i="6" s="1"/>
  <c r="BG45" i="6" s="1"/>
  <c r="AX102" i="6"/>
  <c r="BA102" i="6" s="1"/>
  <c r="BC102" i="6" s="1"/>
  <c r="BE102" i="6" s="1"/>
  <c r="BF102" i="6" s="1"/>
  <c r="BG102" i="6" s="1"/>
  <c r="BA16" i="7"/>
  <c r="BC16" i="7" s="1"/>
  <c r="BE16" i="7" s="1"/>
  <c r="BF16" i="7" s="1"/>
  <c r="BG16" i="7" s="1"/>
  <c r="AX26" i="6"/>
  <c r="BA26" i="6" s="1"/>
  <c r="BC26" i="6" s="1"/>
  <c r="BE26" i="6" s="1"/>
  <c r="BF26" i="6" s="1"/>
  <c r="BG26" i="6" s="1"/>
  <c r="BE82" i="6"/>
  <c r="BF82" i="6" s="1"/>
  <c r="BG82" i="6" s="1"/>
  <c r="BP29" i="6"/>
  <c r="AX27" i="6"/>
  <c r="BA27" i="6" s="1"/>
  <c r="BC27" i="6" s="1"/>
  <c r="AX73" i="6"/>
  <c r="BA73" i="6" s="1"/>
  <c r="BC73" i="6" s="1"/>
  <c r="AX140" i="6"/>
  <c r="BA140" i="6" s="1"/>
  <c r="BC140" i="6" s="1"/>
  <c r="BE140" i="6" s="1"/>
  <c r="BF140" i="6" s="1"/>
  <c r="BG140" i="6" s="1"/>
  <c r="AX44" i="6"/>
  <c r="BA44" i="6" s="1"/>
  <c r="BC44" i="6" s="1"/>
  <c r="BE44" i="6" s="1"/>
  <c r="BF44" i="6" s="1"/>
  <c r="BG44" i="6" s="1"/>
  <c r="AX6" i="6"/>
  <c r="BA6" i="6" s="1"/>
  <c r="BC6" i="6" s="1"/>
  <c r="BE6" i="6" s="1"/>
  <c r="BF6" i="6" s="1"/>
  <c r="BG6" i="6" s="1"/>
  <c r="BE109" i="6"/>
  <c r="BF109" i="6" s="1"/>
  <c r="BG109" i="6" s="1"/>
  <c r="BU60" i="6"/>
  <c r="BU82" i="6"/>
  <c r="BU103" i="6"/>
  <c r="BW103" i="6" s="1"/>
  <c r="BY103" i="6" s="1"/>
  <c r="BZ103" i="6" s="1"/>
  <c r="CA103" i="6" s="1"/>
  <c r="BU68" i="6"/>
  <c r="BW68" i="6" s="1"/>
  <c r="BY68" i="6" s="1"/>
  <c r="BZ68" i="6" s="1"/>
  <c r="CA68" i="6" s="1"/>
  <c r="AX34" i="6"/>
  <c r="BA34" i="6" s="1"/>
  <c r="BC34" i="6" s="1"/>
  <c r="BE34" i="6" s="1"/>
  <c r="BF34" i="6" s="1"/>
  <c r="BG34" i="6" s="1"/>
  <c r="BU163" i="6"/>
  <c r="BU107" i="6"/>
  <c r="BU72" i="6"/>
  <c r="BW72" i="6" s="1"/>
  <c r="BY72" i="6" s="1"/>
  <c r="BZ72" i="6" s="1"/>
  <c r="CA72" i="6" s="1"/>
  <c r="BU117" i="6"/>
  <c r="BU137" i="6"/>
  <c r="BU89" i="6"/>
  <c r="BU77" i="6"/>
  <c r="BU49" i="6"/>
  <c r="BU69" i="6"/>
  <c r="BU98" i="6"/>
  <c r="BU147" i="6"/>
  <c r="BU45" i="6"/>
  <c r="BW45" i="6" s="1"/>
  <c r="BY45" i="6" s="1"/>
  <c r="BZ45" i="6" s="1"/>
  <c r="CA45" i="6" s="1"/>
  <c r="BU7" i="6"/>
  <c r="BW7" i="6" s="1"/>
  <c r="BY7" i="6" s="1"/>
  <c r="BZ7" i="6" s="1"/>
  <c r="CA7" i="6" s="1"/>
  <c r="BU11" i="6"/>
  <c r="BW11" i="6" s="1"/>
  <c r="BY11" i="6" s="1"/>
  <c r="BZ11" i="6" s="1"/>
  <c r="CA11" i="6" s="1"/>
  <c r="BR174" i="6"/>
  <c r="BU112" i="6"/>
  <c r="BS164" i="6"/>
  <c r="BU95" i="6"/>
  <c r="BU151" i="6"/>
  <c r="BU108" i="6"/>
  <c r="BU4" i="6"/>
  <c r="BW4" i="6" s="1"/>
  <c r="BY4" i="6" s="1"/>
  <c r="BZ4" i="6" s="1"/>
  <c r="CA4" i="6" s="1"/>
  <c r="BR164" i="6"/>
  <c r="BE135" i="6"/>
  <c r="BF135" i="6" s="1"/>
  <c r="BG135" i="6" s="1"/>
  <c r="BU110" i="6"/>
  <c r="BS140" i="6"/>
  <c r="BU140" i="6" s="1"/>
  <c r="BW140" i="6" s="1"/>
  <c r="BY140" i="6" s="1"/>
  <c r="BZ140" i="6" s="1"/>
  <c r="CA140" i="6" s="1"/>
  <c r="BU53" i="6"/>
  <c r="BU118" i="6"/>
  <c r="BU57" i="6"/>
  <c r="BW57" i="6" s="1"/>
  <c r="BY57" i="6" s="1"/>
  <c r="BZ57" i="6" s="1"/>
  <c r="CA57" i="6" s="1"/>
  <c r="BU93" i="6"/>
  <c r="BW93" i="6" s="1"/>
  <c r="BY93" i="6" s="1"/>
  <c r="BZ93" i="6" s="1"/>
  <c r="CA93" i="6" s="1"/>
  <c r="BU65" i="6"/>
  <c r="BU85" i="6"/>
  <c r="BU106" i="6"/>
  <c r="BU61" i="6"/>
  <c r="BU102" i="6"/>
  <c r="BW102" i="6" s="1"/>
  <c r="BY102" i="6" s="1"/>
  <c r="BZ102" i="6" s="1"/>
  <c r="CA102" i="6" s="1"/>
  <c r="BU81" i="6"/>
  <c r="BU122" i="6"/>
  <c r="BU8" i="6"/>
  <c r="BW8" i="6" s="1"/>
  <c r="BY8" i="6" s="1"/>
  <c r="BZ8" i="6" s="1"/>
  <c r="CA8" i="6" s="1"/>
  <c r="BU121" i="6"/>
  <c r="BU120" i="6"/>
  <c r="BS174" i="6"/>
  <c r="BU116" i="6"/>
  <c r="BU100" i="6"/>
  <c r="BU10" i="6"/>
  <c r="BW10" i="6" s="1"/>
  <c r="BY10" i="6" s="1"/>
  <c r="BZ10" i="6" s="1"/>
  <c r="CA10" i="6" s="1"/>
  <c r="BU6" i="6"/>
  <c r="BW6" i="6" s="1"/>
  <c r="BY6" i="6" s="1"/>
  <c r="BZ6" i="6" s="1"/>
  <c r="CA6" i="6" s="1"/>
  <c r="BA39" i="6"/>
  <c r="BC39" i="6" s="1"/>
  <c r="BE39" i="6" s="1"/>
  <c r="BF39" i="6" s="1"/>
  <c r="BG39" i="6" s="1"/>
  <c r="BR39" i="6"/>
  <c r="BU39" i="6" s="1"/>
  <c r="BR34" i="6"/>
  <c r="BU34" i="6" s="1"/>
  <c r="BR41" i="6"/>
  <c r="BU41" i="6" s="1"/>
  <c r="BA25" i="6"/>
  <c r="BC25" i="6" s="1"/>
  <c r="BE25" i="6" s="1"/>
  <c r="BF25" i="6" s="1"/>
  <c r="BG25" i="6" s="1"/>
  <c r="BR25" i="6"/>
  <c r="BU25" i="6" s="1"/>
  <c r="BW25" i="6" s="1"/>
  <c r="BY25" i="6" s="1"/>
  <c r="BZ25" i="6" s="1"/>
  <c r="CA25" i="6" s="1"/>
  <c r="BR158" i="6"/>
  <c r="BU158" i="6" s="1"/>
  <c r="BA171" i="6"/>
  <c r="BR171" i="6"/>
  <c r="BU171" i="6" s="1"/>
  <c r="BR62" i="6"/>
  <c r="BU62" i="6" s="1"/>
  <c r="BW62" i="6" s="1"/>
  <c r="BY62" i="6" s="1"/>
  <c r="BZ62" i="6" s="1"/>
  <c r="CA62" i="6" s="1"/>
  <c r="BE67" i="6"/>
  <c r="BF67" i="6" s="1"/>
  <c r="BG67" i="6" s="1"/>
  <c r="BR67" i="6"/>
  <c r="BU67" i="6" s="1"/>
  <c r="BW67" i="6" s="1"/>
  <c r="BY67" i="6" s="1"/>
  <c r="BZ67" i="6" s="1"/>
  <c r="CA67" i="6" s="1"/>
  <c r="BR179" i="6"/>
  <c r="BU179" i="6" s="1"/>
  <c r="BA115" i="6"/>
  <c r="BC115" i="6" s="1"/>
  <c r="BE115" i="6" s="1"/>
  <c r="BF115" i="6" s="1"/>
  <c r="BG115" i="6" s="1"/>
  <c r="BR115" i="6"/>
  <c r="BU115" i="6" s="1"/>
  <c r="BR169" i="6"/>
  <c r="BU169" i="6" s="1"/>
  <c r="BW169" i="6" s="1"/>
  <c r="BY169" i="6" s="1"/>
  <c r="BR145" i="6"/>
  <c r="BU145" i="6" s="1"/>
  <c r="BP74" i="6"/>
  <c r="BP120" i="6"/>
  <c r="BP77" i="6"/>
  <c r="BP179" i="6"/>
  <c r="BP171" i="6"/>
  <c r="BP115" i="6"/>
  <c r="BP58" i="6"/>
  <c r="BP75" i="6"/>
  <c r="BP79" i="6"/>
  <c r="BP76" i="6"/>
  <c r="BP151" i="6"/>
  <c r="BP136" i="6"/>
  <c r="BP30" i="6"/>
  <c r="BP144" i="6"/>
  <c r="BP167" i="6"/>
  <c r="BP121" i="6"/>
  <c r="BP89" i="6"/>
  <c r="BP64" i="6"/>
  <c r="BP127" i="6"/>
  <c r="BP110" i="6"/>
  <c r="BP135" i="6"/>
  <c r="BP175" i="6"/>
  <c r="BP141" i="6"/>
  <c r="BP114" i="6"/>
  <c r="BW114" i="6" s="1"/>
  <c r="BY114" i="6" s="1"/>
  <c r="BZ114" i="6" s="1"/>
  <c r="CA114" i="6" s="1"/>
  <c r="BP52" i="6"/>
  <c r="BP82" i="6"/>
  <c r="BP125" i="6"/>
  <c r="BP70" i="6"/>
  <c r="BP39" i="6"/>
  <c r="BP177" i="6"/>
  <c r="BP108" i="6"/>
  <c r="BP109" i="6"/>
  <c r="BP105" i="6"/>
  <c r="BP60" i="6"/>
  <c r="BP176" i="6"/>
  <c r="BP49" i="6"/>
  <c r="BA97" i="7"/>
  <c r="BC97" i="7" s="1"/>
  <c r="BE97" i="7" s="1"/>
  <c r="BF97" i="7" s="1"/>
  <c r="BG97" i="7" s="1"/>
  <c r="BA269" i="7"/>
  <c r="BC269" i="7" s="1"/>
  <c r="BE269" i="7" s="1"/>
  <c r="BF269" i="7" s="1"/>
  <c r="BG269" i="7" s="1"/>
  <c r="BA89" i="7"/>
  <c r="BC89" i="7" s="1"/>
  <c r="BE89" i="7" s="1"/>
  <c r="BF89" i="7" s="1"/>
  <c r="BG89" i="7" s="1"/>
  <c r="BA275" i="7"/>
  <c r="BC275" i="7" s="1"/>
  <c r="BE275" i="7" s="1"/>
  <c r="BF275" i="7" s="1"/>
  <c r="BG275" i="7" s="1"/>
  <c r="BA141" i="6"/>
  <c r="BC141" i="6" s="1"/>
  <c r="BE141" i="6" s="1"/>
  <c r="BF141" i="6" s="1"/>
  <c r="BG141" i="6" s="1"/>
  <c r="BA121" i="6"/>
  <c r="BC121" i="6" s="1"/>
  <c r="BE121" i="6" s="1"/>
  <c r="BF121" i="6" s="1"/>
  <c r="BG121" i="6" s="1"/>
  <c r="BA127" i="6"/>
  <c r="BC127" i="6" s="1"/>
  <c r="BE127" i="6" s="1"/>
  <c r="BF127" i="6" s="1"/>
  <c r="BG127" i="6" s="1"/>
  <c r="BA89" i="6"/>
  <c r="BC89" i="6" s="1"/>
  <c r="BE89" i="6" s="1"/>
  <c r="BF89" i="6" s="1"/>
  <c r="BG89" i="6" s="1"/>
  <c r="BA175" i="6"/>
  <c r="BC175" i="6" s="1"/>
  <c r="BE175" i="6" s="1"/>
  <c r="BF175" i="6" s="1"/>
  <c r="BG175" i="6" s="1"/>
  <c r="BA125" i="6"/>
  <c r="BA495" i="7"/>
  <c r="BC495" i="7" s="1"/>
  <c r="BE495" i="7" s="1"/>
  <c r="AX149" i="6"/>
  <c r="BA149" i="6" s="1"/>
  <c r="AX155" i="6"/>
  <c r="AX112" i="6"/>
  <c r="BA112" i="6" s="1"/>
  <c r="BC112" i="6" s="1"/>
  <c r="AX81" i="6"/>
  <c r="BA81" i="6" s="1"/>
  <c r="BC81" i="6" s="1"/>
  <c r="BE81" i="6" s="1"/>
  <c r="BF81" i="6" s="1"/>
  <c r="BG81" i="6" s="1"/>
  <c r="AX158" i="6"/>
  <c r="BA158" i="6" s="1"/>
  <c r="BC158" i="6" s="1"/>
  <c r="BE158" i="6" s="1"/>
  <c r="AX131" i="6"/>
  <c r="AX123" i="6"/>
  <c r="AX147" i="6"/>
  <c r="BA147" i="6" s="1"/>
  <c r="BC147" i="6" s="1"/>
  <c r="BE147" i="6" s="1"/>
  <c r="AX66" i="6"/>
  <c r="AX53" i="6"/>
  <c r="AX150" i="6"/>
  <c r="AX119" i="6"/>
  <c r="BA119" i="6" s="1"/>
  <c r="BC119" i="6" s="1"/>
  <c r="BE119" i="6" s="1"/>
  <c r="BF119" i="6" s="1"/>
  <c r="BG119" i="6" s="1"/>
  <c r="AX88" i="6"/>
  <c r="AX97" i="6"/>
  <c r="AO157" i="6"/>
  <c r="AV157" i="6" s="1"/>
  <c r="AX128" i="6"/>
  <c r="BA128" i="6" s="1"/>
  <c r="BC128" i="6" s="1"/>
  <c r="AX138" i="6"/>
  <c r="AX166" i="6"/>
  <c r="BA166" i="6" s="1"/>
  <c r="BC166" i="6" s="1"/>
  <c r="BE166" i="6" s="1"/>
  <c r="AX142" i="6"/>
  <c r="BA142" i="6" s="1"/>
  <c r="BC142" i="6" s="1"/>
  <c r="AX80" i="6"/>
  <c r="BA80" i="6" s="1"/>
  <c r="BC80" i="6" s="1"/>
  <c r="BE80" i="6" s="1"/>
  <c r="BF80" i="6" s="1"/>
  <c r="BG80" i="6" s="1"/>
  <c r="AX78" i="6"/>
  <c r="BA78" i="6" s="1"/>
  <c r="BC78" i="6" s="1"/>
  <c r="BE78" i="6" s="1"/>
  <c r="BF78" i="6" s="1"/>
  <c r="BG78" i="6" s="1"/>
  <c r="AX162" i="6"/>
  <c r="AX84" i="6"/>
  <c r="AX118" i="6"/>
  <c r="BA118" i="6" s="1"/>
  <c r="BC118" i="6" s="1"/>
  <c r="BE118" i="6" s="1"/>
  <c r="BF118" i="6" s="1"/>
  <c r="BG118" i="6" s="1"/>
  <c r="AX117" i="6"/>
  <c r="AX69" i="6"/>
  <c r="BA69" i="6" s="1"/>
  <c r="BC69" i="6" s="1"/>
  <c r="BE69" i="6" s="1"/>
  <c r="BF69" i="6" s="1"/>
  <c r="BG69" i="6" s="1"/>
  <c r="AX98" i="6"/>
  <c r="BA98" i="6" s="1"/>
  <c r="BC98" i="6" s="1"/>
  <c r="BE98" i="6" s="1"/>
  <c r="BF98" i="6" s="1"/>
  <c r="BG98" i="6" s="1"/>
  <c r="AX122" i="6"/>
  <c r="BA122" i="6" s="1"/>
  <c r="BC122" i="6" s="1"/>
  <c r="BE122" i="6" s="1"/>
  <c r="BF122" i="6" s="1"/>
  <c r="BG122" i="6" s="1"/>
  <c r="AX137" i="6"/>
  <c r="AX116" i="6"/>
  <c r="BA114" i="6"/>
  <c r="BC114" i="6" s="1"/>
  <c r="BE114" i="6" s="1"/>
  <c r="BF114" i="6" s="1"/>
  <c r="BG114" i="6" s="1"/>
  <c r="AO143" i="6"/>
  <c r="AV143" i="6" s="1"/>
  <c r="AX154" i="6"/>
  <c r="BA154" i="6" s="1"/>
  <c r="BC154" i="6" s="1"/>
  <c r="AX104" i="6"/>
  <c r="BA104" i="6" s="1"/>
  <c r="BC104" i="6" s="1"/>
  <c r="BE104" i="6" s="1"/>
  <c r="BF104" i="6" s="1"/>
  <c r="BG104" i="6" s="1"/>
  <c r="AX50" i="6"/>
  <c r="BA50" i="6" s="1"/>
  <c r="BC50" i="6" s="1"/>
  <c r="BE50" i="6" s="1"/>
  <c r="BF50" i="6" s="1"/>
  <c r="BG50" i="6" s="1"/>
  <c r="AX172" i="6"/>
  <c r="BA172" i="6" s="1"/>
  <c r="BC172" i="6" s="1"/>
  <c r="AX145" i="6"/>
  <c r="BA145" i="6" s="1"/>
  <c r="BC145" i="6" s="1"/>
  <c r="AX161" i="6"/>
  <c r="BA161" i="6" s="1"/>
  <c r="BC161" i="6" s="1"/>
  <c r="BE161" i="6" s="1"/>
  <c r="AX99" i="6"/>
  <c r="BA99" i="6" s="1"/>
  <c r="BC99" i="6" s="1"/>
  <c r="BE99" i="6" s="1"/>
  <c r="BF99" i="6" s="1"/>
  <c r="BG99" i="6" s="1"/>
  <c r="AX130" i="6"/>
  <c r="AX133" i="6"/>
  <c r="AX148" i="6"/>
  <c r="BA148" i="6" s="1"/>
  <c r="BC148" i="6" s="1"/>
  <c r="BE148" i="6" s="1"/>
  <c r="AX86" i="6"/>
  <c r="AX152" i="6"/>
  <c r="AX61" i="6"/>
  <c r="BA61" i="6" s="1"/>
  <c r="BC61" i="6" s="1"/>
  <c r="BE61" i="6" s="1"/>
  <c r="BF61" i="6" s="1"/>
  <c r="BG61" i="6" s="1"/>
  <c r="AX165" i="6"/>
  <c r="BA165" i="6" s="1"/>
  <c r="BC165" i="6" s="1"/>
  <c r="BE165" i="6" s="1"/>
  <c r="BF165" i="6" s="1"/>
  <c r="BG165" i="6" s="1"/>
  <c r="AO56" i="6"/>
  <c r="AV56" i="6" s="1"/>
  <c r="AO90" i="6"/>
  <c r="AV90" i="6" s="1"/>
  <c r="AX96" i="6"/>
  <c r="AX48" i="6"/>
  <c r="AX124" i="6"/>
  <c r="AX173" i="6"/>
  <c r="BA173" i="6" s="1"/>
  <c r="AX178" i="6"/>
  <c r="BA178" i="6" s="1"/>
  <c r="BC178" i="6" s="1"/>
  <c r="BE178" i="6" s="1"/>
  <c r="AX59" i="6"/>
  <c r="BA59" i="6" s="1"/>
  <c r="BC59" i="6" s="1"/>
  <c r="BE59" i="6" s="1"/>
  <c r="BF59" i="6" s="1"/>
  <c r="BG59" i="6" s="1"/>
  <c r="AX100" i="6"/>
  <c r="AX156" i="6"/>
  <c r="AX160" i="6"/>
  <c r="AX94" i="6"/>
  <c r="AX113" i="6"/>
  <c r="AX170" i="6"/>
  <c r="BA170" i="6" s="1"/>
  <c r="BC170" i="6" s="1"/>
  <c r="BE170" i="6" s="1"/>
  <c r="BF170" i="6" s="1"/>
  <c r="BG170" i="6" s="1"/>
  <c r="AX134" i="6"/>
  <c r="AX83" i="6"/>
  <c r="BA83" i="6" s="1"/>
  <c r="BC83" i="6" s="1"/>
  <c r="BE83" i="6" s="1"/>
  <c r="BF83" i="6" s="1"/>
  <c r="BG83" i="6" s="1"/>
  <c r="BA106" i="7"/>
  <c r="BC106" i="7" s="1"/>
  <c r="BE106" i="7" s="1"/>
  <c r="BF106" i="7" s="1"/>
  <c r="BG106" i="7" s="1"/>
  <c r="BF510" i="7"/>
  <c r="BG510" i="7" s="1"/>
  <c r="BA306" i="7"/>
  <c r="BC306" i="7" s="1"/>
  <c r="BE306" i="7" s="1"/>
  <c r="BF306" i="7" s="1"/>
  <c r="BG306" i="7" s="1"/>
  <c r="BA332" i="7"/>
  <c r="BC332" i="7" s="1"/>
  <c r="BE332" i="7" s="1"/>
  <c r="BF332" i="7" s="1"/>
  <c r="BG332" i="7" s="1"/>
  <c r="BA437" i="7"/>
  <c r="BC437" i="7" s="1"/>
  <c r="BE437" i="7" s="1"/>
  <c r="BF437" i="7" s="1"/>
  <c r="BG437" i="7" s="1"/>
  <c r="BA268" i="7"/>
  <c r="BC268" i="7" s="1"/>
  <c r="BE268" i="7" s="1"/>
  <c r="BF268" i="7" s="1"/>
  <c r="BG268" i="7" s="1"/>
  <c r="BA241" i="7"/>
  <c r="BC241" i="7" s="1"/>
  <c r="BE241" i="7" s="1"/>
  <c r="BF241" i="7" s="1"/>
  <c r="BG241" i="7" s="1"/>
  <c r="BA320" i="7"/>
  <c r="BC320" i="7" s="1"/>
  <c r="BE320" i="7" s="1"/>
  <c r="BF320" i="7" s="1"/>
  <c r="BG320" i="7" s="1"/>
  <c r="BA29" i="7"/>
  <c r="BC29" i="7" s="1"/>
  <c r="BE29" i="7" s="1"/>
  <c r="BF29" i="7" s="1"/>
  <c r="BG29" i="7" s="1"/>
  <c r="BA160" i="7"/>
  <c r="BC160" i="7" s="1"/>
  <c r="BE160" i="7" s="1"/>
  <c r="BF160" i="7" s="1"/>
  <c r="BG160" i="7" s="1"/>
  <c r="BA105" i="7"/>
  <c r="BC105" i="7" s="1"/>
  <c r="BE105" i="7" s="1"/>
  <c r="BF105" i="7" s="1"/>
  <c r="BG105" i="7" s="1"/>
  <c r="BA353" i="7"/>
  <c r="BC353" i="7" s="1"/>
  <c r="BE353" i="7" s="1"/>
  <c r="BF353" i="7" s="1"/>
  <c r="BG353" i="7" s="1"/>
  <c r="BA192" i="7"/>
  <c r="BC192" i="7" s="1"/>
  <c r="BE192" i="7" s="1"/>
  <c r="BF192" i="7" s="1"/>
  <c r="BG192" i="7" s="1"/>
  <c r="BA185" i="7"/>
  <c r="BC185" i="7" s="1"/>
  <c r="BE185" i="7" s="1"/>
  <c r="BF185" i="7" s="1"/>
  <c r="BG185" i="7" s="1"/>
  <c r="BA323" i="7"/>
  <c r="BC323" i="7" s="1"/>
  <c r="BE323" i="7" s="1"/>
  <c r="BF323" i="7" s="1"/>
  <c r="BG323" i="7" s="1"/>
  <c r="BA260" i="7"/>
  <c r="BC260" i="7" s="1"/>
  <c r="BE260" i="7" s="1"/>
  <c r="BF260" i="7" s="1"/>
  <c r="BG260" i="7" s="1"/>
  <c r="BA562" i="7"/>
  <c r="BC562" i="7" s="1"/>
  <c r="BE562" i="7" s="1"/>
  <c r="BA529" i="7"/>
  <c r="BC529" i="7" s="1"/>
  <c r="BE529" i="7" s="1"/>
  <c r="AX9" i="6"/>
  <c r="BA9" i="6" s="1"/>
  <c r="BC9" i="6" s="1"/>
  <c r="BA395" i="7"/>
  <c r="BC395" i="7" s="1"/>
  <c r="BE395" i="7" s="1"/>
  <c r="BF395" i="7" s="1"/>
  <c r="BG395" i="7" s="1"/>
  <c r="BA76" i="6"/>
  <c r="BC76" i="6" s="1"/>
  <c r="BE76" i="6" s="1"/>
  <c r="BF76" i="6" s="1"/>
  <c r="BG76" i="6" s="1"/>
  <c r="BA169" i="6"/>
  <c r="BC169" i="6" s="1"/>
  <c r="BE169" i="6" s="1"/>
  <c r="BA179" i="6"/>
  <c r="BC179" i="6" s="1"/>
  <c r="BE179" i="6" s="1"/>
  <c r="BA523" i="7"/>
  <c r="BC523" i="7" s="1"/>
  <c r="BE523" i="7" s="1"/>
  <c r="BA151" i="6"/>
  <c r="BC151" i="6" s="1"/>
  <c r="BE151" i="6" s="1"/>
  <c r="BF151" i="6" s="1"/>
  <c r="BG151" i="6" s="1"/>
  <c r="BA120" i="6"/>
  <c r="BC120" i="6" s="1"/>
  <c r="BE120" i="6" s="1"/>
  <c r="BF120" i="6" s="1"/>
  <c r="BG120" i="6" s="1"/>
  <c r="BA64" i="6"/>
  <c r="BC64" i="6" s="1"/>
  <c r="BE64" i="6" s="1"/>
  <c r="BF64" i="6" s="1"/>
  <c r="BG64" i="6" s="1"/>
  <c r="BA519" i="7"/>
  <c r="BC519" i="7" s="1"/>
  <c r="BE519" i="7" s="1"/>
  <c r="BA515" i="7"/>
  <c r="BC515" i="7" s="1"/>
  <c r="BE515" i="7" s="1"/>
  <c r="BA496" i="7"/>
  <c r="BC496" i="7" s="1"/>
  <c r="BE496" i="7" s="1"/>
  <c r="AO111" i="6"/>
  <c r="AV111" i="6" s="1"/>
  <c r="AO46" i="6"/>
  <c r="AV46" i="6" s="1"/>
  <c r="AO129" i="6"/>
  <c r="AV129" i="6" s="1"/>
  <c r="BA10" i="16"/>
  <c r="BC10" i="16" s="1"/>
  <c r="BE10" i="16" s="1"/>
  <c r="BF10" i="16" s="1"/>
  <c r="BG10" i="16" s="1"/>
  <c r="BA559" i="7"/>
  <c r="BC559" i="7" s="1"/>
  <c r="BE559" i="7" s="1"/>
  <c r="BA64" i="7"/>
  <c r="BC64" i="7" s="1"/>
  <c r="BE64" i="7" s="1"/>
  <c r="BF64" i="7" s="1"/>
  <c r="BG64" i="7" s="1"/>
  <c r="AO55" i="6"/>
  <c r="AV55" i="6" s="1"/>
  <c r="AO106" i="6"/>
  <c r="AV106" i="6" s="1"/>
  <c r="AO126" i="6"/>
  <c r="AV126" i="6" s="1"/>
  <c r="AO85" i="6"/>
  <c r="AV85" i="6" s="1"/>
  <c r="AO95" i="6"/>
  <c r="AV95" i="6" s="1"/>
  <c r="AO51" i="6"/>
  <c r="AV51" i="6" s="1"/>
  <c r="AO71" i="6"/>
  <c r="AV71" i="6" s="1"/>
  <c r="AO91" i="6"/>
  <c r="AV91" i="6" s="1"/>
  <c r="AL164" i="6"/>
  <c r="AN164" i="6" s="1"/>
  <c r="BA415" i="7"/>
  <c r="BC415" i="7" s="1"/>
  <c r="BE415" i="7" s="1"/>
  <c r="BF415" i="7" s="1"/>
  <c r="BG415" i="7" s="1"/>
  <c r="BA140" i="7"/>
  <c r="BC140" i="7" s="1"/>
  <c r="BE140" i="7" s="1"/>
  <c r="BF140" i="7" s="1"/>
  <c r="BG140" i="7" s="1"/>
  <c r="BA348" i="7"/>
  <c r="BC348" i="7" s="1"/>
  <c r="BE348" i="7" s="1"/>
  <c r="BF348" i="7" s="1"/>
  <c r="BG348" i="7" s="1"/>
  <c r="AO159" i="6"/>
  <c r="AV159" i="6" s="1"/>
  <c r="AO163" i="6"/>
  <c r="AV163" i="6" s="1"/>
  <c r="AO132" i="6"/>
  <c r="AV132" i="6" s="1"/>
  <c r="AO153" i="6"/>
  <c r="AV153" i="6" s="1"/>
  <c r="AO168" i="6"/>
  <c r="AV168" i="6" s="1"/>
  <c r="AL174" i="6"/>
  <c r="AN174" i="6" s="1"/>
  <c r="AO63" i="6"/>
  <c r="AV63" i="6" s="1"/>
  <c r="AO146" i="6"/>
  <c r="AV146" i="6" s="1"/>
  <c r="BA494" i="7"/>
  <c r="BC494" i="7" s="1"/>
  <c r="BE494" i="7" s="1"/>
  <c r="BA93" i="6"/>
  <c r="BC93" i="6" s="1"/>
  <c r="BE93" i="6" s="1"/>
  <c r="BF93" i="6" s="1"/>
  <c r="BG93" i="6" s="1"/>
  <c r="BA270" i="7"/>
  <c r="BC270" i="7" s="1"/>
  <c r="BE270" i="7" s="1"/>
  <c r="BF270" i="7" s="1"/>
  <c r="BG270" i="7" s="1"/>
  <c r="BA101" i="6"/>
  <c r="BC101" i="6" s="1"/>
  <c r="BE101" i="6" s="1"/>
  <c r="BF101" i="6" s="1"/>
  <c r="BG101" i="6" s="1"/>
  <c r="BA77" i="6"/>
  <c r="BC77" i="6" s="1"/>
  <c r="BE77" i="6" s="1"/>
  <c r="BF77" i="6" s="1"/>
  <c r="BG77" i="6" s="1"/>
  <c r="BA93" i="7"/>
  <c r="BC93" i="7" s="1"/>
  <c r="BE93" i="7" s="1"/>
  <c r="BF93" i="7" s="1"/>
  <c r="BG93" i="7" s="1"/>
  <c r="BA80" i="7"/>
  <c r="BC80" i="7" s="1"/>
  <c r="BE80" i="7" s="1"/>
  <c r="BF80" i="7" s="1"/>
  <c r="BG80" i="7" s="1"/>
  <c r="BA167" i="6"/>
  <c r="BC167" i="6" s="1"/>
  <c r="BE167" i="6" s="1"/>
  <c r="BF167" i="6" s="1"/>
  <c r="BG167" i="6" s="1"/>
  <c r="BA487" i="7"/>
  <c r="BC487" i="7" s="1"/>
  <c r="BE487" i="7" s="1"/>
  <c r="BA157" i="7"/>
  <c r="BC157" i="7" s="1"/>
  <c r="BE157" i="7" s="1"/>
  <c r="BF157" i="7" s="1"/>
  <c r="BG157" i="7" s="1"/>
  <c r="BA378" i="7"/>
  <c r="BC378" i="7" s="1"/>
  <c r="BE378" i="7" s="1"/>
  <c r="BF378" i="7" s="1"/>
  <c r="BG378" i="7" s="1"/>
  <c r="BA70" i="6"/>
  <c r="BC70" i="6" s="1"/>
  <c r="BE70" i="6" s="1"/>
  <c r="BF70" i="6" s="1"/>
  <c r="BG70" i="6" s="1"/>
  <c r="BA108" i="6"/>
  <c r="BC108" i="6" s="1"/>
  <c r="BE108" i="6" s="1"/>
  <c r="BF108" i="6" s="1"/>
  <c r="BG108" i="6" s="1"/>
  <c r="BA144" i="6"/>
  <c r="BC144" i="6" s="1"/>
  <c r="BE144" i="6" s="1"/>
  <c r="BA121" i="7"/>
  <c r="BC121" i="7" s="1"/>
  <c r="BE121" i="7" s="1"/>
  <c r="BF121" i="7" s="1"/>
  <c r="BG121" i="7" s="1"/>
  <c r="BA181" i="7"/>
  <c r="BC181" i="7" s="1"/>
  <c r="BE181" i="7" s="1"/>
  <c r="BF181" i="7" s="1"/>
  <c r="BG181" i="7" s="1"/>
  <c r="BA242" i="7"/>
  <c r="BC242" i="7" s="1"/>
  <c r="BE242" i="7" s="1"/>
  <c r="BF242" i="7" s="1"/>
  <c r="BG242" i="7" s="1"/>
  <c r="BA452" i="7"/>
  <c r="BC452" i="7" s="1"/>
  <c r="BE452" i="7" s="1"/>
  <c r="BF452" i="7" s="1"/>
  <c r="BG452" i="7" s="1"/>
  <c r="BA208" i="7"/>
  <c r="BC208" i="7" s="1"/>
  <c r="BE208" i="7" s="1"/>
  <c r="BF208" i="7" s="1"/>
  <c r="BG208" i="7" s="1"/>
  <c r="BA52" i="6"/>
  <c r="BC52" i="6" s="1"/>
  <c r="BE52" i="6" s="1"/>
  <c r="BF52" i="6" s="1"/>
  <c r="BG52" i="6" s="1"/>
  <c r="BA49" i="7"/>
  <c r="BC49" i="7" s="1"/>
  <c r="BE49" i="7" s="1"/>
  <c r="BF49" i="7" s="1"/>
  <c r="BG49" i="7" s="1"/>
  <c r="BA220" i="7"/>
  <c r="BC220" i="7" s="1"/>
  <c r="BE220" i="7" s="1"/>
  <c r="BF220" i="7" s="1"/>
  <c r="BG220" i="7" s="1"/>
  <c r="BA176" i="6"/>
  <c r="BC176" i="6" s="1"/>
  <c r="BE176" i="6" s="1"/>
  <c r="BF176" i="6" s="1"/>
  <c r="BG176" i="6" s="1"/>
  <c r="BA43" i="6"/>
  <c r="BC43" i="6" s="1"/>
  <c r="BE43" i="6" s="1"/>
  <c r="BF43" i="6" s="1"/>
  <c r="BG43" i="6" s="1"/>
  <c r="BA158" i="7"/>
  <c r="BC158" i="7" s="1"/>
  <c r="BE158" i="7" s="1"/>
  <c r="BF158" i="7" s="1"/>
  <c r="BG158" i="7" s="1"/>
  <c r="BA27" i="7"/>
  <c r="BC27" i="7" s="1"/>
  <c r="BE27" i="7" s="1"/>
  <c r="BF27" i="7" s="1"/>
  <c r="BG27" i="7" s="1"/>
  <c r="BA34" i="7"/>
  <c r="BC34" i="7" s="1"/>
  <c r="BE34" i="7" s="1"/>
  <c r="BF34" i="7" s="1"/>
  <c r="BG34" i="7" s="1"/>
  <c r="BA485" i="7"/>
  <c r="BC485" i="7" s="1"/>
  <c r="BE485" i="7" s="1"/>
  <c r="BA569" i="7"/>
  <c r="BC569" i="7" s="1"/>
  <c r="BE569" i="7" s="1"/>
  <c r="BF569" i="7" s="1"/>
  <c r="BG569" i="7" s="1"/>
  <c r="BA522" i="7"/>
  <c r="BC522" i="7" s="1"/>
  <c r="BE522" i="7" s="1"/>
  <c r="BA525" i="7"/>
  <c r="BC525" i="7" s="1"/>
  <c r="BE525" i="7" s="1"/>
  <c r="BA381" i="7"/>
  <c r="BC381" i="7" s="1"/>
  <c r="BE381" i="7" s="1"/>
  <c r="BF381" i="7" s="1"/>
  <c r="BG381" i="7" s="1"/>
  <c r="BA402" i="7"/>
  <c r="BC402" i="7" s="1"/>
  <c r="BE402" i="7" s="1"/>
  <c r="BF402" i="7" s="1"/>
  <c r="BG402" i="7" s="1"/>
  <c r="BA465" i="7"/>
  <c r="BC465" i="7" s="1"/>
  <c r="BE465" i="7" s="1"/>
  <c r="BA532" i="7"/>
  <c r="BC532" i="7" s="1"/>
  <c r="BE532" i="7" s="1"/>
  <c r="BA142" i="7"/>
  <c r="BC142" i="7" s="1"/>
  <c r="BE142" i="7" s="1"/>
  <c r="BF142" i="7" s="1"/>
  <c r="BG142" i="7" s="1"/>
  <c r="BA563" i="7"/>
  <c r="BC563" i="7" s="1"/>
  <c r="BE563" i="7" s="1"/>
  <c r="BA73" i="7"/>
  <c r="BC73" i="7" s="1"/>
  <c r="BE73" i="7" s="1"/>
  <c r="BF73" i="7" s="1"/>
  <c r="BG73" i="7" s="1"/>
  <c r="BA113" i="7"/>
  <c r="BC113" i="7" s="1"/>
  <c r="BE113" i="7" s="1"/>
  <c r="BF113" i="7" s="1"/>
  <c r="BG113" i="7" s="1"/>
  <c r="BA461" i="7"/>
  <c r="BC461" i="7" s="1"/>
  <c r="BE461" i="7" s="1"/>
  <c r="BA246" i="7"/>
  <c r="BC246" i="7" s="1"/>
  <c r="BE246" i="7" s="1"/>
  <c r="BF246" i="7" s="1"/>
  <c r="BG246" i="7" s="1"/>
  <c r="BA490" i="7"/>
  <c r="BC490" i="7" s="1"/>
  <c r="BE490" i="7" s="1"/>
  <c r="BA21" i="6"/>
  <c r="BC21" i="6" s="1"/>
  <c r="BE21" i="6" s="1"/>
  <c r="BF21" i="6" s="1"/>
  <c r="BG21" i="6" s="1"/>
  <c r="AX7" i="6"/>
  <c r="BA7" i="6" s="1"/>
  <c r="BC7" i="6" s="1"/>
  <c r="AX32" i="6"/>
  <c r="BA32" i="6" s="1"/>
  <c r="BC32" i="6" s="1"/>
  <c r="AX36" i="6"/>
  <c r="BA36" i="6" s="1"/>
  <c r="BC36" i="6" s="1"/>
  <c r="AX22" i="6"/>
  <c r="BA22" i="6" s="1"/>
  <c r="BC22" i="6" s="1"/>
  <c r="AO12" i="6"/>
  <c r="AV12" i="6" s="1"/>
  <c r="BA573" i="7"/>
  <c r="BC573" i="7" s="1"/>
  <c r="BE573" i="7" s="1"/>
  <c r="BA100" i="7"/>
  <c r="BC100" i="7" s="1"/>
  <c r="BE100" i="7" s="1"/>
  <c r="BF100" i="7" s="1"/>
  <c r="BG100" i="7" s="1"/>
  <c r="BA278" i="7"/>
  <c r="BC278" i="7" s="1"/>
  <c r="BE278" i="7" s="1"/>
  <c r="BF278" i="7" s="1"/>
  <c r="BG278" i="7" s="1"/>
  <c r="BA294" i="7"/>
  <c r="BC294" i="7" s="1"/>
  <c r="BE294" i="7" s="1"/>
  <c r="BF294" i="7" s="1"/>
  <c r="BG294" i="7" s="1"/>
  <c r="BA61" i="7"/>
  <c r="BC61" i="7" s="1"/>
  <c r="BE61" i="7" s="1"/>
  <c r="BF61" i="7" s="1"/>
  <c r="BG61" i="7" s="1"/>
  <c r="BA280" i="7"/>
  <c r="BC280" i="7" s="1"/>
  <c r="BE280" i="7" s="1"/>
  <c r="BF280" i="7" s="1"/>
  <c r="BG280" i="7" s="1"/>
  <c r="BA238" i="7"/>
  <c r="BC238" i="7" s="1"/>
  <c r="BE238" i="7" s="1"/>
  <c r="BF238" i="7" s="1"/>
  <c r="BG238" i="7" s="1"/>
  <c r="BA215" i="7"/>
  <c r="BC215" i="7" s="1"/>
  <c r="BE215" i="7" s="1"/>
  <c r="BF215" i="7" s="1"/>
  <c r="BG215" i="7" s="1"/>
  <c r="BA37" i="7"/>
  <c r="BC37" i="7" s="1"/>
  <c r="BE37" i="7" s="1"/>
  <c r="BF37" i="7" s="1"/>
  <c r="BG37" i="7" s="1"/>
  <c r="BA446" i="7"/>
  <c r="BC446" i="7" s="1"/>
  <c r="BE446" i="7" s="1"/>
  <c r="BF446" i="7" s="1"/>
  <c r="BG446" i="7" s="1"/>
  <c r="BA28" i="7"/>
  <c r="BC28" i="7" s="1"/>
  <c r="BE28" i="7" s="1"/>
  <c r="BF28" i="7" s="1"/>
  <c r="BG28" i="7" s="1"/>
  <c r="BA11" i="7"/>
  <c r="BC11" i="7" s="1"/>
  <c r="BE11" i="7" s="1"/>
  <c r="BF11" i="7" s="1"/>
  <c r="BG11" i="7" s="1"/>
  <c r="BA98" i="7"/>
  <c r="BC98" i="7" s="1"/>
  <c r="BE98" i="7" s="1"/>
  <c r="BF98" i="7" s="1"/>
  <c r="BG98" i="7" s="1"/>
  <c r="BA110" i="7"/>
  <c r="BC110" i="7" s="1"/>
  <c r="BE110" i="7" s="1"/>
  <c r="BF110" i="7" s="1"/>
  <c r="BG110" i="7" s="1"/>
  <c r="BA30" i="6"/>
  <c r="BC30" i="6" s="1"/>
  <c r="BE30" i="6" s="1"/>
  <c r="BF30" i="6" s="1"/>
  <c r="BG30" i="6" s="1"/>
  <c r="BA164" i="7"/>
  <c r="BC164" i="7" s="1"/>
  <c r="BE164" i="7" s="1"/>
  <c r="BF164" i="7" s="1"/>
  <c r="BG164" i="7" s="1"/>
  <c r="BA554" i="7"/>
  <c r="BC554" i="7" s="1"/>
  <c r="BE554" i="7" s="1"/>
  <c r="BA553" i="7"/>
  <c r="BC553" i="7" s="1"/>
  <c r="BE553" i="7" s="1"/>
  <c r="BA508" i="7"/>
  <c r="BC508" i="7" s="1"/>
  <c r="BE508" i="7" s="1"/>
  <c r="BA47" i="7"/>
  <c r="BC47" i="7" s="1"/>
  <c r="BE47" i="7" s="1"/>
  <c r="BF47" i="7" s="1"/>
  <c r="BG47" i="7" s="1"/>
  <c r="BA310" i="7"/>
  <c r="BC310" i="7" s="1"/>
  <c r="BE310" i="7" s="1"/>
  <c r="BF310" i="7" s="1"/>
  <c r="BG310" i="7" s="1"/>
  <c r="BA483" i="7"/>
  <c r="BC483" i="7" s="1"/>
  <c r="BE483" i="7" s="1"/>
  <c r="BA361" i="7"/>
  <c r="BC361" i="7" s="1"/>
  <c r="BE361" i="7" s="1"/>
  <c r="BF361" i="7" s="1"/>
  <c r="BG361" i="7" s="1"/>
  <c r="BA451" i="7"/>
  <c r="BC451" i="7" s="1"/>
  <c r="BE451" i="7" s="1"/>
  <c r="BF451" i="7" s="1"/>
  <c r="BG451" i="7" s="1"/>
  <c r="BA228" i="7"/>
  <c r="BC228" i="7" s="1"/>
  <c r="BE228" i="7" s="1"/>
  <c r="BF228" i="7" s="1"/>
  <c r="BG228" i="7" s="1"/>
  <c r="BA219" i="7"/>
  <c r="BC219" i="7" s="1"/>
  <c r="BE219" i="7" s="1"/>
  <c r="BF219" i="7" s="1"/>
  <c r="BG219" i="7" s="1"/>
  <c r="BA38" i="6"/>
  <c r="BC38" i="6" s="1"/>
  <c r="BE38" i="6" s="1"/>
  <c r="BF38" i="6" s="1"/>
  <c r="BG38" i="6" s="1"/>
  <c r="BA549" i="7"/>
  <c r="BC549" i="7" s="1"/>
  <c r="BE549" i="7" s="1"/>
  <c r="BA82" i="7"/>
  <c r="BC82" i="7" s="1"/>
  <c r="BE82" i="7" s="1"/>
  <c r="BF82" i="7" s="1"/>
  <c r="BG82" i="7" s="1"/>
  <c r="BA13" i="16"/>
  <c r="BC13" i="16" s="1"/>
  <c r="BE13" i="16" s="1"/>
  <c r="BF13" i="16" s="1"/>
  <c r="BG13" i="16" s="1"/>
  <c r="BA497" i="7"/>
  <c r="BC497" i="7" s="1"/>
  <c r="BE497" i="7" s="1"/>
  <c r="BA31" i="6"/>
  <c r="BC31" i="6" s="1"/>
  <c r="BE31" i="6" s="1"/>
  <c r="BF31" i="6" s="1"/>
  <c r="BG31" i="6" s="1"/>
  <c r="BA226" i="7"/>
  <c r="BC226" i="7" s="1"/>
  <c r="BE226" i="7" s="1"/>
  <c r="BF226" i="7" s="1"/>
  <c r="BG226" i="7" s="1"/>
  <c r="BA331" i="7"/>
  <c r="BC331" i="7" s="1"/>
  <c r="BE331" i="7" s="1"/>
  <c r="BF331" i="7" s="1"/>
  <c r="BG331" i="7" s="1"/>
  <c r="BA500" i="7"/>
  <c r="BC500" i="7" s="1"/>
  <c r="BE500" i="7" s="1"/>
  <c r="BA546" i="7"/>
  <c r="BC546" i="7" s="1"/>
  <c r="BE546" i="7" s="1"/>
  <c r="BA478" i="7"/>
  <c r="BC478" i="7" s="1"/>
  <c r="BE478" i="7" s="1"/>
  <c r="BA480" i="7"/>
  <c r="BC480" i="7" s="1"/>
  <c r="BE480" i="7" s="1"/>
  <c r="BA489" i="7"/>
  <c r="BC489" i="7" s="1"/>
  <c r="BE489" i="7" s="1"/>
  <c r="BA528" i="7"/>
  <c r="BC528" i="7" s="1"/>
  <c r="BE528" i="7" s="1"/>
  <c r="BA538" i="7"/>
  <c r="BC538" i="7" s="1"/>
  <c r="BE538" i="7" s="1"/>
  <c r="BA556" i="7"/>
  <c r="BC556" i="7" s="1"/>
  <c r="BE556" i="7" s="1"/>
  <c r="BA567" i="7"/>
  <c r="BC567" i="7" s="1"/>
  <c r="BE567" i="7" s="1"/>
  <c r="BA391" i="7"/>
  <c r="BC391" i="7" s="1"/>
  <c r="BE391" i="7" s="1"/>
  <c r="BF391" i="7" s="1"/>
  <c r="BG391" i="7" s="1"/>
  <c r="BA498" i="7"/>
  <c r="BC498" i="7" s="1"/>
  <c r="BE498" i="7" s="1"/>
  <c r="BA120" i="7"/>
  <c r="BC120" i="7" s="1"/>
  <c r="BE120" i="7" s="1"/>
  <c r="BF120" i="7" s="1"/>
  <c r="BG120" i="7" s="1"/>
  <c r="BA411" i="7"/>
  <c r="BC411" i="7" s="1"/>
  <c r="BE411" i="7" s="1"/>
  <c r="BF411" i="7" s="1"/>
  <c r="BG411" i="7" s="1"/>
  <c r="BA336" i="7"/>
  <c r="BC336" i="7" s="1"/>
  <c r="BE336" i="7" s="1"/>
  <c r="BF336" i="7" s="1"/>
  <c r="BG336" i="7" s="1"/>
  <c r="BA484" i="7"/>
  <c r="BC484" i="7" s="1"/>
  <c r="BE484" i="7" s="1"/>
  <c r="BA570" i="7"/>
  <c r="BC570" i="7" s="1"/>
  <c r="BE570" i="7" s="1"/>
  <c r="BA509" i="7"/>
  <c r="BC509" i="7" s="1"/>
  <c r="BE509" i="7" s="1"/>
  <c r="BA564" i="7"/>
  <c r="BC564" i="7" s="1"/>
  <c r="BE564" i="7" s="1"/>
  <c r="BA167" i="7"/>
  <c r="BC167" i="7" s="1"/>
  <c r="BE167" i="7" s="1"/>
  <c r="BF167" i="7" s="1"/>
  <c r="BG167" i="7" s="1"/>
  <c r="BA476" i="7"/>
  <c r="BC476" i="7" s="1"/>
  <c r="BE476" i="7" s="1"/>
  <c r="BA473" i="7"/>
  <c r="BC473" i="7" s="1"/>
  <c r="BE473" i="7" s="1"/>
  <c r="BA493" i="7"/>
  <c r="BC493" i="7" s="1"/>
  <c r="BE493" i="7" s="1"/>
  <c r="BA552" i="7"/>
  <c r="BC552" i="7" s="1"/>
  <c r="BE552" i="7" s="1"/>
  <c r="BA540" i="7"/>
  <c r="BC540" i="7" s="1"/>
  <c r="BE540" i="7" s="1"/>
  <c r="BA514" i="7"/>
  <c r="BC514" i="7" s="1"/>
  <c r="BE514" i="7" s="1"/>
  <c r="BA286" i="7"/>
  <c r="BC286" i="7" s="1"/>
  <c r="BE286" i="7" s="1"/>
  <c r="BF286" i="7" s="1"/>
  <c r="BG286" i="7" s="1"/>
  <c r="BA526" i="7"/>
  <c r="BC526" i="7" s="1"/>
  <c r="BE526" i="7" s="1"/>
  <c r="BA502" i="7"/>
  <c r="BC502" i="7" s="1"/>
  <c r="BE502" i="7" s="1"/>
  <c r="BA558" i="7"/>
  <c r="BC558" i="7" s="1"/>
  <c r="BE558" i="7" s="1"/>
  <c r="BA504" i="7"/>
  <c r="BC504" i="7" s="1"/>
  <c r="BE504" i="7" s="1"/>
  <c r="BA555" i="7"/>
  <c r="BC555" i="7" s="1"/>
  <c r="BE555" i="7" s="1"/>
  <c r="BA481" i="7"/>
  <c r="BC481" i="7" s="1"/>
  <c r="BE481" i="7" s="1"/>
  <c r="BA541" i="7"/>
  <c r="BC541" i="7" s="1"/>
  <c r="BE541" i="7" s="1"/>
  <c r="BA469" i="7"/>
  <c r="BC469" i="7" s="1"/>
  <c r="BE469" i="7" s="1"/>
  <c r="BF469" i="7" s="1"/>
  <c r="BG469" i="7" s="1"/>
  <c r="BA512" i="7"/>
  <c r="BC512" i="7" s="1"/>
  <c r="BE512" i="7" s="1"/>
  <c r="BA470" i="7"/>
  <c r="BC470" i="7" s="1"/>
  <c r="BE470" i="7" s="1"/>
  <c r="BA492" i="7"/>
  <c r="BC492" i="7" s="1"/>
  <c r="BE492" i="7" s="1"/>
  <c r="BA503" i="7"/>
  <c r="BC503" i="7" s="1"/>
  <c r="BE503" i="7" s="1"/>
  <c r="BA527" i="7"/>
  <c r="BC527" i="7" s="1"/>
  <c r="BE527" i="7" s="1"/>
  <c r="BA530" i="7"/>
  <c r="BC530" i="7" s="1"/>
  <c r="BE530" i="7" s="1"/>
  <c r="AX10" i="6"/>
  <c r="BA10" i="6" s="1"/>
  <c r="BC10" i="6" s="1"/>
  <c r="AX33" i="6"/>
  <c r="BA33" i="6" s="1"/>
  <c r="BC33" i="6" s="1"/>
  <c r="AX20" i="6"/>
  <c r="BA20" i="6" s="1"/>
  <c r="BC20" i="6" s="1"/>
  <c r="AX4" i="6"/>
  <c r="BA4" i="6" s="1"/>
  <c r="BC4" i="6" s="1"/>
  <c r="BA188" i="7"/>
  <c r="BC188" i="7" s="1"/>
  <c r="BE188" i="7" s="1"/>
  <c r="BF188" i="7" s="1"/>
  <c r="BG188" i="7" s="1"/>
  <c r="AX40" i="6"/>
  <c r="BA40" i="6" s="1"/>
  <c r="BC40" i="6" s="1"/>
  <c r="AX29" i="6"/>
  <c r="BA29" i="6" s="1"/>
  <c r="BC29" i="6" s="1"/>
  <c r="AX15" i="16"/>
  <c r="BA15" i="16" s="1"/>
  <c r="BC15" i="16" s="1"/>
  <c r="BE15" i="16" s="1"/>
  <c r="BF15" i="16" s="1"/>
  <c r="BG15" i="16" s="1"/>
  <c r="AX33" i="16"/>
  <c r="BA33" i="16" s="1"/>
  <c r="BC33" i="16" s="1"/>
  <c r="BE33" i="16" s="1"/>
  <c r="BF33" i="16" s="1"/>
  <c r="BG33" i="16" s="1"/>
  <c r="AX17" i="16"/>
  <c r="BA17" i="16" s="1"/>
  <c r="BC17" i="16" s="1"/>
  <c r="BE17" i="16" s="1"/>
  <c r="BF17" i="16" s="1"/>
  <c r="BG17" i="16" s="1"/>
  <c r="AX41" i="16"/>
  <c r="BA41" i="16" s="1"/>
  <c r="BC41" i="16" s="1"/>
  <c r="BE41" i="16" s="1"/>
  <c r="BF41" i="16" s="1"/>
  <c r="BG41" i="16" s="1"/>
  <c r="AX35" i="6"/>
  <c r="BA35" i="6" s="1"/>
  <c r="BC35" i="6" s="1"/>
  <c r="AO13" i="6"/>
  <c r="AV13" i="6" s="1"/>
  <c r="AO8" i="6"/>
  <c r="AV8" i="6" s="1"/>
  <c r="AX25" i="16"/>
  <c r="BA25" i="16" s="1"/>
  <c r="BC25" i="16" s="1"/>
  <c r="BE25" i="16" s="1"/>
  <c r="BF25" i="16" s="1"/>
  <c r="BG25" i="16" s="1"/>
  <c r="AX22" i="16"/>
  <c r="BA22" i="16" s="1"/>
  <c r="BC22" i="16" s="1"/>
  <c r="BE22" i="16" s="1"/>
  <c r="BF22" i="16" s="1"/>
  <c r="BG22" i="16" s="1"/>
  <c r="AO28" i="6"/>
  <c r="AV28" i="6" s="1"/>
  <c r="AX20" i="16"/>
  <c r="BA20" i="16" s="1"/>
  <c r="BC20" i="16" s="1"/>
  <c r="BE20" i="16" s="1"/>
  <c r="BF20" i="16" s="1"/>
  <c r="BG20" i="16" s="1"/>
  <c r="AX46" i="16"/>
  <c r="BA46" i="16" s="1"/>
  <c r="BC46" i="16" s="1"/>
  <c r="BE46" i="16" s="1"/>
  <c r="BF46" i="16" s="1"/>
  <c r="BG46" i="16" s="1"/>
  <c r="AX36" i="16"/>
  <c r="BA36" i="16" s="1"/>
  <c r="BC36" i="16" s="1"/>
  <c r="BE36" i="16" s="1"/>
  <c r="BF36" i="16" s="1"/>
  <c r="BG36" i="16" s="1"/>
  <c r="AX26" i="16"/>
  <c r="BA26" i="16" s="1"/>
  <c r="BC26" i="16" s="1"/>
  <c r="BE26" i="16" s="1"/>
  <c r="BF26" i="16" s="1"/>
  <c r="BG26" i="16" s="1"/>
  <c r="AX40" i="16"/>
  <c r="BA40" i="16" s="1"/>
  <c r="BC40" i="16" s="1"/>
  <c r="BE40" i="16" s="1"/>
  <c r="BF40" i="16" s="1"/>
  <c r="BG40" i="16" s="1"/>
  <c r="AX37" i="16"/>
  <c r="BA37" i="16" s="1"/>
  <c r="BC37" i="16" s="1"/>
  <c r="BE37" i="16" s="1"/>
  <c r="BF37" i="16" s="1"/>
  <c r="BG37" i="16" s="1"/>
  <c r="AX12" i="16"/>
  <c r="BA12" i="16" s="1"/>
  <c r="BC12" i="16" s="1"/>
  <c r="BE12" i="16" s="1"/>
  <c r="BF12" i="16" s="1"/>
  <c r="BG12" i="16" s="1"/>
  <c r="AX37" i="6"/>
  <c r="BA37" i="6" s="1"/>
  <c r="BC37" i="6" s="1"/>
  <c r="AX44" i="16"/>
  <c r="BA44" i="16" s="1"/>
  <c r="BC44" i="16" s="1"/>
  <c r="BE44" i="16" s="1"/>
  <c r="BF44" i="16" s="1"/>
  <c r="BG44" i="16" s="1"/>
  <c r="AX23" i="6"/>
  <c r="BA23" i="6" s="1"/>
  <c r="BC23" i="6" s="1"/>
  <c r="AX43" i="16"/>
  <c r="BA43" i="16" s="1"/>
  <c r="BC43" i="16" s="1"/>
  <c r="BE43" i="16" s="1"/>
  <c r="BF43" i="16" s="1"/>
  <c r="BG43" i="16" s="1"/>
  <c r="AX19" i="6"/>
  <c r="BA19" i="6" s="1"/>
  <c r="BC19" i="6" s="1"/>
  <c r="BE42" i="6"/>
  <c r="BF42" i="6" s="1"/>
  <c r="BG42" i="6" s="1"/>
  <c r="AX34" i="16"/>
  <c r="BA34" i="16" s="1"/>
  <c r="BC34" i="16" s="1"/>
  <c r="BE34" i="16" s="1"/>
  <c r="BF34" i="16" s="1"/>
  <c r="BG34" i="16" s="1"/>
  <c r="AX39" i="16"/>
  <c r="BA39" i="16" s="1"/>
  <c r="BC39" i="16" s="1"/>
  <c r="BE39" i="16" s="1"/>
  <c r="BF39" i="16" s="1"/>
  <c r="BG39" i="16" s="1"/>
  <c r="AX48" i="16"/>
  <c r="BA48" i="16" s="1"/>
  <c r="BC48" i="16" s="1"/>
  <c r="BE48" i="16" s="1"/>
  <c r="BF48" i="16" s="1"/>
  <c r="BG48" i="16" s="1"/>
  <c r="BU177" i="6" l="1"/>
  <c r="BF467" i="7"/>
  <c r="BG467" i="7" s="1"/>
  <c r="BF557" i="7"/>
  <c r="BG557" i="7" s="1"/>
  <c r="BE27" i="6"/>
  <c r="BF27" i="6" s="1"/>
  <c r="BG27" i="6" s="1"/>
  <c r="BU27" i="6"/>
  <c r="BW27" i="6" s="1"/>
  <c r="BY27" i="6" s="1"/>
  <c r="BZ27" i="6" s="1"/>
  <c r="CA27" i="6" s="1"/>
  <c r="BF550" i="7"/>
  <c r="BG550" i="7" s="1"/>
  <c r="BF534" i="7"/>
  <c r="BG534" i="7" s="1"/>
  <c r="BF499" i="7"/>
  <c r="BG499" i="7" s="1"/>
  <c r="BW109" i="6"/>
  <c r="BY109" i="6" s="1"/>
  <c r="BZ109" i="6" s="1"/>
  <c r="CA109" i="6" s="1"/>
  <c r="BF472" i="7"/>
  <c r="BG472" i="7" s="1"/>
  <c r="BW136" i="6"/>
  <c r="BY136" i="6" s="1"/>
  <c r="BZ136" i="6" s="1"/>
  <c r="CA136" i="6" s="1"/>
  <c r="BW30" i="6"/>
  <c r="BY30" i="6" s="1"/>
  <c r="BZ30" i="6" s="1"/>
  <c r="CA30" i="6" s="1"/>
  <c r="BF536" i="7"/>
  <c r="BG536" i="7" s="1"/>
  <c r="BF560" i="7"/>
  <c r="BG560" i="7" s="1"/>
  <c r="BF501" i="7"/>
  <c r="BG501" i="7" s="1"/>
  <c r="BF463" i="7"/>
  <c r="BG463" i="7" s="1"/>
  <c r="BF545" i="7"/>
  <c r="BG545" i="7" s="1"/>
  <c r="BF571" i="7"/>
  <c r="BG571" i="7" s="1"/>
  <c r="BF521" i="7"/>
  <c r="BG521" i="7" s="1"/>
  <c r="BF539" i="7"/>
  <c r="BG539" i="7" s="1"/>
  <c r="BW58" i="6"/>
  <c r="BY58" i="6" s="1"/>
  <c r="BZ58" i="6" s="1"/>
  <c r="CA58" i="6" s="1"/>
  <c r="BW75" i="6"/>
  <c r="BY75" i="6" s="1"/>
  <c r="BZ75" i="6" s="1"/>
  <c r="CA75" i="6" s="1"/>
  <c r="BW40" i="6"/>
  <c r="BY40" i="6" s="1"/>
  <c r="BZ40" i="6" s="1"/>
  <c r="CA40" i="6" s="1"/>
  <c r="BF482" i="7"/>
  <c r="BG482" i="7" s="1"/>
  <c r="BZ510" i="7"/>
  <c r="CA510" i="7" s="1"/>
  <c r="BF533" i="7"/>
  <c r="BG533" i="7" s="1"/>
  <c r="BF543" i="7"/>
  <c r="BG543" i="7" s="1"/>
  <c r="BW125" i="6"/>
  <c r="BY125" i="6" s="1"/>
  <c r="BZ125" i="6" s="1"/>
  <c r="CA125" i="6" s="1"/>
  <c r="BZ206" i="6"/>
  <c r="CA206" i="6" s="1"/>
  <c r="BZ482" i="7"/>
  <c r="CA482" i="7" s="1"/>
  <c r="BU207" i="6"/>
  <c r="BW207" i="6" s="1"/>
  <c r="BY207" i="6" s="1"/>
  <c r="BU223" i="6"/>
  <c r="BW223" i="6" s="1"/>
  <c r="BY223" i="6" s="1"/>
  <c r="BZ223" i="6" s="1"/>
  <c r="CA223" i="6" s="1"/>
  <c r="BF220" i="6"/>
  <c r="BG220" i="6" s="1"/>
  <c r="BF506" i="7"/>
  <c r="BG506" i="7" s="1"/>
  <c r="BZ480" i="7"/>
  <c r="CA480" i="7" s="1"/>
  <c r="BZ464" i="7"/>
  <c r="CA464" i="7" s="1"/>
  <c r="BF195" i="6"/>
  <c r="BG195" i="6" s="1"/>
  <c r="BW167" i="6"/>
  <c r="BY167" i="6" s="1"/>
  <c r="BZ167" i="6" s="1"/>
  <c r="CA167" i="6" s="1"/>
  <c r="BF479" i="7"/>
  <c r="BG479" i="7" s="1"/>
  <c r="BW33" i="6"/>
  <c r="BY33" i="6" s="1"/>
  <c r="BZ33" i="6" s="1"/>
  <c r="CA33" i="6" s="1"/>
  <c r="BW82" i="6"/>
  <c r="BY82" i="6" s="1"/>
  <c r="BZ82" i="6" s="1"/>
  <c r="CA82" i="6" s="1"/>
  <c r="BW176" i="6"/>
  <c r="BY176" i="6" s="1"/>
  <c r="BZ176" i="6" s="1"/>
  <c r="CA176" i="6" s="1"/>
  <c r="BW31" i="6"/>
  <c r="BY31" i="6" s="1"/>
  <c r="BZ31" i="6" s="1"/>
  <c r="CA31" i="6" s="1"/>
  <c r="BW52" i="6"/>
  <c r="BY52" i="6" s="1"/>
  <c r="BZ52" i="6" s="1"/>
  <c r="CA52" i="6" s="1"/>
  <c r="BW115" i="6"/>
  <c r="BY115" i="6" s="1"/>
  <c r="BZ115" i="6" s="1"/>
  <c r="CA115" i="6" s="1"/>
  <c r="BF531" i="7"/>
  <c r="BG531" i="7" s="1"/>
  <c r="BF474" i="7"/>
  <c r="BG474" i="7" s="1"/>
  <c r="BF477" i="7"/>
  <c r="BG477" i="7" s="1"/>
  <c r="BF551" i="7"/>
  <c r="BG551" i="7" s="1"/>
  <c r="BF520" i="7"/>
  <c r="BG520" i="7" s="1"/>
  <c r="BF462" i="7"/>
  <c r="BG462" i="7" s="1"/>
  <c r="BF544" i="7"/>
  <c r="BG544" i="7" s="1"/>
  <c r="BF491" i="7"/>
  <c r="BG491" i="7" s="1"/>
  <c r="BF191" i="6"/>
  <c r="BG191" i="6" s="1"/>
  <c r="BF507" i="7"/>
  <c r="BG507" i="7" s="1"/>
  <c r="BF542" i="7"/>
  <c r="BG542" i="7" s="1"/>
  <c r="BF513" i="7"/>
  <c r="BG513" i="7" s="1"/>
  <c r="BF203" i="6"/>
  <c r="BG203" i="6" s="1"/>
  <c r="BF486" i="7"/>
  <c r="BG486" i="7" s="1"/>
  <c r="BF572" i="7"/>
  <c r="BG572" i="7" s="1"/>
  <c r="BF471" i="7"/>
  <c r="BG471" i="7" s="1"/>
  <c r="BF218" i="6"/>
  <c r="BG218" i="6" s="1"/>
  <c r="BF561" i="7"/>
  <c r="BG561" i="7" s="1"/>
  <c r="BF565" i="7"/>
  <c r="BG565" i="7" s="1"/>
  <c r="BF468" i="7"/>
  <c r="BG468" i="7" s="1"/>
  <c r="BF547" i="7"/>
  <c r="BG547" i="7" s="1"/>
  <c r="BF222" i="6"/>
  <c r="BG222" i="6" s="1"/>
  <c r="BF568" i="7"/>
  <c r="BG568" i="7" s="1"/>
  <c r="BF511" i="7"/>
  <c r="BG511" i="7" s="1"/>
  <c r="BZ560" i="7"/>
  <c r="CA560" i="7" s="1"/>
  <c r="BW144" i="6"/>
  <c r="BY144" i="6" s="1"/>
  <c r="BZ144" i="6" s="1"/>
  <c r="CA144" i="6" s="1"/>
  <c r="BF505" i="7"/>
  <c r="BG505" i="7" s="1"/>
  <c r="BZ505" i="7"/>
  <c r="CA505" i="7" s="1"/>
  <c r="BW49" i="6"/>
  <c r="BY49" i="6" s="1"/>
  <c r="BZ49" i="6" s="1"/>
  <c r="CA49" i="6" s="1"/>
  <c r="BW177" i="6"/>
  <c r="BY177" i="6" s="1"/>
  <c r="BZ177" i="6" s="1"/>
  <c r="CA177" i="6" s="1"/>
  <c r="BW74" i="6"/>
  <c r="BY74" i="6" s="1"/>
  <c r="BZ74" i="6" s="1"/>
  <c r="CA74" i="6" s="1"/>
  <c r="BW39" i="6"/>
  <c r="BY39" i="6" s="1"/>
  <c r="BZ39" i="6" s="1"/>
  <c r="CA39" i="6" s="1"/>
  <c r="BW89" i="6"/>
  <c r="BY89" i="6" s="1"/>
  <c r="BZ89" i="6" s="1"/>
  <c r="CA89" i="6" s="1"/>
  <c r="BW175" i="6"/>
  <c r="BY175" i="6" s="1"/>
  <c r="BZ175" i="6" s="1"/>
  <c r="CA175" i="6" s="1"/>
  <c r="BW76" i="6"/>
  <c r="BY76" i="6" s="1"/>
  <c r="BZ76" i="6" s="1"/>
  <c r="CA76" i="6" s="1"/>
  <c r="BW105" i="6"/>
  <c r="BY105" i="6" s="1"/>
  <c r="BZ105" i="6" s="1"/>
  <c r="CA105" i="6" s="1"/>
  <c r="BW127" i="6"/>
  <c r="BY127" i="6" s="1"/>
  <c r="BZ127" i="6" s="1"/>
  <c r="CA127" i="6" s="1"/>
  <c r="BW64" i="6"/>
  <c r="BY64" i="6" s="1"/>
  <c r="BZ64" i="6" s="1"/>
  <c r="CA64" i="6" s="1"/>
  <c r="BW79" i="6"/>
  <c r="BY79" i="6" s="1"/>
  <c r="BZ79" i="6" s="1"/>
  <c r="CA79" i="6" s="1"/>
  <c r="BR208" i="6"/>
  <c r="BU208" i="6" s="1"/>
  <c r="BW208" i="6" s="1"/>
  <c r="BY208" i="6" s="1"/>
  <c r="BZ208" i="6" s="1"/>
  <c r="CA208" i="6" s="1"/>
  <c r="BE208" i="6"/>
  <c r="BF208" i="6" s="1"/>
  <c r="BG208" i="6" s="1"/>
  <c r="BZ544" i="7"/>
  <c r="CA544" i="7" s="1"/>
  <c r="BZ469" i="7"/>
  <c r="CA469" i="7" s="1"/>
  <c r="BF517" i="7"/>
  <c r="BG517" i="7" s="1"/>
  <c r="BZ475" i="7"/>
  <c r="CA475" i="7" s="1"/>
  <c r="BF535" i="7"/>
  <c r="BG535" i="7" s="1"/>
  <c r="BW70" i="6"/>
  <c r="BY70" i="6" s="1"/>
  <c r="BZ70" i="6" s="1"/>
  <c r="CA70" i="6" s="1"/>
  <c r="BW60" i="6"/>
  <c r="BY60" i="6" s="1"/>
  <c r="BZ60" i="6" s="1"/>
  <c r="CA60" i="6" s="1"/>
  <c r="BW29" i="6"/>
  <c r="BY29" i="6" s="1"/>
  <c r="BZ29" i="6" s="1"/>
  <c r="CA29" i="6" s="1"/>
  <c r="BP32" i="6"/>
  <c r="BW32" i="6" s="1"/>
  <c r="BY32" i="6" s="1"/>
  <c r="BZ32" i="6" s="1"/>
  <c r="CA32" i="6" s="1"/>
  <c r="AX214" i="6"/>
  <c r="BA214" i="6" s="1"/>
  <c r="BC214" i="6" s="1"/>
  <c r="BE214" i="6" s="1"/>
  <c r="BF214" i="6" s="1"/>
  <c r="BG214" i="6" s="1"/>
  <c r="BP36" i="6"/>
  <c r="BW36" i="6" s="1"/>
  <c r="BY36" i="6" s="1"/>
  <c r="BZ36" i="6" s="1"/>
  <c r="CA36" i="6" s="1"/>
  <c r="BZ479" i="7"/>
  <c r="CA479" i="7" s="1"/>
  <c r="BZ527" i="7"/>
  <c r="CA527" i="7" s="1"/>
  <c r="BZ476" i="7"/>
  <c r="CA476" i="7" s="1"/>
  <c r="BF529" i="7"/>
  <c r="BG529" i="7" s="1"/>
  <c r="BF562" i="7"/>
  <c r="BG562" i="7" s="1"/>
  <c r="BF566" i="7"/>
  <c r="BG566" i="7" s="1"/>
  <c r="BZ520" i="7"/>
  <c r="CA520" i="7" s="1"/>
  <c r="BZ496" i="7"/>
  <c r="CA496" i="7" s="1"/>
  <c r="BF524" i="7"/>
  <c r="BG524" i="7" s="1"/>
  <c r="BF523" i="7"/>
  <c r="BG523" i="7" s="1"/>
  <c r="BF519" i="7"/>
  <c r="BG519" i="7" s="1"/>
  <c r="BF515" i="7"/>
  <c r="BG515" i="7" s="1"/>
  <c r="BZ498" i="7"/>
  <c r="CA498" i="7" s="1"/>
  <c r="BZ473" i="7"/>
  <c r="CA473" i="7" s="1"/>
  <c r="BZ490" i="7"/>
  <c r="CA490" i="7" s="1"/>
  <c r="BZ472" i="7"/>
  <c r="CA472" i="7" s="1"/>
  <c r="BF532" i="7"/>
  <c r="BG532" i="7" s="1"/>
  <c r="BF487" i="7"/>
  <c r="BG487" i="7" s="1"/>
  <c r="BF496" i="7"/>
  <c r="BG496" i="7" s="1"/>
  <c r="BZ556" i="7"/>
  <c r="CA556" i="7" s="1"/>
  <c r="BZ551" i="7"/>
  <c r="CA551" i="7" s="1"/>
  <c r="BP37" i="6"/>
  <c r="BW37" i="6" s="1"/>
  <c r="BY37" i="6" s="1"/>
  <c r="BZ37" i="6" s="1"/>
  <c r="CA37" i="6" s="1"/>
  <c r="BP35" i="6"/>
  <c r="BW35" i="6" s="1"/>
  <c r="BY35" i="6" s="1"/>
  <c r="BZ35" i="6" s="1"/>
  <c r="CA35" i="6" s="1"/>
  <c r="BW171" i="6"/>
  <c r="BY171" i="6" s="1"/>
  <c r="BZ171" i="6" s="1"/>
  <c r="CA171" i="6" s="1"/>
  <c r="BZ501" i="7"/>
  <c r="CA501" i="7" s="1"/>
  <c r="BZ519" i="7"/>
  <c r="CA519" i="7" s="1"/>
  <c r="BW141" i="6"/>
  <c r="BY141" i="6" s="1"/>
  <c r="BZ141" i="6" s="1"/>
  <c r="CA141" i="6" s="1"/>
  <c r="BW135" i="6"/>
  <c r="BY135" i="6" s="1"/>
  <c r="BZ135" i="6" s="1"/>
  <c r="CA135" i="6" s="1"/>
  <c r="BW110" i="6"/>
  <c r="BY110" i="6" s="1"/>
  <c r="BZ110" i="6" s="1"/>
  <c r="CA110" i="6" s="1"/>
  <c r="BW121" i="6"/>
  <c r="BY121" i="6" s="1"/>
  <c r="BZ121" i="6" s="1"/>
  <c r="CA121" i="6" s="1"/>
  <c r="BZ571" i="7"/>
  <c r="CA571" i="7" s="1"/>
  <c r="BZ547" i="7"/>
  <c r="CA547" i="7" s="1"/>
  <c r="BZ563" i="7"/>
  <c r="CA563" i="7" s="1"/>
  <c r="BZ566" i="7"/>
  <c r="CA566" i="7" s="1"/>
  <c r="BZ552" i="7"/>
  <c r="CA552" i="7" s="1"/>
  <c r="BZ555" i="7"/>
  <c r="CA555" i="7" s="1"/>
  <c r="BZ558" i="7"/>
  <c r="CA558" i="7" s="1"/>
  <c r="BZ554" i="7"/>
  <c r="CA554" i="7" s="1"/>
  <c r="BZ550" i="7"/>
  <c r="CA550" i="7" s="1"/>
  <c r="BZ546" i="7"/>
  <c r="CA546" i="7" s="1"/>
  <c r="BZ570" i="7"/>
  <c r="CA570" i="7" s="1"/>
  <c r="BZ460" i="7"/>
  <c r="CA460" i="7" s="1"/>
  <c r="BZ466" i="7"/>
  <c r="CA466" i="7" s="1"/>
  <c r="BZ543" i="7"/>
  <c r="CA543" i="7" s="1"/>
  <c r="BZ488" i="7"/>
  <c r="CA488" i="7" s="1"/>
  <c r="BZ506" i="7"/>
  <c r="CA506" i="7" s="1"/>
  <c r="BZ511" i="7"/>
  <c r="CA511" i="7" s="1"/>
  <c r="BZ530" i="7"/>
  <c r="CA530" i="7" s="1"/>
  <c r="BZ531" i="7"/>
  <c r="CA531" i="7" s="1"/>
  <c r="BZ541" i="7"/>
  <c r="CA541" i="7" s="1"/>
  <c r="BZ569" i="7"/>
  <c r="CA569" i="7" s="1"/>
  <c r="BZ500" i="7"/>
  <c r="CA500" i="7" s="1"/>
  <c r="BZ553" i="7"/>
  <c r="CA553" i="7" s="1"/>
  <c r="BZ518" i="7"/>
  <c r="CA518" i="7" s="1"/>
  <c r="BZ516" i="7"/>
  <c r="CA516" i="7" s="1"/>
  <c r="BZ463" i="7"/>
  <c r="CA463" i="7" s="1"/>
  <c r="BZ535" i="7"/>
  <c r="CA535" i="7" s="1"/>
  <c r="BZ559" i="7"/>
  <c r="CA559" i="7" s="1"/>
  <c r="BZ508" i="7"/>
  <c r="CA508" i="7" s="1"/>
  <c r="BZ540" i="7"/>
  <c r="CA540" i="7" s="1"/>
  <c r="BZ467" i="7"/>
  <c r="CA467" i="7" s="1"/>
  <c r="BZ483" i="7"/>
  <c r="CA483" i="7" s="1"/>
  <c r="BZ523" i="7"/>
  <c r="CA523" i="7" s="1"/>
  <c r="BZ489" i="7"/>
  <c r="CA489" i="7" s="1"/>
  <c r="BZ528" i="7"/>
  <c r="CA528" i="7" s="1"/>
  <c r="BZ509" i="7"/>
  <c r="CA509" i="7" s="1"/>
  <c r="BZ568" i="7"/>
  <c r="CA568" i="7" s="1"/>
  <c r="BZ465" i="7"/>
  <c r="CA465" i="7" s="1"/>
  <c r="BZ573" i="7"/>
  <c r="CA573" i="7" s="1"/>
  <c r="BZ532" i="7"/>
  <c r="CA532" i="7" s="1"/>
  <c r="BZ536" i="7"/>
  <c r="CA536" i="7" s="1"/>
  <c r="BZ495" i="7"/>
  <c r="CA495" i="7" s="1"/>
  <c r="BZ497" i="7"/>
  <c r="CA497" i="7" s="1"/>
  <c r="BZ521" i="7"/>
  <c r="CA521" i="7" s="1"/>
  <c r="BZ486" i="7"/>
  <c r="CA486" i="7" s="1"/>
  <c r="BZ515" i="7"/>
  <c r="CA515" i="7" s="1"/>
  <c r="BZ517" i="7"/>
  <c r="CA517" i="7" s="1"/>
  <c r="BZ481" i="7"/>
  <c r="CA481" i="7" s="1"/>
  <c r="AX107" i="6"/>
  <c r="BA107" i="6" s="1"/>
  <c r="BC107" i="6" s="1"/>
  <c r="BE107" i="6" s="1"/>
  <c r="BF107" i="6" s="1"/>
  <c r="BG107" i="6" s="1"/>
  <c r="BF495" i="7"/>
  <c r="BG495" i="7" s="1"/>
  <c r="AX12" i="6"/>
  <c r="BA12" i="6" s="1"/>
  <c r="BC12" i="6" s="1"/>
  <c r="BE12" i="6" s="1"/>
  <c r="BF12" i="6" s="1"/>
  <c r="BG12" i="6" s="1"/>
  <c r="AX46" i="6"/>
  <c r="BA46" i="6" s="1"/>
  <c r="BC46" i="6" s="1"/>
  <c r="BF169" i="6"/>
  <c r="BG169" i="6" s="1"/>
  <c r="BE142" i="6"/>
  <c r="BF142" i="6" s="1"/>
  <c r="BG142" i="6" s="1"/>
  <c r="BC171" i="6"/>
  <c r="BE171" i="6" s="1"/>
  <c r="BF171" i="6" s="1"/>
  <c r="BG171" i="6" s="1"/>
  <c r="BE47" i="6"/>
  <c r="BF47" i="6" s="1"/>
  <c r="BG47" i="6" s="1"/>
  <c r="BC149" i="6"/>
  <c r="BE149" i="6" s="1"/>
  <c r="AX63" i="6"/>
  <c r="AX91" i="6"/>
  <c r="BA91" i="6" s="1"/>
  <c r="BC91" i="6" s="1"/>
  <c r="AX55" i="6"/>
  <c r="BA55" i="6" s="1"/>
  <c r="BC55" i="6" s="1"/>
  <c r="AX56" i="6"/>
  <c r="BA56" i="6" s="1"/>
  <c r="BC56" i="6" s="1"/>
  <c r="BE145" i="6"/>
  <c r="BE65" i="6"/>
  <c r="BF65" i="6" s="1"/>
  <c r="BG65" i="6" s="1"/>
  <c r="BE172" i="6"/>
  <c r="BF172" i="6" s="1"/>
  <c r="BG172" i="6" s="1"/>
  <c r="BC125" i="6"/>
  <c r="BE125" i="6" s="1"/>
  <c r="BF125" i="6" s="1"/>
  <c r="BG125" i="6" s="1"/>
  <c r="BC173" i="6"/>
  <c r="BE173" i="6" s="1"/>
  <c r="BE73" i="6"/>
  <c r="BF73" i="6" s="1"/>
  <c r="BG73" i="6" s="1"/>
  <c r="BE128" i="6"/>
  <c r="BF128" i="6" s="1"/>
  <c r="BG128" i="6" s="1"/>
  <c r="BE112" i="6"/>
  <c r="BF112" i="6" s="1"/>
  <c r="BG112" i="6" s="1"/>
  <c r="BE57" i="6"/>
  <c r="BF57" i="6" s="1"/>
  <c r="BG57" i="6" s="1"/>
  <c r="BE9" i="6"/>
  <c r="BF9" i="6" s="1"/>
  <c r="BG9" i="6" s="1"/>
  <c r="BE154" i="6"/>
  <c r="BA84" i="6"/>
  <c r="BC84" i="6" s="1"/>
  <c r="BE84" i="6" s="1"/>
  <c r="BF84" i="6" s="1"/>
  <c r="BG84" i="6" s="1"/>
  <c r="BA100" i="6"/>
  <c r="BC100" i="6" s="1"/>
  <c r="BE100" i="6" s="1"/>
  <c r="BF100" i="6" s="1"/>
  <c r="BG100" i="6" s="1"/>
  <c r="BW151" i="6"/>
  <c r="BY151" i="6" s="1"/>
  <c r="BZ151" i="6" s="1"/>
  <c r="CA151" i="6" s="1"/>
  <c r="BA138" i="6"/>
  <c r="BC138" i="6" s="1"/>
  <c r="BE138" i="6" s="1"/>
  <c r="BF138" i="6" s="1"/>
  <c r="BG138" i="6" s="1"/>
  <c r="BA124" i="6"/>
  <c r="BC124" i="6" s="1"/>
  <c r="BE124" i="6" s="1"/>
  <c r="BF124" i="6" s="1"/>
  <c r="BG124" i="6" s="1"/>
  <c r="BA88" i="6"/>
  <c r="BC88" i="6" s="1"/>
  <c r="BE88" i="6" s="1"/>
  <c r="BF88" i="6" s="1"/>
  <c r="BG88" i="6" s="1"/>
  <c r="BP34" i="6"/>
  <c r="BW34" i="6" s="1"/>
  <c r="BY34" i="6" s="1"/>
  <c r="BZ34" i="6" s="1"/>
  <c r="CA34" i="6" s="1"/>
  <c r="BA162" i="6"/>
  <c r="BC162" i="6" s="1"/>
  <c r="BE162" i="6" s="1"/>
  <c r="BF162" i="6" s="1"/>
  <c r="BG162" i="6" s="1"/>
  <c r="BA155" i="6"/>
  <c r="BC155" i="6" s="1"/>
  <c r="BE155" i="6" s="1"/>
  <c r="BA87" i="6"/>
  <c r="BC87" i="6" s="1"/>
  <c r="BE87" i="6" s="1"/>
  <c r="BF87" i="6" s="1"/>
  <c r="BG87" i="6" s="1"/>
  <c r="BW179" i="6"/>
  <c r="BY179" i="6" s="1"/>
  <c r="BW120" i="6"/>
  <c r="BY120" i="6" s="1"/>
  <c r="BZ120" i="6" s="1"/>
  <c r="CA120" i="6" s="1"/>
  <c r="BW108" i="6"/>
  <c r="BY108" i="6" s="1"/>
  <c r="BZ108" i="6" s="1"/>
  <c r="CA108" i="6" s="1"/>
  <c r="BW77" i="6"/>
  <c r="BY77" i="6" s="1"/>
  <c r="BZ77" i="6" s="1"/>
  <c r="CA77" i="6" s="1"/>
  <c r="BA94" i="6"/>
  <c r="BC94" i="6" s="1"/>
  <c r="BE94" i="6" s="1"/>
  <c r="BF94" i="6" s="1"/>
  <c r="BG94" i="6" s="1"/>
  <c r="BF179" i="6"/>
  <c r="BG179" i="6" s="1"/>
  <c r="BU174" i="6"/>
  <c r="BW174" i="6" s="1"/>
  <c r="BY174" i="6" s="1"/>
  <c r="BA160" i="6"/>
  <c r="BC160" i="6" s="1"/>
  <c r="BE160" i="6" s="1"/>
  <c r="BA96" i="6"/>
  <c r="BC96" i="6" s="1"/>
  <c r="BE96" i="6" s="1"/>
  <c r="BF96" i="6" s="1"/>
  <c r="BG96" i="6" s="1"/>
  <c r="BA156" i="6"/>
  <c r="BC156" i="6" s="1"/>
  <c r="BE156" i="6" s="1"/>
  <c r="BA133" i="6"/>
  <c r="BC133" i="6" s="1"/>
  <c r="BE133" i="6" s="1"/>
  <c r="BF133" i="6" s="1"/>
  <c r="BG133" i="6" s="1"/>
  <c r="BU164" i="6"/>
  <c r="BW164" i="6" s="1"/>
  <c r="BY164" i="6" s="1"/>
  <c r="BZ169" i="6"/>
  <c r="CA169" i="6" s="1"/>
  <c r="BA152" i="6"/>
  <c r="BC152" i="6" s="1"/>
  <c r="BE152" i="6" s="1"/>
  <c r="BP122" i="6"/>
  <c r="BW122" i="6" s="1"/>
  <c r="BY122" i="6" s="1"/>
  <c r="BZ122" i="6" s="1"/>
  <c r="CA122" i="6" s="1"/>
  <c r="BP162" i="6"/>
  <c r="BW162" i="6" s="1"/>
  <c r="BY162" i="6" s="1"/>
  <c r="BP128" i="6"/>
  <c r="BW128" i="6" s="1"/>
  <c r="BY128" i="6" s="1"/>
  <c r="BZ128" i="6" s="1"/>
  <c r="CA128" i="6" s="1"/>
  <c r="BP119" i="6"/>
  <c r="BW119" i="6" s="1"/>
  <c r="BY119" i="6" s="1"/>
  <c r="BZ119" i="6" s="1"/>
  <c r="CA119" i="6" s="1"/>
  <c r="BP112" i="6"/>
  <c r="BW112" i="6" s="1"/>
  <c r="BY112" i="6" s="1"/>
  <c r="BZ112" i="6" s="1"/>
  <c r="CA112" i="6" s="1"/>
  <c r="BP161" i="6"/>
  <c r="BW161" i="6" s="1"/>
  <c r="BY161" i="6" s="1"/>
  <c r="BP65" i="6"/>
  <c r="BW65" i="6" s="1"/>
  <c r="BY65" i="6" s="1"/>
  <c r="BZ65" i="6" s="1"/>
  <c r="CA65" i="6" s="1"/>
  <c r="BP50" i="6"/>
  <c r="BW50" i="6" s="1"/>
  <c r="BY50" i="6" s="1"/>
  <c r="BZ50" i="6" s="1"/>
  <c r="CA50" i="6" s="1"/>
  <c r="BP137" i="6"/>
  <c r="BW137" i="6" s="1"/>
  <c r="BY137" i="6" s="1"/>
  <c r="BZ137" i="6" s="1"/>
  <c r="CA137" i="6" s="1"/>
  <c r="BP69" i="6"/>
  <c r="BW69" i="6" s="1"/>
  <c r="BY69" i="6" s="1"/>
  <c r="BZ69" i="6" s="1"/>
  <c r="CA69" i="6" s="1"/>
  <c r="BP166" i="6"/>
  <c r="BW166" i="6" s="1"/>
  <c r="BY166" i="6" s="1"/>
  <c r="BP138" i="6"/>
  <c r="BW138" i="6" s="1"/>
  <c r="BY138" i="6" s="1"/>
  <c r="BZ138" i="6" s="1"/>
  <c r="CA138" i="6" s="1"/>
  <c r="BP83" i="6"/>
  <c r="BW83" i="6" s="1"/>
  <c r="BY83" i="6" s="1"/>
  <c r="BZ83" i="6" s="1"/>
  <c r="CA83" i="6" s="1"/>
  <c r="BP118" i="6"/>
  <c r="BW118" i="6" s="1"/>
  <c r="BY118" i="6" s="1"/>
  <c r="BZ118" i="6" s="1"/>
  <c r="CA118" i="6" s="1"/>
  <c r="BP87" i="6"/>
  <c r="BW87" i="6" s="1"/>
  <c r="BY87" i="6" s="1"/>
  <c r="BZ87" i="6" s="1"/>
  <c r="CA87" i="6" s="1"/>
  <c r="BP99" i="6"/>
  <c r="BW99" i="6" s="1"/>
  <c r="BY99" i="6" s="1"/>
  <c r="BZ99" i="6" s="1"/>
  <c r="CA99" i="6" s="1"/>
  <c r="BP145" i="6"/>
  <c r="BW145" i="6" s="1"/>
  <c r="BY145" i="6" s="1"/>
  <c r="BP172" i="6"/>
  <c r="BW172" i="6" s="1"/>
  <c r="BY172" i="6" s="1"/>
  <c r="BP104" i="6"/>
  <c r="BW104" i="6" s="1"/>
  <c r="BY104" i="6" s="1"/>
  <c r="BZ104" i="6" s="1"/>
  <c r="CA104" i="6" s="1"/>
  <c r="BP116" i="6"/>
  <c r="BW116" i="6" s="1"/>
  <c r="BY116" i="6" s="1"/>
  <c r="BZ116" i="6" s="1"/>
  <c r="CA116" i="6" s="1"/>
  <c r="BP98" i="6"/>
  <c r="BW98" i="6" s="1"/>
  <c r="BY98" i="6" s="1"/>
  <c r="BZ98" i="6" s="1"/>
  <c r="CA98" i="6" s="1"/>
  <c r="BP84" i="6"/>
  <c r="BW84" i="6" s="1"/>
  <c r="BY84" i="6" s="1"/>
  <c r="BZ84" i="6" s="1"/>
  <c r="CA84" i="6" s="1"/>
  <c r="BP78" i="6"/>
  <c r="BW78" i="6" s="1"/>
  <c r="BY78" i="6" s="1"/>
  <c r="BZ78" i="6" s="1"/>
  <c r="CA78" i="6" s="1"/>
  <c r="BP142" i="6"/>
  <c r="BW142" i="6" s="1"/>
  <c r="BY142" i="6" s="1"/>
  <c r="BZ142" i="6" s="1"/>
  <c r="CA142" i="6" s="1"/>
  <c r="BP88" i="6"/>
  <c r="BW88" i="6" s="1"/>
  <c r="BY88" i="6" s="1"/>
  <c r="BZ88" i="6" s="1"/>
  <c r="CA88" i="6" s="1"/>
  <c r="BP155" i="6"/>
  <c r="BW155" i="6" s="1"/>
  <c r="BY155" i="6" s="1"/>
  <c r="BP149" i="6"/>
  <c r="BW149" i="6" s="1"/>
  <c r="BY149" i="6" s="1"/>
  <c r="BP154" i="6"/>
  <c r="BW154" i="6" s="1"/>
  <c r="BY154" i="6" s="1"/>
  <c r="BP117" i="6"/>
  <c r="BW117" i="6" s="1"/>
  <c r="BY117" i="6" s="1"/>
  <c r="BZ117" i="6" s="1"/>
  <c r="CA117" i="6" s="1"/>
  <c r="BP80" i="6"/>
  <c r="BW80" i="6" s="1"/>
  <c r="BY80" i="6" s="1"/>
  <c r="BZ80" i="6" s="1"/>
  <c r="CA80" i="6" s="1"/>
  <c r="BP94" i="6"/>
  <c r="BW94" i="6" s="1"/>
  <c r="BY94" i="6" s="1"/>
  <c r="BZ94" i="6" s="1"/>
  <c r="CA94" i="6" s="1"/>
  <c r="BP100" i="6"/>
  <c r="BW100" i="6" s="1"/>
  <c r="BY100" i="6" s="1"/>
  <c r="BZ100" i="6" s="1"/>
  <c r="CA100" i="6" s="1"/>
  <c r="BP178" i="6"/>
  <c r="BW178" i="6" s="1"/>
  <c r="BY178" i="6" s="1"/>
  <c r="BP124" i="6"/>
  <c r="BW124" i="6" s="1"/>
  <c r="BY124" i="6" s="1"/>
  <c r="BZ124" i="6" s="1"/>
  <c r="CA124" i="6" s="1"/>
  <c r="BP48" i="6"/>
  <c r="BW48" i="6" s="1"/>
  <c r="BY48" i="6" s="1"/>
  <c r="BZ48" i="6" s="1"/>
  <c r="CA48" i="6" s="1"/>
  <c r="BP61" i="6"/>
  <c r="BW61" i="6" s="1"/>
  <c r="BY61" i="6" s="1"/>
  <c r="BZ61" i="6" s="1"/>
  <c r="CA61" i="6" s="1"/>
  <c r="BP152" i="6"/>
  <c r="BW152" i="6" s="1"/>
  <c r="BY152" i="6" s="1"/>
  <c r="BP86" i="6"/>
  <c r="BW86" i="6" s="1"/>
  <c r="BY86" i="6" s="1"/>
  <c r="BZ86" i="6" s="1"/>
  <c r="CA86" i="6" s="1"/>
  <c r="BP53" i="6"/>
  <c r="BW53" i="6" s="1"/>
  <c r="BY53" i="6" s="1"/>
  <c r="BZ53" i="6" s="1"/>
  <c r="CA53" i="6" s="1"/>
  <c r="BP147" i="6"/>
  <c r="BW147" i="6" s="1"/>
  <c r="BY147" i="6" s="1"/>
  <c r="BP158" i="6"/>
  <c r="BW158" i="6" s="1"/>
  <c r="BY158" i="6" s="1"/>
  <c r="BP134" i="6"/>
  <c r="BW134" i="6" s="1"/>
  <c r="BY134" i="6" s="1"/>
  <c r="BZ134" i="6" s="1"/>
  <c r="CA134" i="6" s="1"/>
  <c r="BP170" i="6"/>
  <c r="BW170" i="6" s="1"/>
  <c r="BY170" i="6" s="1"/>
  <c r="BZ170" i="6" s="1"/>
  <c r="CA170" i="6" s="1"/>
  <c r="BP113" i="6"/>
  <c r="BW113" i="6" s="1"/>
  <c r="BY113" i="6" s="1"/>
  <c r="BZ113" i="6" s="1"/>
  <c r="CA113" i="6" s="1"/>
  <c r="BP160" i="6"/>
  <c r="BW160" i="6" s="1"/>
  <c r="BY160" i="6" s="1"/>
  <c r="BP156" i="6"/>
  <c r="BW156" i="6" s="1"/>
  <c r="BY156" i="6" s="1"/>
  <c r="BP59" i="6"/>
  <c r="BW59" i="6" s="1"/>
  <c r="BY59" i="6" s="1"/>
  <c r="BZ59" i="6" s="1"/>
  <c r="CA59" i="6" s="1"/>
  <c r="BP173" i="6"/>
  <c r="BW173" i="6" s="1"/>
  <c r="BY173" i="6" s="1"/>
  <c r="BP96" i="6"/>
  <c r="BW96" i="6" s="1"/>
  <c r="BY96" i="6" s="1"/>
  <c r="BZ96" i="6" s="1"/>
  <c r="CA96" i="6" s="1"/>
  <c r="BP165" i="6"/>
  <c r="BW165" i="6" s="1"/>
  <c r="BY165" i="6" s="1"/>
  <c r="BZ165" i="6" s="1"/>
  <c r="CA165" i="6" s="1"/>
  <c r="BP148" i="6"/>
  <c r="BW148" i="6" s="1"/>
  <c r="BY148" i="6" s="1"/>
  <c r="BP133" i="6"/>
  <c r="BW133" i="6" s="1"/>
  <c r="BY133" i="6" s="1"/>
  <c r="BZ133" i="6" s="1"/>
  <c r="CA133" i="6" s="1"/>
  <c r="BP130" i="6"/>
  <c r="BW130" i="6" s="1"/>
  <c r="BY130" i="6" s="1"/>
  <c r="BZ130" i="6" s="1"/>
  <c r="CA130" i="6" s="1"/>
  <c r="BP97" i="6"/>
  <c r="BW97" i="6" s="1"/>
  <c r="BY97" i="6" s="1"/>
  <c r="BZ97" i="6" s="1"/>
  <c r="CA97" i="6" s="1"/>
  <c r="BP150" i="6"/>
  <c r="BW150" i="6" s="1"/>
  <c r="BY150" i="6" s="1"/>
  <c r="BP66" i="6"/>
  <c r="BW66" i="6" s="1"/>
  <c r="BY66" i="6" s="1"/>
  <c r="BZ66" i="6" s="1"/>
  <c r="CA66" i="6" s="1"/>
  <c r="BP123" i="6"/>
  <c r="BW123" i="6" s="1"/>
  <c r="BY123" i="6" s="1"/>
  <c r="BZ123" i="6" s="1"/>
  <c r="CA123" i="6" s="1"/>
  <c r="BP131" i="6"/>
  <c r="BW131" i="6" s="1"/>
  <c r="BY131" i="6" s="1"/>
  <c r="BZ131" i="6" s="1"/>
  <c r="CA131" i="6" s="1"/>
  <c r="BP81" i="6"/>
  <c r="BW81" i="6" s="1"/>
  <c r="BY81" i="6" s="1"/>
  <c r="BZ81" i="6" s="1"/>
  <c r="CA81" i="6" s="1"/>
  <c r="BA117" i="6"/>
  <c r="BC117" i="6" s="1"/>
  <c r="BE117" i="6" s="1"/>
  <c r="BF117" i="6" s="1"/>
  <c r="BG117" i="6" s="1"/>
  <c r="BA150" i="6"/>
  <c r="BC150" i="6" s="1"/>
  <c r="BE150" i="6" s="1"/>
  <c r="BF150" i="6" s="1"/>
  <c r="BG150" i="6" s="1"/>
  <c r="BA48" i="6"/>
  <c r="BC48" i="6" s="1"/>
  <c r="BE48" i="6" s="1"/>
  <c r="BF48" i="6" s="1"/>
  <c r="BG48" i="6" s="1"/>
  <c r="BA97" i="6"/>
  <c r="BC97" i="6" s="1"/>
  <c r="BE97" i="6" s="1"/>
  <c r="BF97" i="6" s="1"/>
  <c r="BG97" i="6" s="1"/>
  <c r="BA137" i="6"/>
  <c r="BC137" i="6" s="1"/>
  <c r="BE137" i="6" s="1"/>
  <c r="BF137" i="6" s="1"/>
  <c r="BG137" i="6" s="1"/>
  <c r="BA66" i="6"/>
  <c r="BC66" i="6" s="1"/>
  <c r="BE66" i="6" s="1"/>
  <c r="BF66" i="6" s="1"/>
  <c r="BG66" i="6" s="1"/>
  <c r="BA116" i="6"/>
  <c r="BC116" i="6" s="1"/>
  <c r="BE116" i="6" s="1"/>
  <c r="BF116" i="6" s="1"/>
  <c r="BG116" i="6" s="1"/>
  <c r="BA123" i="6"/>
  <c r="BC123" i="6" s="1"/>
  <c r="BE123" i="6" s="1"/>
  <c r="BF123" i="6" s="1"/>
  <c r="BG123" i="6" s="1"/>
  <c r="AX146" i="6"/>
  <c r="AX159" i="6"/>
  <c r="BA159" i="6" s="1"/>
  <c r="BA130" i="6"/>
  <c r="BC130" i="6" s="1"/>
  <c r="BE130" i="6" s="1"/>
  <c r="BF130" i="6" s="1"/>
  <c r="BG130" i="6" s="1"/>
  <c r="AX143" i="6"/>
  <c r="AX157" i="6"/>
  <c r="AX132" i="6"/>
  <c r="AX85" i="6"/>
  <c r="AX90" i="6"/>
  <c r="BA86" i="6"/>
  <c r="BC86" i="6" s="1"/>
  <c r="BE86" i="6" s="1"/>
  <c r="BF86" i="6" s="1"/>
  <c r="BG86" i="6" s="1"/>
  <c r="BA134" i="6"/>
  <c r="BC134" i="6" s="1"/>
  <c r="BE134" i="6" s="1"/>
  <c r="BF134" i="6" s="1"/>
  <c r="BG134" i="6" s="1"/>
  <c r="AX163" i="6"/>
  <c r="BA163" i="6" s="1"/>
  <c r="BC163" i="6" s="1"/>
  <c r="AX71" i="6"/>
  <c r="AX95" i="6"/>
  <c r="AX106" i="6"/>
  <c r="AX129" i="6"/>
  <c r="BA129" i="6" s="1"/>
  <c r="BC129" i="6" s="1"/>
  <c r="AX111" i="6"/>
  <c r="BA111" i="6" s="1"/>
  <c r="BC111" i="6" s="1"/>
  <c r="BA113" i="6"/>
  <c r="BC113" i="6" s="1"/>
  <c r="BE113" i="6" s="1"/>
  <c r="BF113" i="6" s="1"/>
  <c r="BG113" i="6" s="1"/>
  <c r="BA53" i="6"/>
  <c r="BC53" i="6" s="1"/>
  <c r="BE53" i="6" s="1"/>
  <c r="BF53" i="6" s="1"/>
  <c r="BG53" i="6" s="1"/>
  <c r="AX168" i="6"/>
  <c r="AX153" i="6"/>
  <c r="AX51" i="6"/>
  <c r="AX126" i="6"/>
  <c r="BA131" i="6"/>
  <c r="BC131" i="6" s="1"/>
  <c r="BE131" i="6" s="1"/>
  <c r="BF131" i="6" s="1"/>
  <c r="BG131" i="6" s="1"/>
  <c r="BF178" i="6"/>
  <c r="BG178" i="6" s="1"/>
  <c r="BF559" i="7"/>
  <c r="BG559" i="7" s="1"/>
  <c r="BF144" i="6"/>
  <c r="BG144" i="6" s="1"/>
  <c r="BF148" i="6"/>
  <c r="BG148" i="6" s="1"/>
  <c r="AO174" i="6"/>
  <c r="AV174" i="6" s="1"/>
  <c r="AO164" i="6"/>
  <c r="AV164" i="6" s="1"/>
  <c r="BA63" i="6"/>
  <c r="BC63" i="6" s="1"/>
  <c r="BF494" i="7"/>
  <c r="BG494" i="7" s="1"/>
  <c r="BF161" i="6"/>
  <c r="BG161" i="6" s="1"/>
  <c r="BF158" i="6"/>
  <c r="BG158" i="6" s="1"/>
  <c r="BF166" i="6"/>
  <c r="BG166" i="6" s="1"/>
  <c r="BF564" i="7"/>
  <c r="BG564" i="7" s="1"/>
  <c r="BF147" i="6"/>
  <c r="BG147" i="6" s="1"/>
  <c r="BF465" i="7"/>
  <c r="BG465" i="7" s="1"/>
  <c r="BF525" i="7"/>
  <c r="BG525" i="7" s="1"/>
  <c r="BF485" i="7"/>
  <c r="BG485" i="7" s="1"/>
  <c r="BF522" i="7"/>
  <c r="BG522" i="7" s="1"/>
  <c r="BF490" i="7"/>
  <c r="BG490" i="7" s="1"/>
  <c r="BF461" i="7"/>
  <c r="BG461" i="7" s="1"/>
  <c r="BF563" i="7"/>
  <c r="BG563" i="7" s="1"/>
  <c r="BE7" i="6"/>
  <c r="BF7" i="6" s="1"/>
  <c r="BG7" i="6" s="1"/>
  <c r="BE32" i="6"/>
  <c r="BF32" i="6" s="1"/>
  <c r="BG32" i="6" s="1"/>
  <c r="BF546" i="7"/>
  <c r="BG546" i="7" s="1"/>
  <c r="BE36" i="6"/>
  <c r="BF36" i="6" s="1"/>
  <c r="BG36" i="6" s="1"/>
  <c r="BE22" i="6"/>
  <c r="BF22" i="6" s="1"/>
  <c r="BG22" i="6" s="1"/>
  <c r="BF573" i="7"/>
  <c r="BG573" i="7" s="1"/>
  <c r="BF553" i="7"/>
  <c r="BG553" i="7" s="1"/>
  <c r="BF554" i="7"/>
  <c r="BG554" i="7" s="1"/>
  <c r="BF549" i="7"/>
  <c r="BG549" i="7" s="1"/>
  <c r="BF483" i="7"/>
  <c r="BG483" i="7" s="1"/>
  <c r="BF508" i="7"/>
  <c r="BG508" i="7" s="1"/>
  <c r="BF538" i="7"/>
  <c r="BG538" i="7" s="1"/>
  <c r="BF500" i="7"/>
  <c r="BG500" i="7" s="1"/>
  <c r="BF497" i="7"/>
  <c r="BG497" i="7" s="1"/>
  <c r="BF489" i="7"/>
  <c r="BG489" i="7" s="1"/>
  <c r="BF480" i="7"/>
  <c r="BG480" i="7" s="1"/>
  <c r="BF498" i="7"/>
  <c r="BG498" i="7" s="1"/>
  <c r="BF528" i="7"/>
  <c r="BG528" i="7" s="1"/>
  <c r="BF478" i="7"/>
  <c r="BG478" i="7" s="1"/>
  <c r="BF567" i="7"/>
  <c r="BG567" i="7" s="1"/>
  <c r="BF556" i="7"/>
  <c r="BG556" i="7" s="1"/>
  <c r="BF570" i="7"/>
  <c r="BG570" i="7" s="1"/>
  <c r="BF552" i="7"/>
  <c r="BG552" i="7" s="1"/>
  <c r="BF473" i="7"/>
  <c r="BG473" i="7" s="1"/>
  <c r="BF493" i="7"/>
  <c r="BG493" i="7" s="1"/>
  <c r="BF476" i="7"/>
  <c r="BG476" i="7" s="1"/>
  <c r="BF509" i="7"/>
  <c r="BG509" i="7" s="1"/>
  <c r="BF484" i="7"/>
  <c r="BG484" i="7" s="1"/>
  <c r="BF526" i="7"/>
  <c r="BG526" i="7" s="1"/>
  <c r="BF514" i="7"/>
  <c r="BG514" i="7" s="1"/>
  <c r="BF504" i="7"/>
  <c r="BG504" i="7" s="1"/>
  <c r="BF558" i="7"/>
  <c r="BG558" i="7" s="1"/>
  <c r="BF540" i="7"/>
  <c r="BG540" i="7" s="1"/>
  <c r="BF555" i="7"/>
  <c r="BG555" i="7" s="1"/>
  <c r="BF502" i="7"/>
  <c r="BG502" i="7" s="1"/>
  <c r="BF530" i="7"/>
  <c r="BG530" i="7" s="1"/>
  <c r="BF503" i="7"/>
  <c r="BG503" i="7" s="1"/>
  <c r="BF492" i="7"/>
  <c r="BG492" i="7" s="1"/>
  <c r="BF541" i="7"/>
  <c r="BG541" i="7" s="1"/>
  <c r="BF512" i="7"/>
  <c r="BG512" i="7" s="1"/>
  <c r="BF481" i="7"/>
  <c r="BG481" i="7" s="1"/>
  <c r="BF527" i="7"/>
  <c r="BG527" i="7" s="1"/>
  <c r="BF470" i="7"/>
  <c r="BG470" i="7" s="1"/>
  <c r="BE33" i="6"/>
  <c r="BF33" i="6" s="1"/>
  <c r="BG33" i="6" s="1"/>
  <c r="BE10" i="6"/>
  <c r="BF10" i="6" s="1"/>
  <c r="BG10" i="6" s="1"/>
  <c r="BE20" i="6"/>
  <c r="BF20" i="6" s="1"/>
  <c r="BG20" i="6" s="1"/>
  <c r="BE40" i="6"/>
  <c r="BF40" i="6" s="1"/>
  <c r="BG40" i="6" s="1"/>
  <c r="BE4" i="6"/>
  <c r="BF4" i="6" s="1"/>
  <c r="BG4" i="6" s="1"/>
  <c r="BE29" i="6"/>
  <c r="BF29" i="6" s="1"/>
  <c r="BG29" i="6" s="1"/>
  <c r="BE19" i="6"/>
  <c r="BF19" i="6" s="1"/>
  <c r="BG19" i="6" s="1"/>
  <c r="BE23" i="6"/>
  <c r="BF23" i="6" s="1"/>
  <c r="BG23" i="6" s="1"/>
  <c r="AX8" i="6"/>
  <c r="BA8" i="6" s="1"/>
  <c r="BC8" i="6" s="1"/>
  <c r="BE35" i="6"/>
  <c r="BF35" i="6" s="1"/>
  <c r="BG35" i="6" s="1"/>
  <c r="BE37" i="6"/>
  <c r="BF37" i="6" s="1"/>
  <c r="BG37" i="6" s="1"/>
  <c r="AX13" i="6"/>
  <c r="BA13" i="6" s="1"/>
  <c r="BC13" i="6" s="1"/>
  <c r="AX28" i="6"/>
  <c r="BA28" i="6" s="1"/>
  <c r="BC28" i="6" s="1"/>
  <c r="BZ207" i="6" l="1"/>
  <c r="CA207" i="6" s="1"/>
  <c r="BP41" i="6"/>
  <c r="BW41" i="6" s="1"/>
  <c r="BY41" i="6" s="1"/>
  <c r="BZ41" i="6" s="1"/>
  <c r="CA41" i="6" s="1"/>
  <c r="BF154" i="6"/>
  <c r="BG154" i="6" s="1"/>
  <c r="BZ179" i="6"/>
  <c r="CA179" i="6" s="1"/>
  <c r="BP107" i="6"/>
  <c r="BW107" i="6" s="1"/>
  <c r="BY107" i="6" s="1"/>
  <c r="BZ107" i="6" s="1"/>
  <c r="CA107" i="6" s="1"/>
  <c r="BF149" i="6"/>
  <c r="BG149" i="6" s="1"/>
  <c r="BA126" i="6"/>
  <c r="BC126" i="6" s="1"/>
  <c r="BE126" i="6" s="1"/>
  <c r="BF126" i="6" s="1"/>
  <c r="BG126" i="6" s="1"/>
  <c r="BF173" i="6"/>
  <c r="BG173" i="6" s="1"/>
  <c r="AX174" i="6"/>
  <c r="BF156" i="6"/>
  <c r="BG156" i="6" s="1"/>
  <c r="BF160" i="6"/>
  <c r="BG160" i="6" s="1"/>
  <c r="AX164" i="6"/>
  <c r="BA164" i="6" s="1"/>
  <c r="BC164" i="6" s="1"/>
  <c r="BE164" i="6" s="1"/>
  <c r="BF164" i="6" s="1"/>
  <c r="BG164" i="6" s="1"/>
  <c r="BF152" i="6"/>
  <c r="BG152" i="6" s="1"/>
  <c r="BF155" i="6"/>
  <c r="BG155" i="6" s="1"/>
  <c r="BE55" i="6"/>
  <c r="BF55" i="6" s="1"/>
  <c r="BG55" i="6" s="1"/>
  <c r="BE63" i="6"/>
  <c r="BF63" i="6" s="1"/>
  <c r="BG63" i="6" s="1"/>
  <c r="BE46" i="6"/>
  <c r="BF46" i="6" s="1"/>
  <c r="BG46" i="6" s="1"/>
  <c r="BA146" i="6"/>
  <c r="BC146" i="6" s="1"/>
  <c r="BE146" i="6" s="1"/>
  <c r="BA71" i="6"/>
  <c r="BC71" i="6" s="1"/>
  <c r="BE71" i="6" s="1"/>
  <c r="BF71" i="6" s="1"/>
  <c r="BG71" i="6" s="1"/>
  <c r="BE111" i="6"/>
  <c r="BF111" i="6" s="1"/>
  <c r="BG111" i="6" s="1"/>
  <c r="BE129" i="6"/>
  <c r="BF129" i="6" s="1"/>
  <c r="BG129" i="6" s="1"/>
  <c r="BE91" i="6"/>
  <c r="BF91" i="6" s="1"/>
  <c r="BG91" i="6" s="1"/>
  <c r="BF145" i="6"/>
  <c r="BG145" i="6" s="1"/>
  <c r="BE56" i="6"/>
  <c r="BF56" i="6" s="1"/>
  <c r="BG56" i="6" s="1"/>
  <c r="BC159" i="6"/>
  <c r="BE159" i="6" s="1"/>
  <c r="BA168" i="6"/>
  <c r="BC168" i="6" s="1"/>
  <c r="BE168" i="6" s="1"/>
  <c r="BA51" i="6"/>
  <c r="BC51" i="6" s="1"/>
  <c r="BE51" i="6" s="1"/>
  <c r="BF51" i="6" s="1"/>
  <c r="BG51" i="6" s="1"/>
  <c r="BA106" i="6"/>
  <c r="BC106" i="6" s="1"/>
  <c r="BE106" i="6" s="1"/>
  <c r="BF106" i="6" s="1"/>
  <c r="BG106" i="6" s="1"/>
  <c r="BA143" i="6"/>
  <c r="BC143" i="6" s="1"/>
  <c r="BE143" i="6" s="1"/>
  <c r="BF143" i="6" s="1"/>
  <c r="BG143" i="6" s="1"/>
  <c r="BE163" i="6"/>
  <c r="BF163" i="6" s="1"/>
  <c r="BG163" i="6" s="1"/>
  <c r="BA95" i="6"/>
  <c r="BC95" i="6" s="1"/>
  <c r="BE95" i="6" s="1"/>
  <c r="BF95" i="6" s="1"/>
  <c r="BG95" i="6" s="1"/>
  <c r="BA153" i="6"/>
  <c r="BC153" i="6" s="1"/>
  <c r="BE153" i="6" s="1"/>
  <c r="BA132" i="6"/>
  <c r="BC132" i="6" s="1"/>
  <c r="BE132" i="6" s="1"/>
  <c r="BF132" i="6" s="1"/>
  <c r="BG132" i="6" s="1"/>
  <c r="BZ174" i="6"/>
  <c r="CA174" i="6" s="1"/>
  <c r="BA85" i="6"/>
  <c r="BC85" i="6" s="1"/>
  <c r="BE85" i="6" s="1"/>
  <c r="BF85" i="6" s="1"/>
  <c r="BG85" i="6" s="1"/>
  <c r="BZ164" i="6"/>
  <c r="CA164" i="6" s="1"/>
  <c r="BP168" i="6"/>
  <c r="BW168" i="6" s="1"/>
  <c r="BY168" i="6" s="1"/>
  <c r="BP129" i="6"/>
  <c r="BW129" i="6" s="1"/>
  <c r="BY129" i="6" s="1"/>
  <c r="BZ129" i="6" s="1"/>
  <c r="CA129" i="6" s="1"/>
  <c r="BP163" i="6"/>
  <c r="BW163" i="6" s="1"/>
  <c r="BY163" i="6" s="1"/>
  <c r="BP143" i="6"/>
  <c r="BW143" i="6" s="1"/>
  <c r="BY143" i="6" s="1"/>
  <c r="BZ143" i="6" s="1"/>
  <c r="CA143" i="6" s="1"/>
  <c r="BP146" i="6"/>
  <c r="BW146" i="6" s="1"/>
  <c r="BY146" i="6" s="1"/>
  <c r="BP132" i="6"/>
  <c r="BW132" i="6" s="1"/>
  <c r="BY132" i="6" s="1"/>
  <c r="BZ132" i="6" s="1"/>
  <c r="CA132" i="6" s="1"/>
  <c r="BP157" i="6"/>
  <c r="BW157" i="6" s="1"/>
  <c r="BY157" i="6" s="1"/>
  <c r="BP126" i="6"/>
  <c r="BW126" i="6" s="1"/>
  <c r="BY126" i="6" s="1"/>
  <c r="BZ126" i="6" s="1"/>
  <c r="CA126" i="6" s="1"/>
  <c r="BP153" i="6"/>
  <c r="BW153" i="6" s="1"/>
  <c r="BY153" i="6" s="1"/>
  <c r="BP111" i="6"/>
  <c r="BW111" i="6" s="1"/>
  <c r="BY111" i="6" s="1"/>
  <c r="BZ111" i="6" s="1"/>
  <c r="CA111" i="6" s="1"/>
  <c r="BP95" i="6"/>
  <c r="BW95" i="6" s="1"/>
  <c r="BY95" i="6" s="1"/>
  <c r="BZ95" i="6" s="1"/>
  <c r="CA95" i="6" s="1"/>
  <c r="BP51" i="6"/>
  <c r="BW51" i="6" s="1"/>
  <c r="BY51" i="6" s="1"/>
  <c r="BZ51" i="6" s="1"/>
  <c r="CA51" i="6" s="1"/>
  <c r="BP106" i="6"/>
  <c r="BW106" i="6" s="1"/>
  <c r="BY106" i="6" s="1"/>
  <c r="BZ106" i="6" s="1"/>
  <c r="CA106" i="6" s="1"/>
  <c r="BP71" i="6"/>
  <c r="BW71" i="6" s="1"/>
  <c r="BY71" i="6" s="1"/>
  <c r="BZ71" i="6" s="1"/>
  <c r="CA71" i="6" s="1"/>
  <c r="BP159" i="6"/>
  <c r="BW159" i="6" s="1"/>
  <c r="BY159" i="6" s="1"/>
  <c r="BP90" i="6"/>
  <c r="BW90" i="6" s="1"/>
  <c r="BY90" i="6" s="1"/>
  <c r="BZ90" i="6" s="1"/>
  <c r="CA90" i="6" s="1"/>
  <c r="BP85" i="6"/>
  <c r="BW85" i="6" s="1"/>
  <c r="BY85" i="6" s="1"/>
  <c r="BZ85" i="6" s="1"/>
  <c r="CA85" i="6" s="1"/>
  <c r="BZ156" i="6"/>
  <c r="CA156" i="6" s="1"/>
  <c r="BZ148" i="6"/>
  <c r="CA148" i="6" s="1"/>
  <c r="BZ173" i="6"/>
  <c r="CA173" i="6" s="1"/>
  <c r="BZ160" i="6"/>
  <c r="CA160" i="6" s="1"/>
  <c r="BZ150" i="6"/>
  <c r="CA150" i="6" s="1"/>
  <c r="BZ149" i="6"/>
  <c r="CA149" i="6" s="1"/>
  <c r="BZ145" i="6"/>
  <c r="CA145" i="6" s="1"/>
  <c r="BZ166" i="6"/>
  <c r="CA166" i="6" s="1"/>
  <c r="BZ152" i="6"/>
  <c r="CA152" i="6" s="1"/>
  <c r="BZ178" i="6"/>
  <c r="CA178" i="6" s="1"/>
  <c r="BZ155" i="6"/>
  <c r="CA155" i="6" s="1"/>
  <c r="BZ172" i="6"/>
  <c r="CA172" i="6" s="1"/>
  <c r="BZ161" i="6"/>
  <c r="CA161" i="6" s="1"/>
  <c r="BZ158" i="6"/>
  <c r="CA158" i="6" s="1"/>
  <c r="BZ147" i="6"/>
  <c r="CA147" i="6" s="1"/>
  <c r="BZ154" i="6"/>
  <c r="CA154" i="6" s="1"/>
  <c r="BZ162" i="6"/>
  <c r="CA162" i="6" s="1"/>
  <c r="BA90" i="6"/>
  <c r="BC90" i="6" s="1"/>
  <c r="BE90" i="6" s="1"/>
  <c r="BF90" i="6" s="1"/>
  <c r="BG90" i="6" s="1"/>
  <c r="BA157" i="6"/>
  <c r="BC157" i="6" s="1"/>
  <c r="BE157" i="6" s="1"/>
  <c r="BA174" i="6"/>
  <c r="BC174" i="6" s="1"/>
  <c r="BE174" i="6" s="1"/>
  <c r="BE28" i="6"/>
  <c r="BF28" i="6" s="1"/>
  <c r="BG28" i="6" s="1"/>
  <c r="BE13" i="6"/>
  <c r="BF13" i="6" s="1"/>
  <c r="BG13" i="6" s="1"/>
  <c r="BE8" i="6"/>
  <c r="BF168" i="6" l="1"/>
  <c r="BG168" i="6" s="1"/>
  <c r="BF146" i="6"/>
  <c r="BG146" i="6" s="1"/>
  <c r="BF159" i="6"/>
  <c r="BG159" i="6" s="1"/>
  <c r="BF153" i="6"/>
  <c r="BG153" i="6" s="1"/>
  <c r="BZ159" i="6"/>
  <c r="CA159" i="6" s="1"/>
  <c r="BZ146" i="6"/>
  <c r="CA146" i="6" s="1"/>
  <c r="BZ157" i="6"/>
  <c r="CA157" i="6" s="1"/>
  <c r="BZ163" i="6"/>
  <c r="CA163" i="6" s="1"/>
  <c r="BZ168" i="6"/>
  <c r="CA168" i="6" s="1"/>
  <c r="BZ153" i="6"/>
  <c r="CA153" i="6" s="1"/>
  <c r="BF157" i="6"/>
  <c r="BG157" i="6" s="1"/>
  <c r="BF174" i="6"/>
  <c r="BG174" i="6" s="1"/>
  <c r="BF8" i="6"/>
  <c r="BG8" i="6" l="1"/>
</calcChain>
</file>

<file path=xl/comments1.xml><?xml version="1.0" encoding="utf-8"?>
<comments xmlns="http://schemas.openxmlformats.org/spreadsheetml/2006/main">
  <authors>
    <author>Aanen, E. (Eimert) (ZM SH Data Pricing ZM)</author>
  </authors>
  <commentList>
    <comment ref="H154" authorId="0">
      <text>
        <r>
          <rPr>
            <b/>
            <sz val="9"/>
            <color indexed="81"/>
            <rFont val="Tahoma"/>
            <family val="2"/>
          </rPr>
          <t>Aanen, E. (Eimert) (ZM SH Data Pricing ZM):</t>
        </r>
        <r>
          <rPr>
            <sz val="9"/>
            <color indexed="81"/>
            <rFont val="Tahoma"/>
            <family val="2"/>
          </rPr>
          <t xml:space="preserve">
tov WeAS VVE</t>
        </r>
      </text>
    </comment>
  </commentList>
</comments>
</file>

<file path=xl/comments2.xml><?xml version="1.0" encoding="utf-8"?>
<comments xmlns="http://schemas.openxmlformats.org/spreadsheetml/2006/main">
  <authors>
    <author>Aanen, E. (Eimert) (ZM SH Data Pricing ZM)</author>
  </authors>
  <commentList>
    <comment ref="H33" authorId="0">
      <text>
        <r>
          <rPr>
            <b/>
            <sz val="9"/>
            <color indexed="81"/>
            <rFont val="Tahoma"/>
            <family val="2"/>
          </rPr>
          <t>Aanen, E. (Eimert) (ZM SH Data Pricing ZM):</t>
        </r>
        <r>
          <rPr>
            <sz val="9"/>
            <color indexed="81"/>
            <rFont val="Tahoma"/>
            <family val="2"/>
          </rPr>
          <t xml:space="preserve">
Add or upgrade PVC / VLAN</t>
        </r>
      </text>
    </comment>
    <comment ref="I33" authorId="0">
      <text>
        <r>
          <rPr>
            <b/>
            <sz val="9"/>
            <color indexed="81"/>
            <rFont val="Tahoma"/>
            <family val="2"/>
          </rPr>
          <t>Aanen, E. (Eimert) (ZM SH Data Pricing ZM):</t>
        </r>
        <r>
          <rPr>
            <sz val="9"/>
            <color indexed="81"/>
            <rFont val="Tahoma"/>
            <family val="2"/>
          </rPr>
          <t xml:space="preserve">
Change PVC / VLAN (including disconnection)</t>
        </r>
      </text>
    </comment>
  </commentList>
</comments>
</file>

<file path=xl/comments3.xml><?xml version="1.0" encoding="utf-8"?>
<comments xmlns="http://schemas.openxmlformats.org/spreadsheetml/2006/main">
  <authors>
    <author>Ernst &amp; Young</author>
  </authors>
  <commentList>
    <comment ref="E284" authorId="0">
      <text>
        <r>
          <rPr>
            <b/>
            <sz val="8"/>
            <color indexed="81"/>
            <rFont val="Tahoma"/>
            <family val="2"/>
          </rPr>
          <t>Ernst &amp; Young:</t>
        </r>
        <r>
          <rPr>
            <sz val="8"/>
            <color indexed="81"/>
            <rFont val="Tahoma"/>
            <family val="2"/>
          </rPr>
          <t xml:space="preserve">
Origineel EDC</t>
        </r>
      </text>
    </comment>
    <comment ref="E285" authorId="0">
      <text>
        <r>
          <rPr>
            <b/>
            <sz val="8"/>
            <color indexed="81"/>
            <rFont val="Tahoma"/>
            <family val="2"/>
          </rPr>
          <t>Ernst &amp; Young:</t>
        </r>
        <r>
          <rPr>
            <sz val="8"/>
            <color indexed="81"/>
            <rFont val="Tahoma"/>
            <family val="2"/>
          </rPr>
          <t xml:space="preserve">
Origineel EDC</t>
        </r>
      </text>
    </comment>
  </commentList>
</comments>
</file>

<file path=xl/sharedStrings.xml><?xml version="1.0" encoding="utf-8"?>
<sst xmlns="http://schemas.openxmlformats.org/spreadsheetml/2006/main" count="13267" uniqueCount="3449">
  <si>
    <t>2011WK(13)16A_2011</t>
  </si>
  <si>
    <t>ND5 kostenparameters vaste netwerk KPN (ZM deel)</t>
  </si>
  <si>
    <t>2013/2014</t>
  </si>
  <si>
    <t xml:space="preserve">Versie: </t>
  </si>
  <si>
    <t>2011WK(13)16A_2012</t>
  </si>
  <si>
    <t>2011WK(13)16B_2013</t>
  </si>
  <si>
    <t>2011WK(13)16B_2015</t>
  </si>
  <si>
    <t>WBA KOPER</t>
  </si>
  <si>
    <t>WBA CM</t>
  </si>
  <si>
    <t>Type access</t>
  </si>
  <si>
    <t>Netvlakken</t>
  </si>
  <si>
    <t>ADSL op MDF (nrc) locatie (ATM)</t>
  </si>
  <si>
    <t>shared/non-shared</t>
  </si>
  <si>
    <t>passief-regionaal</t>
  </si>
  <si>
    <t>EDC minus 2012-2014</t>
  </si>
  <si>
    <t>per mnd</t>
  </si>
  <si>
    <t>regionaal-nationaal</t>
  </si>
  <si>
    <t>Tweede WBA CM ATM PVC 1:1</t>
  </si>
  <si>
    <t>per Mbps per mnd</t>
  </si>
  <si>
    <t>xDSL op MDF (nrc) locatie (ethernet)</t>
  </si>
  <si>
    <t>passief-nationaal</t>
  </si>
  <si>
    <t>VDSL op MDF (nrc) locatie (ethernet)</t>
  </si>
  <si>
    <t>VDSL bonding</t>
  </si>
  <si>
    <t>VDSL op SDF locatie (ethernet)</t>
  </si>
  <si>
    <t>non-shared</t>
  </si>
  <si>
    <t>LRIC</t>
  </si>
  <si>
    <t>FttH op Fiber locatie (ethernet)</t>
  </si>
  <si>
    <t>access</t>
  </si>
  <si>
    <t>FttH op Fiber locatie /SDF op VDSL locatie</t>
  </si>
  <si>
    <t>transport</t>
  </si>
  <si>
    <t>WBA ZM ETN</t>
  </si>
  <si>
    <t>ADSL op MDF (nrc) locatie (ATM, entry)</t>
  </si>
  <si>
    <t>EDC minus</t>
  </si>
  <si>
    <t>zie ontmiddeling</t>
  </si>
  <si>
    <t>ADSL op MDF (nrc) locatie (ATM, anders dan entry)</t>
  </si>
  <si>
    <t>passief-metro</t>
  </si>
  <si>
    <t>xDSL transport (ethernet)</t>
  </si>
  <si>
    <t>metro-nationaal</t>
  </si>
  <si>
    <t>WBA ZM ATM: kostenontmiddeling naar tarieven</t>
  </si>
  <si>
    <t>WBA ZM ATM</t>
  </si>
  <si>
    <t>VBR-rt</t>
  </si>
  <si>
    <t>UBR 1:1</t>
  </si>
  <si>
    <t>1:4</t>
  </si>
  <si>
    <t>1:10</t>
  </si>
  <si>
    <t>1:20</t>
  </si>
  <si>
    <t>Entry</t>
  </si>
  <si>
    <t>128/128</t>
  </si>
  <si>
    <t>200/200</t>
  </si>
  <si>
    <t>224/224</t>
  </si>
  <si>
    <t>256/256</t>
  </si>
  <si>
    <t>352/352</t>
  </si>
  <si>
    <t>448/448</t>
  </si>
  <si>
    <t>512/256</t>
  </si>
  <si>
    <t>512/512</t>
  </si>
  <si>
    <t>1024/256</t>
  </si>
  <si>
    <t>1024/512</t>
  </si>
  <si>
    <t>1024/1024</t>
  </si>
  <si>
    <t>1280/1280</t>
  </si>
  <si>
    <t>1536/1536</t>
  </si>
  <si>
    <t>2048/512</t>
  </si>
  <si>
    <t>2048/2048</t>
  </si>
  <si>
    <t>2304/2304</t>
  </si>
  <si>
    <t>4096/1024</t>
  </si>
  <si>
    <t>8192/1024</t>
  </si>
  <si>
    <t>12288/1024</t>
  </si>
  <si>
    <t>regionaal-supranationaal</t>
  </si>
  <si>
    <t>BROADCAST KOPER EN GLAS</t>
  </si>
  <si>
    <t>Dienst over koper</t>
  </si>
  <si>
    <t>Broadcast</t>
  </si>
  <si>
    <t>Transport</t>
  </si>
  <si>
    <t>Broadcast (exclusief unicast functionaliteit)</t>
  </si>
  <si>
    <t>Platform</t>
  </si>
  <si>
    <t>Dienst over FttH glas</t>
  </si>
  <si>
    <t>ILL &lt;= 2 MB KOPER</t>
  </si>
  <si>
    <t>64 KBIT/S</t>
  </si>
  <si>
    <t>telco-sited</t>
  </si>
  <si>
    <t>128 KBIT/S</t>
  </si>
  <si>
    <t>192 KBIT/S</t>
  </si>
  <si>
    <t>256 KBIT/S</t>
  </si>
  <si>
    <t>384 KBIT/S</t>
  </si>
  <si>
    <t>512 KBIT/S</t>
  </si>
  <si>
    <t>1984 KBIT/S</t>
  </si>
  <si>
    <t>2048 KBIT/S</t>
  </si>
  <si>
    <t>NWAD/NMUX</t>
  </si>
  <si>
    <t>passief-lokaal</t>
  </si>
  <si>
    <t>collo</t>
  </si>
  <si>
    <t>WEAS KOPER</t>
  </si>
  <si>
    <t>Copper access</t>
  </si>
  <si>
    <t>3 Mb</t>
  </si>
  <si>
    <t>5 Mb</t>
  </si>
  <si>
    <t>10 Mb</t>
  </si>
  <si>
    <t>15 Mb</t>
  </si>
  <si>
    <t>20 Mb</t>
  </si>
  <si>
    <t>Transport ethernet t.b.v. EoK aansluiting</t>
  </si>
  <si>
    <t>metro-regionaal</t>
  </si>
  <si>
    <t>TELEFONIE KLASSIEK (TDM) ten behoeve van WLR - MDF toetsing</t>
  </si>
  <si>
    <t>PSTN lijnkaart</t>
  </si>
  <si>
    <t>ISDN1 lijnkaart</t>
  </si>
  <si>
    <t>ISDN2 lijnkaart</t>
  </si>
  <si>
    <t>ISDN15 lijnkaart</t>
  </si>
  <si>
    <t>ISDN20 lijnkaart</t>
  </si>
  <si>
    <t>ISDN30 lijnkaart</t>
  </si>
  <si>
    <t>Cityphone lijnkaart</t>
  </si>
  <si>
    <t>HDSL modem (2 stuks)</t>
  </si>
  <si>
    <t>PSTN aanleg tlf deel</t>
  </si>
  <si>
    <t>eenmalig</t>
  </si>
  <si>
    <t>ISDN1 aanleg tlf deel</t>
  </si>
  <si>
    <t>ISDN2 aanleg tlf deel</t>
  </si>
  <si>
    <t>ISDN15 aanleg tlf deel</t>
  </si>
  <si>
    <t>ISDN20 aanleg tlf deel</t>
  </si>
  <si>
    <t>ISDN30 aanleg tlf deel</t>
  </si>
  <si>
    <t>Cityphone aanleg tlf deel</t>
  </si>
  <si>
    <t>PSTN ophef tlf deel</t>
  </si>
  <si>
    <t>ISDN1 ophef tlf deel</t>
  </si>
  <si>
    <t>ISDN2 ophef tlf deel</t>
  </si>
  <si>
    <t>ISDN15 ophef tlf deel</t>
  </si>
  <si>
    <t>ISDN20 ophef tlf deel</t>
  </si>
  <si>
    <t>ISDN30 ophef tlf deel</t>
  </si>
  <si>
    <t>Cityphone ophef tlf deel</t>
  </si>
  <si>
    <t>PSTN overstap</t>
  </si>
  <si>
    <t>ISDN1 overstap</t>
  </si>
  <si>
    <t>ISDN2 overstap</t>
  </si>
  <si>
    <t>ISDN15 overstap</t>
  </si>
  <si>
    <t>ISDN20 overstap</t>
  </si>
  <si>
    <t>ISDN30 overstap</t>
  </si>
  <si>
    <t>Cityphone overstap</t>
  </si>
  <si>
    <t>DIENSTPLATFORMEN</t>
  </si>
  <si>
    <t>Internet platform consumenten</t>
  </si>
  <si>
    <t>VOIP platform consumenten</t>
  </si>
  <si>
    <t>SV verbindingen</t>
  </si>
  <si>
    <t>Digiaccess platform</t>
  </si>
  <si>
    <t>TELEFONIE KLASSIEK ten behoeve van RET_WHS toetsen</t>
  </si>
  <si>
    <t>Transport regionaal-nationaal</t>
  </si>
  <si>
    <t>per minuut</t>
  </si>
  <si>
    <t>CPS lokaal</t>
  </si>
  <si>
    <t>FTA lokaal</t>
  </si>
  <si>
    <t>Voice Carrier system</t>
  </si>
  <si>
    <t>0800-0900 platform</t>
  </si>
  <si>
    <t>Dataverkeer, Mobiel radio deel</t>
  </si>
  <si>
    <t>per Mb</t>
  </si>
  <si>
    <t>SMS verkeer, Mobiel radio deel</t>
  </si>
  <si>
    <t>per SMS</t>
  </si>
  <si>
    <t>Telefonie offnet, Mobiel radio deel</t>
  </si>
  <si>
    <t>Dataverkeer, Mobiel vast deel</t>
  </si>
  <si>
    <t>SMS verkeer, Mobiel vast deel</t>
  </si>
  <si>
    <t>Telefonie offnet, Mobiel vast deel</t>
  </si>
  <si>
    <t>IDD, internationale deel (excl externe inkoop)</t>
  </si>
  <si>
    <t>USD per minuut</t>
  </si>
  <si>
    <t>CPA (= actieve SDH apparatuur tbv CPA)</t>
  </si>
  <si>
    <t>CPA 32</t>
  </si>
  <si>
    <t>per maand per aansluiting</t>
  </si>
  <si>
    <t>CPA 155</t>
  </si>
  <si>
    <t>CPA 622</t>
  </si>
  <si>
    <t>CPA 2500</t>
  </si>
  <si>
    <t>WEAS GLAS</t>
  </si>
  <si>
    <t>FTTO access</t>
  </si>
  <si>
    <t>A/B/C</t>
  </si>
  <si>
    <t>O</t>
  </si>
  <si>
    <t>DWDM  GLAS</t>
  </si>
  <si>
    <t>FTTO access tot en met 2,5 G standaard</t>
  </si>
  <si>
    <t>FTTO access 10 G standaard</t>
  </si>
  <si>
    <t>SDH GLAS</t>
  </si>
  <si>
    <t>SDH transport</t>
  </si>
  <si>
    <t>34 Mbps</t>
  </si>
  <si>
    <t>155 Mbps</t>
  </si>
  <si>
    <t>afstapelpunt</t>
  </si>
  <si>
    <t>passief</t>
  </si>
  <si>
    <t>WBA GLAS</t>
  </si>
  <si>
    <t>DIENSTPLATFORMEN  ten behoeve van Ret-whs toetsen</t>
  </si>
  <si>
    <t>VoIP OPIB per aansluiting</t>
  </si>
  <si>
    <t>IP centrex per kanaal</t>
  </si>
  <si>
    <t>VoIP connect per kanaal</t>
  </si>
  <si>
    <t>IAS platform per aansluiting</t>
  </si>
  <si>
    <t>Epacity platform per aansluiting</t>
  </si>
  <si>
    <t>DF ten behoeve van ILL DF-ODF toets en RET-ILL DF</t>
  </si>
  <si>
    <t>DF Backhaul MB-MC per km vezelpaar</t>
  </si>
  <si>
    <t>DF Inter-MC per km vezelpaar</t>
  </si>
  <si>
    <t>DF inter-MB per km vezelpaar</t>
  </si>
  <si>
    <t>Faciliteiten/SLAs</t>
  </si>
  <si>
    <t>PM</t>
  </si>
  <si>
    <t>ZM Contractduur</t>
  </si>
  <si>
    <t>ZM Access type</t>
  </si>
  <si>
    <t xml:space="preserve">ZM Gebiedsclassif. </t>
  </si>
  <si>
    <t>ZM Graafafstand</t>
  </si>
  <si>
    <t>WO Contractduur</t>
  </si>
  <si>
    <t>WO Access type</t>
  </si>
  <si>
    <t xml:space="preserve">WO Gebiedsclassif. </t>
  </si>
  <si>
    <t>VVA</t>
  </si>
  <si>
    <t>VVE</t>
  </si>
  <si>
    <t>VVE connect</t>
  </si>
  <si>
    <t>VVE disconnect</t>
  </si>
  <si>
    <t>RETAIL PRIJZEN</t>
  </si>
  <si>
    <t>WHOLESALE KOSTEN</t>
  </si>
  <si>
    <t>SQUEEZE TOETS</t>
  </si>
  <si>
    <t>nvt</t>
  </si>
  <si>
    <t>VVA netto (mnd)</t>
  </si>
  <si>
    <t>VVA netto + VVE netto (mnd)</t>
  </si>
  <si>
    <t>RTO (mnd)</t>
  </si>
  <si>
    <t>Squeeze ?</t>
  </si>
  <si>
    <t>Squeeze Marge (abs)</t>
  </si>
  <si>
    <t>Squeeze Marge (%)</t>
  </si>
  <si>
    <t>Totalen</t>
  </si>
  <si>
    <t>ZM identifier</t>
  </si>
  <si>
    <t>Bandbreedte</t>
  </si>
  <si>
    <t>2. Dragers</t>
  </si>
  <si>
    <t>3. Service Levels</t>
  </si>
  <si>
    <t>Omschrijving tariefbrochure</t>
  </si>
  <si>
    <t>Algemeen</t>
  </si>
  <si>
    <t>Waarde</t>
  </si>
  <si>
    <t>Retailopslag</t>
  </si>
  <si>
    <t>ZM TermijnKorting</t>
  </si>
  <si>
    <t>ZM VPN Service Level</t>
  </si>
  <si>
    <t>ZM VPN kwaliteit</t>
  </si>
  <si>
    <t>WO VPN kwaliteit</t>
  </si>
  <si>
    <t>1. Network Access Line Types</t>
  </si>
  <si>
    <t xml:space="preserve">2. Access PVC/VLAN tariffs </t>
  </si>
  <si>
    <t>WO identifier</t>
  </si>
  <si>
    <t>4. Contractsduren</t>
  </si>
  <si>
    <t>ZM Contractsduur</t>
  </si>
  <si>
    <t>WO Contractsduur</t>
  </si>
  <si>
    <t>rij tariefblad</t>
  </si>
  <si>
    <t>ZMtermijnkorting access VVE</t>
  </si>
  <si>
    <t>VVE netto</t>
  </si>
  <si>
    <t>ZMtermijnkorting access VVA</t>
  </si>
  <si>
    <t>AfschrijftermijnVVE36</t>
  </si>
  <si>
    <t>AfschrijftermijnVVE48</t>
  </si>
  <si>
    <t>AfschrijftermijnVVE60</t>
  </si>
  <si>
    <t>AfschrijftermijnVVE12</t>
  </si>
  <si>
    <t>AfschrijftermijnVVE24</t>
  </si>
  <si>
    <t>Offnet kosten (mnd)</t>
  </si>
  <si>
    <t>WO identifier VVE</t>
  </si>
  <si>
    <t>WO identifier VVA</t>
  </si>
  <si>
    <t>rij W&amp;O blad VVE</t>
  </si>
  <si>
    <t>rij W&amp;O blad VVA</t>
  </si>
  <si>
    <t>WOkortingVVE</t>
  </si>
  <si>
    <t>WOkortingVVA</t>
  </si>
  <si>
    <t>dimensies retail</t>
  </si>
  <si>
    <t>dimensies wholesale</t>
  </si>
  <si>
    <t>WO Geografisch Bereik</t>
  </si>
  <si>
    <t>WO Snelheid</t>
  </si>
  <si>
    <t>WO Bereik</t>
  </si>
  <si>
    <t>ZM Bereik</t>
  </si>
  <si>
    <t>backbone kosten (mnd)</t>
  </si>
  <si>
    <t>ZMtermijnkorting transport VVE</t>
  </si>
  <si>
    <t>REDEN VAN UITSLUITING TARIEFCOMBINATIES</t>
  </si>
  <si>
    <t>Wordt tariefcombinatie getoetst?</t>
  </si>
  <si>
    <t>Reden van ontbreken toetsing (en dus foutmelding(en) in formules)</t>
  </si>
  <si>
    <t>WO VPN Kwaliteit</t>
  </si>
  <si>
    <t>ZMtermijnkorting transport VVA</t>
  </si>
  <si>
    <t>Aanschafkosten</t>
  </si>
  <si>
    <t>VVE netto (mnd)</t>
  </si>
  <si>
    <t>Identifier rekenblad totaal</t>
  </si>
  <si>
    <t>Identifier transfersheet</t>
  </si>
  <si>
    <t>ZM VVE (in EUR)</t>
  </si>
  <si>
    <t>ZM VVA (in EUR/mnd)</t>
  </si>
  <si>
    <t>WO VVE (in EUR)</t>
  </si>
  <si>
    <t>5. Overige tarieven</t>
  </si>
  <si>
    <t>item</t>
  </si>
  <si>
    <t>2. Access</t>
  </si>
  <si>
    <t>ZM EVPN</t>
  </si>
  <si>
    <t>WeAS</t>
  </si>
  <si>
    <t>1. VPN ZM</t>
  </si>
  <si>
    <t>City</t>
  </si>
  <si>
    <t>Service klasse</t>
  </si>
  <si>
    <t>Geografisch bereik</t>
  </si>
  <si>
    <t>Regionaal</t>
  </si>
  <si>
    <t>Nationaal</t>
  </si>
  <si>
    <t>Premium</t>
  </si>
  <si>
    <t>Standard Access koper 3mb</t>
  </si>
  <si>
    <t>Straal Access</t>
  </si>
  <si>
    <t>Op aanvraag</t>
  </si>
  <si>
    <t>Type Network Access</t>
  </si>
  <si>
    <t>Graafafstand</t>
  </si>
  <si>
    <t>Gebiedsclassificatie</t>
  </si>
  <si>
    <t>Hoog</t>
  </si>
  <si>
    <t>Laag</t>
  </si>
  <si>
    <t>Standard Access koper 5mb</t>
  </si>
  <si>
    <t>Standard Access koper 10mb</t>
  </si>
  <si>
    <t>Standard Access koper 15mb</t>
  </si>
  <si>
    <t>Standard Access koper 20mb</t>
  </si>
  <si>
    <t>Middel</t>
  </si>
  <si>
    <t>On-net (NLS1, 2)</t>
  </si>
  <si>
    <t>Metro</t>
  </si>
  <si>
    <t>Lite</t>
  </si>
  <si>
    <t>n.a.</t>
  </si>
  <si>
    <t>Type EVC</t>
  </si>
  <si>
    <t>shadow</t>
  </si>
  <si>
    <t>multiple</t>
  </si>
  <si>
    <t xml:space="preserve"> 3Mbit/s</t>
  </si>
  <si>
    <t xml:space="preserve"> 5Mbit/s</t>
  </si>
  <si>
    <t xml:space="preserve"> 10Mbit/s</t>
  </si>
  <si>
    <t xml:space="preserve"> 15Mbit/s</t>
  </si>
  <si>
    <t xml:space="preserve"> 20Mbit/s</t>
  </si>
  <si>
    <t>Fysical Bandwidth</t>
  </si>
  <si>
    <t>Copper Standard Access</t>
  </si>
  <si>
    <t>1.5 WEAS tariffs for regulated services using LWAP and KPN-sited Pol</t>
  </si>
  <si>
    <t>Standard</t>
  </si>
  <si>
    <t>Advanced</t>
  </si>
  <si>
    <t>WO VPN Service Level</t>
  </si>
  <si>
    <t>Dedicated / 1 Gbps LWAP at MC locations</t>
  </si>
  <si>
    <t>WAP port</t>
  </si>
  <si>
    <t>ZM Bandbreedte</t>
  </si>
  <si>
    <t>EVPN</t>
  </si>
  <si>
    <t>EoK</t>
  </si>
  <si>
    <t>FttO</t>
  </si>
  <si>
    <t>ZMTermijnKorting access VVA1</t>
  </si>
  <si>
    <t>Bij contract 1 jaar</t>
  </si>
  <si>
    <t>Bij contract 2 jaar</t>
  </si>
  <si>
    <t>Bij contract 3 jaar</t>
  </si>
  <si>
    <t>Bij contract 4 jaar</t>
  </si>
  <si>
    <t>Bij contract 5 jaar</t>
  </si>
  <si>
    <t>ZMTermijnKorting access VVA2</t>
  </si>
  <si>
    <t>ZMTermijnKorting access VVA3</t>
  </si>
  <si>
    <t>ZMTermijnKorting access VVA4</t>
  </si>
  <si>
    <t>ZMTermijnKorting access VVA5</t>
  </si>
  <si>
    <t>ZMTermijnKorting access VVE1</t>
  </si>
  <si>
    <t>ZMTermijnKorting access VVE2</t>
  </si>
  <si>
    <t>ZMTermijnKorting access VVE3</t>
  </si>
  <si>
    <t>ZMTermijnKorting access VVE4</t>
  </si>
  <si>
    <t>ZMTermijnKorting access VVE5</t>
  </si>
  <si>
    <t>ZMTermijnKorting transport VVA1</t>
  </si>
  <si>
    <t>ZMTermijnKorting transport VVA2</t>
  </si>
  <si>
    <t>ZMTermijnKorting transport VVA3</t>
  </si>
  <si>
    <t>ZMTermijnKorting transport VVA4</t>
  </si>
  <si>
    <t>ZMTermijnKorting transport VVA5</t>
  </si>
  <si>
    <t>ZMTermijnKorting transport VVE1</t>
  </si>
  <si>
    <t>ZMTermijnKorting transport VVE2</t>
  </si>
  <si>
    <t>ZMTermijnKorting transport VVE3</t>
  </si>
  <si>
    <t>ZMTermijnKorting transport VVE4</t>
  </si>
  <si>
    <t>ZMTermijnKorting transport VVE5</t>
  </si>
  <si>
    <t>ZMSalesmandaat access VVE1</t>
  </si>
  <si>
    <t>ZMSalesmandaat access VVE2</t>
  </si>
  <si>
    <t>ZMSalesmandaat access VVE3</t>
  </si>
  <si>
    <t>ZMSalesmandaat access VVE4</t>
  </si>
  <si>
    <t>ZMSalesmandaat access VVE5</t>
  </si>
  <si>
    <t>ZMSalesmandaat transport VVE1</t>
  </si>
  <si>
    <t>ZMSalesmandaat transport VVE2</t>
  </si>
  <si>
    <t>ZMSalesmandaat transport VVE3</t>
  </si>
  <si>
    <t>ZMSalesmandaat transport VVE4</t>
  </si>
  <si>
    <t>ZMSalesmandaat transport VVE5</t>
  </si>
  <si>
    <t>ZMSalesmandaat access VVA</t>
  </si>
  <si>
    <t>ZMSalesmandaat transport VVA</t>
  </si>
  <si>
    <t>ZM Salesmandaat</t>
  </si>
  <si>
    <t>ZMSalesMandaat access VVE</t>
  </si>
  <si>
    <t>ZMSalesMandaat access VVA</t>
  </si>
  <si>
    <t>WO TermijnKorting</t>
  </si>
  <si>
    <t>xx. Algemeen</t>
  </si>
  <si>
    <t>7. Gebiedsclassificatie</t>
  </si>
  <si>
    <t>ZM Gebiedsclassificatie</t>
  </si>
  <si>
    <t>WO Gebiedsclassificatie</t>
  </si>
  <si>
    <t>ZM Network Access</t>
  </si>
  <si>
    <t>WO Network Access</t>
  </si>
  <si>
    <t>Mapping ZM en WO access</t>
  </si>
  <si>
    <t>Mapping ZM en WO platform</t>
  </si>
  <si>
    <t>ZM Platform</t>
  </si>
  <si>
    <t>WO platform</t>
  </si>
  <si>
    <t>Mapping ZM en WO access factoren</t>
  </si>
  <si>
    <t>FactorWO</t>
  </si>
  <si>
    <t>Mapping afstandsklasse</t>
  </si>
  <si>
    <t>Graafafstand ZM</t>
  </si>
  <si>
    <t>Offnetkosten</t>
  </si>
  <si>
    <t/>
  </si>
  <si>
    <t>1</t>
  </si>
  <si>
    <t>2</t>
  </si>
  <si>
    <t>Graafafstand WeAS</t>
  </si>
  <si>
    <t>WO Graafafstand extra</t>
  </si>
  <si>
    <t>kenmerk</t>
  </si>
  <si>
    <t>graafafstand</t>
  </si>
  <si>
    <t>Copper Standard Access 3Mbit/s</t>
  </si>
  <si>
    <t>Copper Standard Access 5Mbit/s</t>
  </si>
  <si>
    <t>Copper Standard Access 10Mbit/s</t>
  </si>
  <si>
    <t>Copper Standard Access 15Mbit/s</t>
  </si>
  <si>
    <t>Copper Standard Access 20Mbit/s</t>
  </si>
  <si>
    <t>WOKortingVVA</t>
  </si>
  <si>
    <t>WOKortingVVE</t>
  </si>
  <si>
    <t>RETAILKOSTEN</t>
  </si>
  <si>
    <t>VVA+VVE</t>
  </si>
  <si>
    <t>TOTAAL</t>
  </si>
  <si>
    <t>Distributievergoeding (mnd)</t>
  </si>
  <si>
    <t>Totaal retail (mnd)</t>
  </si>
  <si>
    <t>VVA netto + VVE netto + Retail</t>
  </si>
  <si>
    <t>Retailopslag soho/zzp</t>
  </si>
  <si>
    <t>Retailopslag mkb</t>
  </si>
  <si>
    <t>Retailopslag le/corporate</t>
  </si>
  <si>
    <t>% t.o.v. netto wholesale inkoopkosten</t>
  </si>
  <si>
    <t>MaxSalesMandaatAccessVVE1</t>
  </si>
  <si>
    <t>EUR</t>
  </si>
  <si>
    <t>MaxSalesMandaatAccessVVE2</t>
  </si>
  <si>
    <t>MaxSalesMandaatAccessVVE3</t>
  </si>
  <si>
    <t>MaxSalesMandaatAccessVVE4</t>
  </si>
  <si>
    <t>MaxSalesMandaatAccessVVE5</t>
  </si>
  <si>
    <t>Eenheid</t>
  </si>
  <si>
    <t>FactorMaxSalesMandaatStandard Access</t>
  </si>
  <si>
    <t>#</t>
  </si>
  <si>
    <t>FactorMaxSalesMandaatProtected Access</t>
  </si>
  <si>
    <t>FactorMaxSalesMandaatDual Standard Access</t>
  </si>
  <si>
    <t>FactorMaxSalesMandaatDual Protected Access</t>
  </si>
  <si>
    <t>FactorMaxSalesMandaatDual Standard Access Dual PoP</t>
  </si>
  <si>
    <t>FactorMaxSalesMandaatDual Protected Access Dual PoP</t>
  </si>
  <si>
    <t>FactorMaxSalesMandaatStandard Access in ZG BT gebieden</t>
  </si>
  <si>
    <t>FactorMaxSalesMandaatStraal Access</t>
  </si>
  <si>
    <t>FactorMaxSalesMandaatStandard Access koper 3mb</t>
  </si>
  <si>
    <t>FactorMaxSalesMandaatStandard Access koper 5mb</t>
  </si>
  <si>
    <t>FactorMaxSalesMandaatStandard Access koper 10mb</t>
  </si>
  <si>
    <t>FactorMaxSalesMandaatStandard Access koper 15mb</t>
  </si>
  <si>
    <t>FactorMaxSalesMandaatStandard Access koper 20mb</t>
  </si>
  <si>
    <t>WO Bandbreedte</t>
  </si>
  <si>
    <t>3</t>
  </si>
  <si>
    <t>4</t>
  </si>
  <si>
    <t>5</t>
  </si>
  <si>
    <t>6</t>
  </si>
  <si>
    <t>8</t>
  </si>
  <si>
    <t>10</t>
  </si>
  <si>
    <t>15</t>
  </si>
  <si>
    <t>20</t>
  </si>
  <si>
    <t>30</t>
  </si>
  <si>
    <t>50</t>
  </si>
  <si>
    <t>80</t>
  </si>
  <si>
    <t>100</t>
  </si>
  <si>
    <t>200</t>
  </si>
  <si>
    <t>300</t>
  </si>
  <si>
    <t>500</t>
  </si>
  <si>
    <t>800</t>
  </si>
  <si>
    <t>1000</t>
  </si>
  <si>
    <t>Backbone</t>
  </si>
  <si>
    <t>WO Backbone</t>
  </si>
  <si>
    <t>Metro - Regionaal</t>
  </si>
  <si>
    <t>Metro - Nationaal</t>
  </si>
  <si>
    <t>WO backbone</t>
  </si>
  <si>
    <t>ZMSalesmandaat transport VVE</t>
  </si>
  <si>
    <t>platformkosten (mnd)</t>
  </si>
  <si>
    <t>EDC kosten</t>
  </si>
  <si>
    <t>Regionaal-Nationaal</t>
  </si>
  <si>
    <t>uitkoppelniveau</t>
  </si>
  <si>
    <t>identifier</t>
  </si>
  <si>
    <t>FactorMaxSalesMandaat</t>
  </si>
  <si>
    <t>ZM dimensie</t>
  </si>
  <si>
    <t>1. Transport: ZM</t>
  </si>
  <si>
    <t>ZM access type</t>
  </si>
  <si>
    <t>PVC type</t>
  </si>
  <si>
    <t>2e PVC</t>
  </si>
  <si>
    <t>1EVPNEntryCity1</t>
  </si>
  <si>
    <t>1EVPNEntryCity2</t>
  </si>
  <si>
    <t>1EVPNEntryCity3</t>
  </si>
  <si>
    <t>1EVPNEntryCity4</t>
  </si>
  <si>
    <t>1EVPNEntryCity5</t>
  </si>
  <si>
    <t>1EVPNEntryCity6</t>
  </si>
  <si>
    <t>1EVPNEntryCity8</t>
  </si>
  <si>
    <t>1EVPNEntryCity10</t>
  </si>
  <si>
    <t>1EVPNEntryCity15</t>
  </si>
  <si>
    <t>1EVPNEntryCity20</t>
  </si>
  <si>
    <t>1EVPNEntryCity30</t>
  </si>
  <si>
    <t>1EVPNEntryCity50</t>
  </si>
  <si>
    <t>1EVPNEntryCity80</t>
  </si>
  <si>
    <t>1EVPNEntryCity100</t>
  </si>
  <si>
    <t>1EVPNEntryCity200</t>
  </si>
  <si>
    <t>1EVPNEntryCity300</t>
  </si>
  <si>
    <t>1EVPNEntryCity500</t>
  </si>
  <si>
    <t>1EVPNEntryCity800</t>
  </si>
  <si>
    <t>1EVPNEntryCity1000</t>
  </si>
  <si>
    <t>1EVPNEntryRegionaal1</t>
  </si>
  <si>
    <t>1EVPNEntryRegionaal2</t>
  </si>
  <si>
    <t>1EVPNEntryRegionaal3</t>
  </si>
  <si>
    <t>1EVPNEntryRegionaal4</t>
  </si>
  <si>
    <t>1EVPNEntryRegionaal5</t>
  </si>
  <si>
    <t>1EVPNEntryRegionaal6</t>
  </si>
  <si>
    <t>1EVPNEntryRegionaal8</t>
  </si>
  <si>
    <t>1EVPNEntryRegionaal10</t>
  </si>
  <si>
    <t>1EVPNEntryRegionaal15</t>
  </si>
  <si>
    <t>1EVPNEntryRegionaal20</t>
  </si>
  <si>
    <t>1EVPNEntryRegionaal30</t>
  </si>
  <si>
    <t>1EVPNEntryRegionaal50</t>
  </si>
  <si>
    <t>1EVPNEntryRegionaal80</t>
  </si>
  <si>
    <t>1EVPNEntryRegionaal100</t>
  </si>
  <si>
    <t>1EVPNEntryRegionaal200</t>
  </si>
  <si>
    <t>1EVPNEntryRegionaal300</t>
  </si>
  <si>
    <t>1EVPNEntryRegionaal500</t>
  </si>
  <si>
    <t>1EVPNEntryRegionaal800</t>
  </si>
  <si>
    <t>1EVPNEntryRegionaal1000</t>
  </si>
  <si>
    <t>1EVPNEntryNationaal1</t>
  </si>
  <si>
    <t>1EVPNEntryNationaal2</t>
  </si>
  <si>
    <t>1EVPNEntryNationaal3</t>
  </si>
  <si>
    <t>1EVPNEntryNationaal4</t>
  </si>
  <si>
    <t>1EVPNEntryNationaal5</t>
  </si>
  <si>
    <t>1EVPNEntryNationaal6</t>
  </si>
  <si>
    <t>1EVPNEntryNationaal8</t>
  </si>
  <si>
    <t>1EVPNEntryNationaal10</t>
  </si>
  <si>
    <t>1EVPNEntryNationaal15</t>
  </si>
  <si>
    <t>1EVPNEntryNationaal20</t>
  </si>
  <si>
    <t>1EVPNEntryNationaal30</t>
  </si>
  <si>
    <t>1EVPNEntryNationaal50</t>
  </si>
  <si>
    <t>1EVPNEntryNationaal80</t>
  </si>
  <si>
    <t>1EVPNEntryNationaal100</t>
  </si>
  <si>
    <t>1EVPNEntryNationaal200</t>
  </si>
  <si>
    <t>1EVPNEntryNationaal300</t>
  </si>
  <si>
    <t>1EVPNEntryNationaal500</t>
  </si>
  <si>
    <t>1EVPNEntryNationaal800</t>
  </si>
  <si>
    <t>1EVPNEntryNationaal1000</t>
  </si>
  <si>
    <t>1EVPNPremiumCity1</t>
  </si>
  <si>
    <t>1EVPNPremiumCity2</t>
  </si>
  <si>
    <t>1EVPNPremiumCity3</t>
  </si>
  <si>
    <t>1EVPNPremiumCity4</t>
  </si>
  <si>
    <t>1EVPNPremiumCity5</t>
  </si>
  <si>
    <t>1EVPNPremiumCity6</t>
  </si>
  <si>
    <t>1EVPNPremiumCity8</t>
  </si>
  <si>
    <t>1EVPNPremiumCity10</t>
  </si>
  <si>
    <t>1EVPNPremiumCity15</t>
  </si>
  <si>
    <t>1EVPNPremiumCity20</t>
  </si>
  <si>
    <t>1EVPNPremiumCity30</t>
  </si>
  <si>
    <t>1EVPNPremiumCity50</t>
  </si>
  <si>
    <t>1EVPNPremiumCity80</t>
  </si>
  <si>
    <t>1EVPNPremiumCity100</t>
  </si>
  <si>
    <t>1EVPNPremiumCity200</t>
  </si>
  <si>
    <t>1EVPNPremiumCity300</t>
  </si>
  <si>
    <t>1EVPNPremiumCity500</t>
  </si>
  <si>
    <t>1EVPNPremiumCity800</t>
  </si>
  <si>
    <t>1EVPNPremiumCity1000</t>
  </si>
  <si>
    <t>1EVPNPremiumRegionaal1</t>
  </si>
  <si>
    <t>1EVPNPremiumRegionaal2</t>
  </si>
  <si>
    <t>1EVPNPremiumRegionaal3</t>
  </si>
  <si>
    <t>1EVPNPremiumRegionaal4</t>
  </si>
  <si>
    <t>1EVPNPremiumRegionaal5</t>
  </si>
  <si>
    <t>1EVPNPremiumRegionaal6</t>
  </si>
  <si>
    <t>1EVPNPremiumRegionaal8</t>
  </si>
  <si>
    <t>1EVPNPremiumRegionaal10</t>
  </si>
  <si>
    <t>1EVPNPremiumRegionaal15</t>
  </si>
  <si>
    <t>1EVPNPremiumRegionaal20</t>
  </si>
  <si>
    <t>1EVPNPremiumRegionaal30</t>
  </si>
  <si>
    <t>1EVPNPremiumRegionaal50</t>
  </si>
  <si>
    <t>1EVPNPremiumRegionaal80</t>
  </si>
  <si>
    <t>1EVPNPremiumRegionaal100</t>
  </si>
  <si>
    <t>1EVPNPremiumRegionaal200</t>
  </si>
  <si>
    <t>1EVPNPremiumRegionaal300</t>
  </si>
  <si>
    <t>1EVPNPremiumRegionaal500</t>
  </si>
  <si>
    <t>1EVPNPremiumRegionaal800</t>
  </si>
  <si>
    <t>1EVPNPremiumRegionaal1000</t>
  </si>
  <si>
    <t>1EVPNPremiumNationaal1</t>
  </si>
  <si>
    <t>1EVPNPremiumNationaal2</t>
  </si>
  <si>
    <t>1EVPNPremiumNationaal3</t>
  </si>
  <si>
    <t>1EVPNPremiumNationaal4</t>
  </si>
  <si>
    <t>1EVPNPremiumNationaal5</t>
  </si>
  <si>
    <t>1EVPNPremiumNationaal6</t>
  </si>
  <si>
    <t>1EVPNPremiumNationaal8</t>
  </si>
  <si>
    <t>1EVPNPremiumNationaal10</t>
  </si>
  <si>
    <t>1EVPNPremiumNationaal15</t>
  </si>
  <si>
    <t>1EVPNPremiumNationaal20</t>
  </si>
  <si>
    <t>1EVPNPremiumNationaal30</t>
  </si>
  <si>
    <t>1EVPNPremiumNationaal50</t>
  </si>
  <si>
    <t>1EVPNPremiumNationaal80</t>
  </si>
  <si>
    <t>1EVPNPremiumNationaal100</t>
  </si>
  <si>
    <t>1EVPNPremiumNationaal200</t>
  </si>
  <si>
    <t>1EVPNPremiumNationaal300</t>
  </si>
  <si>
    <t>1EVPNPremiumNationaal500</t>
  </si>
  <si>
    <t>1EVPNPremiumNationaal800</t>
  </si>
  <si>
    <t>1EVPNPremiumNationaal1000</t>
  </si>
  <si>
    <t>1EoKEntryCity1</t>
  </si>
  <si>
    <t>1EoKEntryCity2</t>
  </si>
  <si>
    <t>1EoKEntryCity3</t>
  </si>
  <si>
    <t>1EoKEntryCity4</t>
  </si>
  <si>
    <t>1EoKEntryCity5</t>
  </si>
  <si>
    <t>1EoKEntryCity6</t>
  </si>
  <si>
    <t>1EoKEntryCity8</t>
  </si>
  <si>
    <t>1EoKEntryCity10</t>
  </si>
  <si>
    <t>1EoKEntryCity15</t>
  </si>
  <si>
    <t>1EoKEntryCity20</t>
  </si>
  <si>
    <t>1EoKEntryCity30</t>
  </si>
  <si>
    <t>1EoKEntryCity50</t>
  </si>
  <si>
    <t>1EoKEntryCity80</t>
  </si>
  <si>
    <t>1EoKEntryCity100</t>
  </si>
  <si>
    <t>1EoKEntryCity200</t>
  </si>
  <si>
    <t>1EoKEntryCity300</t>
  </si>
  <si>
    <t>1EoKEntryCity500</t>
  </si>
  <si>
    <t>1EoKEntryCity800</t>
  </si>
  <si>
    <t>1EoKEntryCity1000</t>
  </si>
  <si>
    <t>1EoKEntryRegionaal1</t>
  </si>
  <si>
    <t>1EoKEntryRegionaal2</t>
  </si>
  <si>
    <t>1EoKEntryRegionaal3</t>
  </si>
  <si>
    <t>1EoKEntryRegionaal4</t>
  </si>
  <si>
    <t>1EoKEntryRegionaal5</t>
  </si>
  <si>
    <t>1EoKEntryRegionaal6</t>
  </si>
  <si>
    <t>1EoKEntryRegionaal8</t>
  </si>
  <si>
    <t>1EoKEntryRegionaal10</t>
  </si>
  <si>
    <t>1EoKEntryRegionaal15</t>
  </si>
  <si>
    <t>1EoKEntryRegionaal20</t>
  </si>
  <si>
    <t>1EoKEntryRegionaal30</t>
  </si>
  <si>
    <t>1EoKEntryRegionaal50</t>
  </si>
  <si>
    <t>1EoKEntryRegionaal80</t>
  </si>
  <si>
    <t>1EoKEntryRegionaal100</t>
  </si>
  <si>
    <t>1EoKEntryRegionaal200</t>
  </si>
  <si>
    <t>1EoKEntryRegionaal300</t>
  </si>
  <si>
    <t>1EoKEntryRegionaal500</t>
  </si>
  <si>
    <t>1EoKEntryRegionaal800</t>
  </si>
  <si>
    <t>1EoKEntryRegionaal1000</t>
  </si>
  <si>
    <t>1EoKEntryNationaal1</t>
  </si>
  <si>
    <t>1EoKEntryNationaal2</t>
  </si>
  <si>
    <t>1EoKEntryNationaal3</t>
  </si>
  <si>
    <t>1EoKEntryNationaal4</t>
  </si>
  <si>
    <t>1EoKEntryNationaal5</t>
  </si>
  <si>
    <t>1EoKEntryNationaal6</t>
  </si>
  <si>
    <t>1EoKEntryNationaal8</t>
  </si>
  <si>
    <t>1EoKEntryNationaal10</t>
  </si>
  <si>
    <t>1EoKEntryNationaal15</t>
  </si>
  <si>
    <t>1EoKEntryNationaal20</t>
  </si>
  <si>
    <t>1EoKEntryNationaal30</t>
  </si>
  <si>
    <t>1EoKEntryNationaal50</t>
  </si>
  <si>
    <t>1EoKEntryNationaal80</t>
  </si>
  <si>
    <t>1EoKEntryNationaal100</t>
  </si>
  <si>
    <t>1EoKEntryNationaal200</t>
  </si>
  <si>
    <t>1EoKEntryNationaal300</t>
  </si>
  <si>
    <t>1EoKEntryNationaal500</t>
  </si>
  <si>
    <t>1EoKEntryNationaal800</t>
  </si>
  <si>
    <t>1EoKEntryNationaal1000</t>
  </si>
  <si>
    <t>1EoKPremiumCity1</t>
  </si>
  <si>
    <t>1EoKPremiumCity2</t>
  </si>
  <si>
    <t>1EoKPremiumCity3</t>
  </si>
  <si>
    <t>1EoKPremiumCity4</t>
  </si>
  <si>
    <t>1EoKPremiumCity5</t>
  </si>
  <si>
    <t>1EoKPremiumCity6</t>
  </si>
  <si>
    <t>1EoKPremiumCity8</t>
  </si>
  <si>
    <t>1EoKPremiumCity10</t>
  </si>
  <si>
    <t>1EoKPremiumCity15</t>
  </si>
  <si>
    <t>1EoKPremiumCity20</t>
  </si>
  <si>
    <t>1EoKPremiumCity30</t>
  </si>
  <si>
    <t>1EoKPremiumCity50</t>
  </si>
  <si>
    <t>1EoKPremiumCity80</t>
  </si>
  <si>
    <t>1EoKPremiumCity100</t>
  </si>
  <si>
    <t>1EoKPremiumCity200</t>
  </si>
  <si>
    <t>1EoKPremiumCity300</t>
  </si>
  <si>
    <t>1EoKPremiumCity500</t>
  </si>
  <si>
    <t>1EoKPremiumCity800</t>
  </si>
  <si>
    <t>1EoKPremiumCity1000</t>
  </si>
  <si>
    <t>1EoKPremiumRegionaal1</t>
  </si>
  <si>
    <t>1EoKPremiumRegionaal2</t>
  </si>
  <si>
    <t>1EoKPremiumRegionaal3</t>
  </si>
  <si>
    <t>1EoKPremiumRegionaal4</t>
  </si>
  <si>
    <t>1EoKPremiumRegionaal5</t>
  </si>
  <si>
    <t>1EoKPremiumRegionaal6</t>
  </si>
  <si>
    <t>1EoKPremiumRegionaal8</t>
  </si>
  <si>
    <t>1EoKPremiumRegionaal10</t>
  </si>
  <si>
    <t>1EoKPremiumRegionaal15</t>
  </si>
  <si>
    <t>1EoKPremiumRegionaal20</t>
  </si>
  <si>
    <t>1EoKPremiumRegionaal30</t>
  </si>
  <si>
    <t>1EoKPremiumRegionaal50</t>
  </si>
  <si>
    <t>1EoKPremiumRegionaal80</t>
  </si>
  <si>
    <t>1EoKPremiumRegionaal100</t>
  </si>
  <si>
    <t>1EoKPremiumRegionaal200</t>
  </si>
  <si>
    <t>1EoKPremiumRegionaal300</t>
  </si>
  <si>
    <t>1EoKPremiumRegionaal500</t>
  </si>
  <si>
    <t>1EoKPremiumRegionaal800</t>
  </si>
  <si>
    <t>1EoKPremiumRegionaal1000</t>
  </si>
  <si>
    <t>1EoKPremiumNationaal1</t>
  </si>
  <si>
    <t>1EoKPremiumNationaal2</t>
  </si>
  <si>
    <t>1EoKPremiumNationaal3</t>
  </si>
  <si>
    <t>1EoKPremiumNationaal4</t>
  </si>
  <si>
    <t>1EoKPremiumNationaal5</t>
  </si>
  <si>
    <t>1EoKPremiumNationaal6</t>
  </si>
  <si>
    <t>1EoKPremiumNationaal8</t>
  </si>
  <si>
    <t>1EoKPremiumNationaal10</t>
  </si>
  <si>
    <t>1EoKPremiumNationaal15</t>
  </si>
  <si>
    <t>1EoKPremiumNationaal20</t>
  </si>
  <si>
    <t>1EoKPremiumNationaal30</t>
  </si>
  <si>
    <t>1EoKPremiumNationaal50</t>
  </si>
  <si>
    <t>1EoKPremiumNationaal80</t>
  </si>
  <si>
    <t>1EoKPremiumNationaal100</t>
  </si>
  <si>
    <t>1EoKPremiumNationaal200</t>
  </si>
  <si>
    <t>1EoKPremiumNationaal300</t>
  </si>
  <si>
    <t>1EoKPremiumNationaal500</t>
  </si>
  <si>
    <t>1EoKPremiumNationaal800</t>
  </si>
  <si>
    <t>1EoKPremiumNationaal1000</t>
  </si>
  <si>
    <t>1FttOEntryCity1</t>
  </si>
  <si>
    <t>1FttOEntryCity2</t>
  </si>
  <si>
    <t>1FttOEntryCity3</t>
  </si>
  <si>
    <t>1FttOEntryCity4</t>
  </si>
  <si>
    <t>1FttOEntryCity5</t>
  </si>
  <si>
    <t>1FttOEntryCity6</t>
  </si>
  <si>
    <t>1FttOEntryCity8</t>
  </si>
  <si>
    <t>1FttOEntryCity10</t>
  </si>
  <si>
    <t>1FttOEntryCity15</t>
  </si>
  <si>
    <t>1FttOEntryCity20</t>
  </si>
  <si>
    <t>1FttOEntryCity30</t>
  </si>
  <si>
    <t>1FttOEntryCity50</t>
  </si>
  <si>
    <t>1FttOEntryCity80</t>
  </si>
  <si>
    <t>1FttOEntryCity100</t>
  </si>
  <si>
    <t>1FttOEntryCity200</t>
  </si>
  <si>
    <t>1FttOEntryCity300</t>
  </si>
  <si>
    <t>1FttOEntryCity500</t>
  </si>
  <si>
    <t>1FttOEntryCity800</t>
  </si>
  <si>
    <t>1FttOEntryCity1000</t>
  </si>
  <si>
    <t>1FttOEntryRegionaal1</t>
  </si>
  <si>
    <t>1FttOEntryRegionaal2</t>
  </si>
  <si>
    <t>1FttOEntryRegionaal3</t>
  </si>
  <si>
    <t>1FttOEntryRegionaal4</t>
  </si>
  <si>
    <t>1FttOEntryRegionaal5</t>
  </si>
  <si>
    <t>1FttOEntryRegionaal6</t>
  </si>
  <si>
    <t>1FttOEntryRegionaal8</t>
  </si>
  <si>
    <t>1FttOEntryRegionaal10</t>
  </si>
  <si>
    <t>1FttOEntryRegionaal15</t>
  </si>
  <si>
    <t>1FttOEntryRegionaal20</t>
  </si>
  <si>
    <t>1FttOEntryRegionaal30</t>
  </si>
  <si>
    <t>1FttOEntryRegionaal50</t>
  </si>
  <si>
    <t>1FttOEntryRegionaal80</t>
  </si>
  <si>
    <t>1FttOEntryRegionaal100</t>
  </si>
  <si>
    <t>1FttOEntryRegionaal200</t>
  </si>
  <si>
    <t>1FttOEntryRegionaal300</t>
  </si>
  <si>
    <t>1FttOEntryRegionaal500</t>
  </si>
  <si>
    <t>1FttOEntryRegionaal800</t>
  </si>
  <si>
    <t>1FttOEntryRegionaal1000</t>
  </si>
  <si>
    <t>1FttOEntryNationaal1</t>
  </si>
  <si>
    <t>1FttOEntryNationaal2</t>
  </si>
  <si>
    <t>1FttOEntryNationaal3</t>
  </si>
  <si>
    <t>1FttOEntryNationaal4</t>
  </si>
  <si>
    <t>1FttOEntryNationaal5</t>
  </si>
  <si>
    <t>1FttOEntryNationaal6</t>
  </si>
  <si>
    <t>1FttOEntryNationaal8</t>
  </si>
  <si>
    <t>1FttOEntryNationaal10</t>
  </si>
  <si>
    <t>1FttOEntryNationaal15</t>
  </si>
  <si>
    <t>1FttOEntryNationaal20</t>
  </si>
  <si>
    <t>1FttOEntryNationaal30</t>
  </si>
  <si>
    <t>1FttOEntryNationaal50</t>
  </si>
  <si>
    <t>1FttOEntryNationaal80</t>
  </si>
  <si>
    <t>1FttOEntryNationaal100</t>
  </si>
  <si>
    <t>1FttOEntryNationaal200</t>
  </si>
  <si>
    <t>1FttOEntryNationaal300</t>
  </si>
  <si>
    <t>1FttOEntryNationaal500</t>
  </si>
  <si>
    <t>1FttOEntryNationaal800</t>
  </si>
  <si>
    <t>1FttOEntryNationaal1000</t>
  </si>
  <si>
    <t>1FttOPremiumCity1</t>
  </si>
  <si>
    <t>1FttOPremiumCity2</t>
  </si>
  <si>
    <t>1FttOPremiumCity3</t>
  </si>
  <si>
    <t>1FttOPremiumCity4</t>
  </si>
  <si>
    <t>1FttOPremiumCity5</t>
  </si>
  <si>
    <t>1FttOPremiumCity6</t>
  </si>
  <si>
    <t>1FttOPremiumCity8</t>
  </si>
  <si>
    <t>1FttOPremiumCity10</t>
  </si>
  <si>
    <t>1FttOPremiumCity15</t>
  </si>
  <si>
    <t>1FttOPremiumCity20</t>
  </si>
  <si>
    <t>1FttOPremiumCity30</t>
  </si>
  <si>
    <t>1FttOPremiumCity50</t>
  </si>
  <si>
    <t>1FttOPremiumCity80</t>
  </si>
  <si>
    <t>1FttOPremiumCity100</t>
  </si>
  <si>
    <t>1FttOPremiumCity200</t>
  </si>
  <si>
    <t>1FttOPremiumCity300</t>
  </si>
  <si>
    <t>1FttOPremiumCity500</t>
  </si>
  <si>
    <t>1FttOPremiumCity800</t>
  </si>
  <si>
    <t>1FttOPremiumCity1000</t>
  </si>
  <si>
    <t>1FttOPremiumRegionaal1</t>
  </si>
  <si>
    <t>1FttOPremiumRegionaal2</t>
  </si>
  <si>
    <t>1FttOPremiumRegionaal3</t>
  </si>
  <si>
    <t>1FttOPremiumRegionaal4</t>
  </si>
  <si>
    <t>1FttOPremiumRegionaal5</t>
  </si>
  <si>
    <t>1FttOPremiumRegionaal6</t>
  </si>
  <si>
    <t>1FttOPremiumRegionaal8</t>
  </si>
  <si>
    <t>1FttOPremiumRegionaal10</t>
  </si>
  <si>
    <t>1FttOPremiumRegionaal15</t>
  </si>
  <si>
    <t>1FttOPremiumRegionaal20</t>
  </si>
  <si>
    <t>1FttOPremiumRegionaal30</t>
  </si>
  <si>
    <t>1FttOPremiumRegionaal50</t>
  </si>
  <si>
    <t>1FttOPremiumRegionaal80</t>
  </si>
  <si>
    <t>1FttOPremiumRegionaal100</t>
  </si>
  <si>
    <t>1FttOPremiumRegionaal200</t>
  </si>
  <si>
    <t>1FttOPremiumRegionaal300</t>
  </si>
  <si>
    <t>1FttOPremiumRegionaal500</t>
  </si>
  <si>
    <t>1FttOPremiumRegionaal800</t>
  </si>
  <si>
    <t>1FttOPremiumRegionaal1000</t>
  </si>
  <si>
    <t>1FttOPremiumNationaal1</t>
  </si>
  <si>
    <t>1FttOPremiumNationaal2</t>
  </si>
  <si>
    <t>1FttOPremiumNationaal3</t>
  </si>
  <si>
    <t>1FttOPremiumNationaal4</t>
  </si>
  <si>
    <t>1FttOPremiumNationaal5</t>
  </si>
  <si>
    <t>1FttOPremiumNationaal6</t>
  </si>
  <si>
    <t>1FttOPremiumNationaal8</t>
  </si>
  <si>
    <t>1FttOPremiumNationaal10</t>
  </si>
  <si>
    <t>1FttOPremiumNationaal15</t>
  </si>
  <si>
    <t>1FttOPremiumNationaal20</t>
  </si>
  <si>
    <t>1FttOPremiumNationaal30</t>
  </si>
  <si>
    <t>1FttOPremiumNationaal50</t>
  </si>
  <si>
    <t>1FttOPremiumNationaal80</t>
  </si>
  <si>
    <t>1FttOPremiumNationaal100</t>
  </si>
  <si>
    <t>1FttOPremiumNationaal200</t>
  </si>
  <si>
    <t>1FttOPremiumNationaal300</t>
  </si>
  <si>
    <t>1FttOPremiumNationaal500</t>
  </si>
  <si>
    <t>1FttOPremiumNationaal800</t>
  </si>
  <si>
    <t>1FttOPremiumNationaal1000</t>
  </si>
  <si>
    <t>2EVPNEntryCity1</t>
  </si>
  <si>
    <t>2EVPNEntryCity2</t>
  </si>
  <si>
    <t>2EVPNEntryCity3</t>
  </si>
  <si>
    <t>2EVPNEntryCity4</t>
  </si>
  <si>
    <t>2EVPNEntryCity5</t>
  </si>
  <si>
    <t>2EVPNEntryCity6</t>
  </si>
  <si>
    <t>2EVPNEntryCity8</t>
  </si>
  <si>
    <t>2EVPNEntryCity10</t>
  </si>
  <si>
    <t>2EVPNEntryCity15</t>
  </si>
  <si>
    <t>2EVPNEntryCity20</t>
  </si>
  <si>
    <t>2EVPNEntryCity30</t>
  </si>
  <si>
    <t>2EVPNEntryCity50</t>
  </si>
  <si>
    <t>2EVPNEntryCity80</t>
  </si>
  <si>
    <t>2EVPNEntryCity100</t>
  </si>
  <si>
    <t>2EVPNEntryCity200</t>
  </si>
  <si>
    <t>2EVPNEntryCity300</t>
  </si>
  <si>
    <t>2EVPNEntryCity500</t>
  </si>
  <si>
    <t>2EVPNEntryCity800</t>
  </si>
  <si>
    <t>2EVPNEntryCity1000</t>
  </si>
  <si>
    <t>2EVPNEntryRegionaal1</t>
  </si>
  <si>
    <t>2EVPNEntryRegionaal2</t>
  </si>
  <si>
    <t>2EVPNEntryRegionaal3</t>
  </si>
  <si>
    <t>2EVPNEntryRegionaal4</t>
  </si>
  <si>
    <t>2EVPNEntryRegionaal5</t>
  </si>
  <si>
    <t>2EVPNEntryRegionaal6</t>
  </si>
  <si>
    <t>2EVPNEntryRegionaal8</t>
  </si>
  <si>
    <t>2EVPNEntryRegionaal10</t>
  </si>
  <si>
    <t>2EVPNEntryRegionaal15</t>
  </si>
  <si>
    <t>2EVPNEntryRegionaal20</t>
  </si>
  <si>
    <t>2EVPNEntryRegionaal30</t>
  </si>
  <si>
    <t>2EVPNEntryRegionaal50</t>
  </si>
  <si>
    <t>2EVPNEntryRegionaal80</t>
  </si>
  <si>
    <t>2EVPNEntryRegionaal100</t>
  </si>
  <si>
    <t>2EVPNEntryRegionaal200</t>
  </si>
  <si>
    <t>2EVPNEntryRegionaal300</t>
  </si>
  <si>
    <t>2EVPNEntryRegionaal500</t>
  </si>
  <si>
    <t>2EVPNEntryRegionaal800</t>
  </si>
  <si>
    <t>2EVPNEntryRegionaal1000</t>
  </si>
  <si>
    <t>2EVPNEntryNationaal1</t>
  </si>
  <si>
    <t>2EVPNEntryNationaal2</t>
  </si>
  <si>
    <t>2EVPNEntryNationaal3</t>
  </si>
  <si>
    <t>2EVPNEntryNationaal4</t>
  </si>
  <si>
    <t>2EVPNEntryNationaal5</t>
  </si>
  <si>
    <t>2EVPNEntryNationaal6</t>
  </si>
  <si>
    <t>2EVPNEntryNationaal8</t>
  </si>
  <si>
    <t>2EVPNEntryNationaal10</t>
  </si>
  <si>
    <t>2EVPNEntryNationaal15</t>
  </si>
  <si>
    <t>2EVPNEntryNationaal20</t>
  </si>
  <si>
    <t>2EVPNEntryNationaal30</t>
  </si>
  <si>
    <t>2EVPNEntryNationaal50</t>
  </si>
  <si>
    <t>2EVPNEntryNationaal80</t>
  </si>
  <si>
    <t>2EVPNEntryNationaal100</t>
  </si>
  <si>
    <t>2EVPNEntryNationaal200</t>
  </si>
  <si>
    <t>2EVPNEntryNationaal300</t>
  </si>
  <si>
    <t>2EVPNEntryNationaal500</t>
  </si>
  <si>
    <t>2EVPNEntryNationaal800</t>
  </si>
  <si>
    <t>2EVPNEntryNationaal1000</t>
  </si>
  <si>
    <t>2EVPNPremiumCity1</t>
  </si>
  <si>
    <t>2EVPNPremiumCity2</t>
  </si>
  <si>
    <t>2EVPNPremiumCity3</t>
  </si>
  <si>
    <t>2EVPNPremiumCity4</t>
  </si>
  <si>
    <t>2EVPNPremiumCity5</t>
  </si>
  <si>
    <t>2EVPNPremiumCity6</t>
  </si>
  <si>
    <t>2EVPNPremiumCity8</t>
  </si>
  <si>
    <t>2EVPNPremiumCity10</t>
  </si>
  <si>
    <t>2EVPNPremiumCity15</t>
  </si>
  <si>
    <t>2EVPNPremiumCity20</t>
  </si>
  <si>
    <t>2EVPNPremiumCity30</t>
  </si>
  <si>
    <t>2EVPNPremiumCity50</t>
  </si>
  <si>
    <t>2EVPNPremiumCity80</t>
  </si>
  <si>
    <t>2EVPNPremiumCity100</t>
  </si>
  <si>
    <t>2EVPNPremiumCity200</t>
  </si>
  <si>
    <t>2EVPNPremiumCity300</t>
  </si>
  <si>
    <t>2EVPNPremiumCity500</t>
  </si>
  <si>
    <t>2EVPNPremiumCity800</t>
  </si>
  <si>
    <t>2EVPNPremiumCity1000</t>
  </si>
  <si>
    <t>2EVPNPremiumRegionaal1</t>
  </si>
  <si>
    <t>2EVPNPremiumRegionaal2</t>
  </si>
  <si>
    <t>2EVPNPremiumRegionaal3</t>
  </si>
  <si>
    <t>2EVPNPremiumRegionaal4</t>
  </si>
  <si>
    <t>2EVPNPremiumRegionaal5</t>
  </si>
  <si>
    <t>2EVPNPremiumRegionaal6</t>
  </si>
  <si>
    <t>2EVPNPremiumRegionaal8</t>
  </si>
  <si>
    <t>2EVPNPremiumRegionaal10</t>
  </si>
  <si>
    <t>2EVPNPremiumRegionaal15</t>
  </si>
  <si>
    <t>2EVPNPremiumRegionaal20</t>
  </si>
  <si>
    <t>2EVPNPremiumRegionaal30</t>
  </si>
  <si>
    <t>2EVPNPremiumRegionaal50</t>
  </si>
  <si>
    <t>2EVPNPremiumRegionaal80</t>
  </si>
  <si>
    <t>2EVPNPremiumRegionaal100</t>
  </si>
  <si>
    <t>2EVPNPremiumRegionaal200</t>
  </si>
  <si>
    <t>2EVPNPremiumRegionaal300</t>
  </si>
  <si>
    <t>2EVPNPremiumRegionaal500</t>
  </si>
  <si>
    <t>2EVPNPremiumRegionaal800</t>
  </si>
  <si>
    <t>2EVPNPremiumRegionaal1000</t>
  </si>
  <si>
    <t>2EVPNPremiumNationaal1</t>
  </si>
  <si>
    <t>2EVPNPremiumNationaal2</t>
  </si>
  <si>
    <t>2EVPNPremiumNationaal3</t>
  </si>
  <si>
    <t>2EVPNPremiumNationaal4</t>
  </si>
  <si>
    <t>2EVPNPremiumNationaal5</t>
  </si>
  <si>
    <t>2EVPNPremiumNationaal6</t>
  </si>
  <si>
    <t>2EVPNPremiumNationaal8</t>
  </si>
  <si>
    <t>2EVPNPremiumNationaal10</t>
  </si>
  <si>
    <t>2EVPNPremiumNationaal15</t>
  </si>
  <si>
    <t>2EVPNPremiumNationaal20</t>
  </si>
  <si>
    <t>2EVPNPremiumNationaal30</t>
  </si>
  <si>
    <t>2EVPNPremiumNationaal50</t>
  </si>
  <si>
    <t>2EVPNPremiumNationaal80</t>
  </si>
  <si>
    <t>2EVPNPremiumNationaal100</t>
  </si>
  <si>
    <t>2EVPNPremiumNationaal200</t>
  </si>
  <si>
    <t>2EVPNPremiumNationaal300</t>
  </si>
  <si>
    <t>2EVPNPremiumNationaal500</t>
  </si>
  <si>
    <t>2EVPNPremiumNationaal800</t>
  </si>
  <si>
    <t>2EVPNPremiumNationaal1000</t>
  </si>
  <si>
    <t>2EoKEntryCity1</t>
  </si>
  <si>
    <t>2EoKEntryCity2</t>
  </si>
  <si>
    <t>2EoKEntryCity3</t>
  </si>
  <si>
    <t>2EoKEntryCity4</t>
  </si>
  <si>
    <t>2EoKEntryCity5</t>
  </si>
  <si>
    <t>2EoKEntryCity6</t>
  </si>
  <si>
    <t>2EoKEntryCity8</t>
  </si>
  <si>
    <t>2EoKEntryCity10</t>
  </si>
  <si>
    <t>2EoKEntryCity15</t>
  </si>
  <si>
    <t>2EoKEntryCity20</t>
  </si>
  <si>
    <t>2EoKEntryCity30</t>
  </si>
  <si>
    <t>2EoKEntryCity50</t>
  </si>
  <si>
    <t>2EoKEntryCity80</t>
  </si>
  <si>
    <t>2EoKEntryCity100</t>
  </si>
  <si>
    <t>2EoKEntryCity200</t>
  </si>
  <si>
    <t>2EoKEntryCity300</t>
  </si>
  <si>
    <t>2EoKEntryCity500</t>
  </si>
  <si>
    <t>2EoKEntryCity800</t>
  </si>
  <si>
    <t>2EoKEntryCity1000</t>
  </si>
  <si>
    <t>2EoKEntryRegionaal1</t>
  </si>
  <si>
    <t>2EoKEntryRegionaal2</t>
  </si>
  <si>
    <t>2EoKEntryRegionaal3</t>
  </si>
  <si>
    <t>2EoKEntryRegionaal4</t>
  </si>
  <si>
    <t>2EoKEntryRegionaal5</t>
  </si>
  <si>
    <t>2EoKEntryRegionaal6</t>
  </si>
  <si>
    <t>2EoKEntryRegionaal8</t>
  </si>
  <si>
    <t>2EoKEntryRegionaal10</t>
  </si>
  <si>
    <t>2EoKEntryRegionaal15</t>
  </si>
  <si>
    <t>2EoKEntryRegionaal20</t>
  </si>
  <si>
    <t>2EoKEntryRegionaal30</t>
  </si>
  <si>
    <t>2EoKEntryRegionaal50</t>
  </si>
  <si>
    <t>2EoKEntryRegionaal80</t>
  </si>
  <si>
    <t>2EoKEntryRegionaal100</t>
  </si>
  <si>
    <t>2EoKEntryRegionaal200</t>
  </si>
  <si>
    <t>2EoKEntryRegionaal300</t>
  </si>
  <si>
    <t>2EoKEntryRegionaal500</t>
  </si>
  <si>
    <t>2EoKEntryRegionaal800</t>
  </si>
  <si>
    <t>2EoKEntryRegionaal1000</t>
  </si>
  <si>
    <t>2EoKEntryNationaal1</t>
  </si>
  <si>
    <t>2EoKEntryNationaal2</t>
  </si>
  <si>
    <t>2EoKEntryNationaal3</t>
  </si>
  <si>
    <t>2EoKEntryNationaal4</t>
  </si>
  <si>
    <t>2EoKEntryNationaal5</t>
  </si>
  <si>
    <t>2EoKEntryNationaal6</t>
  </si>
  <si>
    <t>2EoKEntryNationaal8</t>
  </si>
  <si>
    <t>2EoKEntryNationaal10</t>
  </si>
  <si>
    <t>2EoKEntryNationaal15</t>
  </si>
  <si>
    <t>2EoKEntryNationaal20</t>
  </si>
  <si>
    <t>2EoKEntryNationaal30</t>
  </si>
  <si>
    <t>2EoKEntryNationaal50</t>
  </si>
  <si>
    <t>2EoKEntryNationaal80</t>
  </si>
  <si>
    <t>2EoKEntryNationaal100</t>
  </si>
  <si>
    <t>2EoKEntryNationaal200</t>
  </si>
  <si>
    <t>2EoKEntryNationaal300</t>
  </si>
  <si>
    <t>2EoKEntryNationaal500</t>
  </si>
  <si>
    <t>2EoKEntryNationaal800</t>
  </si>
  <si>
    <t>2EoKEntryNationaal1000</t>
  </si>
  <si>
    <t>2EoKPremiumCity1</t>
  </si>
  <si>
    <t>2EoKPremiumCity2</t>
  </si>
  <si>
    <t>2EoKPremiumCity3</t>
  </si>
  <si>
    <t>2EoKPremiumCity4</t>
  </si>
  <si>
    <t>2EoKPremiumCity5</t>
  </si>
  <si>
    <t>2EoKPremiumCity6</t>
  </si>
  <si>
    <t>2EoKPremiumCity8</t>
  </si>
  <si>
    <t>2EoKPremiumCity10</t>
  </si>
  <si>
    <t>2EoKPremiumCity15</t>
  </si>
  <si>
    <t>2EoKPremiumCity20</t>
  </si>
  <si>
    <t>2EoKPremiumCity30</t>
  </si>
  <si>
    <t>2EoKPremiumCity50</t>
  </si>
  <si>
    <t>2EoKPremiumCity80</t>
  </si>
  <si>
    <t>2EoKPremiumCity100</t>
  </si>
  <si>
    <t>2EoKPremiumCity200</t>
  </si>
  <si>
    <t>2EoKPremiumCity300</t>
  </si>
  <si>
    <t>2EoKPremiumCity500</t>
  </si>
  <si>
    <t>2EoKPremiumCity800</t>
  </si>
  <si>
    <t>2EoKPremiumCity1000</t>
  </si>
  <si>
    <t>2EoKPremiumRegionaal1</t>
  </si>
  <si>
    <t>2EoKPremiumRegionaal2</t>
  </si>
  <si>
    <t>2EoKPremiumRegionaal3</t>
  </si>
  <si>
    <t>2EoKPremiumRegionaal4</t>
  </si>
  <si>
    <t>2EoKPremiumRegionaal5</t>
  </si>
  <si>
    <t>2EoKPremiumRegionaal6</t>
  </si>
  <si>
    <t>2EoKPremiumRegionaal8</t>
  </si>
  <si>
    <t>2EoKPremiumRegionaal10</t>
  </si>
  <si>
    <t>2EoKPremiumRegionaal15</t>
  </si>
  <si>
    <t>2EoKPremiumRegionaal20</t>
  </si>
  <si>
    <t>2EoKPremiumRegionaal30</t>
  </si>
  <si>
    <t>2EoKPremiumRegionaal50</t>
  </si>
  <si>
    <t>2EoKPremiumRegionaal80</t>
  </si>
  <si>
    <t>2EoKPremiumRegionaal100</t>
  </si>
  <si>
    <t>2EoKPremiumRegionaal200</t>
  </si>
  <si>
    <t>2EoKPremiumRegionaal300</t>
  </si>
  <si>
    <t>2EoKPremiumRegionaal500</t>
  </si>
  <si>
    <t>2EoKPremiumRegionaal800</t>
  </si>
  <si>
    <t>2EoKPremiumRegionaal1000</t>
  </si>
  <si>
    <t>2EoKPremiumNationaal1</t>
  </si>
  <si>
    <t>2EoKPremiumNationaal2</t>
  </si>
  <si>
    <t>2EoKPremiumNationaal3</t>
  </si>
  <si>
    <t>2EoKPremiumNationaal4</t>
  </si>
  <si>
    <t>2EoKPremiumNationaal5</t>
  </si>
  <si>
    <t>2EoKPremiumNationaal6</t>
  </si>
  <si>
    <t>2EoKPremiumNationaal8</t>
  </si>
  <si>
    <t>2EoKPremiumNationaal10</t>
  </si>
  <si>
    <t>2EoKPremiumNationaal15</t>
  </si>
  <si>
    <t>2EoKPremiumNationaal20</t>
  </si>
  <si>
    <t>2EoKPremiumNationaal30</t>
  </si>
  <si>
    <t>2EoKPremiumNationaal50</t>
  </si>
  <si>
    <t>2EoKPremiumNationaal80</t>
  </si>
  <si>
    <t>2EoKPremiumNationaal100</t>
  </si>
  <si>
    <t>2EoKPremiumNationaal200</t>
  </si>
  <si>
    <t>2EoKPremiumNationaal300</t>
  </si>
  <si>
    <t>2EoKPremiumNationaal500</t>
  </si>
  <si>
    <t>2EoKPremiumNationaal800</t>
  </si>
  <si>
    <t>2EoKPremiumNationaal1000</t>
  </si>
  <si>
    <t>2FttOEntryCity1</t>
  </si>
  <si>
    <t>2FttOEntryCity2</t>
  </si>
  <si>
    <t>2FttOEntryCity3</t>
  </si>
  <si>
    <t>2FttOEntryCity4</t>
  </si>
  <si>
    <t>2FttOEntryCity5</t>
  </si>
  <si>
    <t>2FttOEntryCity6</t>
  </si>
  <si>
    <t>2FttOEntryCity8</t>
  </si>
  <si>
    <t>2FttOEntryCity10</t>
  </si>
  <si>
    <t>2FttOEntryCity15</t>
  </si>
  <si>
    <t>2FttOEntryCity20</t>
  </si>
  <si>
    <t>2FttOEntryCity30</t>
  </si>
  <si>
    <t>2FttOEntryCity50</t>
  </si>
  <si>
    <t>2FttOEntryCity80</t>
  </si>
  <si>
    <t>2FttOEntryCity100</t>
  </si>
  <si>
    <t>2FttOEntryCity200</t>
  </si>
  <si>
    <t>2FttOEntryCity300</t>
  </si>
  <si>
    <t>2FttOEntryCity500</t>
  </si>
  <si>
    <t>2FttOEntryCity800</t>
  </si>
  <si>
    <t>2FttOEntryCity1000</t>
  </si>
  <si>
    <t>2FttOEntryRegionaal1</t>
  </si>
  <si>
    <t>2FttOEntryRegionaal2</t>
  </si>
  <si>
    <t>2FttOEntryRegionaal3</t>
  </si>
  <si>
    <t>2FttOEntryRegionaal4</t>
  </si>
  <si>
    <t>2FttOEntryRegionaal5</t>
  </si>
  <si>
    <t>2FttOEntryRegionaal6</t>
  </si>
  <si>
    <t>2FttOEntryRegionaal8</t>
  </si>
  <si>
    <t>2FttOEntryRegionaal10</t>
  </si>
  <si>
    <t>2FttOEntryRegionaal15</t>
  </si>
  <si>
    <t>2FttOEntryRegionaal20</t>
  </si>
  <si>
    <t>2FttOEntryRegionaal30</t>
  </si>
  <si>
    <t>2FttOEntryRegionaal50</t>
  </si>
  <si>
    <t>2FttOEntryRegionaal80</t>
  </si>
  <si>
    <t>2FttOEntryRegionaal100</t>
  </si>
  <si>
    <t>2FttOEntryRegionaal200</t>
  </si>
  <si>
    <t>2FttOEntryRegionaal300</t>
  </si>
  <si>
    <t>2FttOEntryRegionaal500</t>
  </si>
  <si>
    <t>2FttOEntryRegionaal800</t>
  </si>
  <si>
    <t>2FttOEntryRegionaal1000</t>
  </si>
  <si>
    <t>2FttOEntryNationaal1</t>
  </si>
  <si>
    <t>2FttOEntryNationaal2</t>
  </si>
  <si>
    <t>2FttOEntryNationaal3</t>
  </si>
  <si>
    <t>2FttOEntryNationaal4</t>
  </si>
  <si>
    <t>2FttOEntryNationaal5</t>
  </si>
  <si>
    <t>2FttOEntryNationaal6</t>
  </si>
  <si>
    <t>2FttOEntryNationaal8</t>
  </si>
  <si>
    <t>2FttOEntryNationaal10</t>
  </si>
  <si>
    <t>2FttOEntryNationaal15</t>
  </si>
  <si>
    <t>2FttOEntryNationaal20</t>
  </si>
  <si>
    <t>2FttOEntryNationaal30</t>
  </si>
  <si>
    <t>2FttOEntryNationaal50</t>
  </si>
  <si>
    <t>2FttOEntryNationaal80</t>
  </si>
  <si>
    <t>2FttOEntryNationaal100</t>
  </si>
  <si>
    <t>2FttOEntryNationaal200</t>
  </si>
  <si>
    <t>2FttOEntryNationaal300</t>
  </si>
  <si>
    <t>2FttOEntryNationaal500</t>
  </si>
  <si>
    <t>2FttOEntryNationaal800</t>
  </si>
  <si>
    <t>2FttOEntryNationaal1000</t>
  </si>
  <si>
    <t>2FttOPremiumCity1</t>
  </si>
  <si>
    <t>2FttOPremiumCity2</t>
  </si>
  <si>
    <t>2FttOPremiumCity3</t>
  </si>
  <si>
    <t>2FttOPremiumCity4</t>
  </si>
  <si>
    <t>2FttOPremiumCity5</t>
  </si>
  <si>
    <t>2FttOPremiumCity6</t>
  </si>
  <si>
    <t>2FttOPremiumCity8</t>
  </si>
  <si>
    <t>2FttOPremiumCity10</t>
  </si>
  <si>
    <t>2FttOPremiumCity15</t>
  </si>
  <si>
    <t>2FttOPremiumCity20</t>
  </si>
  <si>
    <t>2FttOPremiumCity30</t>
  </si>
  <si>
    <t>2FttOPremiumCity50</t>
  </si>
  <si>
    <t>2FttOPremiumCity80</t>
  </si>
  <si>
    <t>2FttOPremiumCity100</t>
  </si>
  <si>
    <t>2FttOPremiumCity200</t>
  </si>
  <si>
    <t>2FttOPremiumCity300</t>
  </si>
  <si>
    <t>2FttOPremiumCity500</t>
  </si>
  <si>
    <t>2FttOPremiumCity800</t>
  </si>
  <si>
    <t>2FttOPremiumCity1000</t>
  </si>
  <si>
    <t>2FttOPremiumRegionaal1</t>
  </si>
  <si>
    <t>2FttOPremiumRegionaal2</t>
  </si>
  <si>
    <t>2FttOPremiumRegionaal3</t>
  </si>
  <si>
    <t>2FttOPremiumRegionaal4</t>
  </si>
  <si>
    <t>2FttOPremiumRegionaal5</t>
  </si>
  <si>
    <t>2FttOPremiumRegionaal6</t>
  </si>
  <si>
    <t>2FttOPremiumRegionaal8</t>
  </si>
  <si>
    <t>2FttOPremiumRegionaal10</t>
  </si>
  <si>
    <t>2FttOPremiumRegionaal15</t>
  </si>
  <si>
    <t>2FttOPremiumRegionaal20</t>
  </si>
  <si>
    <t>2FttOPremiumRegionaal30</t>
  </si>
  <si>
    <t>2FttOPremiumRegionaal50</t>
  </si>
  <si>
    <t>2FttOPremiumRegionaal80</t>
  </si>
  <si>
    <t>2FttOPremiumRegionaal100</t>
  </si>
  <si>
    <t>2FttOPremiumRegionaal200</t>
  </si>
  <si>
    <t>2FttOPremiumRegionaal300</t>
  </si>
  <si>
    <t>2FttOPremiumRegionaal500</t>
  </si>
  <si>
    <t>2FttOPremiumRegionaal800</t>
  </si>
  <si>
    <t>2FttOPremiumRegionaal1000</t>
  </si>
  <si>
    <t>2FttOPremiumNationaal1</t>
  </si>
  <si>
    <t>2FttOPremiumNationaal2</t>
  </si>
  <si>
    <t>2FttOPremiumNationaal3</t>
  </si>
  <si>
    <t>2FttOPremiumNationaal4</t>
  </si>
  <si>
    <t>2FttOPremiumNationaal5</t>
  </si>
  <si>
    <t>2FttOPremiumNationaal6</t>
  </si>
  <si>
    <t>2FttOPremiumNationaal8</t>
  </si>
  <si>
    <t>2FttOPremiumNationaal10</t>
  </si>
  <si>
    <t>2FttOPremiumNationaal15</t>
  </si>
  <si>
    <t>2FttOPremiumNationaal20</t>
  </si>
  <si>
    <t>2FttOPremiumNationaal30</t>
  </si>
  <si>
    <t>2FttOPremiumNationaal50</t>
  </si>
  <si>
    <t>2FttOPremiumNationaal80</t>
  </si>
  <si>
    <t>2FttOPremiumNationaal100</t>
  </si>
  <si>
    <t>2FttOPremiumNationaal200</t>
  </si>
  <si>
    <t>2FttOPremiumNationaal300</t>
  </si>
  <si>
    <t>2FttOPremiumNationaal500</t>
  </si>
  <si>
    <t>2FttOPremiumNationaal800</t>
  </si>
  <si>
    <t>2FttOPremiumNationaal1000</t>
  </si>
  <si>
    <t>3EVPNEntryCity1</t>
  </si>
  <si>
    <t>3EVPNEntryCity2</t>
  </si>
  <si>
    <t>3EVPNEntryCity3</t>
  </si>
  <si>
    <t>3EVPNEntryCity4</t>
  </si>
  <si>
    <t>3EVPNEntryCity5</t>
  </si>
  <si>
    <t>3EVPNEntryCity6</t>
  </si>
  <si>
    <t>3EVPNEntryCity8</t>
  </si>
  <si>
    <t>3EVPNEntryCity10</t>
  </si>
  <si>
    <t>3EVPNEntryCity15</t>
  </si>
  <si>
    <t>3EVPNEntryCity20</t>
  </si>
  <si>
    <t>3EVPNEntryCity30</t>
  </si>
  <si>
    <t>3EVPNEntryCity50</t>
  </si>
  <si>
    <t>3EVPNEntryCity80</t>
  </si>
  <si>
    <t>3EVPNEntryCity100</t>
  </si>
  <si>
    <t>3EVPNEntryCity200</t>
  </si>
  <si>
    <t>3EVPNEntryCity300</t>
  </si>
  <si>
    <t>3EVPNEntryCity500</t>
  </si>
  <si>
    <t>3EVPNEntryCity800</t>
  </si>
  <si>
    <t>3EVPNEntryCity1000</t>
  </si>
  <si>
    <t>3EVPNEntryRegionaal1</t>
  </si>
  <si>
    <t>3EVPNEntryRegionaal2</t>
  </si>
  <si>
    <t>3EVPNEntryRegionaal3</t>
  </si>
  <si>
    <t>3EVPNEntryRegionaal4</t>
  </si>
  <si>
    <t>3EVPNEntryRegionaal5</t>
  </si>
  <si>
    <t>3EVPNEntryRegionaal6</t>
  </si>
  <si>
    <t>3EVPNEntryRegionaal8</t>
  </si>
  <si>
    <t>3EVPNEntryRegionaal10</t>
  </si>
  <si>
    <t>3EVPNEntryRegionaal15</t>
  </si>
  <si>
    <t>3EVPNEntryRegionaal20</t>
  </si>
  <si>
    <t>3EVPNEntryRegionaal30</t>
  </si>
  <si>
    <t>3EVPNEntryRegionaal50</t>
  </si>
  <si>
    <t>3EVPNEntryRegionaal80</t>
  </si>
  <si>
    <t>3EVPNEntryRegionaal100</t>
  </si>
  <si>
    <t>3EVPNEntryRegionaal200</t>
  </si>
  <si>
    <t>3EVPNEntryRegionaal300</t>
  </si>
  <si>
    <t>3EVPNEntryRegionaal500</t>
  </si>
  <si>
    <t>3EVPNEntryRegionaal800</t>
  </si>
  <si>
    <t>3EVPNEntryRegionaal1000</t>
  </si>
  <si>
    <t>3EVPNEntryNationaal1</t>
  </si>
  <si>
    <t>3EVPNEntryNationaal2</t>
  </si>
  <si>
    <t>3EVPNEntryNationaal3</t>
  </si>
  <si>
    <t>3EVPNEntryNationaal4</t>
  </si>
  <si>
    <t>3EVPNEntryNationaal5</t>
  </si>
  <si>
    <t>3EVPNEntryNationaal6</t>
  </si>
  <si>
    <t>3EVPNEntryNationaal8</t>
  </si>
  <si>
    <t>3EVPNEntryNationaal10</t>
  </si>
  <si>
    <t>3EVPNEntryNationaal15</t>
  </si>
  <si>
    <t>3EVPNEntryNationaal20</t>
  </si>
  <si>
    <t>3EVPNEntryNationaal30</t>
  </si>
  <si>
    <t>3EVPNEntryNationaal50</t>
  </si>
  <si>
    <t>3EVPNEntryNationaal80</t>
  </si>
  <si>
    <t>3EVPNEntryNationaal100</t>
  </si>
  <si>
    <t>3EVPNEntryNationaal200</t>
  </si>
  <si>
    <t>3EVPNEntryNationaal300</t>
  </si>
  <si>
    <t>3EVPNEntryNationaal500</t>
  </si>
  <si>
    <t>3EVPNEntryNationaal800</t>
  </si>
  <si>
    <t>3EVPNEntryNationaal1000</t>
  </si>
  <si>
    <t>3EVPNPremiumCity1</t>
  </si>
  <si>
    <t>3EVPNPremiumCity2</t>
  </si>
  <si>
    <t>3EVPNPremiumCity3</t>
  </si>
  <si>
    <t>3EVPNPremiumCity4</t>
  </si>
  <si>
    <t>3EVPNPremiumCity5</t>
  </si>
  <si>
    <t>3EVPNPremiumCity6</t>
  </si>
  <si>
    <t>3EVPNPremiumCity8</t>
  </si>
  <si>
    <t>3EVPNPremiumCity10</t>
  </si>
  <si>
    <t>3EVPNPremiumCity15</t>
  </si>
  <si>
    <t>3EVPNPremiumCity20</t>
  </si>
  <si>
    <t>3EVPNPremiumCity30</t>
  </si>
  <si>
    <t>3EVPNPremiumCity50</t>
  </si>
  <si>
    <t>3EVPNPremiumCity80</t>
  </si>
  <si>
    <t>3EVPNPremiumCity100</t>
  </si>
  <si>
    <t>3EVPNPremiumCity200</t>
  </si>
  <si>
    <t>3EVPNPremiumCity300</t>
  </si>
  <si>
    <t>3EVPNPremiumCity500</t>
  </si>
  <si>
    <t>3EVPNPremiumCity800</t>
  </si>
  <si>
    <t>3EVPNPremiumCity1000</t>
  </si>
  <si>
    <t>3EVPNPremiumRegionaal1</t>
  </si>
  <si>
    <t>3EVPNPremiumRegionaal2</t>
  </si>
  <si>
    <t>3EVPNPremiumRegionaal3</t>
  </si>
  <si>
    <t>3EVPNPremiumRegionaal4</t>
  </si>
  <si>
    <t>3EVPNPremiumRegionaal5</t>
  </si>
  <si>
    <t>3EVPNPremiumRegionaal6</t>
  </si>
  <si>
    <t>3EVPNPremiumRegionaal8</t>
  </si>
  <si>
    <t>3EVPNPremiumRegionaal10</t>
  </si>
  <si>
    <t>3EVPNPremiumRegionaal15</t>
  </si>
  <si>
    <t>3EVPNPremiumRegionaal20</t>
  </si>
  <si>
    <t>3EVPNPremiumRegionaal30</t>
  </si>
  <si>
    <t>3EVPNPremiumRegionaal50</t>
  </si>
  <si>
    <t>3EVPNPremiumRegionaal80</t>
  </si>
  <si>
    <t>3EVPNPremiumRegionaal100</t>
  </si>
  <si>
    <t>3EVPNPremiumRegionaal200</t>
  </si>
  <si>
    <t>3EVPNPremiumRegionaal300</t>
  </si>
  <si>
    <t>3EVPNPremiumRegionaal500</t>
  </si>
  <si>
    <t>3EVPNPremiumRegionaal800</t>
  </si>
  <si>
    <t>3EVPNPremiumRegionaal1000</t>
  </si>
  <si>
    <t>3EVPNPremiumNationaal1</t>
  </si>
  <si>
    <t>3EVPNPremiumNationaal2</t>
  </si>
  <si>
    <t>3EVPNPremiumNationaal3</t>
  </si>
  <si>
    <t>3EVPNPremiumNationaal4</t>
  </si>
  <si>
    <t>3EVPNPremiumNationaal5</t>
  </si>
  <si>
    <t>3EVPNPremiumNationaal6</t>
  </si>
  <si>
    <t>3EVPNPremiumNationaal8</t>
  </si>
  <si>
    <t>3EVPNPremiumNationaal10</t>
  </si>
  <si>
    <t>3EVPNPremiumNationaal15</t>
  </si>
  <si>
    <t>3EVPNPremiumNationaal20</t>
  </si>
  <si>
    <t>3EVPNPremiumNationaal30</t>
  </si>
  <si>
    <t>3EVPNPremiumNationaal50</t>
  </si>
  <si>
    <t>3EVPNPremiumNationaal80</t>
  </si>
  <si>
    <t>3EVPNPremiumNationaal100</t>
  </si>
  <si>
    <t>3EVPNPremiumNationaal200</t>
  </si>
  <si>
    <t>3EVPNPremiumNationaal300</t>
  </si>
  <si>
    <t>3EVPNPremiumNationaal500</t>
  </si>
  <si>
    <t>3EVPNPremiumNationaal800</t>
  </si>
  <si>
    <t>3EVPNPremiumNationaal1000</t>
  </si>
  <si>
    <t>3EoKEntryCity1</t>
  </si>
  <si>
    <t>3EoKEntryCity2</t>
  </si>
  <si>
    <t>3EoKEntryCity3</t>
  </si>
  <si>
    <t>3EoKEntryCity4</t>
  </si>
  <si>
    <t>3EoKEntryCity5</t>
  </si>
  <si>
    <t>3EoKEntryCity6</t>
  </si>
  <si>
    <t>3EoKEntryCity8</t>
  </si>
  <si>
    <t>3EoKEntryCity10</t>
  </si>
  <si>
    <t>3EoKEntryCity15</t>
  </si>
  <si>
    <t>3EoKEntryCity20</t>
  </si>
  <si>
    <t>3EoKEntryCity30</t>
  </si>
  <si>
    <t>3EoKEntryCity50</t>
  </si>
  <si>
    <t>3EoKEntryCity80</t>
  </si>
  <si>
    <t>3EoKEntryCity100</t>
  </si>
  <si>
    <t>3EoKEntryCity200</t>
  </si>
  <si>
    <t>3EoKEntryCity300</t>
  </si>
  <si>
    <t>3EoKEntryCity500</t>
  </si>
  <si>
    <t>3EoKEntryCity800</t>
  </si>
  <si>
    <t>3EoKEntryCity1000</t>
  </si>
  <si>
    <t>3EoKEntryRegionaal1</t>
  </si>
  <si>
    <t>3EoKEntryRegionaal2</t>
  </si>
  <si>
    <t>3EoKEntryRegionaal3</t>
  </si>
  <si>
    <t>3EoKEntryRegionaal4</t>
  </si>
  <si>
    <t>3EoKEntryRegionaal5</t>
  </si>
  <si>
    <t>3EoKEntryRegionaal6</t>
  </si>
  <si>
    <t>3EoKEntryRegionaal8</t>
  </si>
  <si>
    <t>3EoKEntryRegionaal10</t>
  </si>
  <si>
    <t>3EoKEntryRegionaal15</t>
  </si>
  <si>
    <t>3EoKEntryRegionaal20</t>
  </si>
  <si>
    <t>3EoKEntryRegionaal30</t>
  </si>
  <si>
    <t>3EoKEntryRegionaal50</t>
  </si>
  <si>
    <t>3EoKEntryRegionaal80</t>
  </si>
  <si>
    <t>3EoKEntryRegionaal100</t>
  </si>
  <si>
    <t>3EoKEntryRegionaal200</t>
  </si>
  <si>
    <t>3EoKEntryRegionaal300</t>
  </si>
  <si>
    <t>3EoKEntryRegionaal500</t>
  </si>
  <si>
    <t>3EoKEntryRegionaal800</t>
  </si>
  <si>
    <t>3EoKEntryRegionaal1000</t>
  </si>
  <si>
    <t>3EoKEntryNationaal1</t>
  </si>
  <si>
    <t>3EoKEntryNationaal2</t>
  </si>
  <si>
    <t>3EoKEntryNationaal3</t>
  </si>
  <si>
    <t>3EoKEntryNationaal4</t>
  </si>
  <si>
    <t>3EoKEntryNationaal5</t>
  </si>
  <si>
    <t>3EoKEntryNationaal6</t>
  </si>
  <si>
    <t>3EoKEntryNationaal8</t>
  </si>
  <si>
    <t>3EoKEntryNationaal10</t>
  </si>
  <si>
    <t>3EoKEntryNationaal15</t>
  </si>
  <si>
    <t>3EoKEntryNationaal20</t>
  </si>
  <si>
    <t>3EoKEntryNationaal30</t>
  </si>
  <si>
    <t>3EoKEntryNationaal50</t>
  </si>
  <si>
    <t>3EoKEntryNationaal80</t>
  </si>
  <si>
    <t>3EoKEntryNationaal100</t>
  </si>
  <si>
    <t>3EoKEntryNationaal200</t>
  </si>
  <si>
    <t>3EoKEntryNationaal300</t>
  </si>
  <si>
    <t>3EoKEntryNationaal500</t>
  </si>
  <si>
    <t>3EoKEntryNationaal800</t>
  </si>
  <si>
    <t>3EoKEntryNationaal1000</t>
  </si>
  <si>
    <t>3EoKPremiumCity1</t>
  </si>
  <si>
    <t>3EoKPremiumCity2</t>
  </si>
  <si>
    <t>3EoKPremiumCity3</t>
  </si>
  <si>
    <t>3EoKPremiumCity4</t>
  </si>
  <si>
    <t>3EoKPremiumCity5</t>
  </si>
  <si>
    <t>3EoKPremiumCity6</t>
  </si>
  <si>
    <t>3EoKPremiumCity8</t>
  </si>
  <si>
    <t>3EoKPremiumCity10</t>
  </si>
  <si>
    <t>3EoKPremiumCity15</t>
  </si>
  <si>
    <t>3EoKPremiumCity20</t>
  </si>
  <si>
    <t>3EoKPremiumCity30</t>
  </si>
  <si>
    <t>3EoKPremiumCity50</t>
  </si>
  <si>
    <t>3EoKPremiumCity80</t>
  </si>
  <si>
    <t>3EoKPremiumCity100</t>
  </si>
  <si>
    <t>3EoKPremiumCity200</t>
  </si>
  <si>
    <t>3EoKPremiumCity300</t>
  </si>
  <si>
    <t>3EoKPremiumCity500</t>
  </si>
  <si>
    <t>3EoKPremiumCity800</t>
  </si>
  <si>
    <t>3EoKPremiumCity1000</t>
  </si>
  <si>
    <t>3EoKPremiumRegionaal1</t>
  </si>
  <si>
    <t>3EoKPremiumRegionaal2</t>
  </si>
  <si>
    <t>3EoKPremiumRegionaal3</t>
  </si>
  <si>
    <t>3EoKPremiumRegionaal4</t>
  </si>
  <si>
    <t>3EoKPremiumRegionaal5</t>
  </si>
  <si>
    <t>3EoKPremiumRegionaal6</t>
  </si>
  <si>
    <t>3EoKPremiumRegionaal8</t>
  </si>
  <si>
    <t>3EoKPremiumRegionaal10</t>
  </si>
  <si>
    <t>3EoKPremiumRegionaal15</t>
  </si>
  <si>
    <t>3EoKPremiumRegionaal20</t>
  </si>
  <si>
    <t>3EoKPremiumRegionaal30</t>
  </si>
  <si>
    <t>3EoKPremiumRegionaal50</t>
  </si>
  <si>
    <t>3EoKPremiumRegionaal80</t>
  </si>
  <si>
    <t>3EoKPremiumRegionaal100</t>
  </si>
  <si>
    <t>3EoKPremiumRegionaal200</t>
  </si>
  <si>
    <t>3EoKPremiumRegionaal300</t>
  </si>
  <si>
    <t>3EoKPremiumRegionaal500</t>
  </si>
  <si>
    <t>3EoKPremiumRegionaal800</t>
  </si>
  <si>
    <t>3EoKPremiumRegionaal1000</t>
  </si>
  <si>
    <t>3EoKPremiumNationaal1</t>
  </si>
  <si>
    <t>3EoKPremiumNationaal2</t>
  </si>
  <si>
    <t>3EoKPremiumNationaal3</t>
  </si>
  <si>
    <t>3EoKPremiumNationaal4</t>
  </si>
  <si>
    <t>3EoKPremiumNationaal5</t>
  </si>
  <si>
    <t>3EoKPremiumNationaal6</t>
  </si>
  <si>
    <t>3EoKPremiumNationaal8</t>
  </si>
  <si>
    <t>3EoKPremiumNationaal10</t>
  </si>
  <si>
    <t>3EoKPremiumNationaal15</t>
  </si>
  <si>
    <t>3EoKPremiumNationaal20</t>
  </si>
  <si>
    <t>3EoKPremiumNationaal30</t>
  </si>
  <si>
    <t>3EoKPremiumNationaal50</t>
  </si>
  <si>
    <t>3EoKPremiumNationaal80</t>
  </si>
  <si>
    <t>3EoKPremiumNationaal100</t>
  </si>
  <si>
    <t>3EoKPremiumNationaal200</t>
  </si>
  <si>
    <t>3EoKPremiumNationaal300</t>
  </si>
  <si>
    <t>3EoKPremiumNationaal500</t>
  </si>
  <si>
    <t>3EoKPremiumNationaal800</t>
  </si>
  <si>
    <t>3EoKPremiumNationaal1000</t>
  </si>
  <si>
    <t>3FttOEntryCity1</t>
  </si>
  <si>
    <t>3FttOEntryCity2</t>
  </si>
  <si>
    <t>3FttOEntryCity3</t>
  </si>
  <si>
    <t>3FttOEntryCity4</t>
  </si>
  <si>
    <t>3FttOEntryCity5</t>
  </si>
  <si>
    <t>3FttOEntryCity6</t>
  </si>
  <si>
    <t>3FttOEntryCity8</t>
  </si>
  <si>
    <t>3FttOEntryCity10</t>
  </si>
  <si>
    <t>3FttOEntryCity15</t>
  </si>
  <si>
    <t>3FttOEntryCity20</t>
  </si>
  <si>
    <t>3FttOEntryCity30</t>
  </si>
  <si>
    <t>3FttOEntryCity50</t>
  </si>
  <si>
    <t>3FttOEntryCity80</t>
  </si>
  <si>
    <t>3FttOEntryCity100</t>
  </si>
  <si>
    <t>3FttOEntryCity200</t>
  </si>
  <si>
    <t>3FttOEntryCity300</t>
  </si>
  <si>
    <t>3FttOEntryCity500</t>
  </si>
  <si>
    <t>3FttOEntryCity800</t>
  </si>
  <si>
    <t>3FttOEntryCity1000</t>
  </si>
  <si>
    <t>3FttOEntryRegionaal1</t>
  </si>
  <si>
    <t>3FttOEntryRegionaal2</t>
  </si>
  <si>
    <t>3FttOEntryRegionaal3</t>
  </si>
  <si>
    <t>3FttOEntryRegionaal4</t>
  </si>
  <si>
    <t>3FttOEntryRegionaal5</t>
  </si>
  <si>
    <t>3FttOEntryRegionaal6</t>
  </si>
  <si>
    <t>3FttOEntryRegionaal8</t>
  </si>
  <si>
    <t>3FttOEntryRegionaal10</t>
  </si>
  <si>
    <t>3FttOEntryRegionaal15</t>
  </si>
  <si>
    <t>3FttOEntryRegionaal20</t>
  </si>
  <si>
    <t>3FttOEntryRegionaal30</t>
  </si>
  <si>
    <t>3FttOEntryRegionaal50</t>
  </si>
  <si>
    <t>3FttOEntryRegionaal80</t>
  </si>
  <si>
    <t>3FttOEntryRegionaal100</t>
  </si>
  <si>
    <t>3FttOEntryRegionaal200</t>
  </si>
  <si>
    <t>3FttOEntryRegionaal300</t>
  </si>
  <si>
    <t>3FttOEntryRegionaal500</t>
  </si>
  <si>
    <t>3FttOEntryRegionaal800</t>
  </si>
  <si>
    <t>3FttOEntryRegionaal1000</t>
  </si>
  <si>
    <t>3FttOEntryNationaal1</t>
  </si>
  <si>
    <t>3FttOEntryNationaal2</t>
  </si>
  <si>
    <t>3FttOEntryNationaal3</t>
  </si>
  <si>
    <t>3FttOEntryNationaal4</t>
  </si>
  <si>
    <t>3FttOEntryNationaal5</t>
  </si>
  <si>
    <t>3FttOEntryNationaal6</t>
  </si>
  <si>
    <t>3FttOEntryNationaal8</t>
  </si>
  <si>
    <t>3FttOEntryNationaal10</t>
  </si>
  <si>
    <t>3FttOEntryNationaal15</t>
  </si>
  <si>
    <t>3FttOEntryNationaal20</t>
  </si>
  <si>
    <t>3FttOEntryNationaal30</t>
  </si>
  <si>
    <t>3FttOEntryNationaal50</t>
  </si>
  <si>
    <t>3FttOEntryNationaal80</t>
  </si>
  <si>
    <t>3FttOEntryNationaal100</t>
  </si>
  <si>
    <t>3FttOEntryNationaal200</t>
  </si>
  <si>
    <t>3FttOEntryNationaal300</t>
  </si>
  <si>
    <t>3FttOEntryNationaal500</t>
  </si>
  <si>
    <t>3FttOEntryNationaal800</t>
  </si>
  <si>
    <t>3FttOEntryNationaal1000</t>
  </si>
  <si>
    <t>3FttOPremiumCity1</t>
  </si>
  <si>
    <t>3FttOPremiumCity2</t>
  </si>
  <si>
    <t>3FttOPremiumCity3</t>
  </si>
  <si>
    <t>3FttOPremiumCity4</t>
  </si>
  <si>
    <t>3FttOPremiumCity5</t>
  </si>
  <si>
    <t>3FttOPremiumCity6</t>
  </si>
  <si>
    <t>3FttOPremiumCity8</t>
  </si>
  <si>
    <t>3FttOPremiumCity10</t>
  </si>
  <si>
    <t>3FttOPremiumCity15</t>
  </si>
  <si>
    <t>3FttOPremiumCity20</t>
  </si>
  <si>
    <t>3FttOPremiumCity30</t>
  </si>
  <si>
    <t>3FttOPremiumCity50</t>
  </si>
  <si>
    <t>3FttOPremiumCity80</t>
  </si>
  <si>
    <t>3FttOPremiumCity100</t>
  </si>
  <si>
    <t>3FttOPremiumCity200</t>
  </si>
  <si>
    <t>3FttOPremiumCity300</t>
  </si>
  <si>
    <t>3FttOPremiumCity500</t>
  </si>
  <si>
    <t>3FttOPremiumCity800</t>
  </si>
  <si>
    <t>3FttOPremiumCity1000</t>
  </si>
  <si>
    <t>3FttOPremiumRegionaal1</t>
  </si>
  <si>
    <t>3FttOPremiumRegionaal2</t>
  </si>
  <si>
    <t>3FttOPremiumRegionaal3</t>
  </si>
  <si>
    <t>3FttOPremiumRegionaal4</t>
  </si>
  <si>
    <t>3FttOPremiumRegionaal5</t>
  </si>
  <si>
    <t>3FttOPremiumRegionaal6</t>
  </si>
  <si>
    <t>3FttOPremiumRegionaal8</t>
  </si>
  <si>
    <t>3FttOPremiumRegionaal10</t>
  </si>
  <si>
    <t>3FttOPremiumRegionaal15</t>
  </si>
  <si>
    <t>3FttOPremiumRegionaal20</t>
  </si>
  <si>
    <t>3FttOPremiumRegionaal30</t>
  </si>
  <si>
    <t>3FttOPremiumRegionaal50</t>
  </si>
  <si>
    <t>3FttOPremiumRegionaal80</t>
  </si>
  <si>
    <t>3FttOPremiumRegionaal100</t>
  </si>
  <si>
    <t>3FttOPremiumRegionaal200</t>
  </si>
  <si>
    <t>3FttOPremiumRegionaal300</t>
  </si>
  <si>
    <t>3FttOPremiumRegionaal500</t>
  </si>
  <si>
    <t>3FttOPremiumRegionaal800</t>
  </si>
  <si>
    <t>3FttOPremiumRegionaal1000</t>
  </si>
  <si>
    <t>3FttOPremiumNationaal1</t>
  </si>
  <si>
    <t>3FttOPremiumNationaal2</t>
  </si>
  <si>
    <t>3FttOPremiumNationaal3</t>
  </si>
  <si>
    <t>3FttOPremiumNationaal4</t>
  </si>
  <si>
    <t>3FttOPremiumNationaal5</t>
  </si>
  <si>
    <t>3FttOPremiumNationaal6</t>
  </si>
  <si>
    <t>3FttOPremiumNationaal8</t>
  </si>
  <si>
    <t>3FttOPremiumNationaal10</t>
  </si>
  <si>
    <t>3FttOPremiumNationaal15</t>
  </si>
  <si>
    <t>3FttOPremiumNationaal20</t>
  </si>
  <si>
    <t>3FttOPremiumNationaal30</t>
  </si>
  <si>
    <t>3FttOPremiumNationaal50</t>
  </si>
  <si>
    <t>3FttOPremiumNationaal80</t>
  </si>
  <si>
    <t>3FttOPremiumNationaal100</t>
  </si>
  <si>
    <t>3FttOPremiumNationaal200</t>
  </si>
  <si>
    <t>3FttOPremiumNationaal300</t>
  </si>
  <si>
    <t>3FttOPremiumNationaal500</t>
  </si>
  <si>
    <t>3FttOPremiumNationaal800</t>
  </si>
  <si>
    <t>3FttOPremiumNationaal1000</t>
  </si>
  <si>
    <t>4EVPNEntryCity1</t>
  </si>
  <si>
    <t>4EVPNEntryCity2</t>
  </si>
  <si>
    <t>4EVPNEntryCity3</t>
  </si>
  <si>
    <t>4EVPNEntryCity4</t>
  </si>
  <si>
    <t>4EVPNEntryCity5</t>
  </si>
  <si>
    <t>4EVPNEntryCity6</t>
  </si>
  <si>
    <t>4EVPNEntryCity8</t>
  </si>
  <si>
    <t>4EVPNEntryCity10</t>
  </si>
  <si>
    <t>4EVPNEntryCity15</t>
  </si>
  <si>
    <t>4EVPNEntryCity20</t>
  </si>
  <si>
    <t>4EVPNEntryCity30</t>
  </si>
  <si>
    <t>4EVPNEntryCity50</t>
  </si>
  <si>
    <t>4EVPNEntryCity80</t>
  </si>
  <si>
    <t>4EVPNEntryCity100</t>
  </si>
  <si>
    <t>4EVPNEntryCity200</t>
  </si>
  <si>
    <t>4EVPNEntryCity300</t>
  </si>
  <si>
    <t>4EVPNEntryCity500</t>
  </si>
  <si>
    <t>4EVPNEntryCity800</t>
  </si>
  <si>
    <t>4EVPNEntryCity1000</t>
  </si>
  <si>
    <t>4EVPNEntryRegionaal1</t>
  </si>
  <si>
    <t>4EVPNEntryRegionaal2</t>
  </si>
  <si>
    <t>4EVPNEntryRegionaal3</t>
  </si>
  <si>
    <t>4EVPNEntryRegionaal4</t>
  </si>
  <si>
    <t>4EVPNEntryRegionaal5</t>
  </si>
  <si>
    <t>4EVPNEntryRegionaal6</t>
  </si>
  <si>
    <t>4EVPNEntryRegionaal8</t>
  </si>
  <si>
    <t>4EVPNEntryRegionaal10</t>
  </si>
  <si>
    <t>4EVPNEntryRegionaal15</t>
  </si>
  <si>
    <t>4EVPNEntryRegionaal20</t>
  </si>
  <si>
    <t>4EVPNEntryRegionaal30</t>
  </si>
  <si>
    <t>4EVPNEntryRegionaal50</t>
  </si>
  <si>
    <t>4EVPNEntryRegionaal80</t>
  </si>
  <si>
    <t>4EVPNEntryRegionaal100</t>
  </si>
  <si>
    <t>4EVPNEntryRegionaal200</t>
  </si>
  <si>
    <t>4EVPNEntryRegionaal300</t>
  </si>
  <si>
    <t>4EVPNEntryRegionaal500</t>
  </si>
  <si>
    <t>4EVPNEntryRegionaal800</t>
  </si>
  <si>
    <t>4EVPNEntryRegionaal1000</t>
  </si>
  <si>
    <t>4EVPNEntryNationaal1</t>
  </si>
  <si>
    <t>4EVPNEntryNationaal2</t>
  </si>
  <si>
    <t>4EVPNEntryNationaal3</t>
  </si>
  <si>
    <t>4EVPNEntryNationaal4</t>
  </si>
  <si>
    <t>4EVPNEntryNationaal5</t>
  </si>
  <si>
    <t>4EVPNEntryNationaal6</t>
  </si>
  <si>
    <t>4EVPNEntryNationaal8</t>
  </si>
  <si>
    <t>4EVPNEntryNationaal10</t>
  </si>
  <si>
    <t>4EVPNEntryNationaal15</t>
  </si>
  <si>
    <t>4EVPNEntryNationaal20</t>
  </si>
  <si>
    <t>4EVPNEntryNationaal30</t>
  </si>
  <si>
    <t>4EVPNEntryNationaal50</t>
  </si>
  <si>
    <t>4EVPNEntryNationaal80</t>
  </si>
  <si>
    <t>4EVPNEntryNationaal100</t>
  </si>
  <si>
    <t>4EVPNEntryNationaal200</t>
  </si>
  <si>
    <t>4EVPNEntryNationaal300</t>
  </si>
  <si>
    <t>4EVPNEntryNationaal500</t>
  </si>
  <si>
    <t>4EVPNEntryNationaal800</t>
  </si>
  <si>
    <t>4EVPNEntryNationaal1000</t>
  </si>
  <si>
    <t>4EVPNPremiumCity1</t>
  </si>
  <si>
    <t>4EVPNPremiumCity2</t>
  </si>
  <si>
    <t>4EVPNPremiumCity3</t>
  </si>
  <si>
    <t>4EVPNPremiumCity4</t>
  </si>
  <si>
    <t>4EVPNPremiumCity5</t>
  </si>
  <si>
    <t>4EVPNPremiumCity6</t>
  </si>
  <si>
    <t>4EVPNPremiumCity8</t>
  </si>
  <si>
    <t>4EVPNPremiumCity10</t>
  </si>
  <si>
    <t>4EVPNPremiumCity15</t>
  </si>
  <si>
    <t>4EVPNPremiumCity20</t>
  </si>
  <si>
    <t>4EVPNPremiumCity30</t>
  </si>
  <si>
    <t>4EVPNPremiumCity50</t>
  </si>
  <si>
    <t>4EVPNPremiumCity80</t>
  </si>
  <si>
    <t>4EVPNPremiumCity100</t>
  </si>
  <si>
    <t>4EVPNPremiumCity200</t>
  </si>
  <si>
    <t>4EVPNPremiumCity300</t>
  </si>
  <si>
    <t>4EVPNPremiumCity500</t>
  </si>
  <si>
    <t>4EVPNPremiumCity800</t>
  </si>
  <si>
    <t>4EVPNPremiumCity1000</t>
  </si>
  <si>
    <t>4EVPNPremiumRegionaal1</t>
  </si>
  <si>
    <t>4EVPNPremiumRegionaal2</t>
  </si>
  <si>
    <t>4EVPNPremiumRegionaal3</t>
  </si>
  <si>
    <t>4EVPNPremiumRegionaal4</t>
  </si>
  <si>
    <t>4EVPNPremiumRegionaal5</t>
  </si>
  <si>
    <t>4EVPNPremiumRegionaal6</t>
  </si>
  <si>
    <t>4EVPNPremiumRegionaal8</t>
  </si>
  <si>
    <t>4EVPNPremiumRegionaal10</t>
  </si>
  <si>
    <t>4EVPNPremiumRegionaal15</t>
  </si>
  <si>
    <t>4EVPNPremiumRegionaal20</t>
  </si>
  <si>
    <t>4EVPNPremiumRegionaal30</t>
  </si>
  <si>
    <t>4EVPNPremiumRegionaal50</t>
  </si>
  <si>
    <t>4EVPNPremiumRegionaal80</t>
  </si>
  <si>
    <t>4EVPNPremiumRegionaal100</t>
  </si>
  <si>
    <t>4EVPNPremiumRegionaal200</t>
  </si>
  <si>
    <t>4EVPNPremiumRegionaal300</t>
  </si>
  <si>
    <t>4EVPNPremiumRegionaal500</t>
  </si>
  <si>
    <t>4EVPNPremiumRegionaal800</t>
  </si>
  <si>
    <t>4EVPNPremiumRegionaal1000</t>
  </si>
  <si>
    <t>4EVPNPremiumNationaal1</t>
  </si>
  <si>
    <t>4EVPNPremiumNationaal2</t>
  </si>
  <si>
    <t>4EVPNPremiumNationaal3</t>
  </si>
  <si>
    <t>4EVPNPremiumNationaal4</t>
  </si>
  <si>
    <t>4EVPNPremiumNationaal5</t>
  </si>
  <si>
    <t>4EVPNPremiumNationaal6</t>
  </si>
  <si>
    <t>4EVPNPremiumNationaal8</t>
  </si>
  <si>
    <t>4EVPNPremiumNationaal10</t>
  </si>
  <si>
    <t>4EVPNPremiumNationaal15</t>
  </si>
  <si>
    <t>4EVPNPremiumNationaal20</t>
  </si>
  <si>
    <t>4EVPNPremiumNationaal30</t>
  </si>
  <si>
    <t>4EVPNPremiumNationaal50</t>
  </si>
  <si>
    <t>4EVPNPremiumNationaal80</t>
  </si>
  <si>
    <t>4EVPNPremiumNationaal100</t>
  </si>
  <si>
    <t>4EVPNPremiumNationaal200</t>
  </si>
  <si>
    <t>4EVPNPremiumNationaal300</t>
  </si>
  <si>
    <t>4EVPNPremiumNationaal500</t>
  </si>
  <si>
    <t>4EVPNPremiumNationaal800</t>
  </si>
  <si>
    <t>4EVPNPremiumNationaal1000</t>
  </si>
  <si>
    <t>4EoKEntryCity1</t>
  </si>
  <si>
    <t>4EoKEntryCity2</t>
  </si>
  <si>
    <t>4EoKEntryCity3</t>
  </si>
  <si>
    <t>4EoKEntryCity4</t>
  </si>
  <si>
    <t>4EoKEntryCity5</t>
  </si>
  <si>
    <t>4EoKEntryCity6</t>
  </si>
  <si>
    <t>4EoKEntryCity8</t>
  </si>
  <si>
    <t>4EoKEntryCity10</t>
  </si>
  <si>
    <t>4EoKEntryCity15</t>
  </si>
  <si>
    <t>4EoKEntryCity20</t>
  </si>
  <si>
    <t>4EoKEntryCity30</t>
  </si>
  <si>
    <t>4EoKEntryCity50</t>
  </si>
  <si>
    <t>4EoKEntryCity80</t>
  </si>
  <si>
    <t>4EoKEntryCity100</t>
  </si>
  <si>
    <t>4EoKEntryCity200</t>
  </si>
  <si>
    <t>4EoKEntryCity300</t>
  </si>
  <si>
    <t>4EoKEntryCity500</t>
  </si>
  <si>
    <t>4EoKEntryCity800</t>
  </si>
  <si>
    <t>4EoKEntryCity1000</t>
  </si>
  <si>
    <t>4EoKEntryRegionaal1</t>
  </si>
  <si>
    <t>4EoKEntryRegionaal2</t>
  </si>
  <si>
    <t>4EoKEntryRegionaal3</t>
  </si>
  <si>
    <t>4EoKEntryRegionaal4</t>
  </si>
  <si>
    <t>4EoKEntryRegionaal5</t>
  </si>
  <si>
    <t>4EoKEntryRegionaal6</t>
  </si>
  <si>
    <t>4EoKEntryRegionaal8</t>
  </si>
  <si>
    <t>4EoKEntryRegionaal10</t>
  </si>
  <si>
    <t>4EoKEntryRegionaal15</t>
  </si>
  <si>
    <t>4EoKEntryRegionaal20</t>
  </si>
  <si>
    <t>4EoKEntryRegionaal30</t>
  </si>
  <si>
    <t>4EoKEntryRegionaal50</t>
  </si>
  <si>
    <t>4EoKEntryRegionaal80</t>
  </si>
  <si>
    <t>4EoKEntryRegionaal100</t>
  </si>
  <si>
    <t>4EoKEntryRegionaal200</t>
  </si>
  <si>
    <t>4EoKEntryRegionaal300</t>
  </si>
  <si>
    <t>4EoKEntryRegionaal500</t>
  </si>
  <si>
    <t>4EoKEntryRegionaal800</t>
  </si>
  <si>
    <t>4EoKEntryRegionaal1000</t>
  </si>
  <si>
    <t>4EoKEntryNationaal1</t>
  </si>
  <si>
    <t>4EoKEntryNationaal2</t>
  </si>
  <si>
    <t>4EoKEntryNationaal3</t>
  </si>
  <si>
    <t>4EoKEntryNationaal4</t>
  </si>
  <si>
    <t>4EoKEntryNationaal5</t>
  </si>
  <si>
    <t>4EoKEntryNationaal6</t>
  </si>
  <si>
    <t>4EoKEntryNationaal8</t>
  </si>
  <si>
    <t>4EoKEntryNationaal10</t>
  </si>
  <si>
    <t>4EoKEntryNationaal15</t>
  </si>
  <si>
    <t>4EoKEntryNationaal20</t>
  </si>
  <si>
    <t>4EoKEntryNationaal30</t>
  </si>
  <si>
    <t>4EoKEntryNationaal50</t>
  </si>
  <si>
    <t>4EoKEntryNationaal80</t>
  </si>
  <si>
    <t>4EoKEntryNationaal100</t>
  </si>
  <si>
    <t>4EoKEntryNationaal200</t>
  </si>
  <si>
    <t>4EoKEntryNationaal300</t>
  </si>
  <si>
    <t>4EoKEntryNationaal500</t>
  </si>
  <si>
    <t>4EoKEntryNationaal800</t>
  </si>
  <si>
    <t>4EoKEntryNationaal1000</t>
  </si>
  <si>
    <t>4EoKPremiumCity1</t>
  </si>
  <si>
    <t>4EoKPremiumCity2</t>
  </si>
  <si>
    <t>4EoKPremiumCity3</t>
  </si>
  <si>
    <t>4EoKPremiumCity4</t>
  </si>
  <si>
    <t>4EoKPremiumCity5</t>
  </si>
  <si>
    <t>4EoKPremiumCity6</t>
  </si>
  <si>
    <t>4EoKPremiumCity8</t>
  </si>
  <si>
    <t>4EoKPremiumCity10</t>
  </si>
  <si>
    <t>4EoKPremiumCity15</t>
  </si>
  <si>
    <t>4EoKPremiumCity20</t>
  </si>
  <si>
    <t>4EoKPremiumCity30</t>
  </si>
  <si>
    <t>4EoKPremiumCity50</t>
  </si>
  <si>
    <t>4EoKPremiumCity80</t>
  </si>
  <si>
    <t>4EoKPremiumCity100</t>
  </si>
  <si>
    <t>4EoKPremiumCity200</t>
  </si>
  <si>
    <t>4EoKPremiumCity300</t>
  </si>
  <si>
    <t>4EoKPremiumCity500</t>
  </si>
  <si>
    <t>4EoKPremiumCity800</t>
  </si>
  <si>
    <t>4EoKPremiumCity1000</t>
  </si>
  <si>
    <t>4EoKPremiumRegionaal1</t>
  </si>
  <si>
    <t>4EoKPremiumRegionaal2</t>
  </si>
  <si>
    <t>4EoKPremiumRegionaal3</t>
  </si>
  <si>
    <t>4EoKPremiumRegionaal4</t>
  </si>
  <si>
    <t>4EoKPremiumRegionaal5</t>
  </si>
  <si>
    <t>4EoKPremiumRegionaal6</t>
  </si>
  <si>
    <t>4EoKPremiumRegionaal8</t>
  </si>
  <si>
    <t>4EoKPremiumRegionaal10</t>
  </si>
  <si>
    <t>4EoKPremiumRegionaal15</t>
  </si>
  <si>
    <t>4EoKPremiumRegionaal20</t>
  </si>
  <si>
    <t>4EoKPremiumRegionaal30</t>
  </si>
  <si>
    <t>4EoKPremiumRegionaal50</t>
  </si>
  <si>
    <t>4EoKPremiumRegionaal80</t>
  </si>
  <si>
    <t>4EoKPremiumRegionaal100</t>
  </si>
  <si>
    <t>4EoKPremiumRegionaal200</t>
  </si>
  <si>
    <t>4EoKPremiumRegionaal300</t>
  </si>
  <si>
    <t>4EoKPremiumRegionaal500</t>
  </si>
  <si>
    <t>4EoKPremiumRegionaal800</t>
  </si>
  <si>
    <t>4EoKPremiumRegionaal1000</t>
  </si>
  <si>
    <t>4EoKPremiumNationaal1</t>
  </si>
  <si>
    <t>4EoKPremiumNationaal2</t>
  </si>
  <si>
    <t>4EoKPremiumNationaal3</t>
  </si>
  <si>
    <t>4EoKPremiumNationaal4</t>
  </si>
  <si>
    <t>4EoKPremiumNationaal5</t>
  </si>
  <si>
    <t>4EoKPremiumNationaal6</t>
  </si>
  <si>
    <t>4EoKPremiumNationaal8</t>
  </si>
  <si>
    <t>4EoKPremiumNationaal10</t>
  </si>
  <si>
    <t>4EoKPremiumNationaal15</t>
  </si>
  <si>
    <t>4EoKPremiumNationaal20</t>
  </si>
  <si>
    <t>4EoKPremiumNationaal30</t>
  </si>
  <si>
    <t>4EoKPremiumNationaal50</t>
  </si>
  <si>
    <t>4EoKPremiumNationaal80</t>
  </si>
  <si>
    <t>4EoKPremiumNationaal100</t>
  </si>
  <si>
    <t>4EoKPremiumNationaal200</t>
  </si>
  <si>
    <t>4EoKPremiumNationaal300</t>
  </si>
  <si>
    <t>4EoKPremiumNationaal500</t>
  </si>
  <si>
    <t>4EoKPremiumNationaal800</t>
  </si>
  <si>
    <t>4EoKPremiumNationaal1000</t>
  </si>
  <si>
    <t>4FttOEntryCity1</t>
  </si>
  <si>
    <t>4FttOEntryCity2</t>
  </si>
  <si>
    <t>4FttOEntryCity3</t>
  </si>
  <si>
    <t>4FttOEntryCity4</t>
  </si>
  <si>
    <t>4FttOEntryCity5</t>
  </si>
  <si>
    <t>4FttOEntryCity6</t>
  </si>
  <si>
    <t>4FttOEntryCity8</t>
  </si>
  <si>
    <t>4FttOEntryCity10</t>
  </si>
  <si>
    <t>4FttOEntryCity15</t>
  </si>
  <si>
    <t>4FttOEntryCity20</t>
  </si>
  <si>
    <t>4FttOEntryCity30</t>
  </si>
  <si>
    <t>4FttOEntryCity50</t>
  </si>
  <si>
    <t>4FttOEntryCity80</t>
  </si>
  <si>
    <t>4FttOEntryCity100</t>
  </si>
  <si>
    <t>4FttOEntryCity200</t>
  </si>
  <si>
    <t>4FttOEntryCity300</t>
  </si>
  <si>
    <t>4FttOEntryCity500</t>
  </si>
  <si>
    <t>4FttOEntryCity800</t>
  </si>
  <si>
    <t>4FttOEntryCity1000</t>
  </si>
  <si>
    <t>4FttOEntryRegionaal1</t>
  </si>
  <si>
    <t>4FttOEntryRegionaal2</t>
  </si>
  <si>
    <t>4FttOEntryRegionaal3</t>
  </si>
  <si>
    <t>4FttOEntryRegionaal4</t>
  </si>
  <si>
    <t>4FttOEntryRegionaal5</t>
  </si>
  <si>
    <t>4FttOEntryRegionaal6</t>
  </si>
  <si>
    <t>4FttOEntryRegionaal8</t>
  </si>
  <si>
    <t>4FttOEntryRegionaal10</t>
  </si>
  <si>
    <t>4FttOEntryRegionaal15</t>
  </si>
  <si>
    <t>4FttOEntryRegionaal20</t>
  </si>
  <si>
    <t>4FttOEntryRegionaal30</t>
  </si>
  <si>
    <t>4FttOEntryRegionaal50</t>
  </si>
  <si>
    <t>4FttOEntryRegionaal80</t>
  </si>
  <si>
    <t>4FttOEntryRegionaal100</t>
  </si>
  <si>
    <t>4FttOEntryRegionaal200</t>
  </si>
  <si>
    <t>4FttOEntryRegionaal300</t>
  </si>
  <si>
    <t>4FttOEntryRegionaal500</t>
  </si>
  <si>
    <t>4FttOEntryRegionaal800</t>
  </si>
  <si>
    <t>4FttOEntryRegionaal1000</t>
  </si>
  <si>
    <t>4FttOEntryNationaal1</t>
  </si>
  <si>
    <t>4FttOEntryNationaal2</t>
  </si>
  <si>
    <t>4FttOEntryNationaal3</t>
  </si>
  <si>
    <t>4FttOEntryNationaal4</t>
  </si>
  <si>
    <t>4FttOEntryNationaal5</t>
  </si>
  <si>
    <t>4FttOEntryNationaal6</t>
  </si>
  <si>
    <t>4FttOEntryNationaal8</t>
  </si>
  <si>
    <t>4FttOEntryNationaal10</t>
  </si>
  <si>
    <t>4FttOEntryNationaal15</t>
  </si>
  <si>
    <t>4FttOEntryNationaal20</t>
  </si>
  <si>
    <t>4FttOEntryNationaal30</t>
  </si>
  <si>
    <t>4FttOEntryNationaal50</t>
  </si>
  <si>
    <t>4FttOEntryNationaal80</t>
  </si>
  <si>
    <t>4FttOEntryNationaal100</t>
  </si>
  <si>
    <t>4FttOEntryNationaal200</t>
  </si>
  <si>
    <t>4FttOEntryNationaal300</t>
  </si>
  <si>
    <t>4FttOEntryNationaal500</t>
  </si>
  <si>
    <t>4FttOEntryNationaal800</t>
  </si>
  <si>
    <t>4FttOEntryNationaal1000</t>
  </si>
  <si>
    <t>4FttOPremiumCity1</t>
  </si>
  <si>
    <t>4FttOPremiumCity2</t>
  </si>
  <si>
    <t>4FttOPremiumCity3</t>
  </si>
  <si>
    <t>4FttOPremiumCity4</t>
  </si>
  <si>
    <t>4FttOPremiumCity5</t>
  </si>
  <si>
    <t>4FttOPremiumCity6</t>
  </si>
  <si>
    <t>4FttOPremiumCity8</t>
  </si>
  <si>
    <t>4FttOPremiumCity10</t>
  </si>
  <si>
    <t>4FttOPremiumCity15</t>
  </si>
  <si>
    <t>4FttOPremiumCity20</t>
  </si>
  <si>
    <t>4FttOPremiumCity30</t>
  </si>
  <si>
    <t>4FttOPremiumCity50</t>
  </si>
  <si>
    <t>4FttOPremiumCity80</t>
  </si>
  <si>
    <t>4FttOPremiumCity100</t>
  </si>
  <si>
    <t>4FttOPremiumCity200</t>
  </si>
  <si>
    <t>4FttOPremiumCity300</t>
  </si>
  <si>
    <t>4FttOPremiumCity500</t>
  </si>
  <si>
    <t>4FttOPremiumCity800</t>
  </si>
  <si>
    <t>4FttOPremiumCity1000</t>
  </si>
  <si>
    <t>4FttOPremiumRegionaal1</t>
  </si>
  <si>
    <t>4FttOPremiumRegionaal2</t>
  </si>
  <si>
    <t>4FttOPremiumRegionaal3</t>
  </si>
  <si>
    <t>4FttOPremiumRegionaal4</t>
  </si>
  <si>
    <t>4FttOPremiumRegionaal5</t>
  </si>
  <si>
    <t>4FttOPremiumRegionaal6</t>
  </si>
  <si>
    <t>4FttOPremiumRegionaal8</t>
  </si>
  <si>
    <t>4FttOPremiumRegionaal10</t>
  </si>
  <si>
    <t>4FttOPremiumRegionaal15</t>
  </si>
  <si>
    <t>4FttOPremiumRegionaal20</t>
  </si>
  <si>
    <t>4FttOPremiumRegionaal30</t>
  </si>
  <si>
    <t>4FttOPremiumRegionaal50</t>
  </si>
  <si>
    <t>4FttOPremiumRegionaal80</t>
  </si>
  <si>
    <t>4FttOPremiumRegionaal100</t>
  </si>
  <si>
    <t>4FttOPremiumRegionaal200</t>
  </si>
  <si>
    <t>4FttOPremiumRegionaal300</t>
  </si>
  <si>
    <t>4FttOPremiumRegionaal500</t>
  </si>
  <si>
    <t>4FttOPremiumRegionaal800</t>
  </si>
  <si>
    <t>4FttOPremiumRegionaal1000</t>
  </si>
  <si>
    <t>4FttOPremiumNationaal1</t>
  </si>
  <si>
    <t>4FttOPremiumNationaal2</t>
  </si>
  <si>
    <t>4FttOPremiumNationaal3</t>
  </si>
  <si>
    <t>4FttOPremiumNationaal4</t>
  </si>
  <si>
    <t>4FttOPremiumNationaal5</t>
  </si>
  <si>
    <t>4FttOPremiumNationaal6</t>
  </si>
  <si>
    <t>4FttOPremiumNationaal8</t>
  </si>
  <si>
    <t>4FttOPremiumNationaal10</t>
  </si>
  <si>
    <t>4FttOPremiumNationaal15</t>
  </si>
  <si>
    <t>4FttOPremiumNationaal20</t>
  </si>
  <si>
    <t>4FttOPremiumNationaal30</t>
  </si>
  <si>
    <t>4FttOPremiumNationaal50</t>
  </si>
  <si>
    <t>4FttOPremiumNationaal80</t>
  </si>
  <si>
    <t>4FttOPremiumNationaal100</t>
  </si>
  <si>
    <t>4FttOPremiumNationaal200</t>
  </si>
  <si>
    <t>4FttOPremiumNationaal300</t>
  </si>
  <si>
    <t>4FttOPremiumNationaal500</t>
  </si>
  <si>
    <t>4FttOPremiumNationaal800</t>
  </si>
  <si>
    <t>4FttOPremiumNationaal1000</t>
  </si>
  <si>
    <t>5EVPNEntryCity1</t>
  </si>
  <si>
    <t>5EVPNEntryCity2</t>
  </si>
  <si>
    <t>5EVPNEntryCity3</t>
  </si>
  <si>
    <t>5EVPNEntryCity4</t>
  </si>
  <si>
    <t>5EVPNEntryCity5</t>
  </si>
  <si>
    <t>5EVPNEntryCity6</t>
  </si>
  <si>
    <t>5EVPNEntryCity8</t>
  </si>
  <si>
    <t>5EVPNEntryCity10</t>
  </si>
  <si>
    <t>5EVPNEntryCity15</t>
  </si>
  <si>
    <t>5EVPNEntryCity20</t>
  </si>
  <si>
    <t>5EVPNEntryCity30</t>
  </si>
  <si>
    <t>5EVPNEntryCity50</t>
  </si>
  <si>
    <t>5EVPNEntryCity80</t>
  </si>
  <si>
    <t>5EVPNEntryCity100</t>
  </si>
  <si>
    <t>5EVPNEntryCity200</t>
  </si>
  <si>
    <t>5EVPNEntryCity300</t>
  </si>
  <si>
    <t>5EVPNEntryCity500</t>
  </si>
  <si>
    <t>5EVPNEntryCity800</t>
  </si>
  <si>
    <t>5EVPNEntryCity1000</t>
  </si>
  <si>
    <t>5EVPNEntryRegionaal1</t>
  </si>
  <si>
    <t>5EVPNEntryRegionaal2</t>
  </si>
  <si>
    <t>5EVPNEntryRegionaal3</t>
  </si>
  <si>
    <t>5EVPNEntryRegionaal4</t>
  </si>
  <si>
    <t>5EVPNEntryRegionaal5</t>
  </si>
  <si>
    <t>5EVPNEntryRegionaal6</t>
  </si>
  <si>
    <t>5EVPNEntryRegionaal8</t>
  </si>
  <si>
    <t>5EVPNEntryRegionaal10</t>
  </si>
  <si>
    <t>5EVPNEntryRegionaal15</t>
  </si>
  <si>
    <t>5EVPNEntryRegionaal20</t>
  </si>
  <si>
    <t>5EVPNEntryRegionaal30</t>
  </si>
  <si>
    <t>5EVPNEntryRegionaal50</t>
  </si>
  <si>
    <t>5EVPNEntryRegionaal80</t>
  </si>
  <si>
    <t>5EVPNEntryRegionaal100</t>
  </si>
  <si>
    <t>5EVPNEntryRegionaal200</t>
  </si>
  <si>
    <t>5EVPNEntryRegionaal300</t>
  </si>
  <si>
    <t>5EVPNEntryRegionaal500</t>
  </si>
  <si>
    <t>5EVPNEntryRegionaal800</t>
  </si>
  <si>
    <t>5EVPNEntryRegionaal1000</t>
  </si>
  <si>
    <t>5EVPNEntryNationaal1</t>
  </si>
  <si>
    <t>5EVPNEntryNationaal2</t>
  </si>
  <si>
    <t>5EVPNEntryNationaal3</t>
  </si>
  <si>
    <t>5EVPNEntryNationaal4</t>
  </si>
  <si>
    <t>5EVPNEntryNationaal5</t>
  </si>
  <si>
    <t>5EVPNEntryNationaal6</t>
  </si>
  <si>
    <t>5EVPNEntryNationaal8</t>
  </si>
  <si>
    <t>5EVPNEntryNationaal10</t>
  </si>
  <si>
    <t>5EVPNEntryNationaal15</t>
  </si>
  <si>
    <t>5EVPNEntryNationaal20</t>
  </si>
  <si>
    <t>5EVPNEntryNationaal30</t>
  </si>
  <si>
    <t>5EVPNEntryNationaal50</t>
  </si>
  <si>
    <t>5EVPNEntryNationaal80</t>
  </si>
  <si>
    <t>5EVPNEntryNationaal100</t>
  </si>
  <si>
    <t>5EVPNEntryNationaal200</t>
  </si>
  <si>
    <t>5EVPNEntryNationaal300</t>
  </si>
  <si>
    <t>5EVPNEntryNationaal500</t>
  </si>
  <si>
    <t>5EVPNEntryNationaal800</t>
  </si>
  <si>
    <t>5EVPNEntryNationaal1000</t>
  </si>
  <si>
    <t>5EVPNPremiumCity1</t>
  </si>
  <si>
    <t>5EVPNPremiumCity2</t>
  </si>
  <si>
    <t>5EVPNPremiumCity3</t>
  </si>
  <si>
    <t>5EVPNPremiumCity4</t>
  </si>
  <si>
    <t>5EVPNPremiumCity5</t>
  </si>
  <si>
    <t>5EVPNPremiumCity6</t>
  </si>
  <si>
    <t>5EVPNPremiumCity8</t>
  </si>
  <si>
    <t>5EVPNPremiumCity10</t>
  </si>
  <si>
    <t>5EVPNPremiumCity15</t>
  </si>
  <si>
    <t>5EVPNPremiumCity20</t>
  </si>
  <si>
    <t>5EVPNPremiumCity30</t>
  </si>
  <si>
    <t>5EVPNPremiumCity50</t>
  </si>
  <si>
    <t>5EVPNPremiumCity80</t>
  </si>
  <si>
    <t>5EVPNPremiumCity100</t>
  </si>
  <si>
    <t>5EVPNPremiumCity200</t>
  </si>
  <si>
    <t>5EVPNPremiumCity300</t>
  </si>
  <si>
    <t>5EVPNPremiumCity500</t>
  </si>
  <si>
    <t>5EVPNPremiumCity800</t>
  </si>
  <si>
    <t>5EVPNPremiumCity1000</t>
  </si>
  <si>
    <t>5EVPNPremiumRegionaal1</t>
  </si>
  <si>
    <t>5EVPNPremiumRegionaal2</t>
  </si>
  <si>
    <t>5EVPNPremiumRegionaal3</t>
  </si>
  <si>
    <t>5EVPNPremiumRegionaal4</t>
  </si>
  <si>
    <t>5EVPNPremiumRegionaal5</t>
  </si>
  <si>
    <t>5EVPNPremiumRegionaal6</t>
  </si>
  <si>
    <t>5EVPNPremiumRegionaal8</t>
  </si>
  <si>
    <t>5EVPNPremiumRegionaal10</t>
  </si>
  <si>
    <t>5EVPNPremiumRegionaal15</t>
  </si>
  <si>
    <t>5EVPNPremiumRegionaal20</t>
  </si>
  <si>
    <t>5EVPNPremiumRegionaal30</t>
  </si>
  <si>
    <t>5EVPNPremiumRegionaal50</t>
  </si>
  <si>
    <t>5EVPNPremiumRegionaal80</t>
  </si>
  <si>
    <t>5EVPNPremiumRegionaal100</t>
  </si>
  <si>
    <t>5EVPNPremiumRegionaal200</t>
  </si>
  <si>
    <t>5EVPNPremiumRegionaal300</t>
  </si>
  <si>
    <t>5EVPNPremiumRegionaal500</t>
  </si>
  <si>
    <t>5EVPNPremiumRegionaal800</t>
  </si>
  <si>
    <t>5EVPNPremiumRegionaal1000</t>
  </si>
  <si>
    <t>5EVPNPremiumNationaal1</t>
  </si>
  <si>
    <t>5EVPNPremiumNationaal2</t>
  </si>
  <si>
    <t>5EVPNPremiumNationaal3</t>
  </si>
  <si>
    <t>5EVPNPremiumNationaal4</t>
  </si>
  <si>
    <t>5EVPNPremiumNationaal5</t>
  </si>
  <si>
    <t>5EVPNPremiumNationaal6</t>
  </si>
  <si>
    <t>5EVPNPremiumNationaal8</t>
  </si>
  <si>
    <t>5EVPNPremiumNationaal10</t>
  </si>
  <si>
    <t>5EVPNPremiumNationaal15</t>
  </si>
  <si>
    <t>5EVPNPremiumNationaal20</t>
  </si>
  <si>
    <t>5EVPNPremiumNationaal30</t>
  </si>
  <si>
    <t>5EVPNPremiumNationaal50</t>
  </si>
  <si>
    <t>5EVPNPremiumNationaal80</t>
  </si>
  <si>
    <t>5EVPNPremiumNationaal100</t>
  </si>
  <si>
    <t>5EVPNPremiumNationaal200</t>
  </si>
  <si>
    <t>5EVPNPremiumNationaal300</t>
  </si>
  <si>
    <t>5EVPNPremiumNationaal500</t>
  </si>
  <si>
    <t>5EVPNPremiumNationaal800</t>
  </si>
  <si>
    <t>5EVPNPremiumNationaal1000</t>
  </si>
  <si>
    <t>5EoKEntryCity1</t>
  </si>
  <si>
    <t>5EoKEntryCity2</t>
  </si>
  <si>
    <t>5EoKEntryCity3</t>
  </si>
  <si>
    <t>5EoKEntryCity4</t>
  </si>
  <si>
    <t>5EoKEntryCity5</t>
  </si>
  <si>
    <t>5EoKEntryCity6</t>
  </si>
  <si>
    <t>5EoKEntryCity8</t>
  </si>
  <si>
    <t>5EoKEntryCity10</t>
  </si>
  <si>
    <t>5EoKEntryCity15</t>
  </si>
  <si>
    <t>5EoKEntryCity20</t>
  </si>
  <si>
    <t>5EoKEntryCity30</t>
  </si>
  <si>
    <t>5EoKEntryCity50</t>
  </si>
  <si>
    <t>5EoKEntryCity80</t>
  </si>
  <si>
    <t>5EoKEntryCity100</t>
  </si>
  <si>
    <t>5EoKEntryCity200</t>
  </si>
  <si>
    <t>5EoKEntryCity300</t>
  </si>
  <si>
    <t>5EoKEntryCity500</t>
  </si>
  <si>
    <t>5EoKEntryCity800</t>
  </si>
  <si>
    <t>5EoKEntryCity1000</t>
  </si>
  <si>
    <t>5EoKEntryRegionaal1</t>
  </si>
  <si>
    <t>5EoKEntryRegionaal2</t>
  </si>
  <si>
    <t>5EoKEntryRegionaal3</t>
  </si>
  <si>
    <t>5EoKEntryRegionaal4</t>
  </si>
  <si>
    <t>5EoKEntryRegionaal5</t>
  </si>
  <si>
    <t>5EoKEntryRegionaal6</t>
  </si>
  <si>
    <t>5EoKEntryRegionaal8</t>
  </si>
  <si>
    <t>5EoKEntryRegionaal10</t>
  </si>
  <si>
    <t>5EoKEntryRegionaal15</t>
  </si>
  <si>
    <t>5EoKEntryRegionaal20</t>
  </si>
  <si>
    <t>5EoKEntryRegionaal30</t>
  </si>
  <si>
    <t>5EoKEntryRegionaal50</t>
  </si>
  <si>
    <t>5EoKEntryRegionaal80</t>
  </si>
  <si>
    <t>5EoKEntryRegionaal100</t>
  </si>
  <si>
    <t>5EoKEntryRegionaal200</t>
  </si>
  <si>
    <t>5EoKEntryRegionaal300</t>
  </si>
  <si>
    <t>5EoKEntryRegionaal500</t>
  </si>
  <si>
    <t>5EoKEntryRegionaal800</t>
  </si>
  <si>
    <t>5EoKEntryRegionaal1000</t>
  </si>
  <si>
    <t>5EoKEntryNationaal1</t>
  </si>
  <si>
    <t>5EoKEntryNationaal2</t>
  </si>
  <si>
    <t>5EoKEntryNationaal3</t>
  </si>
  <si>
    <t>5EoKEntryNationaal4</t>
  </si>
  <si>
    <t>5EoKEntryNationaal5</t>
  </si>
  <si>
    <t>5EoKEntryNationaal6</t>
  </si>
  <si>
    <t>5EoKEntryNationaal8</t>
  </si>
  <si>
    <t>5EoKEntryNationaal10</t>
  </si>
  <si>
    <t>5EoKEntryNationaal15</t>
  </si>
  <si>
    <t>5EoKEntryNationaal20</t>
  </si>
  <si>
    <t>5EoKEntryNationaal30</t>
  </si>
  <si>
    <t>5EoKEntryNationaal50</t>
  </si>
  <si>
    <t>5EoKEntryNationaal80</t>
  </si>
  <si>
    <t>5EoKEntryNationaal100</t>
  </si>
  <si>
    <t>5EoKEntryNationaal200</t>
  </si>
  <si>
    <t>5EoKEntryNationaal300</t>
  </si>
  <si>
    <t>5EoKEntryNationaal500</t>
  </si>
  <si>
    <t>5EoKEntryNationaal800</t>
  </si>
  <si>
    <t>5EoKEntryNationaal1000</t>
  </si>
  <si>
    <t>5EoKPremiumCity1</t>
  </si>
  <si>
    <t>5EoKPremiumCity2</t>
  </si>
  <si>
    <t>5EoKPremiumCity3</t>
  </si>
  <si>
    <t>5EoKPremiumCity4</t>
  </si>
  <si>
    <t>5EoKPremiumCity5</t>
  </si>
  <si>
    <t>5EoKPremiumCity6</t>
  </si>
  <si>
    <t>5EoKPremiumCity8</t>
  </si>
  <si>
    <t>5EoKPremiumCity10</t>
  </si>
  <si>
    <t>5EoKPremiumCity15</t>
  </si>
  <si>
    <t>5EoKPremiumCity20</t>
  </si>
  <si>
    <t>5EoKPremiumCity30</t>
  </si>
  <si>
    <t>5EoKPremiumCity50</t>
  </si>
  <si>
    <t>5EoKPremiumCity80</t>
  </si>
  <si>
    <t>5EoKPremiumCity100</t>
  </si>
  <si>
    <t>5EoKPremiumCity200</t>
  </si>
  <si>
    <t>5EoKPremiumCity300</t>
  </si>
  <si>
    <t>5EoKPremiumCity500</t>
  </si>
  <si>
    <t>5EoKPremiumCity800</t>
  </si>
  <si>
    <t>5EoKPremiumCity1000</t>
  </si>
  <si>
    <t>5EoKPremiumRegionaal1</t>
  </si>
  <si>
    <t>5EoKPremiumRegionaal2</t>
  </si>
  <si>
    <t>5EoKPremiumRegionaal3</t>
  </si>
  <si>
    <t>5EoKPremiumRegionaal4</t>
  </si>
  <si>
    <t>5EoKPremiumRegionaal5</t>
  </si>
  <si>
    <t>5EoKPremiumRegionaal6</t>
  </si>
  <si>
    <t>5EoKPremiumRegionaal8</t>
  </si>
  <si>
    <t>5EoKPremiumRegionaal10</t>
  </si>
  <si>
    <t>5EoKPremiumRegionaal15</t>
  </si>
  <si>
    <t>5EoKPremiumRegionaal20</t>
  </si>
  <si>
    <t>5EoKPremiumRegionaal30</t>
  </si>
  <si>
    <t>5EoKPremiumRegionaal50</t>
  </si>
  <si>
    <t>5EoKPremiumRegionaal80</t>
  </si>
  <si>
    <t>5EoKPremiumRegionaal100</t>
  </si>
  <si>
    <t>5EoKPremiumRegionaal200</t>
  </si>
  <si>
    <t>5EoKPremiumRegionaal300</t>
  </si>
  <si>
    <t>5EoKPremiumRegionaal500</t>
  </si>
  <si>
    <t>5EoKPremiumRegionaal800</t>
  </si>
  <si>
    <t>5EoKPremiumRegionaal1000</t>
  </si>
  <si>
    <t>5EoKPremiumNationaal1</t>
  </si>
  <si>
    <t>5EoKPremiumNationaal2</t>
  </si>
  <si>
    <t>5EoKPremiumNationaal3</t>
  </si>
  <si>
    <t>5EoKPremiumNationaal4</t>
  </si>
  <si>
    <t>5EoKPremiumNationaal5</t>
  </si>
  <si>
    <t>5EoKPremiumNationaal6</t>
  </si>
  <si>
    <t>5EoKPremiumNationaal8</t>
  </si>
  <si>
    <t>5EoKPremiumNationaal10</t>
  </si>
  <si>
    <t>5EoKPremiumNationaal15</t>
  </si>
  <si>
    <t>5EoKPremiumNationaal20</t>
  </si>
  <si>
    <t>5EoKPremiumNationaal30</t>
  </si>
  <si>
    <t>5EoKPremiumNationaal50</t>
  </si>
  <si>
    <t>5EoKPremiumNationaal80</t>
  </si>
  <si>
    <t>5EoKPremiumNationaal100</t>
  </si>
  <si>
    <t>5EoKPremiumNationaal200</t>
  </si>
  <si>
    <t>5EoKPremiumNationaal300</t>
  </si>
  <si>
    <t>5EoKPremiumNationaal500</t>
  </si>
  <si>
    <t>5EoKPremiumNationaal800</t>
  </si>
  <si>
    <t>5EoKPremiumNationaal1000</t>
  </si>
  <si>
    <t>5FttOEntryCity1</t>
  </si>
  <si>
    <t>5FttOEntryCity2</t>
  </si>
  <si>
    <t>5FttOEntryCity3</t>
  </si>
  <si>
    <t>5FttOEntryCity4</t>
  </si>
  <si>
    <t>5FttOEntryCity5</t>
  </si>
  <si>
    <t>5FttOEntryCity6</t>
  </si>
  <si>
    <t>5FttOEntryCity8</t>
  </si>
  <si>
    <t>5FttOEntryCity10</t>
  </si>
  <si>
    <t>5FttOEntryCity15</t>
  </si>
  <si>
    <t>5FttOEntryCity20</t>
  </si>
  <si>
    <t>5FttOEntryCity30</t>
  </si>
  <si>
    <t>5FttOEntryCity50</t>
  </si>
  <si>
    <t>5FttOEntryCity80</t>
  </si>
  <si>
    <t>5FttOEntryCity100</t>
  </si>
  <si>
    <t>5FttOEntryCity200</t>
  </si>
  <si>
    <t>5FttOEntryCity300</t>
  </si>
  <si>
    <t>5FttOEntryCity500</t>
  </si>
  <si>
    <t>5FttOEntryCity800</t>
  </si>
  <si>
    <t>5FttOEntryCity1000</t>
  </si>
  <si>
    <t>5FttOEntryRegionaal1</t>
  </si>
  <si>
    <t>5FttOEntryRegionaal2</t>
  </si>
  <si>
    <t>5FttOEntryRegionaal3</t>
  </si>
  <si>
    <t>5FttOEntryRegionaal4</t>
  </si>
  <si>
    <t>5FttOEntryRegionaal5</t>
  </si>
  <si>
    <t>5FttOEntryRegionaal6</t>
  </si>
  <si>
    <t>5FttOEntryRegionaal8</t>
  </si>
  <si>
    <t>5FttOEntryRegionaal10</t>
  </si>
  <si>
    <t>5FttOEntryRegionaal15</t>
  </si>
  <si>
    <t>5FttOEntryRegionaal20</t>
  </si>
  <si>
    <t>5FttOEntryRegionaal30</t>
  </si>
  <si>
    <t>5FttOEntryRegionaal50</t>
  </si>
  <si>
    <t>5FttOEntryRegionaal80</t>
  </si>
  <si>
    <t>5FttOEntryRegionaal100</t>
  </si>
  <si>
    <t>5FttOEntryRegionaal200</t>
  </si>
  <si>
    <t>5FttOEntryRegionaal300</t>
  </si>
  <si>
    <t>5FttOEntryRegionaal500</t>
  </si>
  <si>
    <t>5FttOEntryRegionaal800</t>
  </si>
  <si>
    <t>5FttOEntryRegionaal1000</t>
  </si>
  <si>
    <t>5FttOEntryNationaal1</t>
  </si>
  <si>
    <t>5FttOEntryNationaal2</t>
  </si>
  <si>
    <t>5FttOEntryNationaal3</t>
  </si>
  <si>
    <t>5FttOEntryNationaal4</t>
  </si>
  <si>
    <t>5FttOEntryNationaal5</t>
  </si>
  <si>
    <t>5FttOEntryNationaal6</t>
  </si>
  <si>
    <t>5FttOEntryNationaal8</t>
  </si>
  <si>
    <t>5FttOEntryNationaal10</t>
  </si>
  <si>
    <t>5FttOEntryNationaal15</t>
  </si>
  <si>
    <t>5FttOEntryNationaal20</t>
  </si>
  <si>
    <t>5FttOEntryNationaal30</t>
  </si>
  <si>
    <t>5FttOEntryNationaal50</t>
  </si>
  <si>
    <t>5FttOEntryNationaal80</t>
  </si>
  <si>
    <t>5FttOEntryNationaal100</t>
  </si>
  <si>
    <t>5FttOEntryNationaal200</t>
  </si>
  <si>
    <t>5FttOEntryNationaal300</t>
  </si>
  <si>
    <t>5FttOEntryNationaal500</t>
  </si>
  <si>
    <t>5FttOEntryNationaal800</t>
  </si>
  <si>
    <t>5FttOEntryNationaal1000</t>
  </si>
  <si>
    <t>5FttOPremiumCity1</t>
  </si>
  <si>
    <t>5FttOPremiumCity2</t>
  </si>
  <si>
    <t>5FttOPremiumCity3</t>
  </si>
  <si>
    <t>5FttOPremiumCity4</t>
  </si>
  <si>
    <t>5FttOPremiumCity5</t>
  </si>
  <si>
    <t>5FttOPremiumCity6</t>
  </si>
  <si>
    <t>5FttOPremiumCity8</t>
  </si>
  <si>
    <t>5FttOPremiumCity10</t>
  </si>
  <si>
    <t>5FttOPremiumCity15</t>
  </si>
  <si>
    <t>5FttOPremiumCity20</t>
  </si>
  <si>
    <t>5FttOPremiumCity30</t>
  </si>
  <si>
    <t>5FttOPremiumCity50</t>
  </si>
  <si>
    <t>5FttOPremiumCity80</t>
  </si>
  <si>
    <t>5FttOPremiumCity100</t>
  </si>
  <si>
    <t>5FttOPremiumCity200</t>
  </si>
  <si>
    <t>5FttOPremiumCity300</t>
  </si>
  <si>
    <t>5FttOPremiumCity500</t>
  </si>
  <si>
    <t>5FttOPremiumCity800</t>
  </si>
  <si>
    <t>5FttOPremiumCity1000</t>
  </si>
  <si>
    <t>5FttOPremiumRegionaal1</t>
  </si>
  <si>
    <t>5FttOPremiumRegionaal2</t>
  </si>
  <si>
    <t>5FttOPremiumRegionaal3</t>
  </si>
  <si>
    <t>5FttOPremiumRegionaal4</t>
  </si>
  <si>
    <t>5FttOPremiumRegionaal5</t>
  </si>
  <si>
    <t>5FttOPremiumRegionaal6</t>
  </si>
  <si>
    <t>5FttOPremiumRegionaal8</t>
  </si>
  <si>
    <t>5FttOPremiumRegionaal10</t>
  </si>
  <si>
    <t>5FttOPremiumRegionaal15</t>
  </si>
  <si>
    <t>5FttOPremiumRegionaal20</t>
  </si>
  <si>
    <t>5FttOPremiumRegionaal30</t>
  </si>
  <si>
    <t>5FttOPremiumRegionaal50</t>
  </si>
  <si>
    <t>5FttOPremiumRegionaal80</t>
  </si>
  <si>
    <t>5FttOPremiumRegionaal100</t>
  </si>
  <si>
    <t>5FttOPremiumRegionaal200</t>
  </si>
  <si>
    <t>5FttOPremiumRegionaal300</t>
  </si>
  <si>
    <t>5FttOPremiumRegionaal500</t>
  </si>
  <si>
    <t>5FttOPremiumRegionaal800</t>
  </si>
  <si>
    <t>5FttOPremiumRegionaal1000</t>
  </si>
  <si>
    <t>5FttOPremiumNationaal1</t>
  </si>
  <si>
    <t>5FttOPremiumNationaal2</t>
  </si>
  <si>
    <t>5FttOPremiumNationaal3</t>
  </si>
  <si>
    <t>5FttOPremiumNationaal4</t>
  </si>
  <si>
    <t>5FttOPremiumNationaal5</t>
  </si>
  <si>
    <t>5FttOPremiumNationaal6</t>
  </si>
  <si>
    <t>5FttOPremiumNationaal8</t>
  </si>
  <si>
    <t>5FttOPremiumNationaal10</t>
  </si>
  <si>
    <t>5FttOPremiumNationaal15</t>
  </si>
  <si>
    <t>5FttOPremiumNationaal20</t>
  </si>
  <si>
    <t>5FttOPremiumNationaal30</t>
  </si>
  <si>
    <t>5FttOPremiumNationaal50</t>
  </si>
  <si>
    <t>5FttOPremiumNationaal80</t>
  </si>
  <si>
    <t>5FttOPremiumNationaal100</t>
  </si>
  <si>
    <t>5FttOPremiumNationaal200</t>
  </si>
  <si>
    <t>5FttOPremiumNationaal300</t>
  </si>
  <si>
    <t>5FttOPremiumNationaal500</t>
  </si>
  <si>
    <t>5FttOPremiumNationaal800</t>
  </si>
  <si>
    <t>5FttOPremiumNationaal1000</t>
  </si>
  <si>
    <t>WO service level kosten (mnd)</t>
  </si>
  <si>
    <t>VVA transport</t>
  </si>
  <si>
    <t>EoS</t>
  </si>
  <si>
    <t>3. WAP tariffs</t>
  </si>
  <si>
    <t>4. Service levels</t>
  </si>
  <si>
    <t>in oude model regionaal</t>
  </si>
  <si>
    <t>opmerking</t>
  </si>
  <si>
    <t>ZMTermijnKorting access Standard Access in ZG BT gebieden VVA1</t>
  </si>
  <si>
    <t>ZMTermijnKorting access Standard Access in ZG BT gebieden VVA2</t>
  </si>
  <si>
    <t>ZMTermijnKorting access Standard Access in ZG BT gebieden VVA3</t>
  </si>
  <si>
    <t>ZMTermijnKorting access Standard Access in ZG BT gebieden VVA4</t>
  </si>
  <si>
    <t>ZMTermijnKorting access Standard Access in ZG BT gebieden VVA5</t>
  </si>
  <si>
    <t>In geval van een aanpassing, deze toepassen in het Rekenblad Access</t>
  </si>
  <si>
    <t>ZMTermijnKorting access Standard Access in ZG BT gebieden VVE1</t>
  </si>
  <si>
    <t>ZMTermijnKorting access Standard Access in ZG BT gebieden VVE2</t>
  </si>
  <si>
    <t>ZMTermijnKorting access Standard Access in ZG BT gebieden VVE3</t>
  </si>
  <si>
    <t>ZMTermijnKorting access Standard Access in ZG BT gebieden VVE4</t>
  </si>
  <si>
    <t>ZMTermijnKorting access Standard Access in ZG BT gebieden VVE5</t>
  </si>
  <si>
    <t>ZMSalesmandaat access Standard Access in ZG BT gebieden VVE1</t>
  </si>
  <si>
    <t>ZMSalesmandaat access Standard Access in ZG BT gebieden VVE2</t>
  </si>
  <si>
    <t>ZMSalesmandaat access Standard Access in ZG BT gebieden VVE3</t>
  </si>
  <si>
    <t>ZMSalesmandaat access Standard Access in ZG BT gebieden VVE4</t>
  </si>
  <si>
    <t>ZMSalesmandaat access Standard Access in ZG BT gebieden VVE5</t>
  </si>
  <si>
    <t>ZMSalesmandaat access Standard Access in ZG BT gebieden VVA</t>
  </si>
  <si>
    <t>Dimensie</t>
  </si>
  <si>
    <t>Aantal legs</t>
  </si>
  <si>
    <t>Mapping ZM en WO aantal legs</t>
  </si>
  <si>
    <t>WO Graafafstand per leg (mtr)</t>
  </si>
  <si>
    <t>is aantal WO access dienst per ZM access</t>
  </si>
  <si>
    <t>deze parameter wordt gebruikt voor de offnet kosten</t>
  </si>
  <si>
    <t>ja</t>
  </si>
  <si>
    <t>20150501 LPM EVPN</t>
  </si>
  <si>
    <t>Voor korting &amp; sales mandaat</t>
  </si>
  <si>
    <t>Na korting, na retailopslag</t>
  </si>
  <si>
    <t>Na korting, na retailopslag en incl. EDC (indien van toepassing)</t>
  </si>
  <si>
    <t>Sleutel</t>
  </si>
  <si>
    <t>WO VVA (in EUR/mnd</t>
  </si>
  <si>
    <t>EDC (in EUR/mnd)</t>
  </si>
  <si>
    <t>Tariefcomponent
(let op, aparte formules per tariefcomponent)</t>
  </si>
  <si>
    <t>1Standard AccessHoogOn-net</t>
  </si>
  <si>
    <t>Access</t>
  </si>
  <si>
    <t>1Standard AccessHoog&lt; 250 meter</t>
  </si>
  <si>
    <t>1Standard AccessHoog&lt; 500 meter</t>
  </si>
  <si>
    <t>1Standard AccessHoog&lt; 1000 meter</t>
  </si>
  <si>
    <t>1Standard AccessMiddelOn-net</t>
  </si>
  <si>
    <t>1Standard AccessMiddel&lt; 250 meter</t>
  </si>
  <si>
    <t>1Standard AccessMiddel&lt; 500 meter</t>
  </si>
  <si>
    <t>1Standard AccessMiddel&lt; 1000 meter</t>
  </si>
  <si>
    <t>1Standard AccessLaagOn-net</t>
  </si>
  <si>
    <t>1Standard AccessLaag&lt; 250 meter</t>
  </si>
  <si>
    <t>1Standard AccessLaag&lt; 500 meter</t>
  </si>
  <si>
    <t>1Standard AccessLaag&lt; 1000 meter</t>
  </si>
  <si>
    <t>1Protected AccessHoogOn-net</t>
  </si>
  <si>
    <t>1Protected AccessHoog&lt; 250 meter</t>
  </si>
  <si>
    <t>1Protected AccessHoog&lt; 500 meter</t>
  </si>
  <si>
    <t>1Protected AccessHoog&lt; 1000 meter</t>
  </si>
  <si>
    <t>1Protected AccessMiddelOn-net</t>
  </si>
  <si>
    <t>1Protected AccessMiddel&lt; 250 meter</t>
  </si>
  <si>
    <t>1Protected AccessMiddel&lt; 500 meter</t>
  </si>
  <si>
    <t>1Protected AccessMiddel&lt; 1000 meter</t>
  </si>
  <si>
    <t>1Protected AccessLaagOn-net</t>
  </si>
  <si>
    <t>1Protected AccessLaag&lt; 250 meter</t>
  </si>
  <si>
    <t>1Protected AccessLaag&lt; 500 meter</t>
  </si>
  <si>
    <t>1Protected AccessLaag&lt; 1000 meter</t>
  </si>
  <si>
    <t>1Dual Standard AccessHoogOn-net</t>
  </si>
  <si>
    <t>1Dual Standard AccessHoog&lt; 250 meter</t>
  </si>
  <si>
    <t>1Dual Standard AccessHoog&lt; 500 meter</t>
  </si>
  <si>
    <t>1Dual Standard AccessHoog&lt; 1000 meter</t>
  </si>
  <si>
    <t>1Dual Standard AccessMiddelOn-net</t>
  </si>
  <si>
    <t>1Dual Standard AccessMiddel&lt; 250 meter</t>
  </si>
  <si>
    <t>1Dual Standard AccessMiddel&lt; 500 meter</t>
  </si>
  <si>
    <t>1Dual Standard AccessMiddel&lt; 1000 meter</t>
  </si>
  <si>
    <t>1Dual Standard AccessLaagOn-net</t>
  </si>
  <si>
    <t>1Dual Standard AccessLaag&lt; 250 meter</t>
  </si>
  <si>
    <t>1Dual Standard AccessLaag&lt; 500 meter</t>
  </si>
  <si>
    <t>1Dual Standard AccessLaag&lt; 1000 meter</t>
  </si>
  <si>
    <t>1Dual Protected AccessHoogOn-net</t>
  </si>
  <si>
    <t>1Dual Protected AccessHoog&lt; 250 meter</t>
  </si>
  <si>
    <t>1Dual Protected AccessHoog&lt; 500 meter</t>
  </si>
  <si>
    <t>1Dual Protected AccessHoog&lt; 1000 meter</t>
  </si>
  <si>
    <t>1Dual Protected AccessMiddelOn-net</t>
  </si>
  <si>
    <t>1Dual Protected AccessMiddel&lt; 250 meter</t>
  </si>
  <si>
    <t>1Dual Protected AccessMiddel&lt; 500 meter</t>
  </si>
  <si>
    <t>1Dual Protected AccessMiddel&lt; 1000 meter</t>
  </si>
  <si>
    <t>1Dual Protected AccessLaagOn-net</t>
  </si>
  <si>
    <t>1Dual Protected AccessLaag&lt; 250 meter</t>
  </si>
  <si>
    <t>1Dual Protected AccessLaag&lt; 500 meter</t>
  </si>
  <si>
    <t>1Dual Protected AccessLaag&lt; 1000 meter</t>
  </si>
  <si>
    <t>1Dual Standard Access Dual PoPHoogOn-net</t>
  </si>
  <si>
    <t>1Dual Standard Access Dual PoPHoog&lt; 250 meter</t>
  </si>
  <si>
    <t>1Dual Standard Access Dual PoPHoog&lt; 500 meter</t>
  </si>
  <si>
    <t>1Dual Standard Access Dual PoPHoog&lt; 1000 meter</t>
  </si>
  <si>
    <t>1Dual Standard Access Dual PoPMiddelOn-net</t>
  </si>
  <si>
    <t>1Dual Standard Access Dual PoPMiddel&lt; 250 meter</t>
  </si>
  <si>
    <t>1Dual Standard Access Dual PoPMiddel&lt; 500 meter</t>
  </si>
  <si>
    <t>1Dual Standard Access Dual PoPMiddel&lt; 1000 meter</t>
  </si>
  <si>
    <t>1Dual Standard Access Dual PoPLaagOn-net</t>
  </si>
  <si>
    <t>1Dual Standard Access Dual PoPLaag&lt; 250 meter</t>
  </si>
  <si>
    <t>1Dual Standard Access Dual PoPLaag&lt; 500 meter</t>
  </si>
  <si>
    <t>1Dual Standard Access Dual PoPLaag&lt; 1000 meter</t>
  </si>
  <si>
    <t>1Dual Protected Access Dual PoPHoogOn-net</t>
  </si>
  <si>
    <t>1Dual Protected Access Dual PoPHoog&lt; 250 meter</t>
  </si>
  <si>
    <t>1Dual Protected Access Dual PoPHoog&lt; 500 meter</t>
  </si>
  <si>
    <t>1Dual Protected Access Dual PoPHoog&lt; 1000 meter</t>
  </si>
  <si>
    <t>1Dual Protected Access Dual PoPMiddelOn-net</t>
  </si>
  <si>
    <t>1Dual Protected Access Dual PoPMiddel&lt; 250 meter</t>
  </si>
  <si>
    <t>1Dual Protected Access Dual PoPMiddel&lt; 500 meter</t>
  </si>
  <si>
    <t>1Dual Protected Access Dual PoPMiddel&lt; 1000 meter</t>
  </si>
  <si>
    <t>1Dual Protected Access Dual PoPLaagOn-net</t>
  </si>
  <si>
    <t>1Dual Protected Access Dual PoPLaag&lt; 250 meter</t>
  </si>
  <si>
    <t>1Dual Protected Access Dual PoPLaag&lt; 500 meter</t>
  </si>
  <si>
    <t>1Dual Protected Access Dual PoPLaag&lt; 1000 meter</t>
  </si>
  <si>
    <t>1Standard Access koper 3 MbHoogOn-net</t>
  </si>
  <si>
    <t>1Standard Access koper 3 MbHoog&lt; 250 meter</t>
  </si>
  <si>
    <t>1Standard Access koper 3 MbMiddelOn-net</t>
  </si>
  <si>
    <t>1Standard Access koper 3 MbMiddel&lt; 250 meter</t>
  </si>
  <si>
    <t>1Standard Access koper 3 MbLaagOn-net</t>
  </si>
  <si>
    <t>1Standard Access koper 3 MbLaag&lt; 250 meter</t>
  </si>
  <si>
    <t>1Standard Access koper 5 MbHoogOn-net</t>
  </si>
  <si>
    <t>1Standard Access koper 5 MbHoog&lt; 250 meter</t>
  </si>
  <si>
    <t>1Standard Access koper 5 MbMiddelOn-net</t>
  </si>
  <si>
    <t>1Standard Access koper 5 MbMiddel&lt; 250 meter</t>
  </si>
  <si>
    <t>1Standard Access koper 5 MbLaagOn-net</t>
  </si>
  <si>
    <t>1Standard Access koper 5 MbLaag&lt; 250 meter</t>
  </si>
  <si>
    <t>1Standard Access koper 10 MbHoogOn-net</t>
  </si>
  <si>
    <t>1Standard Access koper 10 MbHoog&lt; 250 meter</t>
  </si>
  <si>
    <t>1Standard Access koper 10 MbMiddelOn-net</t>
  </si>
  <si>
    <t>1Standard Access koper 10 MbMiddel&lt; 250 meter</t>
  </si>
  <si>
    <t>1Standard Access koper 10 MbLaagOn-net</t>
  </si>
  <si>
    <t>1Standard Access koper 10 MbLaag&lt; 250 meter</t>
  </si>
  <si>
    <t>1Standard Access koper 15 MbHoogOn-net</t>
  </si>
  <si>
    <t>1Standard Access koper 15 MbHoog&lt; 250 meter</t>
  </si>
  <si>
    <t>1Standard Access koper 15 MbMiddelOn-net</t>
  </si>
  <si>
    <t>1Standard Access koper 15 MbMiddel&lt; 250 meter</t>
  </si>
  <si>
    <t>1Standard Access koper 15 MbLaagOn-net</t>
  </si>
  <si>
    <t>1Standard Access koper 15 MbLaag&lt; 250 meter</t>
  </si>
  <si>
    <t>1Standard Access koper 20 MbHoogOn-net</t>
  </si>
  <si>
    <t>1Standard Access koper 20 MbHoog&lt; 250 meter</t>
  </si>
  <si>
    <t>1Standard Access koper 20 MbMiddelOn-net</t>
  </si>
  <si>
    <t>1Standard Access koper 20 MbMiddel&lt; 250 meter</t>
  </si>
  <si>
    <t>1Standard Access koper 20 MbLaagOn-net</t>
  </si>
  <si>
    <t>1Standard Access koper 20 MbLaag&lt; 250 meter</t>
  </si>
  <si>
    <t>2Standard AccessHoogOn-net</t>
  </si>
  <si>
    <t>2Standard AccessHoog&lt; 250 meter</t>
  </si>
  <si>
    <t>2Standard AccessHoog&lt; 500 meter</t>
  </si>
  <si>
    <t>2Standard AccessHoog&lt; 1000 meter</t>
  </si>
  <si>
    <t>2Standard AccessMiddelOn-net</t>
  </si>
  <si>
    <t>2Standard AccessMiddel&lt; 250 meter</t>
  </si>
  <si>
    <t>2Standard AccessMiddel&lt; 500 meter</t>
  </si>
  <si>
    <t>2Standard AccessMiddel&lt; 1000 meter</t>
  </si>
  <si>
    <t>2Standard AccessLaagOn-net</t>
  </si>
  <si>
    <t>2Standard AccessLaag&lt; 250 meter</t>
  </si>
  <si>
    <t>2Standard AccessLaag&lt; 500 meter</t>
  </si>
  <si>
    <t>2Standard AccessLaag&lt; 1000 meter</t>
  </si>
  <si>
    <t>2Protected AccessHoogOn-net</t>
  </si>
  <si>
    <t>2Protected AccessHoog&lt; 250 meter</t>
  </si>
  <si>
    <t>2Protected AccessHoog&lt; 500 meter</t>
  </si>
  <si>
    <t>2Protected AccessHoog&lt; 1000 meter</t>
  </si>
  <si>
    <t>2Protected AccessMiddelOn-net</t>
  </si>
  <si>
    <t>2Protected AccessMiddel&lt; 250 meter</t>
  </si>
  <si>
    <t>2Protected AccessMiddel&lt; 500 meter</t>
  </si>
  <si>
    <t>2Protected AccessMiddel&lt; 1000 meter</t>
  </si>
  <si>
    <t>2Protected AccessLaagOn-net</t>
  </si>
  <si>
    <t>2Protected AccessLaag&lt; 250 meter</t>
  </si>
  <si>
    <t>2Protected AccessLaag&lt; 500 meter</t>
  </si>
  <si>
    <t>2Protected AccessLaag&lt; 1000 meter</t>
  </si>
  <si>
    <t>2Dual Standard AccessHoogOn-net</t>
  </si>
  <si>
    <t>2Dual Standard AccessHoog&lt; 250 meter</t>
  </si>
  <si>
    <t>2Dual Standard AccessHoog&lt; 500 meter</t>
  </si>
  <si>
    <t>2Dual Standard AccessHoog&lt; 1000 meter</t>
  </si>
  <si>
    <t>2Dual Standard AccessMiddelOn-net</t>
  </si>
  <si>
    <t>2Dual Standard AccessMiddel&lt; 250 meter</t>
  </si>
  <si>
    <t>2Dual Standard AccessMiddel&lt; 500 meter</t>
  </si>
  <si>
    <t>2Dual Standard AccessMiddel&lt; 1000 meter</t>
  </si>
  <si>
    <t>2Dual Standard AccessLaagOn-net</t>
  </si>
  <si>
    <t>2Dual Standard AccessLaag&lt; 250 meter</t>
  </si>
  <si>
    <t>2Dual Standard AccessLaag&lt; 500 meter</t>
  </si>
  <si>
    <t>2Dual Standard AccessLaag&lt; 1000 meter</t>
  </si>
  <si>
    <t>2Dual Protected AccessHoogOn-net</t>
  </si>
  <si>
    <t>2Dual Protected AccessHoog&lt; 250 meter</t>
  </si>
  <si>
    <t>2Dual Protected AccessHoog&lt; 500 meter</t>
  </si>
  <si>
    <t>2Dual Protected AccessHoog&lt; 1000 meter</t>
  </si>
  <si>
    <t>2Dual Protected AccessMiddelOn-net</t>
  </si>
  <si>
    <t>2Dual Protected AccessMiddel&lt; 250 meter</t>
  </si>
  <si>
    <t>2Dual Protected AccessMiddel&lt; 500 meter</t>
  </si>
  <si>
    <t>2Dual Protected AccessMiddel&lt; 1000 meter</t>
  </si>
  <si>
    <t>2Dual Protected AccessLaagOn-net</t>
  </si>
  <si>
    <t>2Dual Protected AccessLaag&lt; 250 meter</t>
  </si>
  <si>
    <t>2Dual Protected AccessLaag&lt; 500 meter</t>
  </si>
  <si>
    <t>2Dual Protected AccessLaag&lt; 1000 meter</t>
  </si>
  <si>
    <t>2Dual Standard Access Dual PoPHoogOn-net</t>
  </si>
  <si>
    <t>2Dual Standard Access Dual PoPHoog&lt; 250 meter</t>
  </si>
  <si>
    <t>2Dual Standard Access Dual PoPHoog&lt; 500 meter</t>
  </si>
  <si>
    <t>2Dual Standard Access Dual PoPHoog&lt; 1000 meter</t>
  </si>
  <si>
    <t>2Dual Standard Access Dual PoPMiddelOn-net</t>
  </si>
  <si>
    <t>2Dual Standard Access Dual PoPMiddel&lt; 250 meter</t>
  </si>
  <si>
    <t>2Dual Standard Access Dual PoPMiddel&lt; 500 meter</t>
  </si>
  <si>
    <t>2Dual Standard Access Dual PoPMiddel&lt; 1000 meter</t>
  </si>
  <si>
    <t>2Dual Standard Access Dual PoPLaagOn-net</t>
  </si>
  <si>
    <t>2Dual Standard Access Dual PoPLaag&lt; 250 meter</t>
  </si>
  <si>
    <t>2Dual Standard Access Dual PoPLaag&lt; 500 meter</t>
  </si>
  <si>
    <t>2Dual Standard Access Dual PoPLaag&lt; 1000 meter</t>
  </si>
  <si>
    <t>2Dual Protected Access Dual PoPHoogOn-net</t>
  </si>
  <si>
    <t>2Dual Protected Access Dual PoPHoog&lt; 250 meter</t>
  </si>
  <si>
    <t>2Dual Protected Access Dual PoPHoog&lt; 500 meter</t>
  </si>
  <si>
    <t>2Dual Protected Access Dual PoPHoog&lt; 1000 meter</t>
  </si>
  <si>
    <t>2Dual Protected Access Dual PoPMiddelOn-net</t>
  </si>
  <si>
    <t>2Dual Protected Access Dual PoPMiddel&lt; 250 meter</t>
  </si>
  <si>
    <t>2Dual Protected Access Dual PoPMiddel&lt; 500 meter</t>
  </si>
  <si>
    <t>2Dual Protected Access Dual PoPMiddel&lt; 1000 meter</t>
  </si>
  <si>
    <t>2Dual Protected Access Dual PoPLaagOn-net</t>
  </si>
  <si>
    <t>2Dual Protected Access Dual PoPLaag&lt; 250 meter</t>
  </si>
  <si>
    <t>2Dual Protected Access Dual PoPLaag&lt; 500 meter</t>
  </si>
  <si>
    <t>2Dual Protected Access Dual PoPLaag&lt; 1000 meter</t>
  </si>
  <si>
    <t>2Standard Access koper 3 MbHoogOn-net</t>
  </si>
  <si>
    <t>2Standard Access koper 3 MbHoog&lt; 250 meter</t>
  </si>
  <si>
    <t>2Standard Access koper 3 MbMiddelOn-net</t>
  </si>
  <si>
    <t>2Standard Access koper 3 MbMiddel&lt; 250 meter</t>
  </si>
  <si>
    <t>2Standard Access koper 3 MbLaagOn-net</t>
  </si>
  <si>
    <t>2Standard Access koper 3 MbLaag&lt; 250 meter</t>
  </si>
  <si>
    <t>2Standard Access koper 5 MbHoogOn-net</t>
  </si>
  <si>
    <t>2Standard Access koper 5 MbHoog&lt; 250 meter</t>
  </si>
  <si>
    <t>2Standard Access koper 5 MbMiddelOn-net</t>
  </si>
  <si>
    <t>2Standard Access koper 5 MbMiddel&lt; 250 meter</t>
  </si>
  <si>
    <t>2Standard Access koper 5 MbLaagOn-net</t>
  </si>
  <si>
    <t>2Standard Access koper 5 MbLaag&lt; 250 meter</t>
  </si>
  <si>
    <t>2Standard Access koper 10 MbHoogOn-net</t>
  </si>
  <si>
    <t>2Standard Access koper 10 MbHoog&lt; 250 meter</t>
  </si>
  <si>
    <t>2Standard Access koper 10 MbMiddelOn-net</t>
  </si>
  <si>
    <t>2Standard Access koper 10 MbMiddel&lt; 250 meter</t>
  </si>
  <si>
    <t>2Standard Access koper 10 MbLaagOn-net</t>
  </si>
  <si>
    <t>2Standard Access koper 10 MbLaag&lt; 250 meter</t>
  </si>
  <si>
    <t>2Standard Access koper 15 MbHoogOn-net</t>
  </si>
  <si>
    <t>2Standard Access koper 15 MbHoog&lt; 250 meter</t>
  </si>
  <si>
    <t>2Standard Access koper 15 MbMiddelOn-net</t>
  </si>
  <si>
    <t>2Standard Access koper 15 MbMiddel&lt; 250 meter</t>
  </si>
  <si>
    <t>2Standard Access koper 15 MbLaagOn-net</t>
  </si>
  <si>
    <t>2Standard Access koper 15 MbLaag&lt; 250 meter</t>
  </si>
  <si>
    <t>2Standard Access koper 20 MbHoogOn-net</t>
  </si>
  <si>
    <t>2Standard Access koper 20 MbHoog&lt; 250 meter</t>
  </si>
  <si>
    <t>2Standard Access koper 20 MbMiddelOn-net</t>
  </si>
  <si>
    <t>2Standard Access koper 20 MbMiddel&lt; 250 meter</t>
  </si>
  <si>
    <t>2Standard Access koper 20 MbLaagOn-net</t>
  </si>
  <si>
    <t>2Standard Access koper 20 MbLaag&lt; 250 meter</t>
  </si>
  <si>
    <t>3Standard AccessHoogOn-net</t>
  </si>
  <si>
    <t>3Standard AccessHoog&lt; 250 meter</t>
  </si>
  <si>
    <t>3Standard AccessHoog&lt; 500 meter</t>
  </si>
  <si>
    <t>3Standard AccessHoog&lt; 1000 meter</t>
  </si>
  <si>
    <t>3Standard AccessMiddelOn-net</t>
  </si>
  <si>
    <t>3Standard AccessMiddel&lt; 250 meter</t>
  </si>
  <si>
    <t>3Standard AccessMiddel&lt; 500 meter</t>
  </si>
  <si>
    <t>3Standard AccessMiddel&lt; 1000 meter</t>
  </si>
  <si>
    <t>3Standard AccessLaagOn-net</t>
  </si>
  <si>
    <t>3Standard AccessLaag&lt; 250 meter</t>
  </si>
  <si>
    <t>3Standard AccessLaag&lt; 500 meter</t>
  </si>
  <si>
    <t>3Standard AccessLaag&lt; 1000 meter</t>
  </si>
  <si>
    <t>3Protected AccessHoogOn-net</t>
  </si>
  <si>
    <t>3Protected AccessHoog&lt; 250 meter</t>
  </si>
  <si>
    <t>3Protected AccessHoog&lt; 500 meter</t>
  </si>
  <si>
    <t>3Protected AccessHoog&lt; 1000 meter</t>
  </si>
  <si>
    <t>3Protected AccessMiddelOn-net</t>
  </si>
  <si>
    <t>3Protected AccessMiddel&lt; 250 meter</t>
  </si>
  <si>
    <t>3Protected AccessMiddel&lt; 500 meter</t>
  </si>
  <si>
    <t>3Protected AccessMiddel&lt; 1000 meter</t>
  </si>
  <si>
    <t>3Protected AccessLaagOn-net</t>
  </si>
  <si>
    <t>3Protected AccessLaag&lt; 250 meter</t>
  </si>
  <si>
    <t>3Protected AccessLaag&lt; 500 meter</t>
  </si>
  <si>
    <t>3Protected AccessLaag&lt; 1000 meter</t>
  </si>
  <si>
    <t>3Dual Standard AccessHoogOn-net</t>
  </si>
  <si>
    <t>3Dual Standard AccessHoog&lt; 250 meter</t>
  </si>
  <si>
    <t>3Dual Standard AccessHoog&lt; 500 meter</t>
  </si>
  <si>
    <t>3Dual Standard AccessHoog&lt; 1000 meter</t>
  </si>
  <si>
    <t>3Dual Standard AccessMiddelOn-net</t>
  </si>
  <si>
    <t>3Dual Standard AccessMiddel&lt; 250 meter</t>
  </si>
  <si>
    <t>3Dual Standard AccessMiddel&lt; 500 meter</t>
  </si>
  <si>
    <t>3Dual Standard AccessMiddel&lt; 1000 meter</t>
  </si>
  <si>
    <t>3Dual Standard AccessLaagOn-net</t>
  </si>
  <si>
    <t>3Dual Standard AccessLaag&lt; 250 meter</t>
  </si>
  <si>
    <t>3Dual Standard AccessLaag&lt; 500 meter</t>
  </si>
  <si>
    <t>3Dual Standard AccessLaag&lt; 1000 meter</t>
  </si>
  <si>
    <t>3Dual Protected AccessHoogOn-net</t>
  </si>
  <si>
    <t>3Dual Protected AccessHoog&lt; 250 meter</t>
  </si>
  <si>
    <t>3Dual Protected AccessHoog&lt; 500 meter</t>
  </si>
  <si>
    <t>3Dual Protected AccessHoog&lt; 1000 meter</t>
  </si>
  <si>
    <t>3Dual Protected AccessMiddelOn-net</t>
  </si>
  <si>
    <t>3Dual Protected AccessMiddel&lt; 250 meter</t>
  </si>
  <si>
    <t>3Dual Protected AccessMiddel&lt; 500 meter</t>
  </si>
  <si>
    <t>3Dual Protected AccessMiddel&lt; 1000 meter</t>
  </si>
  <si>
    <t>3Dual Protected AccessLaagOn-net</t>
  </si>
  <si>
    <t>3Dual Protected AccessLaag&lt; 250 meter</t>
  </si>
  <si>
    <t>3Dual Protected AccessLaag&lt; 500 meter</t>
  </si>
  <si>
    <t>3Dual Protected AccessLaag&lt; 1000 meter</t>
  </si>
  <si>
    <t>3Dual Standard Access Dual PoPHoogOn-net</t>
  </si>
  <si>
    <t>3Dual Standard Access Dual PoPHoog&lt; 250 meter</t>
  </si>
  <si>
    <t>3Dual Standard Access Dual PoPHoog&lt; 500 meter</t>
  </si>
  <si>
    <t>3Dual Standard Access Dual PoPHoog&lt; 1000 meter</t>
  </si>
  <si>
    <t>3Dual Standard Access Dual PoPMiddelOn-net</t>
  </si>
  <si>
    <t>3Dual Standard Access Dual PoPMiddel&lt; 250 meter</t>
  </si>
  <si>
    <t>3Dual Standard Access Dual PoPMiddel&lt; 500 meter</t>
  </si>
  <si>
    <t>3Dual Standard Access Dual PoPMiddel&lt; 1000 meter</t>
  </si>
  <si>
    <t>3Dual Standard Access Dual PoPLaagOn-net</t>
  </si>
  <si>
    <t>3Dual Standard Access Dual PoPLaag&lt; 250 meter</t>
  </si>
  <si>
    <t>3Dual Standard Access Dual PoPLaag&lt; 500 meter</t>
  </si>
  <si>
    <t>3Dual Standard Access Dual PoPLaag&lt; 1000 meter</t>
  </si>
  <si>
    <t>3Dual Protected Access Dual PoPHoogOn-net</t>
  </si>
  <si>
    <t>3Dual Protected Access Dual PoPHoog&lt; 250 meter</t>
  </si>
  <si>
    <t>3Dual Protected Access Dual PoPHoog&lt; 500 meter</t>
  </si>
  <si>
    <t>3Dual Protected Access Dual PoPHoog&lt; 1000 meter</t>
  </si>
  <si>
    <t>3Dual Protected Access Dual PoPMiddelOn-net</t>
  </si>
  <si>
    <t>3Dual Protected Access Dual PoPMiddel&lt; 250 meter</t>
  </si>
  <si>
    <t>3Dual Protected Access Dual PoPMiddel&lt; 500 meter</t>
  </si>
  <si>
    <t>3Dual Protected Access Dual PoPMiddel&lt; 1000 meter</t>
  </si>
  <si>
    <t>3Dual Protected Access Dual PoPLaagOn-net</t>
  </si>
  <si>
    <t>3Dual Protected Access Dual PoPLaag&lt; 250 meter</t>
  </si>
  <si>
    <t>3Dual Protected Access Dual PoPLaag&lt; 500 meter</t>
  </si>
  <si>
    <t>3Dual Protected Access Dual PoPLaag&lt; 1000 meter</t>
  </si>
  <si>
    <t>3Standard Access koper 3 MbHoogOn-net</t>
  </si>
  <si>
    <t>3Standard Access koper 3 MbHoog&lt; 250 meter</t>
  </si>
  <si>
    <t>3Standard Access koper 3 MbMiddelOn-net</t>
  </si>
  <si>
    <t>3Standard Access koper 3 MbMiddel&lt; 250 meter</t>
  </si>
  <si>
    <t>3Standard Access koper 3 MbLaagOn-net</t>
  </si>
  <si>
    <t>3Standard Access koper 3 MbLaag&lt; 250 meter</t>
  </si>
  <si>
    <t>3Standard Access koper 5 MbHoogOn-net</t>
  </si>
  <si>
    <t>3Standard Access koper 5 MbHoog&lt; 250 meter</t>
  </si>
  <si>
    <t>3Standard Access koper 5 MbMiddelOn-net</t>
  </si>
  <si>
    <t>3Standard Access koper 5 MbMiddel&lt; 250 meter</t>
  </si>
  <si>
    <t>3Standard Access koper 5 MbLaagOn-net</t>
  </si>
  <si>
    <t>3Standard Access koper 5 MbLaag&lt; 250 meter</t>
  </si>
  <si>
    <t>3Standard Access koper 10 MbHoogOn-net</t>
  </si>
  <si>
    <t>3Standard Access koper 10 MbHoog&lt; 250 meter</t>
  </si>
  <si>
    <t>3Standard Access koper 10 MbMiddelOn-net</t>
  </si>
  <si>
    <t>3Standard Access koper 10 MbMiddel&lt; 250 meter</t>
  </si>
  <si>
    <t>3Standard Access koper 10 MbLaagOn-net</t>
  </si>
  <si>
    <t>3Standard Access koper 10 MbLaag&lt; 250 meter</t>
  </si>
  <si>
    <t>3Standard Access koper 15 MbHoogOn-net</t>
  </si>
  <si>
    <t>3Standard Access koper 15 MbHoog&lt; 250 meter</t>
  </si>
  <si>
    <t>3Standard Access koper 15 MbMiddelOn-net</t>
  </si>
  <si>
    <t>3Standard Access koper 15 MbMiddel&lt; 250 meter</t>
  </si>
  <si>
    <t>3Standard Access koper 15 MbLaagOn-net</t>
  </si>
  <si>
    <t>3Standard Access koper 15 MbLaag&lt; 250 meter</t>
  </si>
  <si>
    <t>3Standard Access koper 20 MbHoogOn-net</t>
  </si>
  <si>
    <t>3Standard Access koper 20 MbHoog&lt; 250 meter</t>
  </si>
  <si>
    <t>3Standard Access koper 20 MbMiddelOn-net</t>
  </si>
  <si>
    <t>3Standard Access koper 20 MbMiddel&lt; 250 meter</t>
  </si>
  <si>
    <t>3Standard Access koper 20 MbLaagOn-net</t>
  </si>
  <si>
    <t>3Standard Access koper 20 MbLaag&lt; 250 meter</t>
  </si>
  <si>
    <t>4Standard AccessHoogOn-net</t>
  </si>
  <si>
    <t>4Standard AccessHoog&lt; 250 meter</t>
  </si>
  <si>
    <t>4Standard AccessHoog&lt; 500 meter</t>
  </si>
  <si>
    <t>4Standard AccessHoog&lt; 1000 meter</t>
  </si>
  <si>
    <t>4Standard AccessMiddelOn-net</t>
  </si>
  <si>
    <t>4Standard AccessMiddel&lt; 250 meter</t>
  </si>
  <si>
    <t>4Standard AccessMiddel&lt; 500 meter</t>
  </si>
  <si>
    <t>4Standard AccessMiddel&lt; 1000 meter</t>
  </si>
  <si>
    <t>4Standard AccessLaagOn-net</t>
  </si>
  <si>
    <t>4Standard AccessLaag&lt; 250 meter</t>
  </si>
  <si>
    <t>4Standard AccessLaag&lt; 500 meter</t>
  </si>
  <si>
    <t>4Standard AccessLaag&lt; 1000 meter</t>
  </si>
  <si>
    <t>4Protected AccessHoogOn-net</t>
  </si>
  <si>
    <t>4Protected AccessHoog&lt; 250 meter</t>
  </si>
  <si>
    <t>4Protected AccessHoog&lt; 500 meter</t>
  </si>
  <si>
    <t>4Protected AccessHoog&lt; 1000 meter</t>
  </si>
  <si>
    <t>4Protected AccessMiddelOn-net</t>
  </si>
  <si>
    <t>4Protected AccessMiddel&lt; 250 meter</t>
  </si>
  <si>
    <t>4Protected AccessMiddel&lt; 500 meter</t>
  </si>
  <si>
    <t>4Protected AccessMiddel&lt; 1000 meter</t>
  </si>
  <si>
    <t>4Protected AccessLaagOn-net</t>
  </si>
  <si>
    <t>4Protected AccessLaag&lt; 250 meter</t>
  </si>
  <si>
    <t>4Protected AccessLaag&lt; 500 meter</t>
  </si>
  <si>
    <t>4Protected AccessLaag&lt; 1000 meter</t>
  </si>
  <si>
    <t>4Dual Standard AccessHoogOn-net</t>
  </si>
  <si>
    <t>4Dual Standard AccessHoog&lt; 250 meter</t>
  </si>
  <si>
    <t>4Dual Standard AccessHoog&lt; 500 meter</t>
  </si>
  <si>
    <t>4Dual Standard AccessHoog&lt; 1000 meter</t>
  </si>
  <si>
    <t>4Dual Standard AccessMiddelOn-net</t>
  </si>
  <si>
    <t>4Dual Standard AccessMiddel&lt; 250 meter</t>
  </si>
  <si>
    <t>4Dual Standard AccessMiddel&lt; 500 meter</t>
  </si>
  <si>
    <t>4Dual Standard AccessMiddel&lt; 1000 meter</t>
  </si>
  <si>
    <t>4Dual Standard AccessLaagOn-net</t>
  </si>
  <si>
    <t>4Dual Standard AccessLaag&lt; 250 meter</t>
  </si>
  <si>
    <t>4Dual Standard AccessLaag&lt; 500 meter</t>
  </si>
  <si>
    <t>4Dual Standard AccessLaag&lt; 1000 meter</t>
  </si>
  <si>
    <t>4Dual Protected AccessHoogOn-net</t>
  </si>
  <si>
    <t>4Dual Protected AccessHoog&lt; 250 meter</t>
  </si>
  <si>
    <t>4Dual Protected AccessHoog&lt; 500 meter</t>
  </si>
  <si>
    <t>4Dual Protected AccessHoog&lt; 1000 meter</t>
  </si>
  <si>
    <t>4Dual Protected AccessMiddelOn-net</t>
  </si>
  <si>
    <t>4Dual Protected AccessMiddel&lt; 250 meter</t>
  </si>
  <si>
    <t>4Dual Protected AccessMiddel&lt; 500 meter</t>
  </si>
  <si>
    <t>4Dual Protected AccessMiddel&lt; 1000 meter</t>
  </si>
  <si>
    <t>4Dual Protected AccessLaagOn-net</t>
  </si>
  <si>
    <t>4Dual Protected AccessLaag&lt; 250 meter</t>
  </si>
  <si>
    <t>4Dual Protected AccessLaag&lt; 500 meter</t>
  </si>
  <si>
    <t>4Dual Protected AccessLaag&lt; 1000 meter</t>
  </si>
  <si>
    <t>4Dual Standard Access Dual PoPHoogOn-net</t>
  </si>
  <si>
    <t>4Dual Standard Access Dual PoPHoog&lt; 250 meter</t>
  </si>
  <si>
    <t>4Dual Standard Access Dual PoPHoog&lt; 500 meter</t>
  </si>
  <si>
    <t>4Dual Standard Access Dual PoPHoog&lt; 1000 meter</t>
  </si>
  <si>
    <t>4Dual Standard Access Dual PoPMiddelOn-net</t>
  </si>
  <si>
    <t>4Dual Standard Access Dual PoPMiddel&lt; 250 meter</t>
  </si>
  <si>
    <t>4Dual Standard Access Dual PoPMiddel&lt; 500 meter</t>
  </si>
  <si>
    <t>4Dual Standard Access Dual PoPMiddel&lt; 1000 meter</t>
  </si>
  <si>
    <t>4Dual Standard Access Dual PoPLaagOn-net</t>
  </si>
  <si>
    <t>4Dual Standard Access Dual PoPLaag&lt; 250 meter</t>
  </si>
  <si>
    <t>4Dual Standard Access Dual PoPLaag&lt; 500 meter</t>
  </si>
  <si>
    <t>4Dual Standard Access Dual PoPLaag&lt; 1000 meter</t>
  </si>
  <si>
    <t>4Dual Protected Access Dual PoPHoogOn-net</t>
  </si>
  <si>
    <t>4Dual Protected Access Dual PoPHoog&lt; 250 meter</t>
  </si>
  <si>
    <t>4Dual Protected Access Dual PoPHoog&lt; 500 meter</t>
  </si>
  <si>
    <t>4Dual Protected Access Dual PoPHoog&lt; 1000 meter</t>
  </si>
  <si>
    <t>4Dual Protected Access Dual PoPMiddelOn-net</t>
  </si>
  <si>
    <t>4Dual Protected Access Dual PoPMiddel&lt; 250 meter</t>
  </si>
  <si>
    <t>4Dual Protected Access Dual PoPMiddel&lt; 500 meter</t>
  </si>
  <si>
    <t>4Dual Protected Access Dual PoPMiddel&lt; 1000 meter</t>
  </si>
  <si>
    <t>4Dual Protected Access Dual PoPLaagOn-net</t>
  </si>
  <si>
    <t>4Dual Protected Access Dual PoPLaag&lt; 250 meter</t>
  </si>
  <si>
    <t>4Dual Protected Access Dual PoPLaag&lt; 500 meter</t>
  </si>
  <si>
    <t>4Dual Protected Access Dual PoPLaag&lt; 1000 meter</t>
  </si>
  <si>
    <t>4Standard Access koper 3 MbHoogOn-net</t>
  </si>
  <si>
    <t>4Standard Access koper 3 MbHoog&lt; 250 meter</t>
  </si>
  <si>
    <t>4Standard Access koper 3 MbMiddelOn-net</t>
  </si>
  <si>
    <t>4Standard Access koper 3 MbMiddel&lt; 250 meter</t>
  </si>
  <si>
    <t>4Standard Access koper 3 MbLaagOn-net</t>
  </si>
  <si>
    <t>4Standard Access koper 3 MbLaag&lt; 250 meter</t>
  </si>
  <si>
    <t>4Standard Access koper 5 MbHoogOn-net</t>
  </si>
  <si>
    <t>4Standard Access koper 5 MbHoog&lt; 250 meter</t>
  </si>
  <si>
    <t>4Standard Access koper 5 MbMiddelOn-net</t>
  </si>
  <si>
    <t>4Standard Access koper 5 MbMiddel&lt; 250 meter</t>
  </si>
  <si>
    <t>4Standard Access koper 5 MbLaagOn-net</t>
  </si>
  <si>
    <t>4Standard Access koper 5 MbLaag&lt; 250 meter</t>
  </si>
  <si>
    <t>4Standard Access koper 10 MbHoogOn-net</t>
  </si>
  <si>
    <t>4Standard Access koper 10 MbHoog&lt; 250 meter</t>
  </si>
  <si>
    <t>4Standard Access koper 10 MbMiddelOn-net</t>
  </si>
  <si>
    <t>4Standard Access koper 10 MbMiddel&lt; 250 meter</t>
  </si>
  <si>
    <t>4Standard Access koper 10 MbLaagOn-net</t>
  </si>
  <si>
    <t>4Standard Access koper 10 MbLaag&lt; 250 meter</t>
  </si>
  <si>
    <t>4Standard Access koper 15 MbHoogOn-net</t>
  </si>
  <si>
    <t>4Standard Access koper 15 MbHoog&lt; 250 meter</t>
  </si>
  <si>
    <t>4Standard Access koper 15 MbMiddelOn-net</t>
  </si>
  <si>
    <t>4Standard Access koper 15 MbMiddel&lt; 250 meter</t>
  </si>
  <si>
    <t>4Standard Access koper 15 MbLaagOn-net</t>
  </si>
  <si>
    <t>4Standard Access koper 15 MbLaag&lt; 250 meter</t>
  </si>
  <si>
    <t>4Standard Access koper 20 MbHoogOn-net</t>
  </si>
  <si>
    <t>4Standard Access koper 20 MbHoog&lt; 250 meter</t>
  </si>
  <si>
    <t>4Standard Access koper 20 MbMiddelOn-net</t>
  </si>
  <si>
    <t>4Standard Access koper 20 MbMiddel&lt; 250 meter</t>
  </si>
  <si>
    <t>4Standard Access koper 20 MbLaagOn-net</t>
  </si>
  <si>
    <t>4Standard Access koper 20 MbLaag&lt; 250 meter</t>
  </si>
  <si>
    <t>5Standard AccessHoogOn-net</t>
  </si>
  <si>
    <t>5Standard AccessHoog&lt; 250 meter</t>
  </si>
  <si>
    <t>5Standard AccessHoog&lt; 500 meter</t>
  </si>
  <si>
    <t>5Standard AccessHoog&lt; 1000 meter</t>
  </si>
  <si>
    <t>5Standard AccessMiddelOn-net</t>
  </si>
  <si>
    <t>5Standard AccessMiddel&lt; 250 meter</t>
  </si>
  <si>
    <t>5Standard AccessMiddel&lt; 500 meter</t>
  </si>
  <si>
    <t>5Standard AccessMiddel&lt; 1000 meter</t>
  </si>
  <si>
    <t>5Standard AccessLaagOn-net</t>
  </si>
  <si>
    <t>5Standard AccessLaag&lt; 250 meter</t>
  </si>
  <si>
    <t>5Standard AccessLaag&lt; 500 meter</t>
  </si>
  <si>
    <t>5Standard AccessLaag&lt; 1000 meter</t>
  </si>
  <si>
    <t>5Protected AccessHoogOn-net</t>
  </si>
  <si>
    <t>5Protected AccessHoog&lt; 250 meter</t>
  </si>
  <si>
    <t>5Protected AccessHoog&lt; 500 meter</t>
  </si>
  <si>
    <t>5Protected AccessHoog&lt; 1000 meter</t>
  </si>
  <si>
    <t>5Protected AccessMiddelOn-net</t>
  </si>
  <si>
    <t>5Protected AccessMiddel&lt; 250 meter</t>
  </si>
  <si>
    <t>5Protected AccessMiddel&lt; 500 meter</t>
  </si>
  <si>
    <t>5Protected AccessMiddel&lt; 1000 meter</t>
  </si>
  <si>
    <t>5Protected AccessLaagOn-net</t>
  </si>
  <si>
    <t>5Protected AccessLaag&lt; 250 meter</t>
  </si>
  <si>
    <t>5Protected AccessLaag&lt; 500 meter</t>
  </si>
  <si>
    <t>5Protected AccessLaag&lt; 1000 meter</t>
  </si>
  <si>
    <t>5Dual Standard AccessHoogOn-net</t>
  </si>
  <si>
    <t>5Dual Standard AccessHoog&lt; 250 meter</t>
  </si>
  <si>
    <t>5Dual Standard AccessHoog&lt; 500 meter</t>
  </si>
  <si>
    <t>5Dual Standard AccessHoog&lt; 1000 meter</t>
  </si>
  <si>
    <t>5Dual Standard AccessMiddelOn-net</t>
  </si>
  <si>
    <t>5Dual Standard AccessMiddel&lt; 250 meter</t>
  </si>
  <si>
    <t>5Dual Standard AccessMiddel&lt; 500 meter</t>
  </si>
  <si>
    <t>5Dual Standard AccessMiddel&lt; 1000 meter</t>
  </si>
  <si>
    <t>5Dual Standard AccessLaagOn-net</t>
  </si>
  <si>
    <t>5Dual Standard AccessLaag&lt; 250 meter</t>
  </si>
  <si>
    <t>5Dual Standard AccessLaag&lt; 500 meter</t>
  </si>
  <si>
    <t>5Dual Standard AccessLaag&lt; 1000 meter</t>
  </si>
  <si>
    <t>5Dual Protected AccessHoogOn-net</t>
  </si>
  <si>
    <t>5Dual Protected AccessHoog&lt; 250 meter</t>
  </si>
  <si>
    <t>5Dual Protected AccessHoog&lt; 500 meter</t>
  </si>
  <si>
    <t>5Dual Protected AccessHoog&lt; 1000 meter</t>
  </si>
  <si>
    <t>5Dual Protected AccessMiddelOn-net</t>
  </si>
  <si>
    <t>5Dual Protected AccessMiddel&lt; 250 meter</t>
  </si>
  <si>
    <t>5Dual Protected AccessMiddel&lt; 500 meter</t>
  </si>
  <si>
    <t>5Dual Protected AccessMiddel&lt; 1000 meter</t>
  </si>
  <si>
    <t>5Dual Protected AccessLaagOn-net</t>
  </si>
  <si>
    <t>5Dual Protected AccessLaag&lt; 250 meter</t>
  </si>
  <si>
    <t>5Dual Protected AccessLaag&lt; 500 meter</t>
  </si>
  <si>
    <t>5Dual Protected AccessLaag&lt; 1000 meter</t>
  </si>
  <si>
    <t>5Dual Standard Access Dual PoPHoogOn-net</t>
  </si>
  <si>
    <t>5Dual Standard Access Dual PoPHoog&lt; 250 meter</t>
  </si>
  <si>
    <t>5Dual Standard Access Dual PoPHoog&lt; 500 meter</t>
  </si>
  <si>
    <t>5Dual Standard Access Dual PoPHoog&lt; 1000 meter</t>
  </si>
  <si>
    <t>5Dual Standard Access Dual PoPMiddelOn-net</t>
  </si>
  <si>
    <t>5Dual Standard Access Dual PoPMiddel&lt; 250 meter</t>
  </si>
  <si>
    <t>5Dual Standard Access Dual PoPMiddel&lt; 500 meter</t>
  </si>
  <si>
    <t>5Dual Standard Access Dual PoPMiddel&lt; 1000 meter</t>
  </si>
  <si>
    <t>5Dual Standard Access Dual PoPLaagOn-net</t>
  </si>
  <si>
    <t>5Dual Standard Access Dual PoPLaag&lt; 250 meter</t>
  </si>
  <si>
    <t>5Dual Standard Access Dual PoPLaag&lt; 500 meter</t>
  </si>
  <si>
    <t>5Dual Standard Access Dual PoPLaag&lt; 1000 meter</t>
  </si>
  <si>
    <t>5Dual Protected Access Dual PoPHoogOn-net</t>
  </si>
  <si>
    <t>5Dual Protected Access Dual PoPHoog&lt; 250 meter</t>
  </si>
  <si>
    <t>5Dual Protected Access Dual PoPHoog&lt; 500 meter</t>
  </si>
  <si>
    <t>5Dual Protected Access Dual PoPHoog&lt; 1000 meter</t>
  </si>
  <si>
    <t>5Dual Protected Access Dual PoPMiddelOn-net</t>
  </si>
  <si>
    <t>5Dual Protected Access Dual PoPMiddel&lt; 250 meter</t>
  </si>
  <si>
    <t>5Dual Protected Access Dual PoPMiddel&lt; 500 meter</t>
  </si>
  <si>
    <t>5Dual Protected Access Dual PoPMiddel&lt; 1000 meter</t>
  </si>
  <si>
    <t>5Dual Protected Access Dual PoPLaagOn-net</t>
  </si>
  <si>
    <t>5Dual Protected Access Dual PoPLaag&lt; 250 meter</t>
  </si>
  <si>
    <t>5Dual Protected Access Dual PoPLaag&lt; 500 meter</t>
  </si>
  <si>
    <t>5Dual Protected Access Dual PoPLaag&lt; 1000 meter</t>
  </si>
  <si>
    <t>5Standard Access koper 3 MbHoogOn-net</t>
  </si>
  <si>
    <t>5Standard Access koper 3 MbHoog&lt; 250 meter</t>
  </si>
  <si>
    <t>5Standard Access koper 3 MbMiddelOn-net</t>
  </si>
  <si>
    <t>5Standard Access koper 3 MbMiddel&lt; 250 meter</t>
  </si>
  <si>
    <t>5Standard Access koper 3 MbLaagOn-net</t>
  </si>
  <si>
    <t>5Standard Access koper 3 MbLaag&lt; 250 meter</t>
  </si>
  <si>
    <t>5Standard Access koper 5 MbHoogOn-net</t>
  </si>
  <si>
    <t>5Standard Access koper 5 MbHoog&lt; 250 meter</t>
  </si>
  <si>
    <t>5Standard Access koper 5 MbMiddelOn-net</t>
  </si>
  <si>
    <t>5Standard Access koper 5 MbMiddel&lt; 250 meter</t>
  </si>
  <si>
    <t>5Standard Access koper 5 MbLaagOn-net</t>
  </si>
  <si>
    <t>5Standard Access koper 5 MbLaag&lt; 250 meter</t>
  </si>
  <si>
    <t>5Standard Access koper 10 MbHoogOn-net</t>
  </si>
  <si>
    <t>5Standard Access koper 10 MbHoog&lt; 250 meter</t>
  </si>
  <si>
    <t>5Standard Access koper 10 MbMiddelOn-net</t>
  </si>
  <si>
    <t>5Standard Access koper 10 MbMiddel&lt; 250 meter</t>
  </si>
  <si>
    <t>5Standard Access koper 10 MbLaagOn-net</t>
  </si>
  <si>
    <t>5Standard Access koper 10 MbLaag&lt; 250 meter</t>
  </si>
  <si>
    <t>5Standard Access koper 15 MbHoogOn-net</t>
  </si>
  <si>
    <t>5Standard Access koper 15 MbHoog&lt; 250 meter</t>
  </si>
  <si>
    <t>5Standard Access koper 15 MbMiddelOn-net</t>
  </si>
  <si>
    <t>5Standard Access koper 15 MbMiddel&lt; 250 meter</t>
  </si>
  <si>
    <t>5Standard Access koper 15 MbLaagOn-net</t>
  </si>
  <si>
    <t>5Standard Access koper 15 MbLaag&lt; 250 meter</t>
  </si>
  <si>
    <t>5Standard Access koper 20 MbHoogOn-net</t>
  </si>
  <si>
    <t>5Standard Access koper 20 MbHoog&lt; 250 meter</t>
  </si>
  <si>
    <t>5Standard Access koper 20 MbMiddelOn-net</t>
  </si>
  <si>
    <t>5Standard Access koper 20 MbMiddel&lt; 250 meter</t>
  </si>
  <si>
    <t>5Standard Access koper 20 MbLaagOn-net</t>
  </si>
  <si>
    <t>5Standard Access koper 20 MbLaag&lt; 250 meter</t>
  </si>
  <si>
    <t>1Standard AccessHoog≥ 1000 meter</t>
  </si>
  <si>
    <t>1Standard AccessMiddel≥ 1000 meter</t>
  </si>
  <si>
    <t>1Standard AccessLaag≥ 1000 meter</t>
  </si>
  <si>
    <t>1Protected AccessHoog≥ 1000 meter</t>
  </si>
  <si>
    <t>1Protected AccessMiddel≥ 1000 meter</t>
  </si>
  <si>
    <t>1Protected AccessLaag≥ 1000 meter</t>
  </si>
  <si>
    <t>1Dual Standard AccessHoog≥ 1000 meter</t>
  </si>
  <si>
    <t>1Dual Standard AccessMiddel≥ 1000 meter</t>
  </si>
  <si>
    <t>1Dual Standard AccessLaag≥ 1000 meter</t>
  </si>
  <si>
    <t>1Dual Protected AccessHoog≥ 1000 meter</t>
  </si>
  <si>
    <t>1Dual Protected AccessMiddel≥ 1000 meter</t>
  </si>
  <si>
    <t>1Dual Protected AccessLaag≥ 1000 meter</t>
  </si>
  <si>
    <t>1Dual Standard Access Dual PoPHoog≥ 1000 meter</t>
  </si>
  <si>
    <t>1Dual Standard Access Dual PoPMiddel≥ 1000 meter</t>
  </si>
  <si>
    <t>1Dual Standard Access Dual PoPLaag≥ 1000 meter</t>
  </si>
  <si>
    <t>1Dual Protected Access Dual PoPHoog≥ 1000 meter</t>
  </si>
  <si>
    <t>1Dual Protected Access Dual PoPMiddel≥ 1000 meter</t>
  </si>
  <si>
    <t>1Dual Protected Access Dual PoPLaag≥ 1000 meter</t>
  </si>
  <si>
    <t>1Standard Access koper 3 MbHoog≥ 1000 meter</t>
  </si>
  <si>
    <t>1Standard Access koper 3 MbMiddel≥ 1000 meter</t>
  </si>
  <si>
    <t>1Standard Access koper 3 MbLaag≥ 1000 meter</t>
  </si>
  <si>
    <t>1Standard Access koper 5 MbHoog≥ 1000 meter</t>
  </si>
  <si>
    <t>1Standard Access koper 5 MbMiddel≥ 1000 meter</t>
  </si>
  <si>
    <t>1Standard Access koper 5 MbLaag≥ 1000 meter</t>
  </si>
  <si>
    <t>1Standard Access koper 10 MbHoog≥ 1000 meter</t>
  </si>
  <si>
    <t>1Standard Access koper 10 MbMiddel≥ 1000 meter</t>
  </si>
  <si>
    <t>1Standard Access koper 10 MbLaag≥ 1000 meter</t>
  </si>
  <si>
    <t>1Standard Access koper 15 MbHoog≥ 1000 meter</t>
  </si>
  <si>
    <t>1Standard Access koper 15 MbMiddel≥ 1000 meter</t>
  </si>
  <si>
    <t>1Standard Access koper 15 MbLaag≥ 1000 meter</t>
  </si>
  <si>
    <t>1Standard Access koper 20 MbHoog≥ 1000 meter</t>
  </si>
  <si>
    <t>1Standard Access koper 20 MbMiddel≥ 1000 meter</t>
  </si>
  <si>
    <t>1Standard Access koper 20 MbLaag≥ 1000 meter</t>
  </si>
  <si>
    <t>2Standard AccessHoog≥ 1000 meter</t>
  </si>
  <si>
    <t>2Standard AccessMiddel≥ 1000 meter</t>
  </si>
  <si>
    <t>2Standard AccessLaag≥ 1000 meter</t>
  </si>
  <si>
    <t>2Protected AccessHoog≥ 1000 meter</t>
  </si>
  <si>
    <t>2Protected AccessMiddel≥ 1000 meter</t>
  </si>
  <si>
    <t>2Protected AccessLaag≥ 1000 meter</t>
  </si>
  <si>
    <t>2Dual Standard AccessHoog≥ 1000 meter</t>
  </si>
  <si>
    <t>2Dual Standard AccessMiddel≥ 1000 meter</t>
  </si>
  <si>
    <t>2Dual Standard AccessLaag≥ 1000 meter</t>
  </si>
  <si>
    <t>2Dual Protected AccessHoog≥ 1000 meter</t>
  </si>
  <si>
    <t>2Dual Protected AccessMiddel≥ 1000 meter</t>
  </si>
  <si>
    <t>2Dual Protected AccessLaag≥ 1000 meter</t>
  </si>
  <si>
    <t>2Dual Standard Access Dual PoPHoog≥ 1000 meter</t>
  </si>
  <si>
    <t>2Dual Standard Access Dual PoPMiddel≥ 1000 meter</t>
  </si>
  <si>
    <t>2Dual Standard Access Dual PoPLaag≥ 1000 meter</t>
  </si>
  <si>
    <t>2Dual Protected Access Dual PoPHoog≥ 1000 meter</t>
  </si>
  <si>
    <t>2Dual Protected Access Dual PoPMiddel≥ 1000 meter</t>
  </si>
  <si>
    <t>2Dual Protected Access Dual PoPLaag≥ 1000 meter</t>
  </si>
  <si>
    <t>2Standard Access koper 3 MbHoog≥ 1000 meter</t>
  </si>
  <si>
    <t>2Standard Access koper 3 MbMiddel≥ 1000 meter</t>
  </si>
  <si>
    <t>2Standard Access koper 3 MbLaag≥ 1000 meter</t>
  </si>
  <si>
    <t>2Standard Access koper 5 MbHoog≥ 1000 meter</t>
  </si>
  <si>
    <t>2Standard Access koper 5 MbMiddel≥ 1000 meter</t>
  </si>
  <si>
    <t>2Standard Access koper 5 MbLaag≥ 1000 meter</t>
  </si>
  <si>
    <t>2Standard Access koper 10 MbHoog≥ 1000 meter</t>
  </si>
  <si>
    <t>2Standard Access koper 10 MbMiddel≥ 1000 meter</t>
  </si>
  <si>
    <t>2Standard Access koper 10 MbLaag≥ 1000 meter</t>
  </si>
  <si>
    <t>2Standard Access koper 15 MbHoog≥ 1000 meter</t>
  </si>
  <si>
    <t>2Standard Access koper 15 MbMiddel≥ 1000 meter</t>
  </si>
  <si>
    <t>2Standard Access koper 15 MbLaag≥ 1000 meter</t>
  </si>
  <si>
    <t>2Standard Access koper 20 MbHoog≥ 1000 meter</t>
  </si>
  <si>
    <t>2Standard Access koper 20 MbMiddel≥ 1000 meter</t>
  </si>
  <si>
    <t>2Standard Access koper 20 MbLaag≥ 1000 meter</t>
  </si>
  <si>
    <t>3Standard AccessHoog≥ 1000 meter</t>
  </si>
  <si>
    <t>3Standard AccessMiddel≥ 1000 meter</t>
  </si>
  <si>
    <t>3Standard AccessLaag≥ 1000 meter</t>
  </si>
  <si>
    <t>3Protected AccessHoog≥ 1000 meter</t>
  </si>
  <si>
    <t>3Protected AccessMiddel≥ 1000 meter</t>
  </si>
  <si>
    <t>3Protected AccessLaag≥ 1000 meter</t>
  </si>
  <si>
    <t>3Dual Standard AccessHoog≥ 1000 meter</t>
  </si>
  <si>
    <t>3Dual Standard AccessMiddel≥ 1000 meter</t>
  </si>
  <si>
    <t>3Dual Standard AccessLaag≥ 1000 meter</t>
  </si>
  <si>
    <t>3Dual Protected AccessHoog≥ 1000 meter</t>
  </si>
  <si>
    <t>3Dual Protected AccessMiddel≥ 1000 meter</t>
  </si>
  <si>
    <t>3Dual Protected AccessLaag≥ 1000 meter</t>
  </si>
  <si>
    <t>3Dual Standard Access Dual PoPHoog≥ 1000 meter</t>
  </si>
  <si>
    <t>3Dual Standard Access Dual PoPMiddel≥ 1000 meter</t>
  </si>
  <si>
    <t>3Dual Standard Access Dual PoPLaag≥ 1000 meter</t>
  </si>
  <si>
    <t>3Dual Protected Access Dual PoPHoog≥ 1000 meter</t>
  </si>
  <si>
    <t>3Dual Protected Access Dual PoPMiddel≥ 1000 meter</t>
  </si>
  <si>
    <t>3Dual Protected Access Dual PoPLaag≥ 1000 meter</t>
  </si>
  <si>
    <t>3Standard Access koper 3 MbHoog≥ 1000 meter</t>
  </si>
  <si>
    <t>3Standard Access koper 3 MbMiddel≥ 1000 meter</t>
  </si>
  <si>
    <t>3Standard Access koper 3 MbLaag≥ 1000 meter</t>
  </si>
  <si>
    <t>3Standard Access koper 5 MbHoog≥ 1000 meter</t>
  </si>
  <si>
    <t>3Standard Access koper 5 MbMiddel≥ 1000 meter</t>
  </si>
  <si>
    <t>3Standard Access koper 5 MbLaag≥ 1000 meter</t>
  </si>
  <si>
    <t>3Standard Access koper 10 MbHoog≥ 1000 meter</t>
  </si>
  <si>
    <t>3Standard Access koper 10 MbMiddel≥ 1000 meter</t>
  </si>
  <si>
    <t>3Standard Access koper 10 MbLaag≥ 1000 meter</t>
  </si>
  <si>
    <t>3Standard Access koper 15 MbHoog≥ 1000 meter</t>
  </si>
  <si>
    <t>3Standard Access koper 15 MbMiddel≥ 1000 meter</t>
  </si>
  <si>
    <t>3Standard Access koper 15 MbLaag≥ 1000 meter</t>
  </si>
  <si>
    <t>3Standard Access koper 20 MbHoog≥ 1000 meter</t>
  </si>
  <si>
    <t>3Standard Access koper 20 MbMiddel≥ 1000 meter</t>
  </si>
  <si>
    <t>3Standard Access koper 20 MbLaag≥ 1000 meter</t>
  </si>
  <si>
    <t>4Standard AccessHoog≥ 1000 meter</t>
  </si>
  <si>
    <t>4Standard AccessMiddel≥ 1000 meter</t>
  </si>
  <si>
    <t>4Standard AccessLaag≥ 1000 meter</t>
  </si>
  <si>
    <t>4Protected AccessHoog≥ 1000 meter</t>
  </si>
  <si>
    <t>4Protected AccessMiddel≥ 1000 meter</t>
  </si>
  <si>
    <t>4Protected AccessLaag≥ 1000 meter</t>
  </si>
  <si>
    <t>4Dual Standard AccessHoog≥ 1000 meter</t>
  </si>
  <si>
    <t>4Dual Standard AccessMiddel≥ 1000 meter</t>
  </si>
  <si>
    <t>4Dual Standard AccessLaag≥ 1000 meter</t>
  </si>
  <si>
    <t>4Dual Protected AccessHoog≥ 1000 meter</t>
  </si>
  <si>
    <t>4Dual Protected AccessMiddel≥ 1000 meter</t>
  </si>
  <si>
    <t>4Dual Protected AccessLaag≥ 1000 meter</t>
  </si>
  <si>
    <t>4Dual Standard Access Dual PoPHoog≥ 1000 meter</t>
  </si>
  <si>
    <t>4Dual Standard Access Dual PoPMiddel≥ 1000 meter</t>
  </si>
  <si>
    <t>4Dual Standard Access Dual PoPLaag≥ 1000 meter</t>
  </si>
  <si>
    <t>4Dual Protected Access Dual PoPHoog≥ 1000 meter</t>
  </si>
  <si>
    <t>4Dual Protected Access Dual PoPMiddel≥ 1000 meter</t>
  </si>
  <si>
    <t>4Dual Protected Access Dual PoPLaag≥ 1000 meter</t>
  </si>
  <si>
    <t>4Standard Access koper 3 MbHoog≥ 1000 meter</t>
  </si>
  <si>
    <t>4Standard Access koper 3 MbMiddel≥ 1000 meter</t>
  </si>
  <si>
    <t>4Standard Access koper 3 MbLaag≥ 1000 meter</t>
  </si>
  <si>
    <t>4Standard Access koper 5 MbHoog≥ 1000 meter</t>
  </si>
  <si>
    <t>4Standard Access koper 5 MbMiddel≥ 1000 meter</t>
  </si>
  <si>
    <t>4Standard Access koper 5 MbLaag≥ 1000 meter</t>
  </si>
  <si>
    <t>4Standard Access koper 10 MbHoog≥ 1000 meter</t>
  </si>
  <si>
    <t>4Standard Access koper 10 MbMiddel≥ 1000 meter</t>
  </si>
  <si>
    <t>4Standard Access koper 10 MbLaag≥ 1000 meter</t>
  </si>
  <si>
    <t>4Standard Access koper 15 MbHoog≥ 1000 meter</t>
  </si>
  <si>
    <t>4Standard Access koper 15 MbMiddel≥ 1000 meter</t>
  </si>
  <si>
    <t>4Standard Access koper 15 MbLaag≥ 1000 meter</t>
  </si>
  <si>
    <t>4Standard Access koper 20 MbHoog≥ 1000 meter</t>
  </si>
  <si>
    <t>4Standard Access koper 20 MbMiddel≥ 1000 meter</t>
  </si>
  <si>
    <t>4Standard Access koper 20 MbLaag≥ 1000 meter</t>
  </si>
  <si>
    <t>5Standard AccessHoog≥ 1000 meter</t>
  </si>
  <si>
    <t>5Standard AccessMiddel≥ 1000 meter</t>
  </si>
  <si>
    <t>5Standard AccessLaag≥ 1000 meter</t>
  </si>
  <si>
    <t>5Protected AccessHoog≥ 1000 meter</t>
  </si>
  <si>
    <t>5Protected AccessMiddel≥ 1000 meter</t>
  </si>
  <si>
    <t>5Protected AccessLaag≥ 1000 meter</t>
  </si>
  <si>
    <t>5Dual Standard AccessHoog≥ 1000 meter</t>
  </si>
  <si>
    <t>5Dual Standard AccessMiddel≥ 1000 meter</t>
  </si>
  <si>
    <t>5Dual Standard AccessLaag≥ 1000 meter</t>
  </si>
  <si>
    <t>5Dual Protected AccessHoog≥ 1000 meter</t>
  </si>
  <si>
    <t>5Dual Protected AccessMiddel≥ 1000 meter</t>
  </si>
  <si>
    <t>5Dual Protected AccessLaag≥ 1000 meter</t>
  </si>
  <si>
    <t>5Dual Standard Access Dual PoPHoog≥ 1000 meter</t>
  </si>
  <si>
    <t>5Dual Standard Access Dual PoPMiddel≥ 1000 meter</t>
  </si>
  <si>
    <t>5Dual Standard Access Dual PoPLaag≥ 1000 meter</t>
  </si>
  <si>
    <t>5Dual Protected Access Dual PoPHoog≥ 1000 meter</t>
  </si>
  <si>
    <t>5Dual Protected Access Dual PoPMiddel≥ 1000 meter</t>
  </si>
  <si>
    <t>5Dual Protected Access Dual PoPLaag≥ 1000 meter</t>
  </si>
  <si>
    <t>5Standard Access koper 3 MbHoog≥ 1000 meter</t>
  </si>
  <si>
    <t>5Standard Access koper 3 MbMiddel≥ 1000 meter</t>
  </si>
  <si>
    <t>5Standard Access koper 3 MbLaag≥ 1000 meter</t>
  </si>
  <si>
    <t>5Standard Access koper 5 MbHoog≥ 1000 meter</t>
  </si>
  <si>
    <t>5Standard Access koper 5 MbMiddel≥ 1000 meter</t>
  </si>
  <si>
    <t>5Standard Access koper 5 MbLaag≥ 1000 meter</t>
  </si>
  <si>
    <t>5Standard Access koper 10 MbHoog≥ 1000 meter</t>
  </si>
  <si>
    <t>5Standard Access koper 10 MbMiddel≥ 1000 meter</t>
  </si>
  <si>
    <t>5Standard Access koper 10 MbLaag≥ 1000 meter</t>
  </si>
  <si>
    <t>5Standard Access koper 15 MbHoog≥ 1000 meter</t>
  </si>
  <si>
    <t>5Standard Access koper 15 MbMiddel≥ 1000 meter</t>
  </si>
  <si>
    <t>5Standard Access koper 15 MbLaag≥ 1000 meter</t>
  </si>
  <si>
    <t>5Standard Access koper 20 MbHoog≥ 1000 meter</t>
  </si>
  <si>
    <t>5Standard Access koper 20 MbMiddel≥ 1000 meter</t>
  </si>
  <si>
    <t>5Standard Access koper 20 MbLaag≥ 1000 meter</t>
  </si>
  <si>
    <t>1Straal AccessHoogOn-net</t>
  </si>
  <si>
    <t>1Straal AccessHoog&lt; 250 meter</t>
  </si>
  <si>
    <t>1Straal AccessHoog&lt; 500 meter</t>
  </si>
  <si>
    <t>1Straal AccessHoog&lt; 1000 meter</t>
  </si>
  <si>
    <t>1Straal AccessHoog≥ 1000 meter</t>
  </si>
  <si>
    <t>Straal Access ≥ 1000 meter</t>
  </si>
  <si>
    <t>1Straal AccessMiddelOn-net</t>
  </si>
  <si>
    <t>1Straal AccessMiddel&lt; 250 meter</t>
  </si>
  <si>
    <t>1Straal AccessMiddel&lt; 500 meter</t>
  </si>
  <si>
    <t>1Straal AccessMiddel&lt; 1000 meter</t>
  </si>
  <si>
    <t>1Straal AccessMiddel≥ 1000 meter</t>
  </si>
  <si>
    <t>1Straal AccessLaagOn-net</t>
  </si>
  <si>
    <t>1Straal AccessLaag&lt; 250 meter</t>
  </si>
  <si>
    <t>1Straal AccessLaag&lt; 500 meter</t>
  </si>
  <si>
    <t>1Straal AccessLaag&lt; 1000 meter</t>
  </si>
  <si>
    <t>1Straal AccessLaag≥ 1000 meter</t>
  </si>
  <si>
    <t>2Straal AccessHoogOn-net</t>
  </si>
  <si>
    <t>2Straal AccessHoog&lt; 250 meter</t>
  </si>
  <si>
    <t>2Straal AccessHoog&lt; 500 meter</t>
  </si>
  <si>
    <t>2Straal AccessHoog&lt; 1000 meter</t>
  </si>
  <si>
    <t>2Straal AccessHoog≥ 1000 meter</t>
  </si>
  <si>
    <t>2Straal AccessMiddelOn-net</t>
  </si>
  <si>
    <t>2Straal AccessMiddel&lt; 250 meter</t>
  </si>
  <si>
    <t>2Straal AccessMiddel&lt; 500 meter</t>
  </si>
  <si>
    <t>2Straal AccessMiddel&lt; 1000 meter</t>
  </si>
  <si>
    <t>2Straal AccessMiddel≥ 1000 meter</t>
  </si>
  <si>
    <t>2Straal AccessLaagOn-net</t>
  </si>
  <si>
    <t>2Straal AccessLaag&lt; 250 meter</t>
  </si>
  <si>
    <t>2Straal AccessLaag&lt; 500 meter</t>
  </si>
  <si>
    <t>2Straal AccessLaag&lt; 1000 meter</t>
  </si>
  <si>
    <t>2Straal AccessLaag≥ 1000 meter</t>
  </si>
  <si>
    <t>3Straal AccessHoogOn-net</t>
  </si>
  <si>
    <t>3Straal AccessHoog&lt; 250 meter</t>
  </si>
  <si>
    <t>3Straal AccessHoog&lt; 500 meter</t>
  </si>
  <si>
    <t>3Straal AccessHoog&lt; 1000 meter</t>
  </si>
  <si>
    <t>3Straal AccessHoog≥ 1000 meter</t>
  </si>
  <si>
    <t>3Straal AccessMiddelOn-net</t>
  </si>
  <si>
    <t>3Straal AccessMiddel&lt; 250 meter</t>
  </si>
  <si>
    <t>3Straal AccessMiddel&lt; 500 meter</t>
  </si>
  <si>
    <t>3Straal AccessMiddel&lt; 1000 meter</t>
  </si>
  <si>
    <t>3Straal AccessMiddel≥ 1000 meter</t>
  </si>
  <si>
    <t>3Straal AccessLaagOn-net</t>
  </si>
  <si>
    <t>3Straal AccessLaag&lt; 250 meter</t>
  </si>
  <si>
    <t>3Straal AccessLaag&lt; 500 meter</t>
  </si>
  <si>
    <t>3Straal AccessLaag&lt; 1000 meter</t>
  </si>
  <si>
    <t>3Straal AccessLaag≥ 1000 meter</t>
  </si>
  <si>
    <t>4Straal AccessHoogOn-net</t>
  </si>
  <si>
    <t>4Straal AccessHoog&lt; 250 meter</t>
  </si>
  <si>
    <t>4Straal AccessHoog&lt; 500 meter</t>
  </si>
  <si>
    <t>4Straal AccessHoog&lt; 1000 meter</t>
  </si>
  <si>
    <t>4Straal AccessHoog≥ 1000 meter</t>
  </si>
  <si>
    <t>4Straal AccessMiddelOn-net</t>
  </si>
  <si>
    <t>4Straal AccessMiddel&lt; 250 meter</t>
  </si>
  <si>
    <t>4Straal AccessMiddel&lt; 500 meter</t>
  </si>
  <si>
    <t>4Straal AccessMiddel&lt; 1000 meter</t>
  </si>
  <si>
    <t>4Straal AccessMiddel≥ 1000 meter</t>
  </si>
  <si>
    <t>4Straal AccessLaagOn-net</t>
  </si>
  <si>
    <t>4Straal AccessLaag&lt; 250 meter</t>
  </si>
  <si>
    <t>4Straal AccessLaag&lt; 500 meter</t>
  </si>
  <si>
    <t>4Straal AccessLaag&lt; 1000 meter</t>
  </si>
  <si>
    <t>4Straal AccessLaag≥ 1000 meter</t>
  </si>
  <si>
    <t>5Straal AccessHoogOn-net</t>
  </si>
  <si>
    <t>5Straal AccessHoog&lt; 250 meter</t>
  </si>
  <si>
    <t>5Straal AccessHoog&lt; 500 meter</t>
  </si>
  <si>
    <t>5Straal AccessHoog&lt; 1000 meter</t>
  </si>
  <si>
    <t>5Straal AccessHoog≥ 1000 meter</t>
  </si>
  <si>
    <t>5Straal AccessMiddelOn-net</t>
  </si>
  <si>
    <t>5Straal AccessMiddel&lt; 250 meter</t>
  </si>
  <si>
    <t>5Straal AccessMiddel&lt; 500 meter</t>
  </si>
  <si>
    <t>5Straal AccessMiddel&lt; 1000 meter</t>
  </si>
  <si>
    <t>5Straal AccessMiddel≥ 1000 meter</t>
  </si>
  <si>
    <t>5Straal AccessLaagOn-net</t>
  </si>
  <si>
    <t>5Straal AccessLaag&lt; 250 meter</t>
  </si>
  <si>
    <t>5Straal AccessLaag&lt; 500 meter</t>
  </si>
  <si>
    <t>5Straal AccessLaag&lt; 1000 meter</t>
  </si>
  <si>
    <t>5Straal AccessLaag≥ 1000 meter</t>
  </si>
  <si>
    <t>VPN</t>
  </si>
  <si>
    <t>2de1EVPNPremiumCity1</t>
  </si>
  <si>
    <t>2de VPN</t>
  </si>
  <si>
    <t>2de1</t>
  </si>
  <si>
    <t>PremiumCity1</t>
  </si>
  <si>
    <t>2de1EVPNPremiumCity2</t>
  </si>
  <si>
    <t>PremiumCity2</t>
  </si>
  <si>
    <t>2de1EVPNPremiumCity4</t>
  </si>
  <si>
    <t>PremiumCity4</t>
  </si>
  <si>
    <t>2de1EVPNPremiumRegionaal1</t>
  </si>
  <si>
    <t>PremiumRegionaal1</t>
  </si>
  <si>
    <t>2de1EVPNPremiumRegionaal2</t>
  </si>
  <si>
    <t>PremiumRegionaal2</t>
  </si>
  <si>
    <t>2de1EVPNPremiumRegionaal4</t>
  </si>
  <si>
    <t>PremiumRegionaal4</t>
  </si>
  <si>
    <t>2de1EVPNPremiumNationaal1</t>
  </si>
  <si>
    <t>PremiumNationaal1</t>
  </si>
  <si>
    <t>2de1EVPNPremiumNationaal2</t>
  </si>
  <si>
    <t>PremiumNationaal2</t>
  </si>
  <si>
    <t>2de1EVPNPremiumNationaal4</t>
  </si>
  <si>
    <t>PremiumNationaal4</t>
  </si>
  <si>
    <t>2de1EVPNPremiumInternationaal1</t>
  </si>
  <si>
    <t>PremiumInternationaal1</t>
  </si>
  <si>
    <t>2de1EVPNPremiumInternationaal2</t>
  </si>
  <si>
    <t>PremiumInternationaal2</t>
  </si>
  <si>
    <t>2de1EVPNPremiumInternationaal4</t>
  </si>
  <si>
    <t>PremiumInternationaal4</t>
  </si>
  <si>
    <t>2de2EVPNPremiumCity1</t>
  </si>
  <si>
    <t>2de2</t>
  </si>
  <si>
    <t>2de2EVPNPremiumCity2</t>
  </si>
  <si>
    <t>2de2EVPNPremiumCity4</t>
  </si>
  <si>
    <t>2de2EVPNPremiumRegionaal1</t>
  </si>
  <si>
    <t>2de2EVPNPremiumRegionaal2</t>
  </si>
  <si>
    <t>2de2EVPNPremiumRegionaal4</t>
  </si>
  <si>
    <t>2de2EVPNPremiumNationaal1</t>
  </si>
  <si>
    <t>2de2EVPNPremiumNationaal2</t>
  </si>
  <si>
    <t>2de2EVPNPremiumNationaal4</t>
  </si>
  <si>
    <t>2de2EVPNPremiumInternationaal1</t>
  </si>
  <si>
    <t>2de2EVPNPremiumInternationaal2</t>
  </si>
  <si>
    <t>2de2EVPNPremiumInternationaal4</t>
  </si>
  <si>
    <t>2de3EVPNPremiumCity1</t>
  </si>
  <si>
    <t>2de3</t>
  </si>
  <si>
    <t>2de3EVPNPremiumCity2</t>
  </si>
  <si>
    <t>2de3EVPNPremiumCity4</t>
  </si>
  <si>
    <t>2de3EVPNPremiumRegionaal1</t>
  </si>
  <si>
    <t>2de3EVPNPremiumRegionaal2</t>
  </si>
  <si>
    <t>2de3EVPNPremiumRegionaal4</t>
  </si>
  <si>
    <t>2de3EVPNPremiumNationaal1</t>
  </si>
  <si>
    <t>2de3EVPNPremiumNationaal2</t>
  </si>
  <si>
    <t>2de3EVPNPremiumNationaal4</t>
  </si>
  <si>
    <t>2de3EVPNPremiumInternationaal1</t>
  </si>
  <si>
    <t>2de3EVPNPremiumInternationaal2</t>
  </si>
  <si>
    <t>2de3EVPNPremiumInternationaal4</t>
  </si>
  <si>
    <t>2de4EVPNPremiumCity1</t>
  </si>
  <si>
    <t>2de4</t>
  </si>
  <si>
    <t>2de4EVPNPremiumCity2</t>
  </si>
  <si>
    <t>2de4EVPNPremiumCity4</t>
  </si>
  <si>
    <t>2de4EVPNPremiumRegionaal1</t>
  </si>
  <si>
    <t>2de4EVPNPremiumRegionaal2</t>
  </si>
  <si>
    <t>2de4EVPNPremiumRegionaal4</t>
  </si>
  <si>
    <t>2de4EVPNPremiumNationaal1</t>
  </si>
  <si>
    <t>2de4EVPNPremiumNationaal2</t>
  </si>
  <si>
    <t>2de4EVPNPremiumNationaal4</t>
  </si>
  <si>
    <t>2de4EVPNPremiumInternationaal1</t>
  </si>
  <si>
    <t>2de4EVPNPremiumInternationaal2</t>
  </si>
  <si>
    <t>2de4EVPNPremiumInternationaal4</t>
  </si>
  <si>
    <t>2de5EVPNPremiumCity1</t>
  </si>
  <si>
    <t>2de5</t>
  </si>
  <si>
    <t>2de5EVPNPremiumCity2</t>
  </si>
  <si>
    <t>2de5EVPNPremiumCity4</t>
  </si>
  <si>
    <t>2de5EVPNPremiumRegionaal1</t>
  </si>
  <si>
    <t>2de5EVPNPremiumRegionaal2</t>
  </si>
  <si>
    <t>2de5EVPNPremiumRegionaal4</t>
  </si>
  <si>
    <t>2de5EVPNPremiumNationaal1</t>
  </si>
  <si>
    <t>2de5EVPNPremiumNationaal2</t>
  </si>
  <si>
    <t>2de5EVPNPremiumNationaal4</t>
  </si>
  <si>
    <t>2de5EVPNPremiumInternationaal1</t>
  </si>
  <si>
    <t>2de5EVPNPremiumInternationaal2</t>
  </si>
  <si>
    <t>2de5EVPNPremiumInternationaal4</t>
  </si>
  <si>
    <t>2de1FttOPremiumCity1</t>
  </si>
  <si>
    <t>2de1FttOPremiumCity2</t>
  </si>
  <si>
    <t>2de1FttOPremiumCity4</t>
  </si>
  <si>
    <t>2de1FttOPremiumRegionaal1</t>
  </si>
  <si>
    <t>2de1FttOPremiumRegionaal2</t>
  </si>
  <si>
    <t>2de1FttOPremiumRegionaal4</t>
  </si>
  <si>
    <t>2de1FttOPremiumNationaal1</t>
  </si>
  <si>
    <t>2de1FttOPremiumNationaal2</t>
  </si>
  <si>
    <t>2de1FttOPremiumNationaal4</t>
  </si>
  <si>
    <t>2de1FttOPremiumInternationaal1</t>
  </si>
  <si>
    <t>2de1FttOPremiumInternationaal2</t>
  </si>
  <si>
    <t>2de1FttOPremiumInternationaal4</t>
  </si>
  <si>
    <t>2de2FttOPremiumCity1</t>
  </si>
  <si>
    <t>2de2FttOPremiumCity2</t>
  </si>
  <si>
    <t>2de2FttOPremiumCity4</t>
  </si>
  <si>
    <t>2de2FttOPremiumRegionaal1</t>
  </si>
  <si>
    <t>2de2FttOPremiumRegionaal2</t>
  </si>
  <si>
    <t>2de2FttOPremiumRegionaal4</t>
  </si>
  <si>
    <t>2de2FttOPremiumNationaal1</t>
  </si>
  <si>
    <t>2de2FttOPremiumNationaal2</t>
  </si>
  <si>
    <t>2de2FttOPremiumNationaal4</t>
  </si>
  <si>
    <t>2de2FttOPremiumInternationaal1</t>
  </si>
  <si>
    <t>2de2FttOPremiumInternationaal2</t>
  </si>
  <si>
    <t>2de2FttOPremiumInternationaal4</t>
  </si>
  <si>
    <t>2de3FttOPremiumCity1</t>
  </si>
  <si>
    <t>2de3FttOPremiumCity2</t>
  </si>
  <si>
    <t>2de3FttOPremiumCity4</t>
  </si>
  <si>
    <t>2de3FttOPremiumRegionaal1</t>
  </si>
  <si>
    <t>2de3FttOPremiumRegionaal2</t>
  </si>
  <si>
    <t>2de3FttOPremiumRegionaal4</t>
  </si>
  <si>
    <t>2de3FttOPremiumNationaal1</t>
  </si>
  <si>
    <t>2de3FttOPremiumNationaal2</t>
  </si>
  <si>
    <t>2de3FttOPremiumNationaal4</t>
  </si>
  <si>
    <t>2de3FttOPremiumInternationaal1</t>
  </si>
  <si>
    <t>2de3FttOPremiumInternationaal2</t>
  </si>
  <si>
    <t>2de3FttOPremiumInternationaal4</t>
  </si>
  <si>
    <t>2de4FttOPremiumCity1</t>
  </si>
  <si>
    <t>2de4FttOPremiumCity2</t>
  </si>
  <si>
    <t>2de4FttOPremiumCity4</t>
  </si>
  <si>
    <t>2de4FttOPremiumRegionaal1</t>
  </si>
  <si>
    <t>2de4FttOPremiumRegionaal2</t>
  </si>
  <si>
    <t>2de4FttOPremiumRegionaal4</t>
  </si>
  <si>
    <t>2de4FttOPremiumNationaal1</t>
  </si>
  <si>
    <t>2de4FttOPremiumNationaal2</t>
  </si>
  <si>
    <t>2de4FttOPremiumNationaal4</t>
  </si>
  <si>
    <t>2de4FttOPremiumInternationaal1</t>
  </si>
  <si>
    <t>2de4FttOPremiumInternationaal2</t>
  </si>
  <si>
    <t>2de4FttOPremiumInternationaal4</t>
  </si>
  <si>
    <t>2de5FttOPremiumCity1</t>
  </si>
  <si>
    <t>2de5FttOPremiumCity2</t>
  </si>
  <si>
    <t>2de5FttOPremiumCity4</t>
  </si>
  <si>
    <t>2de5FttOPremiumRegionaal1</t>
  </si>
  <si>
    <t>2de5FttOPremiumRegionaal2</t>
  </si>
  <si>
    <t>2de5FttOPremiumRegionaal4</t>
  </si>
  <si>
    <t>2de5FttOPremiumNationaal1</t>
  </si>
  <si>
    <t>2de5FttOPremiumNationaal2</t>
  </si>
  <si>
    <t>2de5FttOPremiumNationaal4</t>
  </si>
  <si>
    <t>2de5FttOPremiumInternationaal1</t>
  </si>
  <si>
    <t>2de5FttOPremiumInternationaal2</t>
  </si>
  <si>
    <t>2de5FttOPremiumInternationaal4</t>
  </si>
  <si>
    <t>Additionaal SLA required for advanced SLA</t>
  </si>
  <si>
    <t>alleen voor EoK single copper</t>
  </si>
  <si>
    <t>bron "ND5 voor NLS3"(CCvBatenburg), dd 14-10-2015</t>
  </si>
  <si>
    <t>kosten NLS3 &gt; 125 m</t>
  </si>
  <si>
    <t>VW middelste tariefklasse (presentatie Carel 14 oktober); exclusief NLS1</t>
  </si>
  <si>
    <t>frequentie</t>
  </si>
  <si>
    <t>NLS kosten</t>
  </si>
  <si>
    <t>sleutel</t>
  </si>
  <si>
    <t>NLS1</t>
  </si>
  <si>
    <t>NLS2</t>
  </si>
  <si>
    <t>NLS3 &lt;25m</t>
  </si>
  <si>
    <t>NLS3 25-125m</t>
  </si>
  <si>
    <t>NLS3 &gt;125m</t>
  </si>
  <si>
    <t>gem kosten NLSx EoK</t>
  </si>
  <si>
    <t>NLSx EoK</t>
  </si>
  <si>
    <t>VVE connect (incl NLSx)</t>
  </si>
  <si>
    <t>Advanced SLA for single copper EuA</t>
  </si>
  <si>
    <t xml:space="preserve"> 1-2Mbit/s</t>
  </si>
  <si>
    <t>Anti DDOS</t>
  </si>
  <si>
    <t xml:space="preserve">Anti DDOS platformkosten </t>
  </si>
  <si>
    <t>premium</t>
  </si>
  <si>
    <t>per mnd/klant</t>
  </si>
  <si>
    <t>basic</t>
  </si>
  <si>
    <t>Helpdesk</t>
  </si>
  <si>
    <t>Dcconnect</t>
  </si>
  <si>
    <t>Datacenter_Connect_10Mbps_single</t>
  </si>
  <si>
    <t>Datacenter_Connect_100Mbps_single</t>
  </si>
  <si>
    <t>Datacenter_Connect_400Mbps_single</t>
  </si>
  <si>
    <t>Datacenter_Connect_1Gbps_single</t>
  </si>
  <si>
    <t>Datacenter_Connect_10Mbps_redundant</t>
  </si>
  <si>
    <t>Datacenter_Connect_100Mbps_redundant</t>
  </si>
  <si>
    <t>Datacenter_Connect_400Mbps_redundant</t>
  </si>
  <si>
    <t>Datacenter_Connect_1Gbps_redundant</t>
  </si>
  <si>
    <t>EDC minus maandbedragen resp LRIC maandbedragen incl en excl TH, E, SEV (interpolatie 2017 uit 2015 en 2018)</t>
  </si>
  <si>
    <t>kosten vvv</t>
  </si>
  <si>
    <t>kosten vve</t>
  </si>
  <si>
    <t>kosten vva t/m MC ex vva TH, E en SEV</t>
  </si>
  <si>
    <t>kosten vva TH t/m MC</t>
  </si>
  <si>
    <t>kosten vva E t/m MC</t>
  </si>
  <si>
    <t>kosten vva SEV t/m MC</t>
  </si>
  <si>
    <t>TH t/m MC in m2</t>
  </si>
  <si>
    <t>kWh E t/m MC</t>
  </si>
  <si>
    <t>kosten vva MC tot core incl TH, E, SEV</t>
  </si>
  <si>
    <t>kosten vva core +wap incl TH, E, SEV</t>
  </si>
  <si>
    <t>WBA FTTH</t>
  </si>
  <si>
    <t>WBA FTTC</t>
  </si>
  <si>
    <t>WBA SDSL</t>
  </si>
  <si>
    <t>WBA VULA (mix van wba co en wba fttc)</t>
  </si>
  <si>
    <t>WBA ETN p2p  met geschat verbruik</t>
  </si>
  <si>
    <t>WBA ETN p2p  met geschat verbruik pb</t>
  </si>
  <si>
    <t>EOK gemiddeld</t>
  </si>
  <si>
    <t>EOK tot 2,3 Mb met één koperpaar</t>
  </si>
  <si>
    <t>EOK tot 3 Mb</t>
  </si>
  <si>
    <t>EOK tot 5 Mb</t>
  </si>
  <si>
    <t>EOK tot 10 Mb</t>
  </si>
  <si>
    <t>EOK tot 15 Mb</t>
  </si>
  <si>
    <t>EOK tot 20 Mb</t>
  </si>
  <si>
    <t>verkeer evkc to evkc</t>
  </si>
  <si>
    <t>verkeer evkc to host</t>
  </si>
  <si>
    <t>verkeer access netwerk  host</t>
  </si>
  <si>
    <t>verkeer voice carrier systeem</t>
  </si>
  <si>
    <t>verkeer premium transit</t>
  </si>
  <si>
    <t>tdm poort 2mbits</t>
  </si>
  <si>
    <t>isdn 1/2 lijnkaart</t>
  </si>
  <si>
    <t>isdn 15/20/30 lijnkaart</t>
  </si>
  <si>
    <t>pstn lijnkaart</t>
  </si>
  <si>
    <t>hdsl modem isdn 15/20/30</t>
  </si>
  <si>
    <t>vaste transmissie mobiel data</t>
  </si>
  <si>
    <t>vaste transmissie mobiel sms</t>
  </si>
  <si>
    <t>vaste transmissie mobiel spraak</t>
  </si>
  <si>
    <t>radionet mobiel data</t>
  </si>
  <si>
    <t>radionet mobiel sms</t>
  </si>
  <si>
    <t>radionet mobiel spraak</t>
  </si>
  <si>
    <t>broadcast platform kpn retail</t>
  </si>
  <si>
    <t>broadcast platform kpn whs</t>
  </si>
  <si>
    <t>broadcast transport</t>
  </si>
  <si>
    <t>unicast platform</t>
  </si>
  <si>
    <t>w.v.unicast npvr</t>
  </si>
  <si>
    <t>w.v. unicast vod</t>
  </si>
  <si>
    <t>ILL 2048 kbit/s lokaal collo</t>
  </si>
  <si>
    <t>ILL 2048 kbit/s lokaal telco (incl LEP/CP)</t>
  </si>
  <si>
    <t>ILL 2048 kbit/s regionaal collo</t>
  </si>
  <si>
    <t>ILL 2048 kbit/s regionaal telco (incl LEP/CP)</t>
  </si>
  <si>
    <t>ILL 2 Mbit/s (VC12) AP-CP</t>
  </si>
  <si>
    <t>ILLP 34 Mbit/s (VC3) AP-CP</t>
  </si>
  <si>
    <t>ILL 155 Mbit/s (VC4) AP-CP</t>
  </si>
  <si>
    <t>ILL 622 Mbit/s (4*STM1) UTN-A PAN(SDH)</t>
  </si>
  <si>
    <t>ILL tie cable</t>
  </si>
  <si>
    <t>ILL 2 Mbit/s CP CP</t>
  </si>
  <si>
    <t>ILL 34 Mbit/s (VC3) CP-CP</t>
  </si>
  <si>
    <t>ILL 155 Mbit/s CP_CP</t>
  </si>
  <si>
    <t>CPA 34 mbits</t>
  </si>
  <si>
    <t>CPA 155 mbits</t>
  </si>
  <si>
    <t>CPA 622 mbits</t>
  </si>
  <si>
    <t>CPA 2500 mbits</t>
  </si>
  <si>
    <t>CPA afstapelpunt</t>
  </si>
  <si>
    <t>dark fiber e2e excl odf per stuk</t>
  </si>
  <si>
    <t>dark fiber per km vezelpaar boven MB</t>
  </si>
  <si>
    <t>WDM segment t/m 2,5G passief metro</t>
  </si>
  <si>
    <t>WDM segment t/m 2,5G metro regionaal</t>
  </si>
  <si>
    <t>WDM segment t/m 2,5G regionaal nationaal</t>
  </si>
  <si>
    <t>WDM segment 10G passief metro</t>
  </si>
  <si>
    <t>WDM segment 10G metro regionaal</t>
  </si>
  <si>
    <t>WDM segment 10G regionaal nationaal</t>
  </si>
  <si>
    <t>generiek IP platform per 10GB</t>
  </si>
  <si>
    <t>Anti DDOS platformkosten premium</t>
  </si>
  <si>
    <t>Anti DDOS platformkosten basic</t>
  </si>
  <si>
    <t>Helpdesk premium</t>
  </si>
  <si>
    <t>Helpdesk basic</t>
  </si>
  <si>
    <t>TH in MC  in m2</t>
  </si>
  <si>
    <t>kWh E in MC</t>
  </si>
  <si>
    <t>WETS TH, E in MC (is gehalveerd, moet nog * 3,8 volgens berekening Carel)</t>
  </si>
  <si>
    <t>1.</t>
  </si>
  <si>
    <t>Generieke parameters</t>
  </si>
  <si>
    <t xml:space="preserve"> Contractsduur per Service</t>
  </si>
  <si>
    <t>Contractsduur (mnd)</t>
  </si>
  <si>
    <t xml:space="preserve">2. </t>
  </si>
  <si>
    <t>Verkeersparameters</t>
  </si>
  <si>
    <t>WAP verkeer per aansluiting</t>
  </si>
  <si>
    <t>kbps</t>
  </si>
  <si>
    <t xml:space="preserve">3. </t>
  </si>
  <si>
    <t>Mix van NLS1/2/3</t>
  </si>
  <si>
    <t>Mix van NLS varianten op basis van CARE</t>
  </si>
  <si>
    <t>NLS3 25-125m tarief</t>
  </si>
  <si>
    <t>+ NLS1 tarief</t>
  </si>
  <si>
    <t>MDF NLS1/2/3 mix tarief</t>
  </si>
  <si>
    <t>MDF PB NLS1/2/3 mix tarief</t>
  </si>
  <si>
    <t>4.</t>
  </si>
  <si>
    <t>ODF FTTH parameters</t>
  </si>
  <si>
    <t>Totaal Homes Activated</t>
  </si>
  <si>
    <t>Homes activated KPN/RFW</t>
  </si>
  <si>
    <t>Gemiddeld aantal actieve operators</t>
  </si>
  <si>
    <t>Afschrijvingstermijn Eenmalige aansluitbijdrage Area PoP</t>
  </si>
  <si>
    <t>jaar</t>
  </si>
  <si>
    <t>Afschrijvingstermijn VVE (de)patching</t>
  </si>
  <si>
    <t>Aantal homes passed per Area PoP</t>
  </si>
  <si>
    <t>5.</t>
  </si>
  <si>
    <t>WEAS-over-koper parameters</t>
  </si>
  <si>
    <t>Aantal koperparen</t>
  </si>
  <si>
    <t>6.</t>
  </si>
  <si>
    <t>VULA parameters</t>
  </si>
  <si>
    <t>Aantal retail aansluitingen op VULA</t>
  </si>
  <si>
    <t>End of sheet</t>
  </si>
  <si>
    <t>Tarieven + parameters collocatie</t>
  </si>
  <si>
    <t>MDF collocatie</t>
  </si>
  <si>
    <t>Footprint (2 m2)</t>
  </si>
  <si>
    <t>per jaar</t>
  </si>
  <si>
    <t>Koppelkabel, 600 DA</t>
  </si>
  <si>
    <t>SIP kast (1000 DA)</t>
  </si>
  <si>
    <t>48V voedingskast</t>
  </si>
  <si>
    <t>48V no break voorziening</t>
  </si>
  <si>
    <t>Interne doorbekabeling 4 glasvezelparen</t>
  </si>
  <si>
    <t>prijs per kWh</t>
  </si>
  <si>
    <t>48V no break voorziening, voorschottarief</t>
  </si>
  <si>
    <t>per lijn per jaar</t>
  </si>
  <si>
    <t>SEV (tarief per lijn)</t>
  </si>
  <si>
    <t>WBA/WLL collocatie</t>
  </si>
  <si>
    <t>WBA/WLL koppelkabel met 4 vezelparen</t>
  </si>
  <si>
    <t>Stroommeter</t>
  </si>
  <si>
    <t>per maand</t>
  </si>
  <si>
    <t>SEV bij WLL  collocatie</t>
  </si>
  <si>
    <t>WBA/WLL collocatie, verbruik per MC</t>
  </si>
  <si>
    <t>Aantal WETS per MC locatie</t>
  </si>
  <si>
    <t>Energie</t>
  </si>
  <si>
    <t>Economische afschrijvingstermijn b+d koppelkabel, footprint en SIP kast</t>
  </si>
  <si>
    <t>Economische afschrijvingstermijn 48V stroomvoorziening en glasvezeldoorbekabeling</t>
  </si>
  <si>
    <t>Bezettingsgraad koppelkabel</t>
  </si>
  <si>
    <t>Bezettingsgraad SIP kast</t>
  </si>
  <si>
    <t>Aantal MDF locaties</t>
  </si>
  <si>
    <t>Aantal MC locaties</t>
  </si>
  <si>
    <t>Aantal VULA lijnen</t>
  </si>
  <si>
    <t>Aantal MDF lijnen</t>
  </si>
  <si>
    <t>(prognose 2017)</t>
  </si>
  <si>
    <t>2.</t>
  </si>
  <si>
    <t>Output gegevens</t>
  </si>
  <si>
    <t>MDF collo, VDSL</t>
  </si>
  <si>
    <t>Eenheden per lijn</t>
  </si>
  <si>
    <t>VVA per jaar</t>
  </si>
  <si>
    <t>EUR per kWh</t>
  </si>
  <si>
    <t>Afschr. Termijn</t>
  </si>
  <si>
    <t>Kosten per lijn</t>
  </si>
  <si>
    <t>SEV</t>
  </si>
  <si>
    <t>Koppelkabel (600 DA)</t>
  </si>
  <si>
    <t>Totaal</t>
  </si>
  <si>
    <t>MDF collo, SDSL</t>
  </si>
  <si>
    <t>MDF collo, Pair bonding</t>
  </si>
  <si>
    <t>Koppelkabel</t>
  </si>
  <si>
    <t>VULA collo</t>
  </si>
  <si>
    <t>48V no break voorziening /kWh</t>
  </si>
  <si>
    <t>SEV /kWh</t>
  </si>
  <si>
    <t>Per EoK aansluiting</t>
  </si>
  <si>
    <t>Per MDF lijn</t>
  </si>
  <si>
    <t>MDF collo, ILL smalband</t>
  </si>
  <si>
    <t>MDF collo, PSTN</t>
  </si>
  <si>
    <t>MDF collo, ISDN1,2</t>
  </si>
  <si>
    <t>MDF collo, ISDN15,20,30</t>
  </si>
  <si>
    <t>shared</t>
  </si>
  <si>
    <t>new line</t>
  </si>
  <si>
    <t>telco-telco</t>
  </si>
  <si>
    <t>NLS type 1 ZTL</t>
  </si>
  <si>
    <t>NLS type 1</t>
  </si>
  <si>
    <t>NLS type 1 DHZ</t>
  </si>
  <si>
    <t>NLS type 2</t>
  </si>
  <si>
    <t>NLS type 3</t>
  </si>
  <si>
    <t>NLS type 2/3</t>
  </si>
  <si>
    <t>NLS type 2/3 DHZ</t>
  </si>
  <si>
    <t>Eenmalig</t>
  </si>
  <si>
    <t>Access Line disconnection</t>
  </si>
  <si>
    <t>Per mnd</t>
  </si>
  <si>
    <t>MDF Access xTL</t>
  </si>
  <si>
    <t>MDF Access aSL</t>
  </si>
  <si>
    <t>MDF Access Pair bonding</t>
  </si>
  <si>
    <t>3. Information product tariffs Tariffs</t>
  </si>
  <si>
    <t>Carrier Information Product (CIP)</t>
  </si>
  <si>
    <t>3. Optional Service Tariffs</t>
  </si>
  <si>
    <t>Premium service ('Additional serviceniveau' from SLA S&amp;I)</t>
  </si>
  <si>
    <t>Special SLA</t>
  </si>
  <si>
    <t>End of Sheet</t>
  </si>
  <si>
    <t>1) Access</t>
  </si>
  <si>
    <t>sleutel wholesaleblad</t>
  </si>
  <si>
    <t>sleutel retailblad</t>
  </si>
  <si>
    <t>2) Transport (toeslag)</t>
  </si>
  <si>
    <t>SLA</t>
  </si>
  <si>
    <t># varianten:</t>
  </si>
  <si>
    <t>VVE Tarief</t>
  </si>
  <si>
    <t>VVA Tarief</t>
  </si>
  <si>
    <t>Dienstfamilie</t>
  </si>
  <si>
    <t>Connect type</t>
  </si>
  <si>
    <t>Snelheid access</t>
  </si>
  <si>
    <t>Gemiddeld aantal koperparen</t>
  </si>
  <si>
    <t>VVE xDF connect</t>
  </si>
  <si>
    <t>VVE xDF disconnect</t>
  </si>
  <si>
    <t>xIP</t>
  </si>
  <si>
    <t>Sum VVE</t>
  </si>
  <si>
    <t>VVA xDF</t>
  </si>
  <si>
    <t>Collo</t>
  </si>
  <si>
    <t>EDC minus
tot MC</t>
  </si>
  <si>
    <t>EDC minus
boven MC</t>
  </si>
  <si>
    <t>Sum VVA</t>
  </si>
  <si>
    <t>Sum VVE + VVA tarief</t>
  </si>
  <si>
    <t>WEAS</t>
  </si>
  <si>
    <t>WEAS over koper</t>
  </si>
  <si>
    <t>ULL</t>
  </si>
  <si>
    <t>RETAILKOSTEN ULL</t>
  </si>
  <si>
    <t>ULL incl retail</t>
  </si>
  <si>
    <t>SQUEEZE TOETS ULL</t>
  </si>
  <si>
    <t>WO identifier ULL</t>
  </si>
  <si>
    <t>ULL totaal (mnd)</t>
  </si>
  <si>
    <t>NRK (mnd)</t>
  </si>
  <si>
    <t>ULL + Retail</t>
  </si>
  <si>
    <t>NLS type 1/2/3</t>
  </si>
  <si>
    <t>sleutel transport regional</t>
  </si>
  <si>
    <t>transport regional</t>
  </si>
  <si>
    <t>sleutel transport national</t>
  </si>
  <si>
    <t>transport national</t>
  </si>
  <si>
    <t>afstand</t>
  </si>
  <si>
    <t>regional</t>
  </si>
  <si>
    <t>national</t>
  </si>
  <si>
    <t>NRK medium BPO</t>
  </si>
  <si>
    <t>ME</t>
  </si>
  <si>
    <t>terminologie op de share</t>
  </si>
  <si>
    <t>NRK medium</t>
  </si>
  <si>
    <t>MKB</t>
  </si>
  <si>
    <t>NRK le/corporate</t>
  </si>
  <si>
    <t>LE/Corporate</t>
  </si>
  <si>
    <t>NRK</t>
  </si>
  <si>
    <t>% t.o.v. netto omzet</t>
  </si>
  <si>
    <t>is worst case samen met distributievergoeding</t>
  </si>
  <si>
    <t>Vergoedingen Grondslag</t>
  </si>
  <si>
    <t>Parameters per dienst</t>
  </si>
  <si>
    <t>Portfolio</t>
  </si>
  <si>
    <t>Profiel</t>
  </si>
  <si>
    <t>Vast</t>
  </si>
  <si>
    <t>Network Services</t>
  </si>
  <si>
    <t>sleutel access (incl metro)</t>
  </si>
  <si>
    <t>incl trnsport metro</t>
  </si>
  <si>
    <t>tdm poort 155mbits</t>
  </si>
  <si>
    <t>eenheid</t>
  </si>
  <si>
    <t>aansluiting</t>
  </si>
  <si>
    <t>kosten vva t/m MDF</t>
  </si>
  <si>
    <t>kosten vva TH t/m MDF</t>
  </si>
  <si>
    <t>kosten vva E t/m MDF</t>
  </si>
  <si>
    <t>kosten vva SEV t/m MDF</t>
  </si>
  <si>
    <t>TH t/m MDF in m2</t>
  </si>
  <si>
    <t>kWh E t/m MDF</t>
  </si>
  <si>
    <t>kosten vva evkc/RAC</t>
  </si>
  <si>
    <t>minuut</t>
  </si>
  <si>
    <t>poort enkel</t>
  </si>
  <si>
    <t>MB</t>
  </si>
  <si>
    <t>bericht</t>
  </si>
  <si>
    <t>kosten vva  MDF t/m cp</t>
  </si>
  <si>
    <t>kosten vva cp-cp</t>
  </si>
  <si>
    <t>kilometer vzp</t>
  </si>
  <si>
    <t>aansluiting/hop</t>
  </si>
  <si>
    <t>poort</t>
  </si>
  <si>
    <t>kosten vva</t>
  </si>
  <si>
    <t>klant</t>
  </si>
  <si>
    <t>eindpunt</t>
  </si>
  <si>
    <t>TAN</t>
  </si>
  <si>
    <t>SAN</t>
  </si>
  <si>
    <t>PAN</t>
  </si>
  <si>
    <t>WEAS BT dood glas</t>
  </si>
  <si>
    <t>WEAS BT bestaand nieuwe klant</t>
  </si>
  <si>
    <t>WEAS BT nieuw</t>
  </si>
  <si>
    <t>WEAS BT upgrade snelheid</t>
  </si>
  <si>
    <t>WEAS ST dood glas</t>
  </si>
  <si>
    <t>WEAS ST nearnet</t>
  </si>
  <si>
    <t>WEAS ST offnet</t>
  </si>
  <si>
    <t>WO identifier ULL (incl SLA)</t>
  </si>
  <si>
    <t>access incl QoS en SLA</t>
  </si>
  <si>
    <t>advanced</t>
  </si>
  <si>
    <t>Copper Standard Access 3Mbit/sAdvancedNLS type 1/2/3</t>
  </si>
  <si>
    <t>Copper Standard Access 5Mbit/sAdvancedNLS type 1/2/3</t>
  </si>
  <si>
    <t>Copper Standard Access 10Mbit/sAdvancedNLS type 1/2/3</t>
  </si>
  <si>
    <t>Copper Standard Access 20Mbit/sAdvancedNLS type 1/2/3</t>
  </si>
  <si>
    <t>Copper Standard Access 15Mbit/sAdvancedNLS type 1/2/3</t>
  </si>
  <si>
    <t>&lt; 250 meter</t>
  </si>
  <si>
    <t>On-net (NLS3)</t>
  </si>
  <si>
    <t>Nearnet</t>
  </si>
  <si>
    <t>Sleutel ULL access</t>
  </si>
  <si>
    <t>Access situatie tbv LRIC</t>
  </si>
  <si>
    <t>EOK</t>
  </si>
  <si>
    <t>product</t>
  </si>
  <si>
    <t>grondslag kosten</t>
  </si>
  <si>
    <t>WEAS BT/FTTO incl collo en BH</t>
  </si>
  <si>
    <t>WEAS BT/FTTO excl collo en BH</t>
  </si>
  <si>
    <t>WEAS CITY incl collo en BH</t>
  </si>
  <si>
    <t>WEAS CITY excl collo en BH</t>
  </si>
  <si>
    <t>Voip per minuut</t>
  </si>
  <si>
    <t>Voip transit per minuut</t>
  </si>
  <si>
    <t>mobiel vast bedrag per maand (LRIC residu)</t>
  </si>
  <si>
    <t>ODF per km vezelpaar (off net en protectie)</t>
  </si>
  <si>
    <t>generiek IP platform wba internet</t>
  </si>
  <si>
    <t>generiek IP platform wba itv</t>
  </si>
  <si>
    <t>straalverbinding WEAS</t>
  </si>
  <si>
    <t>straalverbinding EVENTS met mast</t>
  </si>
  <si>
    <t>straalverbindding EVENTS zonder mast</t>
  </si>
  <si>
    <t>Newtel platformkosten incl transmissie</t>
  </si>
  <si>
    <t>Newtel IVR Telios</t>
  </si>
  <si>
    <t>Newtel IVR Telios spraakherkenning</t>
  </si>
  <si>
    <t xml:space="preserve">Storm </t>
  </si>
  <si>
    <t>seat?</t>
  </si>
  <si>
    <t>Valid from 01-01-2016</t>
  </si>
  <si>
    <t>inkoop VVA</t>
  </si>
  <si>
    <t>inkoop VVE</t>
  </si>
  <si>
    <t>Technische Huisvesting t/m MC in m2</t>
  </si>
  <si>
    <t>kWh Energie t/m MC</t>
  </si>
  <si>
    <t>WBA central office</t>
  </si>
  <si>
    <t>WBA pairbonded</t>
  </si>
  <si>
    <t>Technische Huisvesting t/m MDF in m2</t>
  </si>
  <si>
    <t>kWh Energie t/m MDF</t>
  </si>
  <si>
    <t>WEAS FTTH  BT excl collo en BH</t>
  </si>
  <si>
    <t>WEAS FTTH CITY excl collo en BH</t>
  </si>
  <si>
    <t>backhaul FTTH BT tot MC</t>
  </si>
  <si>
    <t>backhaul FTTH ST tot MC</t>
  </si>
  <si>
    <t>Beschrijving</t>
  </si>
  <si>
    <t xml:space="preserve">Deze openbare ND5 toets bevat separate toetsen voor de access en de VPN. </t>
  </si>
  <si>
    <t>Voor combinaties van access en VPN(s) moet een optelling worden gemaakt van de uitkomsten van de separate toetsen.</t>
  </si>
  <si>
    <t>Navigatie</t>
  </si>
  <si>
    <t>Cel kleuren</t>
  </si>
  <si>
    <t>Fictieve getallen</t>
  </si>
  <si>
    <t>Verkeer</t>
  </si>
  <si>
    <t>m</t>
  </si>
  <si>
    <t>Versie: 20130924</t>
  </si>
  <si>
    <t>1. MDF access tarieven (per 1-1-2017)</t>
  </si>
  <si>
    <t>Versie 6.9</t>
  </si>
  <si>
    <t>(fiber tariffs 6.6)</t>
  </si>
  <si>
    <t>Dedicated / 10 Gbps LWAP at MC locations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</si>
</sst>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39">
    <numFmt numFmtId="41" formatCode="_ * #,##0_ ;_ * \-#,##0_ ;_ * &quot;-&quot;_ ;_ @_ "/>
    <numFmt numFmtId="44" formatCode="_ &quot;€&quot;\ * #,##0.00_ ;_ &quot;€&quot;\ * \-#,##0.00_ ;_ &quot;€&quot;\ * &quot;-&quot;??_ ;_ @_ "/>
    <numFmt numFmtId="43" formatCode="_ * #,##0.00_ ;_ * \-#,##0.00_ ;_ * &quot;-&quot;??_ ;_ @_ "/>
    <numFmt numFmtId="164" formatCode="_(&quot;$&quot;* #,##0_);_(&quot;$&quot;* \(#,##0\);_(&quot;$&quot;* &quot;-&quot;_);_(@_)"/>
    <numFmt numFmtId="165" formatCode="_(&quot;$&quot;* #,##0.00_);_(&quot;$&quot;* \(#,##0.00\);_(&quot;$&quot;* &quot;-&quot;??_);_(@_)"/>
    <numFmt numFmtId="166" formatCode="_(* #,##0.00_);_(* \(#,##0.00\);_(* &quot;-&quot;??_);_(@_)"/>
    <numFmt numFmtId="167" formatCode="_-&quot;€&quot;\ * #,##0.00_-;_-&quot;€&quot;\ * #,##0.00\-;_-&quot;€&quot;\ * &quot;-&quot;??_-;_-@_-"/>
    <numFmt numFmtId="168" formatCode="_-* #,##0.00_-;_-* #,##0.00\-;_-* &quot;-&quot;??_-;_-@_-"/>
    <numFmt numFmtId="169" formatCode="_-&quot;€&quot;\ * #,##0.0000_-;_-&quot;€&quot;\ * #,##0.0000\-;_-&quot;€&quot;\ * &quot;-&quot;??_-;_-@_-"/>
    <numFmt numFmtId="170" formatCode="_ &quot;€&quot;\ * #,##0.0000_ ;_ &quot;€&quot;\ * \-#,##0.0000_ ;_ &quot;€&quot;\ * &quot;-&quot;????_ ;_ @_ "/>
    <numFmt numFmtId="171" formatCode="#,##0.0_x\);\(#,##0.0\)_x;#,##0.0_x\);@_x\)"/>
    <numFmt numFmtId="172" formatCode="#,###.#"/>
    <numFmt numFmtId="173" formatCode="0.0"/>
    <numFmt numFmtId="174" formatCode="#,##0_%_);\(#,##0\)_%;#,##0_%_);@_%_)"/>
    <numFmt numFmtId="175" formatCode="#,##0_%_);\(#,##0\)_%;**;@_%_)"/>
    <numFmt numFmtId="176" formatCode="#,##0.00_%_);\(#,##0.00\)_%;#,##0.00_%_);@_%_)"/>
    <numFmt numFmtId="177" formatCode="&quot;$&quot;#,##0_%_);\(&quot;$&quot;#,##0\)_%;&quot;$&quot;#,##0_%_);@_%_)"/>
    <numFmt numFmtId="178" formatCode="&quot;$&quot;#,##0.00_%_);\(&quot;$&quot;#,##0.00\)_%;&quot;$&quot;#,##0.00_%_);@_%_)"/>
    <numFmt numFmtId="179" formatCode="#,##0_ ;[Red]\(#,##0\)"/>
    <numFmt numFmtId="180" formatCode="m/d/yy_%_)"/>
    <numFmt numFmtId="181" formatCode="mmm\ dd\,\ yyyy"/>
    <numFmt numFmtId="182" formatCode="0_%_);\(0\)_%;0_%_);@_%_)"/>
    <numFmt numFmtId="183" formatCode="#,##0_ ;[Red]\-#,##0\ "/>
    <numFmt numFmtId="184" formatCode="0.0\%_);\(0.0\%\);0.0\%_);@_%_)"/>
    <numFmt numFmtId="185" formatCode="#,##0.0_);\(#,##0.0\)"/>
    <numFmt numFmtId="186" formatCode="#,##0_);[Red]\-#,##0_);0_);@_)"/>
    <numFmt numFmtId="187" formatCode="#,##0;\(#,##0\)"/>
    <numFmt numFmtId="188" formatCode="&quot;Cr$&quot;#,##0_);\(&quot;Cr$&quot;#,##0\)"/>
    <numFmt numFmtId="189" formatCode="&quot;Cr$&quot;#,##0.00_);\(&quot;Cr$&quot;#,##0.00\)"/>
    <numFmt numFmtId="190" formatCode="_(&quot;R$&quot;\ * #,##0.00_);_(&quot;R$&quot;\ * \(#,##0.00\);_(&quot;R$&quot;\ * &quot;-&quot;??_);_(@_)"/>
    <numFmt numFmtId="191" formatCode="&quot;Cr$&quot;#,##0_);[Red]\(&quot;Cr$&quot;#,##0\)"/>
    <numFmt numFmtId="192" formatCode="#,##0.000"/>
    <numFmt numFmtId="193" formatCode="_-* #,##0.00\ &quot;F&quot;_-;\-* #,##0.00\ &quot;F&quot;_-;_-* &quot;-&quot;??\ &quot;F&quot;_-;_-@_-"/>
    <numFmt numFmtId="194" formatCode="_-* #,##0\ &quot;F&quot;_-;\-* #,##0\ &quot;F&quot;_-;_-* &quot;-&quot;\ &quot;F&quot;_-;_-@_-"/>
    <numFmt numFmtId="195" formatCode="#,##0.00000"/>
    <numFmt numFmtId="196" formatCode="0.0\x_)_);&quot;NM&quot;_x_)_);0.0\x_)_);@_%_)"/>
    <numFmt numFmtId="197" formatCode="#,##0.000000000000_);\(#,##0.000000000000\)"/>
    <numFmt numFmtId="198" formatCode="#,##0.00%;[Red]\-#,##0.00%;0.00%;@_)"/>
    <numFmt numFmtId="199" formatCode="mm/dd/yy"/>
    <numFmt numFmtId="200" formatCode="0\ \ ;\(0\)\ \ \ "/>
    <numFmt numFmtId="201" formatCode="#,##0.0"/>
    <numFmt numFmtId="202" formatCode="_ * #,##0.0000_ ;_ * \-#,##0.0000_ ;_ * &quot;-&quot;??_ ;_ @_ "/>
    <numFmt numFmtId="203" formatCode="_-* #,##0_-;_-* #,##0\-;_-* &quot;-&quot;??_-;_-@_-"/>
    <numFmt numFmtId="204" formatCode="_-* #,##0.0_-;_-* #,##0.0\-;_-* &quot;-&quot;??_-;_-@_-"/>
    <numFmt numFmtId="205" formatCode="0.0000"/>
    <numFmt numFmtId="206" formatCode="_-* #,##0.0000_-;_-* #,##0.0000\-;_-* &quot;-&quot;??_-;_-@_-"/>
    <numFmt numFmtId="207" formatCode="0.000000"/>
    <numFmt numFmtId="208" formatCode="0.0%"/>
    <numFmt numFmtId="209" formatCode="#,##0.00_-;[Red]#,##0.00\-;\-"/>
    <numFmt numFmtId="210" formatCode="#_)"/>
    <numFmt numFmtId="211" formatCode="_ * #,##0.00_ ;_ * \-#,##0.00_ ;_ * &quot;-&quot;?_ ;_ @_ "/>
    <numFmt numFmtId="212" formatCode="#,##0.00_ ;[Red]\-#,##0.00\ "/>
    <numFmt numFmtId="213" formatCode="&quot;€&quot;\ #,##0.00"/>
    <numFmt numFmtId="214" formatCode="&quot;€/m²&quot;* #,##0.00_);&quot;€/m²&quot;* \(#,##0.00\)"/>
    <numFmt numFmtId="215" formatCode="0.00;[Red]0.00"/>
    <numFmt numFmtId="216" formatCode="00000000"/>
    <numFmt numFmtId="217" formatCode="\ #,##0_);\(#,##0\)"/>
    <numFmt numFmtId="218" formatCode="#,##0.0_ ;[Red]\-#,##0.0\ "/>
    <numFmt numFmtId="219" formatCode="###\ ###\ ##"/>
    <numFmt numFmtId="220" formatCode="#,##0;\-#,##0;\-"/>
    <numFmt numFmtId="221" formatCode="#,##0.00;\-#,##0.00;&quot;-&quot;"/>
    <numFmt numFmtId="222" formatCode="#,##0%;\-#,##0%;&quot;- &quot;"/>
    <numFmt numFmtId="223" formatCode="#,##0.0%;\-#,##0.0%;&quot;- &quot;"/>
    <numFmt numFmtId="224" formatCode="#,##0.00%;\-#,##0.00%;&quot;- &quot;"/>
    <numFmt numFmtId="225" formatCode="#,##0;\-#,##0;&quot;-&quot;"/>
    <numFmt numFmtId="226" formatCode="#,##0.0;\-#,##0.0;&quot;-&quot;"/>
    <numFmt numFmtId="227" formatCode="&quot;CHF&quot;* #,##0_);&quot;CHF&quot;* \ \(#,##0\)"/>
    <numFmt numFmtId="228" formatCode="&quot;CHF&quot;* #,##0_)&quot;Mio.&quot;;&quot;CHF&quot;* \ \(#,##0\)&quot;Mio.&quot;"/>
    <numFmt numFmtId="229" formatCode="#,##0_)&quot;cm&quot;;\(#,###\)&quot;cm&quot;"/>
    <numFmt numFmtId="230" formatCode="\ #,##0.0%_);\(#,##0.0%\)"/>
    <numFmt numFmtId="231" formatCode="0.000_)"/>
    <numFmt numFmtId="232" formatCode="_-* #,##0.000_-;_-* #,##0.000\-;_-* &quot;-&quot;??_-;_-@_-"/>
    <numFmt numFmtId="233" formatCode="#."/>
    <numFmt numFmtId="234" formatCode="&quot;ct&quot;* #,##0_);&quot;ct&quot;* \ \(#,##0\)"/>
    <numFmt numFmtId="235" formatCode="_-&quot;fl&quot;\ * #,##0.00_-;_-&quot;fl&quot;\ * #,##0.00\-;_-&quot;fl&quot;\ * &quot;-&quot;??_-;_-@_-"/>
    <numFmt numFmtId="236" formatCode="yymmdd"/>
    <numFmt numFmtId="237" formatCode="mm\/yyyy"/>
    <numFmt numFmtId="238" formatCode="dd/mm/"/>
    <numFmt numFmtId="239" formatCode="dd/mmm/yyyy"/>
    <numFmt numFmtId="240" formatCode="\+#,##0.000\ \ \ ;\-#,##0.000\ \ \ "/>
    <numFmt numFmtId="241" formatCode="#,##0.00\ \ \ "/>
    <numFmt numFmtId="242" formatCode="#,##0.000\ "/>
    <numFmt numFmtId="243" formatCode="#,###.#;\(#,###.#\)"/>
    <numFmt numFmtId="244" formatCode="#,##0.0;\(#,##0.0\)"/>
    <numFmt numFmtId="245" formatCode="#,##0.0\x;\(#,##0.0\x\)"/>
    <numFmt numFmtId="246" formatCode="0.0%_);\(0.0%\)"/>
    <numFmt numFmtId="247" formatCode="0.0%_);\(0.0%\);\-"/>
    <numFmt numFmtId="248" formatCode="0.0%;\(0.0%\)"/>
    <numFmt numFmtId="249" formatCode="#,##0_);\(#,##0\);\-"/>
    <numFmt numFmtId="250" formatCode="&quot;€&quot;* #,##0.00_);&quot;€&quot;* \ \(#,##0.00\)"/>
    <numFmt numFmtId="251" formatCode="_-[$€]\ * #,##0.00_-;_-[$€]\ * #,##0.00\-;_-[$€]\ * &quot;-&quot;??_-;_-@_-"/>
    <numFmt numFmtId="252" formatCode="_-[$€-2]\ * #,##0.00_-;_-[$€-2]\ * #,##0.00\-;_-[$€-2]\ * &quot;-&quot;??_-"/>
    <numFmt numFmtId="253" formatCode="[$€]\ #,##0.00_-;[Red][$€]\ #,##0.00\-"/>
    <numFmt numFmtId="254" formatCode="_-[$€-2]* #,##0.00_-;\-[$€-2]* #,##0.00_-;_-[$€-2]* &quot;-&quot;??_-"/>
    <numFmt numFmtId="255" formatCode="&quot;€&quot;* #,##0_)&quot;bn&quot;;&quot;€&quot;* \ \(#,##0\)&quot;bn&quot;"/>
    <numFmt numFmtId="256" formatCode="&quot;€&quot;* #,##0_)&quot;Mio.&quot;;&quot;€&quot;* \ \(#,##0\)&quot;Mio.&quot;"/>
    <numFmt numFmtId="257" formatCode="_-* #,##0.00\ [$€-1]_-;\-* #,##0.00\ [$€-1]_-;_-* &quot;-&quot;??\ [$€-1]_-"/>
    <numFmt numFmtId="258" formatCode="\ #,##0.0\x_);\(#,##0.0\x\)"/>
    <numFmt numFmtId="259" formatCode="\£* #,##0_);\£* \ \(#,##0\)"/>
    <numFmt numFmtId="260" formatCode="\£* #,##0_)&quot;Mio.&quot;;\£* \ \(#,##0\)&quot;Mio.&quot;"/>
    <numFmt numFmtId="261" formatCode="\ #,##0_)&quot;GW&quot;;\(#,##0\)&quot;GW&quot;"/>
    <numFmt numFmtId="262" formatCode="\ #,##0_)&quot;GWh&quot;;\(#,##0\)&quot;GWh&quot;"/>
    <numFmt numFmtId="263" formatCode="\(0\)"/>
    <numFmt numFmtId="264" formatCode="0.0%\ \ "/>
    <numFmt numFmtId="265" formatCode="0.00%;\(0.00%\)"/>
    <numFmt numFmtId="266" formatCode="#,##0.00;\(#,##0.00\)"/>
    <numFmt numFmtId="267" formatCode="#,##0.00\ \ "/>
    <numFmt numFmtId="268" formatCode="#,##0.000\ \ \ "/>
    <numFmt numFmtId="269" formatCode="#,##0;\(#,##0\);_(* &quot;-&quot;??_);_(@_)"/>
    <numFmt numFmtId="270" formatCode="#,##0_)&quot;km&quot;;\(#,###\)&quot;km&quot;"/>
    <numFmt numFmtId="271" formatCode="\ #,##0_)&quot;kW&quot;;\(#,##0\)&quot;kW&quot;"/>
    <numFmt numFmtId="272" formatCode="\ #,##0_)&quot;kWh&quot;;\(#,##0\)&quot;kWh&quot;"/>
    <numFmt numFmtId="273" formatCode="[=0]#;#,##0.0"/>
    <numFmt numFmtId="274" formatCode="#,##0_)&quot;m&quot;;\(#,###\)&quot;m&quot;"/>
    <numFmt numFmtId="275" formatCode="#,##0_)&quot;m²&quot;;\(#,###\)&quot;m²&quot;"/>
    <numFmt numFmtId="276" formatCode="#,##0_)&quot;m³&quot;;\(#,###\)&quot;m³&quot;"/>
    <numFmt numFmtId="277" formatCode="[Red]&quot;Too long&quot;;[Red]&quot;Mandatory field&quot;;&quot;OK&quot;"/>
    <numFmt numFmtId="278" formatCode="\ #,##0_)&quot;MW&quot;;\(#,##0\)&quot;MW&quot;"/>
    <numFmt numFmtId="279" formatCode="\ #,##0_)&quot;MWh&quot;;\(#,##0\)&quot;MWh&quot;"/>
    <numFmt numFmtId="280" formatCode="\ ###0_);\(###0\)"/>
    <numFmt numFmtId="281" formatCode="\ #,##0.00_);\(#,##0.00\)"/>
    <numFmt numFmtId="282" formatCode="0.000"/>
    <numFmt numFmtId="283" formatCode="#,##0_)%;\(#,##0\)%"/>
    <numFmt numFmtId="284" formatCode="0%;\(0%\)"/>
    <numFmt numFmtId="285" formatCode="0%\ \ "/>
    <numFmt numFmtId="286" formatCode="0.0&quot;x&quot;;@_)"/>
    <numFmt numFmtId="287" formatCode="\ \ @"/>
    <numFmt numFmtId="288" formatCode="\ \ \ \ @"/>
    <numFmt numFmtId="289" formatCode="hh:mm\ &quot;Uhr&quot;"/>
    <numFmt numFmtId="290" formatCode="\ #,##0_)&quot;TWh&quot;;\(#,##0\)&quot;TWh&quot;"/>
    <numFmt numFmtId="291" formatCode="\$* #,##0.00_);\$* \ \(#,##0.00\)"/>
    <numFmt numFmtId="292" formatCode="\$* #,##0_)&quot;Mio.&quot;;\$* \ \(#,##0\)&quot;Mio.&quot;"/>
    <numFmt numFmtId="293" formatCode="#,##0\ &quot;DM&quot;;[Red]\-#,##0\ &quot;DM&quot;"/>
    <numFmt numFmtId="294" formatCode="#,##0.00\ &quot;DM&quot;;[Red]\-#,##0.00\ &quot;DM&quot;"/>
    <numFmt numFmtId="295" formatCode="General&quot;a&quot;"/>
    <numFmt numFmtId="296" formatCode="General&quot;e&quot;"/>
    <numFmt numFmtId="297" formatCode="&quot;¥&quot;* #,##0_);&quot;¥&quot;* \ \(#,##0\)"/>
    <numFmt numFmtId="298" formatCode="&quot;¥&quot;* #,##0_)&quot;Mio.&quot;;&quot;¥&quot;* \ \(#,##0\)&quot;Mio.&quot;"/>
    <numFmt numFmtId="299" formatCode="_(&quot;€&quot;* #,##0.00_);_(&quot;€&quot;* \(#,##0.00\);_(&quot;€&quot;* &quot;-&quot;??_);_(@_)"/>
  </numFmts>
  <fonts count="235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sz val="10"/>
      <color rgb="FF0000FF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FFFFFF"/>
      <name val="Arial"/>
      <family val="2"/>
    </font>
    <font>
      <b/>
      <sz val="10"/>
      <color rgb="FFFFFFFF"/>
      <name val="Arial"/>
      <family val="2"/>
    </font>
    <font>
      <sz val="12"/>
      <name val="Times New Roman"/>
      <family val="1"/>
    </font>
    <font>
      <b/>
      <sz val="11"/>
      <name val="Arial"/>
      <family val="2"/>
    </font>
    <font>
      <sz val="10"/>
      <name val="KPN Arial"/>
    </font>
    <font>
      <b/>
      <i/>
      <sz val="10"/>
      <name val="Arial"/>
      <family val="2"/>
    </font>
    <font>
      <i/>
      <sz val="10"/>
      <color rgb="FF0000FF"/>
      <name val="Arial"/>
      <family val="2"/>
    </font>
    <font>
      <b/>
      <sz val="10"/>
      <color theme="0"/>
      <name val="Arial"/>
      <family val="2"/>
    </font>
    <font>
      <sz val="11"/>
      <color rgb="FF000000"/>
      <name val="Calibri"/>
      <family val="2"/>
    </font>
    <font>
      <sz val="11"/>
      <name val="Arial"/>
      <family val="2"/>
    </font>
    <font>
      <b/>
      <sz val="8"/>
      <color indexed="81"/>
      <name val="Tahoma"/>
      <family val="2"/>
    </font>
    <font>
      <sz val="8"/>
      <color indexed="81"/>
      <name val="Tahoma"/>
      <family val="2"/>
    </font>
    <font>
      <sz val="10"/>
      <color indexed="17"/>
      <name val="Arial"/>
      <family val="2"/>
    </font>
    <font>
      <sz val="14"/>
      <color rgb="FF00B0F0"/>
      <name val="Arial"/>
      <family val="2"/>
    </font>
    <font>
      <b/>
      <sz val="14"/>
      <color rgb="FFFF0000"/>
      <name val="Arial"/>
      <family val="2"/>
    </font>
    <font>
      <b/>
      <sz val="10"/>
      <color indexed="17"/>
      <name val="Arial"/>
      <family val="2"/>
    </font>
    <font>
      <sz val="14"/>
      <color indexed="49"/>
      <name val="Arial"/>
      <family val="2"/>
    </font>
    <font>
      <sz val="14"/>
      <name val="Arial"/>
      <family val="2"/>
    </font>
    <font>
      <sz val="10"/>
      <color indexed="49"/>
      <name val="Arial"/>
      <family val="2"/>
    </font>
    <font>
      <sz val="10"/>
      <color indexed="12"/>
      <name val="Arial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10"/>
      <name val="Geneva"/>
    </font>
    <font>
      <sz val="8"/>
      <name val="Arial"/>
      <family val="2"/>
    </font>
    <font>
      <sz val="10"/>
      <color indexed="8"/>
      <name val="MS Sans Serif"/>
      <family val="2"/>
    </font>
    <font>
      <sz val="10"/>
      <name val="Helv"/>
    </font>
    <font>
      <sz val="8"/>
      <name val="KPN Arial"/>
      <family val="2"/>
    </font>
    <font>
      <sz val="10"/>
      <name val="MS Sans Serif"/>
      <family val="2"/>
    </font>
    <font>
      <sz val="8"/>
      <color indexed="12"/>
      <name val="KPN Arial"/>
      <family val="2"/>
    </font>
    <font>
      <sz val="8"/>
      <name val="Times New Roman"/>
      <family val="1"/>
    </font>
    <font>
      <b/>
      <i/>
      <sz val="11"/>
      <name val="Arial"/>
      <family val="2"/>
    </font>
    <font>
      <sz val="8"/>
      <name val="Palatino"/>
      <family val="1"/>
    </font>
    <font>
      <sz val="10"/>
      <color indexed="16"/>
      <name val="MS Sans Serif"/>
      <family val="2"/>
    </font>
    <font>
      <sz val="18"/>
      <name val="Courier New"/>
      <family val="3"/>
    </font>
    <font>
      <sz val="7"/>
      <color indexed="10"/>
      <name val="Helvetica"/>
      <family val="2"/>
    </font>
    <font>
      <b/>
      <sz val="9"/>
      <name val="Arial"/>
      <family val="2"/>
    </font>
    <font>
      <b/>
      <sz val="10"/>
      <color indexed="9"/>
      <name val="Arial"/>
      <family val="2"/>
    </font>
    <font>
      <b/>
      <sz val="8"/>
      <color indexed="9"/>
      <name val="Arial"/>
      <family val="2"/>
    </font>
    <font>
      <b/>
      <sz val="8"/>
      <color indexed="8"/>
      <name val="Arial"/>
      <family val="2"/>
    </font>
    <font>
      <b/>
      <sz val="8"/>
      <color indexed="8"/>
      <name val="Courier New"/>
      <family val="3"/>
    </font>
    <font>
      <sz val="9"/>
      <name val="Tms Rmn"/>
    </font>
    <font>
      <sz val="10"/>
      <name val="MS Serif"/>
      <family val="1"/>
    </font>
    <font>
      <sz val="12"/>
      <name val="Courier New"/>
      <family val="3"/>
    </font>
    <font>
      <sz val="7"/>
      <name val="MS Sans Serif"/>
      <family val="2"/>
    </font>
    <font>
      <sz val="10"/>
      <color indexed="16"/>
      <name val="MS Serif"/>
      <family val="1"/>
    </font>
    <font>
      <u/>
      <sz val="10"/>
      <color indexed="36"/>
      <name val="Arial"/>
      <family val="2"/>
    </font>
    <font>
      <sz val="7"/>
      <name val="Palatino"/>
      <family val="1"/>
    </font>
    <font>
      <sz val="6"/>
      <color indexed="16"/>
      <name val="Palatino"/>
      <family val="1"/>
    </font>
    <font>
      <b/>
      <sz val="8"/>
      <name val="MS Sans Serif"/>
      <family val="2"/>
    </font>
    <font>
      <sz val="10"/>
      <color indexed="9"/>
      <name val="MS Sans Serif"/>
      <family val="2"/>
    </font>
    <font>
      <sz val="8"/>
      <color indexed="17"/>
      <name val="Helvetica"/>
      <family val="2"/>
    </font>
    <font>
      <sz val="12"/>
      <name val="Helv"/>
    </font>
    <font>
      <sz val="9"/>
      <name val="Arial"/>
      <family val="2"/>
    </font>
    <font>
      <sz val="11"/>
      <color indexed="8"/>
      <name val="Calibri"/>
      <family val="2"/>
    </font>
    <font>
      <b/>
      <sz val="10"/>
      <color indexed="8"/>
      <name val="Arial"/>
      <family val="2"/>
    </font>
    <font>
      <sz val="10"/>
      <color indexed="25"/>
      <name val="Helvetica"/>
      <family val="2"/>
    </font>
    <font>
      <sz val="12"/>
      <color indexed="9"/>
      <name val="Helv"/>
    </font>
    <font>
      <i/>
      <sz val="9"/>
      <color indexed="16"/>
      <name val="Arial"/>
      <family val="2"/>
    </font>
    <font>
      <sz val="7"/>
      <name val="Small Fonts"/>
      <family val="2"/>
    </font>
    <font>
      <sz val="10"/>
      <name val="Times New Roman"/>
      <family val="1"/>
    </font>
    <font>
      <sz val="10"/>
      <color theme="1"/>
      <name val="Arial"/>
      <family val="2"/>
    </font>
    <font>
      <sz val="10"/>
      <name val="Arial MT"/>
      <family val="2"/>
    </font>
    <font>
      <sz val="11"/>
      <color indexed="8"/>
      <name val="Times New Roman"/>
      <family val="1"/>
    </font>
    <font>
      <b/>
      <i/>
      <sz val="10"/>
      <color indexed="8"/>
      <name val="Arial"/>
      <family val="2"/>
    </font>
    <font>
      <b/>
      <sz val="11"/>
      <color indexed="16"/>
      <name val="Times New Roman"/>
      <family val="1"/>
    </font>
    <font>
      <b/>
      <sz val="16"/>
      <color indexed="13"/>
      <name val="Arial"/>
      <family val="2"/>
    </font>
    <font>
      <sz val="10"/>
      <name val="Arial"/>
      <family val="2"/>
      <charset val="177"/>
    </font>
    <font>
      <sz val="10"/>
      <color indexed="16"/>
      <name val="Helvetica-Black"/>
    </font>
    <font>
      <sz val="10"/>
      <name val="Courier New"/>
      <family val="3"/>
    </font>
    <font>
      <sz val="10"/>
      <color indexed="18"/>
      <name val="MS Sans Serif"/>
      <family val="2"/>
    </font>
    <font>
      <sz val="8"/>
      <name val="Wingdings"/>
      <charset val="2"/>
    </font>
    <font>
      <sz val="24"/>
      <name val="Courier New"/>
      <family val="3"/>
    </font>
    <font>
      <b/>
      <sz val="12"/>
      <color indexed="8"/>
      <name val="Arial"/>
      <family val="2"/>
    </font>
    <font>
      <sz val="8"/>
      <name val="Helv"/>
    </font>
    <font>
      <sz val="8"/>
      <color indexed="8"/>
      <name val="Arial"/>
      <family val="2"/>
    </font>
    <font>
      <sz val="8"/>
      <color indexed="12"/>
      <name val="Arial"/>
      <family val="2"/>
    </font>
    <font>
      <b/>
      <i/>
      <sz val="12"/>
      <name val="Arial"/>
      <family val="2"/>
    </font>
    <font>
      <b/>
      <i/>
      <sz val="24"/>
      <name val="Times New Roman"/>
      <family val="1"/>
    </font>
    <font>
      <sz val="8"/>
      <name val="MS Sans Serif"/>
      <family val="2"/>
    </font>
    <font>
      <b/>
      <sz val="8"/>
      <name val="Arial"/>
      <family val="2"/>
    </font>
    <font>
      <i/>
      <sz val="10"/>
      <color indexed="13"/>
      <name val="MS Sans Serif"/>
      <family val="2"/>
    </font>
    <font>
      <b/>
      <sz val="8"/>
      <color indexed="8"/>
      <name val="Helv"/>
    </font>
    <font>
      <b/>
      <sz val="9"/>
      <name val="Palatino"/>
      <family val="1"/>
    </font>
    <font>
      <sz val="9"/>
      <color indexed="21"/>
      <name val="Helvetica-Black"/>
    </font>
    <font>
      <sz val="9"/>
      <name val="Helvetica-Black"/>
    </font>
    <font>
      <b/>
      <sz val="16"/>
      <color indexed="62"/>
      <name val="Arial"/>
      <family val="2"/>
    </font>
    <font>
      <sz val="8"/>
      <color indexed="8"/>
      <name val="Wingdings"/>
      <charset val="2"/>
    </font>
    <font>
      <b/>
      <i/>
      <sz val="8"/>
      <name val="Helv"/>
    </font>
    <font>
      <sz val="11"/>
      <name val="Calibri"/>
      <family val="2"/>
      <scheme val="minor"/>
    </font>
    <font>
      <b/>
      <sz val="10"/>
      <color theme="1"/>
      <name val="Arial"/>
      <family val="2"/>
    </font>
    <font>
      <sz val="11"/>
      <color theme="3"/>
      <name val="Calibri"/>
      <family val="2"/>
      <scheme val="minor"/>
    </font>
    <font>
      <sz val="11"/>
      <color rgb="FF0000FF"/>
      <name val="Calibri"/>
      <family val="2"/>
      <scheme val="minor"/>
    </font>
    <font>
      <b/>
      <sz val="11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0"/>
      <color rgb="FFFF0000"/>
      <name val="Arial"/>
      <family val="2"/>
    </font>
    <font>
      <sz val="11"/>
      <color rgb="FF006600"/>
      <name val="Calibri"/>
      <family val="2"/>
      <scheme val="minor"/>
    </font>
    <font>
      <i/>
      <sz val="11"/>
      <color rgb="FF0000FF"/>
      <name val="Calibri"/>
      <family val="2"/>
      <scheme val="minor"/>
    </font>
    <font>
      <sz val="10"/>
      <color theme="0"/>
      <name val="Arial"/>
      <family val="2"/>
    </font>
    <font>
      <sz val="10"/>
      <name val="KPN Sans"/>
      <family val="2"/>
    </font>
    <font>
      <sz val="12"/>
      <color indexed="10"/>
      <name val="Arial"/>
      <family val="2"/>
    </font>
    <font>
      <sz val="10"/>
      <color indexed="10"/>
      <name val="Arial"/>
      <family val="2"/>
    </font>
    <font>
      <b/>
      <sz val="12"/>
      <name val="Times New Roman"/>
      <family val="1"/>
    </font>
    <font>
      <sz val="10"/>
      <color rgb="FF3366FF"/>
      <name val="Arial"/>
      <family val="2"/>
    </font>
    <font>
      <sz val="10"/>
      <color indexed="48"/>
      <name val="Arial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sz val="18"/>
      <name val="Helvetica-Black"/>
    </font>
    <font>
      <i/>
      <sz val="14"/>
      <name val="Palatino"/>
      <family val="1"/>
    </font>
    <font>
      <b/>
      <sz val="11"/>
      <color indexed="56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6"/>
      <name val="Times New Roman"/>
      <family val="1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b/>
      <i/>
      <sz val="11"/>
      <color theme="1"/>
      <name val="Calibri"/>
      <family val="2"/>
      <scheme val="minor"/>
    </font>
    <font>
      <b/>
      <sz val="10"/>
      <color theme="1"/>
      <name val="KPN Sans"/>
      <family val="2"/>
    </font>
    <font>
      <b/>
      <sz val="9"/>
      <color theme="1"/>
      <name val="KPN Sans"/>
      <family val="2"/>
    </font>
    <font>
      <sz val="9"/>
      <color theme="1"/>
      <name val="KPN Sans"/>
      <family val="2"/>
    </font>
    <font>
      <sz val="9"/>
      <color rgb="FF000000"/>
      <name val="KPN Sans"/>
      <family val="2"/>
    </font>
    <font>
      <sz val="10"/>
      <color rgb="FF000000"/>
      <name val="Arial"/>
      <family val="2"/>
    </font>
    <font>
      <sz val="11"/>
      <color theme="0"/>
      <name val="Calibri"/>
      <family val="2"/>
      <scheme val="minor"/>
    </font>
    <font>
      <sz val="11"/>
      <name val="Calibri"/>
      <family val="2"/>
    </font>
    <font>
      <sz val="10"/>
      <color indexed="8"/>
      <name val="Times New Roman"/>
      <family val="1"/>
    </font>
    <font>
      <sz val="10"/>
      <name val="Helv"/>
      <charset val="204"/>
    </font>
    <font>
      <sz val="10"/>
      <name val="Verdana"/>
      <family val="2"/>
    </font>
    <font>
      <i/>
      <sz val="10"/>
      <name val="Arial"/>
      <family val="2"/>
    </font>
    <font>
      <sz val="10"/>
      <name val="Geneva"/>
      <family val="2"/>
    </font>
    <font>
      <sz val="10"/>
      <name val="Helv"/>
      <family val="2"/>
    </font>
    <font>
      <sz val="8"/>
      <name val="Antique Olive"/>
      <family val="2"/>
    </font>
    <font>
      <sz val="8"/>
      <name val="Geneva"/>
    </font>
    <font>
      <sz val="10"/>
      <color indexed="8"/>
      <name val="Arial"/>
      <family val="2"/>
    </font>
    <font>
      <sz val="11"/>
      <color indexed="9"/>
      <name val="Calibri"/>
      <family val="2"/>
    </font>
    <font>
      <sz val="9"/>
      <name val="Times New Roman"/>
      <family val="1"/>
    </font>
    <font>
      <sz val="11"/>
      <color indexed="37"/>
      <name val="Calibri"/>
      <family val="2"/>
    </font>
    <font>
      <sz val="10"/>
      <color indexed="20"/>
      <name val="Calibri"/>
      <family val="2"/>
    </font>
    <font>
      <sz val="9"/>
      <name val="Univers"/>
      <family val="2"/>
    </font>
    <font>
      <b/>
      <sz val="11"/>
      <color indexed="17"/>
      <name val="Calibri"/>
      <family val="2"/>
    </font>
    <font>
      <b/>
      <sz val="10"/>
      <name val="Helv"/>
    </font>
    <font>
      <b/>
      <sz val="8"/>
      <color indexed="8"/>
      <name val="Verdana"/>
      <family val="2"/>
    </font>
    <font>
      <sz val="10"/>
      <name val="Calibri"/>
      <family val="2"/>
    </font>
    <font>
      <b/>
      <sz val="10"/>
      <name val="Times New Roman"/>
      <family val="1"/>
    </font>
    <font>
      <sz val="11"/>
      <name val="Tms Rmn"/>
    </font>
    <font>
      <sz val="1"/>
      <color indexed="16"/>
      <name val="Courier"/>
      <family val="3"/>
    </font>
    <font>
      <sz val="12"/>
      <color indexed="8"/>
      <name val="Arial"/>
      <family val="2"/>
    </font>
    <font>
      <b/>
      <sz val="12"/>
      <name val="Helv"/>
    </font>
    <font>
      <sz val="9"/>
      <color indexed="8"/>
      <name val="Arial"/>
      <family val="2"/>
    </font>
    <font>
      <sz val="10"/>
      <color indexed="47"/>
      <name val="Arial"/>
      <family val="2"/>
    </font>
    <font>
      <sz val="10"/>
      <name val="DKBRHelvetica"/>
      <family val="2"/>
    </font>
    <font>
      <sz val="8"/>
      <color indexed="47"/>
      <name val="Arial"/>
      <family val="2"/>
    </font>
    <font>
      <sz val="10"/>
      <color indexed="18"/>
      <name val="Arial"/>
      <family val="2"/>
    </font>
    <font>
      <i/>
      <sz val="8"/>
      <name val="Arial"/>
      <family val="2"/>
    </font>
    <font>
      <sz val="11"/>
      <color indexed="23"/>
      <name val="Arial"/>
      <family val="2"/>
    </font>
    <font>
      <b/>
      <sz val="15"/>
      <color indexed="62"/>
      <name val="Calibri"/>
      <family val="2"/>
    </font>
    <font>
      <b/>
      <sz val="11"/>
      <color indexed="62"/>
      <name val="Calibri"/>
      <family val="2"/>
    </font>
    <font>
      <b/>
      <sz val="10"/>
      <color indexed="31"/>
      <name val="Arial"/>
      <family val="2"/>
    </font>
    <font>
      <b/>
      <sz val="12"/>
      <name val="Frutiger 55 Roman"/>
    </font>
    <font>
      <u/>
      <sz val="7.5"/>
      <color indexed="12"/>
      <name val="Arial"/>
      <family val="2"/>
    </font>
    <font>
      <u/>
      <sz val="10"/>
      <color indexed="12"/>
      <name val="Arial"/>
      <family val="2"/>
    </font>
    <font>
      <u/>
      <sz val="6"/>
      <color indexed="12"/>
      <name val="Arial"/>
      <family val="2"/>
    </font>
    <font>
      <sz val="9"/>
      <color indexed="12"/>
      <name val="Arial"/>
      <family val="2"/>
    </font>
    <font>
      <sz val="10"/>
      <color indexed="18"/>
      <name val="Palatino"/>
    </font>
    <font>
      <b/>
      <sz val="10"/>
      <color indexed="12"/>
      <name val="Arial"/>
      <family val="2"/>
    </font>
    <font>
      <i/>
      <sz val="9"/>
      <color indexed="12"/>
      <name val="Arial"/>
      <family val="2"/>
    </font>
    <font>
      <sz val="9"/>
      <color indexed="12"/>
      <name val="Frutiger 55 Roman"/>
    </font>
    <font>
      <b/>
      <sz val="10"/>
      <color indexed="10"/>
      <name val="Arial"/>
      <family val="2"/>
    </font>
    <font>
      <i/>
      <sz val="9"/>
      <color indexed="10"/>
      <name val="Arial"/>
      <family val="2"/>
    </font>
    <font>
      <sz val="18"/>
      <name val="Times New Roman"/>
      <family val="1"/>
    </font>
    <font>
      <b/>
      <sz val="13"/>
      <name val="Times New Roman"/>
      <family val="1"/>
    </font>
    <font>
      <b/>
      <i/>
      <sz val="12"/>
      <name val="Times New Roman"/>
      <family val="1"/>
    </font>
    <font>
      <i/>
      <sz val="12"/>
      <name val="Times New Roman"/>
      <family val="1"/>
    </font>
    <font>
      <sz val="11"/>
      <name val="Times New Roman"/>
      <family val="1"/>
    </font>
    <font>
      <sz val="10"/>
      <color indexed="14"/>
      <name val="Arial"/>
      <family val="2"/>
    </font>
    <font>
      <b/>
      <sz val="10"/>
      <color indexed="11"/>
      <name val="Arial"/>
      <family val="2"/>
    </font>
    <font>
      <i/>
      <sz val="9"/>
      <color indexed="11"/>
      <name val="Arial"/>
      <family val="2"/>
    </font>
    <font>
      <b/>
      <sz val="11"/>
      <name val="Helv"/>
    </font>
    <font>
      <sz val="11"/>
      <color indexed="24"/>
      <name val="Arial"/>
      <family val="2"/>
    </font>
    <font>
      <sz val="8"/>
      <color indexed="10"/>
      <name val="Arial"/>
      <family val="2"/>
    </font>
    <font>
      <sz val="10"/>
      <name val="Palatino"/>
    </font>
    <font>
      <sz val="11"/>
      <color indexed="8"/>
      <name val="Trebuchet MS"/>
      <family val="2"/>
    </font>
    <font>
      <sz val="10"/>
      <name val="Arial "/>
    </font>
    <font>
      <sz val="10"/>
      <name val="Arial CE"/>
      <charset val="238"/>
    </font>
    <font>
      <i/>
      <sz val="10"/>
      <name val="Helv"/>
    </font>
    <font>
      <sz val="8"/>
      <color indexed="55"/>
      <name val="Arial"/>
      <family val="2"/>
    </font>
    <font>
      <sz val="8"/>
      <name val="Tahoma"/>
      <family val="2"/>
    </font>
    <font>
      <b/>
      <sz val="10"/>
      <color indexed="63"/>
      <name val="Arial"/>
      <family val="2"/>
    </font>
    <font>
      <i/>
      <sz val="9"/>
      <name val="Arial"/>
      <family val="2"/>
    </font>
    <font>
      <sz val="24"/>
      <name val="Arial Narrow"/>
      <family val="2"/>
    </font>
    <font>
      <b/>
      <i/>
      <sz val="10"/>
      <color indexed="48"/>
      <name val="Arial"/>
      <family val="2"/>
    </font>
    <font>
      <sz val="9"/>
      <color indexed="8"/>
      <name val="Frutiger 55 Roman"/>
    </font>
    <font>
      <b/>
      <sz val="10"/>
      <name val="MS Sans Serif"/>
      <family val="2"/>
    </font>
    <font>
      <sz val="8"/>
      <color indexed="60"/>
      <name val="Trebuchet MS"/>
      <family val="2"/>
    </font>
    <font>
      <i/>
      <sz val="8"/>
      <color indexed="55"/>
      <name val="Arial"/>
      <family val="2"/>
    </font>
    <font>
      <sz val="8"/>
      <color indexed="62"/>
      <name val="Arial"/>
      <family val="2"/>
    </font>
    <font>
      <sz val="10"/>
      <color indexed="39"/>
      <name val="Arial"/>
      <family val="2"/>
    </font>
    <font>
      <sz val="19"/>
      <name val="Arial"/>
      <family val="2"/>
    </font>
    <font>
      <b/>
      <sz val="16"/>
      <color indexed="23"/>
      <name val="Arial"/>
      <family val="2"/>
    </font>
    <font>
      <sz val="8"/>
      <color indexed="14"/>
      <name val="Arial"/>
      <family val="2"/>
    </font>
    <font>
      <b/>
      <sz val="18"/>
      <color indexed="62"/>
      <name val="Cambria"/>
      <family val="2"/>
    </font>
    <font>
      <sz val="11"/>
      <color rgb="FF000000"/>
      <name val="Calibri"/>
      <family val="2"/>
      <scheme val="minor"/>
    </font>
    <font>
      <b/>
      <sz val="16"/>
      <color indexed="9"/>
      <name val="Arial"/>
      <family val="2"/>
    </font>
    <font>
      <b/>
      <sz val="14"/>
      <color indexed="32"/>
      <name val="Arial"/>
      <family val="2"/>
    </font>
    <font>
      <b/>
      <sz val="14"/>
      <name val="Arial"/>
      <family val="2"/>
    </font>
    <font>
      <b/>
      <sz val="18"/>
      <color indexed="8"/>
      <name val="Frutiger 55 Roman"/>
    </font>
    <font>
      <b/>
      <sz val="11"/>
      <name val="Frutiger 55 Roman"/>
    </font>
    <font>
      <b/>
      <sz val="9"/>
      <color indexed="8"/>
      <name val="Frutiger 55 Roman"/>
    </font>
    <font>
      <i/>
      <sz val="9"/>
      <color indexed="8"/>
      <name val="Frutiger 55 Roman"/>
    </font>
    <font>
      <sz val="11"/>
      <color indexed="14"/>
      <name val="Calibri"/>
      <family val="2"/>
    </font>
    <font>
      <b/>
      <sz val="12"/>
      <name val="MS Sans Serif"/>
      <family val="2"/>
    </font>
    <font>
      <sz val="11"/>
      <name val="ＭＳ Ｐゴシック"/>
      <family val="2"/>
      <charset val="128"/>
    </font>
    <font>
      <sz val="10"/>
      <color theme="3" tint="0.39997558519241921"/>
      <name val="Arial"/>
      <family val="2"/>
    </font>
    <font>
      <sz val="10"/>
      <color theme="2" tint="-0.499984740745262"/>
      <name val="Arial"/>
      <family val="2"/>
    </font>
    <font>
      <sz val="8"/>
      <color theme="1"/>
      <name val="Arial"/>
      <family val="2"/>
    </font>
    <font>
      <sz val="11"/>
      <color theme="1"/>
      <name val="Calibri"/>
      <family val="2"/>
    </font>
    <font>
      <sz val="9"/>
      <color theme="1"/>
      <name val="Calibri"/>
      <family val="2"/>
      <scheme val="minor"/>
    </font>
    <font>
      <sz val="10"/>
      <color rgb="FF9933FF"/>
      <name val="Arial"/>
      <family val="2"/>
    </font>
    <font>
      <sz val="12"/>
      <color rgb="FF9933FF"/>
      <name val="Arial"/>
      <family val="2"/>
    </font>
    <font>
      <i/>
      <sz val="10"/>
      <color theme="0"/>
      <name val="Calibri"/>
      <family val="2"/>
      <scheme val="minor"/>
    </font>
    <font>
      <i/>
      <sz val="8"/>
      <color theme="0"/>
      <name val="Calibri"/>
      <family val="2"/>
      <scheme val="minor"/>
    </font>
    <font>
      <i/>
      <sz val="11"/>
      <color theme="0"/>
      <name val="Calibri"/>
      <family val="2"/>
      <scheme val="minor"/>
    </font>
    <font>
      <b/>
      <sz val="10"/>
      <color theme="0"/>
      <name val="KPN Sans"/>
      <family val="2"/>
    </font>
    <font>
      <sz val="9"/>
      <color theme="0"/>
      <name val="KPN Sans"/>
      <family val="2"/>
    </font>
  </fonts>
  <fills count="129">
    <fill>
      <patternFill patternType="none"/>
    </fill>
    <fill>
      <patternFill patternType="gray125"/>
    </fill>
    <fill>
      <patternFill patternType="solid">
        <fgColor rgb="FF99CCFF"/>
        <bgColor rgb="FF000000"/>
      </patternFill>
    </fill>
    <fill>
      <patternFill patternType="solid">
        <fgColor rgb="FFFFFF00"/>
        <bgColor indexed="64"/>
      </patternFill>
    </fill>
    <fill>
      <patternFill patternType="solid">
        <fgColor rgb="FFFF0000"/>
        <bgColor rgb="FF000000"/>
      </patternFill>
    </fill>
    <fill>
      <patternFill patternType="solid">
        <fgColor rgb="FF1F497D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FFC000"/>
        <bgColor indexed="64"/>
      </patternFill>
    </fill>
    <fill>
      <patternFill patternType="solid">
        <fgColor rgb="FFFFFF99"/>
        <bgColor rgb="FF000000"/>
      </patternFill>
    </fill>
    <fill>
      <patternFill patternType="solid">
        <fgColor theme="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rgb="FFFFFFCC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12"/>
      </patternFill>
    </fill>
    <fill>
      <patternFill patternType="solid">
        <fgColor indexed="9"/>
      </patternFill>
    </fill>
    <fill>
      <patternFill patternType="solid">
        <fgColor indexed="4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15"/>
      </patternFill>
    </fill>
    <fill>
      <patternFill patternType="solid">
        <fgColor indexed="13"/>
        <bgColor indexed="15"/>
      </patternFill>
    </fill>
    <fill>
      <patternFill patternType="solid">
        <fgColor indexed="13"/>
        <bgColor indexed="64"/>
      </patternFill>
    </fill>
    <fill>
      <patternFill patternType="solid">
        <fgColor indexed="13"/>
      </patternFill>
    </fill>
    <fill>
      <patternFill patternType="solid">
        <fgColor indexed="17"/>
      </patternFill>
    </fill>
    <fill>
      <patternFill patternType="darkVertical"/>
    </fill>
    <fill>
      <patternFill patternType="solid">
        <fgColor indexed="43"/>
      </patternFill>
    </fill>
    <fill>
      <patternFill patternType="solid">
        <fgColor indexed="47"/>
      </patternFill>
    </fill>
    <fill>
      <patternFill patternType="solid">
        <fgColor indexed="31"/>
        <bgColor indexed="64"/>
      </patternFill>
    </fill>
    <fill>
      <patternFill patternType="solid">
        <fgColor indexed="16"/>
        <bgColor indexed="64"/>
      </patternFill>
    </fill>
    <fill>
      <patternFill patternType="solid">
        <fgColor indexed="8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45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rgb="FFFFFFFF"/>
        <bgColor indexed="6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indexed="46"/>
      </patternFill>
    </fill>
    <fill>
      <patternFill patternType="solid">
        <fgColor indexed="49"/>
      </patternFill>
    </fill>
    <fill>
      <patternFill patternType="solid">
        <fgColor indexed="61"/>
        <bgColor indexed="61"/>
      </patternFill>
    </fill>
    <fill>
      <patternFill patternType="solid">
        <fgColor indexed="44"/>
        <bgColor indexed="44"/>
      </patternFill>
    </fill>
    <fill>
      <patternFill patternType="solid">
        <fgColor indexed="22"/>
        <bgColor indexed="22"/>
      </patternFill>
    </fill>
    <fill>
      <patternFill patternType="solid">
        <fgColor indexed="54"/>
        <bgColor indexed="54"/>
      </patternFill>
    </fill>
    <fill>
      <patternFill patternType="solid">
        <fgColor indexed="58"/>
        <bgColor indexed="58"/>
      </patternFill>
    </fill>
    <fill>
      <patternFill patternType="solid">
        <fgColor indexed="24"/>
        <bgColor indexed="24"/>
      </patternFill>
    </fill>
    <fill>
      <patternFill patternType="solid">
        <fgColor indexed="48"/>
        <bgColor indexed="48"/>
      </patternFill>
    </fill>
    <fill>
      <patternFill patternType="solid">
        <fgColor indexed="31"/>
        <bgColor indexed="31"/>
      </patternFill>
    </fill>
    <fill>
      <patternFill patternType="solid">
        <fgColor indexed="15"/>
        <bgColor indexed="15"/>
      </patternFill>
    </fill>
    <fill>
      <patternFill patternType="solid">
        <fgColor indexed="40"/>
        <bgColor indexed="40"/>
      </patternFill>
    </fill>
    <fill>
      <patternFill patternType="solid">
        <fgColor indexed="45"/>
        <bgColor indexed="45"/>
      </patternFill>
    </fill>
    <fill>
      <patternFill patternType="solid">
        <fgColor indexed="55"/>
        <bgColor indexed="55"/>
      </patternFill>
    </fill>
    <fill>
      <patternFill patternType="solid">
        <fgColor indexed="25"/>
        <bgColor indexed="25"/>
      </patternFill>
    </fill>
    <fill>
      <patternFill patternType="solid">
        <fgColor indexed="60"/>
        <bgColor indexed="60"/>
      </patternFill>
    </fill>
    <fill>
      <patternFill patternType="solid">
        <fgColor indexed="41"/>
        <bgColor indexed="41"/>
      </patternFill>
    </fill>
    <fill>
      <patternFill patternType="solid">
        <fgColor indexed="11"/>
        <bgColor indexed="11"/>
      </patternFill>
    </fill>
    <fill>
      <patternFill patternType="solid">
        <fgColor indexed="50"/>
        <bgColor indexed="50"/>
      </patternFill>
    </fill>
    <fill>
      <patternFill patternType="solid">
        <fgColor indexed="57"/>
        <bgColor indexed="57"/>
      </patternFill>
    </fill>
    <fill>
      <patternFill patternType="solid">
        <fgColor indexed="18"/>
        <bgColor indexed="18"/>
      </patternFill>
    </fill>
    <fill>
      <patternFill patternType="solid">
        <fgColor indexed="54"/>
      </patternFill>
    </fill>
    <fill>
      <patternFill patternType="solid">
        <fgColor indexed="26"/>
        <bgColor indexed="26"/>
      </patternFill>
    </fill>
    <fill>
      <patternFill patternType="solid">
        <fgColor indexed="47"/>
        <bgColor indexed="47"/>
      </patternFill>
    </fill>
    <fill>
      <patternFill patternType="solid">
        <fgColor indexed="51"/>
        <bgColor indexed="51"/>
      </patternFill>
    </fill>
    <fill>
      <patternFill patternType="solid">
        <fgColor indexed="53"/>
        <bgColor indexed="53"/>
      </patternFill>
    </fill>
    <fill>
      <patternFill patternType="solid">
        <fgColor indexed="35"/>
        <bgColor indexed="64"/>
      </patternFill>
    </fill>
    <fill>
      <patternFill patternType="solid">
        <fgColor indexed="28"/>
        <bgColor indexed="64"/>
      </patternFill>
    </fill>
    <fill>
      <patternFill patternType="solid">
        <fgColor indexed="38"/>
        <bgColor indexed="64"/>
      </patternFill>
    </fill>
    <fill>
      <patternFill patternType="solid">
        <fgColor indexed="35"/>
        <bgColor indexed="35"/>
      </patternFill>
    </fill>
    <fill>
      <patternFill patternType="solid">
        <fgColor indexed="50"/>
        <bgColor indexed="64"/>
      </patternFill>
    </fill>
    <fill>
      <patternFill patternType="solid">
        <fgColor indexed="24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30"/>
        <bgColor indexed="64"/>
      </patternFill>
    </fill>
    <fill>
      <patternFill patternType="gray0625">
        <fgColor indexed="15"/>
      </patternFill>
    </fill>
    <fill>
      <patternFill patternType="solid">
        <fgColor indexed="18"/>
        <bgColor indexed="64"/>
      </patternFill>
    </fill>
    <fill>
      <patternFill patternType="lightUp">
        <fgColor indexed="9"/>
        <bgColor indexed="55"/>
      </patternFill>
    </fill>
    <fill>
      <patternFill patternType="lightUp">
        <fgColor indexed="9"/>
        <bgColor indexed="29"/>
      </patternFill>
    </fill>
    <fill>
      <patternFill patternType="lightUp">
        <fgColor indexed="9"/>
        <bgColor indexed="57"/>
      </patternFill>
    </fill>
    <fill>
      <patternFill patternType="solid">
        <fgColor indexed="39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1"/>
        <bgColor indexed="15"/>
      </patternFill>
    </fill>
    <fill>
      <patternFill patternType="gray125">
        <fgColor indexed="13"/>
      </patternFill>
    </fill>
    <fill>
      <patternFill patternType="solid">
        <fgColor indexed="51"/>
        <bgColor indexed="64"/>
      </patternFill>
    </fill>
    <fill>
      <patternFill patternType="mediumGray">
        <fgColor indexed="22"/>
      </patternFill>
    </fill>
    <fill>
      <patternFill patternType="solid">
        <fgColor indexed="10"/>
      </patternFill>
    </fill>
    <fill>
      <patternFill patternType="solid">
        <fgColor indexed="10"/>
        <bgColor indexed="64"/>
      </patternFill>
    </fill>
    <fill>
      <patternFill patternType="solid">
        <fgColor indexed="51"/>
      </patternFill>
    </fill>
    <fill>
      <patternFill patternType="solid">
        <fgColor indexed="52"/>
      </patternFill>
    </fill>
    <fill>
      <patternFill patternType="solid">
        <fgColor indexed="52"/>
        <bgColor indexed="64"/>
      </patternFill>
    </fill>
    <fill>
      <patternFill patternType="solid">
        <fgColor indexed="53"/>
      </patternFill>
    </fill>
    <fill>
      <patternFill patternType="solid">
        <fgColor indexed="53"/>
        <bgColor indexed="64"/>
      </patternFill>
    </fill>
    <fill>
      <patternFill patternType="solid">
        <fgColor indexed="57"/>
      </patternFill>
    </fill>
    <fill>
      <patternFill patternType="solid">
        <fgColor indexed="57"/>
        <bgColor indexed="64"/>
      </patternFill>
    </fill>
    <fill>
      <patternFill patternType="solid">
        <fgColor indexed="50"/>
      </patternFill>
    </fill>
    <fill>
      <patternFill patternType="solid">
        <fgColor indexed="11"/>
      </patternFill>
    </fill>
    <fill>
      <patternFill patternType="lightUp">
        <fgColor indexed="48"/>
        <bgColor indexed="41"/>
      </patternFill>
    </fill>
    <fill>
      <patternFill patternType="lightUp">
        <fgColor indexed="22"/>
        <bgColor indexed="35"/>
      </patternFill>
    </fill>
    <fill>
      <patternFill patternType="solid">
        <fgColor indexed="54"/>
        <bgColor indexed="64"/>
      </patternFill>
    </fill>
    <fill>
      <patternFill patternType="solid">
        <fgColor indexed="40"/>
      </patternFill>
    </fill>
    <fill>
      <patternFill patternType="solid">
        <fgColor indexed="41"/>
      </patternFill>
    </fill>
    <fill>
      <patternFill patternType="solid">
        <fgColor indexed="23"/>
        <bgColor indexed="64"/>
      </patternFill>
    </fill>
    <fill>
      <patternFill patternType="solid">
        <fgColor indexed="23"/>
      </patternFill>
    </fill>
    <fill>
      <patternFill patternType="solid">
        <fgColor indexed="55"/>
        <bgColor indexed="64"/>
      </patternFill>
    </fill>
    <fill>
      <patternFill patternType="solid">
        <fgColor indexed="44"/>
      </patternFill>
    </fill>
    <fill>
      <patternFill patternType="solid">
        <fgColor indexed="20"/>
      </patternFill>
    </fill>
    <fill>
      <patternFill patternType="solid">
        <fgColor indexed="32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7" tint="0.39997558519241921"/>
        <bgColor rgb="FF000000"/>
      </patternFill>
    </fill>
    <fill>
      <patternFill patternType="solid">
        <fgColor rgb="FFFFFF99"/>
        <bgColor indexed="64"/>
      </patternFill>
    </fill>
  </fills>
  <borders count="11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B0F0"/>
      </bottom>
      <diagonal/>
    </border>
    <border>
      <left style="thin">
        <color indexed="50"/>
      </left>
      <right style="thin">
        <color indexed="50"/>
      </right>
      <top style="thin">
        <color indexed="50"/>
      </top>
      <bottom style="thin">
        <color indexed="5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auto="1"/>
      </left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dotted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57"/>
      </left>
      <right style="thin">
        <color indexed="57"/>
      </right>
      <top style="thin">
        <color indexed="57"/>
      </top>
      <bottom style="thin">
        <color indexed="57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medium">
        <color indexed="64"/>
      </left>
      <right/>
      <top style="medium">
        <color indexed="64"/>
      </top>
      <bottom style="thin">
        <color theme="0" tint="-0.24994659260841701"/>
      </bottom>
      <diagonal/>
    </border>
    <border>
      <left/>
      <right/>
      <top style="medium">
        <color indexed="64"/>
      </top>
      <bottom style="thin">
        <color theme="0" tint="-0.24994659260841701"/>
      </bottom>
      <diagonal/>
    </border>
    <border>
      <left/>
      <right style="medium">
        <color indexed="64"/>
      </right>
      <top style="medium">
        <color indexed="64"/>
      </top>
      <bottom style="thin">
        <color theme="0" tint="-0.24994659260841701"/>
      </bottom>
      <diagonal/>
    </border>
    <border>
      <left style="medium">
        <color indexed="64"/>
      </left>
      <right/>
      <top style="thin">
        <color theme="0" tint="-0.24994659260841701"/>
      </top>
      <bottom style="thin">
        <color theme="0" tint="-0.24994659260841701"/>
      </bottom>
      <diagonal/>
    </border>
    <border>
      <left/>
      <right/>
      <top style="thin">
        <color theme="0" tint="-0.24994659260841701"/>
      </top>
      <bottom style="thin">
        <color theme="0" tint="-0.24994659260841701"/>
      </bottom>
      <diagonal/>
    </border>
    <border>
      <left/>
      <right style="medium">
        <color indexed="64"/>
      </right>
      <top style="thin">
        <color theme="0" tint="-0.24994659260841701"/>
      </top>
      <bottom style="thin">
        <color theme="0" tint="-0.24994659260841701"/>
      </bottom>
      <diagonal/>
    </border>
    <border>
      <left style="medium">
        <color indexed="64"/>
      </left>
      <right/>
      <top style="thin">
        <color theme="0" tint="-0.24994659260841701"/>
      </top>
      <bottom style="medium">
        <color indexed="64"/>
      </bottom>
      <diagonal/>
    </border>
    <border>
      <left/>
      <right/>
      <top style="thin">
        <color theme="0" tint="-0.24994659260841701"/>
      </top>
      <bottom style="medium">
        <color indexed="64"/>
      </bottom>
      <diagonal/>
    </border>
    <border>
      <left/>
      <right style="medium">
        <color indexed="64"/>
      </right>
      <top style="thin">
        <color theme="0" tint="-0.24994659260841701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/>
      <bottom style="hair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50"/>
      </left>
      <right style="thin">
        <color indexed="50"/>
      </right>
      <top style="thin">
        <color indexed="50"/>
      </top>
      <bottom style="thin">
        <color indexed="5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57"/>
      </left>
      <right style="thin">
        <color indexed="57"/>
      </right>
      <top style="thin">
        <color indexed="57"/>
      </top>
      <bottom style="thin">
        <color indexed="57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ck">
        <color indexed="64"/>
      </bottom>
      <diagonal/>
    </border>
    <border>
      <left style="dashed">
        <color indexed="63"/>
      </left>
      <right style="dashed">
        <color indexed="63"/>
      </right>
      <top style="dashed">
        <color indexed="63"/>
      </top>
      <bottom style="dashed">
        <color indexed="63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medium">
        <color indexed="9"/>
      </left>
      <right/>
      <top style="thin">
        <color indexed="64"/>
      </top>
      <bottom style="medium">
        <color indexed="9"/>
      </bottom>
      <diagonal/>
    </border>
    <border>
      <left/>
      <right/>
      <top/>
      <bottom style="medium">
        <color indexed="45"/>
      </bottom>
      <diagonal/>
    </border>
    <border>
      <left style="dotted">
        <color indexed="28"/>
      </left>
      <right style="dotted">
        <color indexed="28"/>
      </right>
      <top style="dotted">
        <color indexed="28"/>
      </top>
      <bottom style="dotted">
        <color indexed="28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dashed">
        <color indexed="55"/>
      </left>
      <right style="dashed">
        <color indexed="55"/>
      </right>
      <top style="dashed">
        <color indexed="55"/>
      </top>
      <bottom style="dashed">
        <color indexed="55"/>
      </bottom>
      <diagonal/>
    </border>
    <border>
      <left/>
      <right/>
      <top/>
      <bottom style="thick">
        <color indexed="48"/>
      </bottom>
      <diagonal/>
    </border>
    <border>
      <left style="thin">
        <color indexed="9"/>
      </left>
      <right style="thin">
        <color indexed="9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dashed">
        <color indexed="28"/>
      </left>
      <right style="dashed">
        <color indexed="28"/>
      </right>
      <top style="dashed">
        <color indexed="28"/>
      </top>
      <bottom style="dashed">
        <color indexed="28"/>
      </bottom>
      <diagonal/>
    </border>
    <border>
      <left/>
      <right/>
      <top/>
      <bottom style="double">
        <color indexed="17"/>
      </bottom>
      <diagonal/>
    </border>
    <border>
      <left style="medium">
        <color indexed="64"/>
      </left>
      <right style="dotted">
        <color indexed="64"/>
      </right>
      <top style="medium">
        <color indexed="64"/>
      </top>
      <bottom style="hair">
        <color indexed="64"/>
      </bottom>
      <diagonal/>
    </border>
    <border>
      <left style="dotted">
        <color indexed="10"/>
      </left>
      <right style="dotted">
        <color indexed="10"/>
      </right>
      <top style="dotted">
        <color indexed="10"/>
      </top>
      <bottom style="dotted">
        <color indexed="10"/>
      </bottom>
      <diagonal/>
    </border>
    <border>
      <left style="thin">
        <color indexed="55"/>
      </left>
      <right/>
      <top style="thin">
        <color indexed="55"/>
      </top>
      <bottom style="thin">
        <color indexed="55"/>
      </bottom>
      <diagonal/>
    </border>
    <border>
      <left style="thick">
        <color indexed="59"/>
      </left>
      <right/>
      <top/>
      <bottom/>
      <diagonal/>
    </border>
    <border>
      <left style="thin">
        <color indexed="48"/>
      </left>
      <right style="thin">
        <color indexed="48"/>
      </right>
      <top style="thin">
        <color indexed="48"/>
      </top>
      <bottom style="thin">
        <color indexed="4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3"/>
      </left>
      <right style="thin">
        <color indexed="63"/>
      </right>
      <top style="thin">
        <color indexed="64"/>
      </top>
      <bottom style="thin">
        <color indexed="63"/>
      </bottom>
      <diagonal/>
    </border>
    <border>
      <left style="thin">
        <color indexed="58"/>
      </left>
      <right style="medium">
        <color indexed="58"/>
      </right>
      <top style="medium">
        <color indexed="58"/>
      </top>
      <bottom style="thin">
        <color indexed="58"/>
      </bottom>
      <diagonal/>
    </border>
    <border>
      <left style="thin">
        <color indexed="54"/>
      </left>
      <right/>
      <top style="thin">
        <color indexed="54"/>
      </top>
      <bottom/>
      <diagonal/>
    </border>
    <border>
      <left/>
      <right/>
      <top style="thin">
        <color indexed="48"/>
      </top>
      <bottom style="double">
        <color indexed="48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auto="1"/>
      </top>
      <bottom/>
      <diagonal/>
    </border>
  </borders>
  <cellStyleXfs count="3990">
    <xf numFmtId="0" fontId="0" fillId="0" borderId="0"/>
    <xf numFmtId="9" fontId="1" fillId="0" borderId="0" applyFont="0" applyFill="0" applyBorder="0" applyAlignment="0" applyProtection="0"/>
    <xf numFmtId="0" fontId="1" fillId="0" borderId="0"/>
    <xf numFmtId="0" fontId="10" fillId="0" borderId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2" fillId="0" borderId="0"/>
    <xf numFmtId="0" fontId="3" fillId="0" borderId="0"/>
    <xf numFmtId="43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0" fillId="0" borderId="0"/>
    <xf numFmtId="167" fontId="10" fillId="0" borderId="0" applyFont="0" applyFill="0" applyBorder="0" applyAlignment="0" applyProtection="0"/>
    <xf numFmtId="0" fontId="3" fillId="0" borderId="0" applyBorder="0"/>
    <xf numFmtId="0" fontId="3" fillId="0" borderId="0"/>
    <xf numFmtId="0" fontId="3" fillId="0" borderId="0" applyBorder="0"/>
    <xf numFmtId="0" fontId="30" fillId="0" borderId="0"/>
    <xf numFmtId="0" fontId="3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0" fillId="0" borderId="0"/>
    <xf numFmtId="0" fontId="3" fillId="0" borderId="0"/>
    <xf numFmtId="0" fontId="3" fillId="0" borderId="0"/>
    <xf numFmtId="0" fontId="3" fillId="0" borderId="0" applyNumberForma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3" fontId="3" fillId="0" borderId="0"/>
    <xf numFmtId="3" fontId="3" fillId="0" borderId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3" fontId="3" fillId="0" borderId="0"/>
    <xf numFmtId="3" fontId="3" fillId="0" borderId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2" fillId="0" borderId="0" applyNumberFormat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 applyFill="0" applyBorder="0" applyAlignment="0" applyProtection="0"/>
    <xf numFmtId="0" fontId="3" fillId="0" borderId="0" applyFill="0" applyBorder="0" applyAlignment="0" applyProtection="0"/>
    <xf numFmtId="3" fontId="3" fillId="0" borderId="0"/>
    <xf numFmtId="3" fontId="3" fillId="0" borderId="0"/>
    <xf numFmtId="0" fontId="32" fillId="0" borderId="0" applyNumberFormat="0" applyFont="0" applyFill="0" applyBorder="0" applyAlignment="0" applyProtection="0"/>
    <xf numFmtId="0" fontId="32" fillId="0" borderId="0" applyNumberFormat="0" applyFont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0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3" fillId="0" borderId="0"/>
    <xf numFmtId="0" fontId="33" fillId="0" borderId="0"/>
    <xf numFmtId="0" fontId="3" fillId="0" borderId="0"/>
    <xf numFmtId="0" fontId="3" fillId="0" borderId="0"/>
    <xf numFmtId="0" fontId="33" fillId="0" borderId="0"/>
    <xf numFmtId="0" fontId="3" fillId="0" borderId="0"/>
    <xf numFmtId="0" fontId="3" fillId="0" borderId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4" fillId="0" borderId="0" applyFill="0" applyBorder="0" applyProtection="0">
      <alignment vertical="center"/>
    </xf>
    <xf numFmtId="0" fontId="3" fillId="0" borderId="0" applyFill="0" applyBorder="0" applyProtection="0">
      <alignment vertical="center"/>
    </xf>
    <xf numFmtId="0" fontId="3" fillId="0" borderId="0" applyFill="0" applyBorder="0" applyProtection="0">
      <alignment vertical="center"/>
    </xf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/>
    <xf numFmtId="0" fontId="3" fillId="0" borderId="0"/>
    <xf numFmtId="0" fontId="32" fillId="0" borderId="0" applyNumberFormat="0" applyFon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2" fillId="0" borderId="0" applyNumberFormat="0" applyFont="0" applyFill="0" applyBorder="0" applyAlignment="0" applyProtection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0" fontId="30" fillId="0" borderId="0"/>
    <xf numFmtId="0" fontId="30" fillId="0" borderId="0"/>
    <xf numFmtId="0" fontId="32" fillId="0" borderId="0" applyNumberFormat="0" applyFont="0" applyFill="0" applyBorder="0" applyAlignment="0" applyProtection="0"/>
    <xf numFmtId="3" fontId="3" fillId="0" borderId="0"/>
    <xf numFmtId="3" fontId="3" fillId="0" borderId="0"/>
    <xf numFmtId="3" fontId="3" fillId="0" borderId="0"/>
    <xf numFmtId="3" fontId="3" fillId="0" borderId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3" fillId="0" borderId="0"/>
    <xf numFmtId="0" fontId="33" fillId="0" borderId="0"/>
    <xf numFmtId="0" fontId="10" fillId="0" borderId="0"/>
    <xf numFmtId="0" fontId="3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2" fillId="0" borderId="0" applyNumberFormat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3" fontId="3" fillId="0" borderId="0"/>
    <xf numFmtId="3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3" fontId="3" fillId="0" borderId="0"/>
    <xf numFmtId="3" fontId="3" fillId="0" borderId="0"/>
    <xf numFmtId="0" fontId="3" fillId="0" borderId="0"/>
    <xf numFmtId="0" fontId="3" fillId="0" borderId="0"/>
    <xf numFmtId="0" fontId="30" fillId="0" borderId="0"/>
    <xf numFmtId="0" fontId="30" fillId="0" borderId="0"/>
    <xf numFmtId="0" fontId="32" fillId="0" borderId="0" applyNumberFormat="0" applyFont="0" applyFill="0" applyBorder="0" applyAlignment="0" applyProtection="0"/>
    <xf numFmtId="0" fontId="33" fillId="0" borderId="0"/>
    <xf numFmtId="0" fontId="33" fillId="0" borderId="0"/>
    <xf numFmtId="0" fontId="3" fillId="0" borderId="0"/>
    <xf numFmtId="0" fontId="3" fillId="0" borderId="0"/>
    <xf numFmtId="0" fontId="3" fillId="0" borderId="0"/>
    <xf numFmtId="0" fontId="3" fillId="0" borderId="0" applyNumberForma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 applyNumberFormat="0" applyFill="0" applyBorder="0" applyAlignment="0" applyProtection="0"/>
    <xf numFmtId="38" fontId="35" fillId="0" borderId="0" applyFont="0" applyFill="0" applyBorder="0" applyAlignment="0" applyProtection="0"/>
    <xf numFmtId="0" fontId="10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3" fillId="0" borderId="0"/>
    <xf numFmtId="0" fontId="3" fillId="0" borderId="0"/>
    <xf numFmtId="0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3" fontId="3" fillId="0" borderId="0"/>
    <xf numFmtId="3" fontId="3" fillId="0" borderId="0"/>
    <xf numFmtId="0" fontId="36" fillId="0" borderId="0" applyFill="0" applyBorder="0" applyProtection="0">
      <alignment vertical="center"/>
    </xf>
    <xf numFmtId="0" fontId="36" fillId="0" borderId="0" applyFill="0" applyBorder="0" applyProtection="0">
      <alignment vertical="center"/>
    </xf>
    <xf numFmtId="0" fontId="36" fillId="0" borderId="0" applyFill="0" applyBorder="0" applyProtection="0">
      <alignment vertical="center"/>
    </xf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/>
    <xf numFmtId="0" fontId="3" fillId="0" borderId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/>
    <xf numFmtId="0" fontId="32" fillId="0" borderId="0" applyNumberFormat="0" applyFont="0" applyFill="0" applyBorder="0" applyAlignment="0" applyProtection="0"/>
    <xf numFmtId="0" fontId="32" fillId="0" borderId="0" applyNumberFormat="0" applyFont="0" applyFill="0" applyBorder="0" applyAlignment="0" applyProtection="0"/>
    <xf numFmtId="0" fontId="32" fillId="0" borderId="0" applyNumberFormat="0" applyFont="0" applyFill="0" applyBorder="0" applyAlignment="0" applyProtection="0"/>
    <xf numFmtId="0" fontId="32" fillId="0" borderId="0" applyNumberFormat="0" applyFont="0" applyFill="0" applyBorder="0" applyAlignment="0" applyProtection="0"/>
    <xf numFmtId="3" fontId="3" fillId="0" borderId="0"/>
    <xf numFmtId="3" fontId="3" fillId="0" borderId="0"/>
    <xf numFmtId="3" fontId="3" fillId="0" borderId="0"/>
    <xf numFmtId="3" fontId="3" fillId="0" borderId="0"/>
    <xf numFmtId="0" fontId="33" fillId="0" borderId="0"/>
    <xf numFmtId="0" fontId="33" fillId="0" borderId="0"/>
    <xf numFmtId="0" fontId="33" fillId="0" borderId="0"/>
    <xf numFmtId="0" fontId="3" fillId="0" borderId="0"/>
    <xf numFmtId="0" fontId="3" fillId="0" borderId="0"/>
    <xf numFmtId="0" fontId="30" fillId="0" borderId="0"/>
    <xf numFmtId="0" fontId="32" fillId="0" borderId="0" applyNumberFormat="0" applyFont="0" applyFill="0" applyBorder="0" applyAlignment="0" applyProtection="0"/>
    <xf numFmtId="0" fontId="33" fillId="0" borderId="0"/>
    <xf numFmtId="0" fontId="33" fillId="0" borderId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3" fillId="0" borderId="0"/>
    <xf numFmtId="0" fontId="33" fillId="0" borderId="0"/>
    <xf numFmtId="0" fontId="3" fillId="0" borderId="0"/>
    <xf numFmtId="0" fontId="3" fillId="0" borderId="0"/>
    <xf numFmtId="0" fontId="3" fillId="0" borderId="0"/>
    <xf numFmtId="0" fontId="32" fillId="0" borderId="0" applyNumberFormat="0" applyFont="0" applyFill="0" applyBorder="0" applyAlignment="0" applyProtection="0"/>
    <xf numFmtId="0" fontId="3" fillId="20" borderId="0"/>
    <xf numFmtId="0" fontId="3" fillId="20" borderId="0"/>
    <xf numFmtId="0" fontId="33" fillId="0" borderId="0"/>
    <xf numFmtId="0" fontId="3" fillId="0" borderId="0"/>
    <xf numFmtId="0" fontId="3" fillId="0" borderId="0"/>
    <xf numFmtId="0" fontId="3" fillId="0" borderId="0"/>
    <xf numFmtId="0" fontId="33" fillId="0" borderId="0"/>
    <xf numFmtId="0" fontId="3" fillId="0" borderId="0"/>
    <xf numFmtId="0" fontId="3" fillId="0" borderId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/>
    <xf numFmtId="0" fontId="3" fillId="0" borderId="0"/>
    <xf numFmtId="3" fontId="3" fillId="0" borderId="0"/>
    <xf numFmtId="3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2" fillId="0" borderId="0" applyNumberFormat="0" applyFont="0" applyFill="0" applyBorder="0" applyAlignment="0" applyProtection="0"/>
    <xf numFmtId="3" fontId="3" fillId="0" borderId="0"/>
    <xf numFmtId="3" fontId="3" fillId="0" borderId="0"/>
    <xf numFmtId="0" fontId="36" fillId="0" borderId="0" applyFill="0" applyBorder="0" applyProtection="0">
      <alignment vertical="center"/>
    </xf>
    <xf numFmtId="3" fontId="3" fillId="0" borderId="0"/>
    <xf numFmtId="3" fontId="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2" fillId="0" borderId="0" applyNumberFormat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0" fillId="0" borderId="0"/>
    <xf numFmtId="0" fontId="33" fillId="0" borderId="0">
      <protection locked="0"/>
    </xf>
    <xf numFmtId="0" fontId="37" fillId="0" borderId="0">
      <alignment horizontal="center" wrapText="1"/>
      <protection locked="0"/>
    </xf>
    <xf numFmtId="0" fontId="38" fillId="0" borderId="0"/>
    <xf numFmtId="171" fontId="39" fillId="0" borderId="0"/>
    <xf numFmtId="0" fontId="31" fillId="0" borderId="0"/>
    <xf numFmtId="172" fontId="32" fillId="0" borderId="0" applyFill="0" applyBorder="0" applyAlignment="0"/>
    <xf numFmtId="3" fontId="40" fillId="0" borderId="0" applyFill="0" applyBorder="0" applyProtection="0"/>
    <xf numFmtId="2" fontId="41" fillId="21" borderId="12">
      <alignment horizontal="left" vertical="center"/>
    </xf>
    <xf numFmtId="173" fontId="42" fillId="0" borderId="0"/>
    <xf numFmtId="0" fontId="43" fillId="15" borderId="0" applyNumberFormat="0">
      <alignment horizontal="center" vertical="top" wrapText="1"/>
    </xf>
    <xf numFmtId="0" fontId="44" fillId="22" borderId="0">
      <alignment horizontal="left"/>
    </xf>
    <xf numFmtId="0" fontId="45" fillId="22" borderId="0">
      <alignment horizontal="right"/>
    </xf>
    <xf numFmtId="0" fontId="46" fillId="23" borderId="0">
      <alignment horizontal="center"/>
    </xf>
    <xf numFmtId="0" fontId="45" fillId="22" borderId="0">
      <alignment horizontal="right"/>
    </xf>
    <xf numFmtId="0" fontId="47" fillId="23" borderId="0">
      <alignment horizontal="left"/>
    </xf>
    <xf numFmtId="174" fontId="39" fillId="0" borderId="0" applyFont="0" applyFill="0" applyBorder="0" applyAlignment="0" applyProtection="0">
      <alignment horizontal="right"/>
    </xf>
    <xf numFmtId="175" fontId="39" fillId="0" borderId="0" applyFont="0" applyFill="0" applyBorder="0" applyAlignment="0" applyProtection="0"/>
    <xf numFmtId="0" fontId="39" fillId="0" borderId="0" applyFont="0" applyFill="0" applyBorder="0" applyAlignment="0" applyProtection="0">
      <alignment horizontal="right"/>
    </xf>
    <xf numFmtId="176" fontId="39" fillId="0" borderId="0" applyFont="0" applyFill="0" applyBorder="0" applyAlignment="0" applyProtection="0">
      <alignment horizontal="right"/>
    </xf>
    <xf numFmtId="168" fontId="10" fillId="0" borderId="0" applyFont="0" applyFill="0" applyBorder="0" applyAlignment="0" applyProtection="0"/>
    <xf numFmtId="168" fontId="3" fillId="0" borderId="0" applyFont="0" applyFill="0" applyBorder="0" applyAlignment="0" applyProtection="0"/>
    <xf numFmtId="168" fontId="1" fillId="0" borderId="0" applyFont="0" applyFill="0" applyBorder="0" applyAlignment="0" applyProtection="0"/>
    <xf numFmtId="0" fontId="48" fillId="0" borderId="13" applyNumberFormat="0" applyBorder="0" applyAlignment="0">
      <alignment horizontal="center"/>
    </xf>
    <xf numFmtId="0" fontId="49" fillId="0" borderId="0" applyNumberFormat="0" applyAlignment="0">
      <alignment horizontal="left"/>
    </xf>
    <xf numFmtId="177" fontId="39" fillId="0" borderId="0" applyFont="0" applyFill="0" applyBorder="0" applyAlignment="0" applyProtection="0">
      <alignment horizontal="right"/>
    </xf>
    <xf numFmtId="178" fontId="39" fillId="0" borderId="0" applyFont="0" applyFill="0" applyBorder="0" applyAlignment="0" applyProtection="0">
      <alignment horizontal="right"/>
    </xf>
    <xf numFmtId="167" fontId="10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" fillId="0" borderId="0" applyFont="0" applyFill="0" applyBorder="0" applyAlignment="0" applyProtection="0"/>
    <xf numFmtId="44" fontId="1" fillId="0" borderId="0" applyFont="0" applyFill="0" applyBorder="0" applyAlignment="0" applyProtection="0"/>
    <xf numFmtId="179" fontId="31" fillId="0" borderId="0" applyFont="0" applyFill="0" applyBorder="0">
      <alignment horizontal="right" vertical="center"/>
    </xf>
    <xf numFmtId="0" fontId="3" fillId="0" borderId="0" applyNumberFormat="0" applyFont="0" applyBorder="0" applyProtection="0">
      <alignment vertical="top"/>
      <protection locked="0"/>
    </xf>
    <xf numFmtId="0" fontId="3" fillId="0" borderId="0" applyNumberFormat="0" applyFont="0" applyBorder="0" applyProtection="0">
      <alignment vertical="top"/>
      <protection locked="0"/>
    </xf>
    <xf numFmtId="180" fontId="39" fillId="0" borderId="0" applyFont="0" applyFill="0" applyBorder="0" applyAlignment="0" applyProtection="0"/>
    <xf numFmtId="181" fontId="50" fillId="0" borderId="3">
      <alignment vertical="center" wrapText="1"/>
    </xf>
    <xf numFmtId="14" fontId="51" fillId="0" borderId="0" applyFont="0" applyFill="0" applyBorder="0" applyAlignment="0" applyProtection="0">
      <alignment vertical="center"/>
    </xf>
    <xf numFmtId="0" fontId="3" fillId="24" borderId="3" applyNumberFormat="0" applyFont="0" applyBorder="0" applyAlignment="0" applyProtection="0">
      <alignment horizontal="left" vertical="center"/>
    </xf>
    <xf numFmtId="182" fontId="39" fillId="0" borderId="14" applyNumberFormat="0" applyFont="0" applyFill="0" applyAlignment="0" applyProtection="0"/>
    <xf numFmtId="0" fontId="52" fillId="0" borderId="0" applyNumberFormat="0" applyAlignment="0">
      <alignment horizontal="left"/>
    </xf>
    <xf numFmtId="167" fontId="3" fillId="0" borderId="0" applyFont="0" applyFill="0" applyBorder="0" applyAlignment="0" applyProtection="0"/>
    <xf numFmtId="0" fontId="53" fillId="0" borderId="0" applyNumberFormat="0" applyFill="0" applyBorder="0" applyAlignment="0" applyProtection="0">
      <alignment vertical="top"/>
      <protection locked="0"/>
    </xf>
    <xf numFmtId="0" fontId="54" fillId="0" borderId="0" applyFill="0" applyBorder="0" applyProtection="0">
      <alignment horizontal="left"/>
    </xf>
    <xf numFmtId="183" fontId="36" fillId="24" borderId="3" applyFont="0" applyFill="0" applyBorder="0" applyAlignment="0" applyProtection="0">
      <alignment horizontal="right" vertical="center"/>
    </xf>
    <xf numFmtId="38" fontId="31" fillId="19" borderId="0" applyNumberFormat="0" applyBorder="0" applyAlignment="0" applyProtection="0"/>
    <xf numFmtId="184" fontId="39" fillId="0" borderId="0" applyFont="0" applyFill="0" applyBorder="0" applyAlignment="0" applyProtection="0">
      <alignment horizontal="right"/>
    </xf>
    <xf numFmtId="0" fontId="55" fillId="0" borderId="0" applyProtection="0">
      <alignment horizontal="right"/>
    </xf>
    <xf numFmtId="0" fontId="6" fillId="0" borderId="15" applyNumberFormat="0" applyAlignment="0" applyProtection="0">
      <alignment horizontal="left" vertical="center"/>
    </xf>
    <xf numFmtId="0" fontId="6" fillId="0" borderId="5">
      <alignment horizontal="left" vertical="center"/>
    </xf>
    <xf numFmtId="0" fontId="56" fillId="0" borderId="16">
      <alignment horizontal="center"/>
    </xf>
    <xf numFmtId="0" fontId="56" fillId="0" borderId="0">
      <alignment horizontal="center"/>
    </xf>
    <xf numFmtId="0" fontId="57" fillId="0" borderId="0" applyNumberFormat="0" applyBorder="0"/>
    <xf numFmtId="3" fontId="58" fillId="0" borderId="0"/>
    <xf numFmtId="10" fontId="31" fillId="25" borderId="3" applyNumberFormat="0" applyBorder="0" applyAlignment="0" applyProtection="0"/>
    <xf numFmtId="185" fontId="59" fillId="26" borderId="0"/>
    <xf numFmtId="186" fontId="60" fillId="27" borderId="17" applyNumberFormat="0" applyAlignment="0">
      <alignment vertical="center"/>
      <protection locked="0"/>
    </xf>
    <xf numFmtId="0" fontId="30" fillId="0" borderId="0"/>
    <xf numFmtId="168" fontId="10" fillId="0" borderId="0" applyFont="0" applyFill="0" applyBorder="0" applyAlignment="0" applyProtection="0"/>
    <xf numFmtId="168" fontId="61" fillId="0" borderId="0" applyFont="0" applyFill="0" applyBorder="0" applyAlignment="0" applyProtection="0"/>
    <xf numFmtId="43" fontId="1" fillId="0" borderId="0" applyFont="0" applyFill="0" applyBorder="0" applyAlignment="0" applyProtection="0"/>
    <xf numFmtId="168" fontId="3" fillId="0" borderId="0" applyFont="0" applyFill="0" applyBorder="0" applyAlignment="0" applyProtection="0"/>
    <xf numFmtId="0" fontId="33" fillId="0" borderId="0"/>
    <xf numFmtId="0" fontId="44" fillId="22" borderId="0">
      <alignment horizontal="left"/>
    </xf>
    <xf numFmtId="0" fontId="62" fillId="23" borderId="0">
      <alignment horizontal="left"/>
    </xf>
    <xf numFmtId="3" fontId="63" fillId="0" borderId="0"/>
    <xf numFmtId="185" fontId="64" fillId="22" borderId="0"/>
    <xf numFmtId="187" fontId="3" fillId="0" borderId="0" applyFont="0" applyFill="0" applyBorder="0" applyAlignment="0" applyProtection="0"/>
    <xf numFmtId="187" fontId="3" fillId="0" borderId="0" applyFont="0" applyFill="0" applyBorder="0" applyAlignment="0" applyProtection="0"/>
    <xf numFmtId="0" fontId="50" fillId="0" borderId="3" applyFill="0" applyBorder="0" applyProtection="0">
      <alignment vertical="center"/>
    </xf>
    <xf numFmtId="188" fontId="3" fillId="0" borderId="0" applyFont="0" applyFill="0" applyBorder="0" applyAlignment="0" applyProtection="0"/>
    <xf numFmtId="189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190" fontId="3" fillId="0" borderId="0" applyFont="0" applyFill="0" applyBorder="0" applyAlignment="0" applyProtection="0"/>
    <xf numFmtId="191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192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2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194" fontId="3" fillId="0" borderId="0" applyFont="0" applyFill="0" applyBorder="0" applyAlignment="0" applyProtection="0"/>
    <xf numFmtId="194" fontId="3" fillId="0" borderId="0" applyFont="0" applyFill="0" applyBorder="0" applyAlignment="0" applyProtection="0"/>
    <xf numFmtId="194" fontId="3" fillId="0" borderId="0" applyFont="0" applyFill="0" applyBorder="0" applyAlignment="0" applyProtection="0"/>
    <xf numFmtId="194" fontId="3" fillId="0" borderId="0" applyFont="0" applyFill="0" applyBorder="0" applyAlignment="0" applyProtection="0"/>
    <xf numFmtId="10" fontId="3" fillId="0" borderId="0" applyFont="0" applyFill="0" applyProtection="0"/>
    <xf numFmtId="10" fontId="3" fillId="0" borderId="0" applyFont="0" applyFill="0" applyProtection="0"/>
    <xf numFmtId="10" fontId="3" fillId="0" borderId="0" applyFont="0" applyFill="0" applyProtection="0"/>
    <xf numFmtId="10" fontId="3" fillId="0" borderId="0" applyFont="0" applyFill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19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19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2" fontId="3" fillId="0" borderId="0" applyFont="0" applyFill="0" applyProtection="0"/>
    <xf numFmtId="12" fontId="3" fillId="0" borderId="0" applyFont="0" applyFill="0" applyProtection="0"/>
    <xf numFmtId="12" fontId="3" fillId="0" borderId="0" applyFont="0" applyFill="0" applyProtection="0"/>
    <xf numFmtId="12" fontId="3" fillId="0" borderId="0" applyFont="0" applyFill="0" applyProtection="0"/>
    <xf numFmtId="196" fontId="39" fillId="0" borderId="0" applyFont="0" applyFill="0" applyBorder="0" applyAlignment="0" applyProtection="0">
      <alignment horizontal="right"/>
    </xf>
    <xf numFmtId="0" fontId="65" fillId="0" borderId="0" applyNumberFormat="0" applyAlignment="0">
      <alignment vertical="center"/>
    </xf>
    <xf numFmtId="49" fontId="3" fillId="0" borderId="3"/>
    <xf numFmtId="0" fontId="50" fillId="28" borderId="3" applyNumberFormat="0" applyFont="0" applyBorder="0" applyAlignment="0" applyProtection="0">
      <alignment vertical="center"/>
    </xf>
    <xf numFmtId="37" fontId="66" fillId="0" borderId="0"/>
    <xf numFmtId="197" fontId="3" fillId="0" borderId="0"/>
    <xf numFmtId="197" fontId="3" fillId="0" borderId="0"/>
    <xf numFmtId="37" fontId="67" fillId="0" borderId="0" applyAlignment="0"/>
    <xf numFmtId="0" fontId="10" fillId="0" borderId="0"/>
    <xf numFmtId="0" fontId="1" fillId="0" borderId="0"/>
    <xf numFmtId="0" fontId="10" fillId="0" borderId="0"/>
    <xf numFmtId="0" fontId="3" fillId="0" borderId="0"/>
    <xf numFmtId="0" fontId="68" fillId="0" borderId="0"/>
    <xf numFmtId="0" fontId="68" fillId="0" borderId="0"/>
    <xf numFmtId="0" fontId="3" fillId="0" borderId="0" applyBorder="0"/>
    <xf numFmtId="37" fontId="37" fillId="0" borderId="0" applyNumberFormat="0" applyFill="0" applyAlignment="0"/>
    <xf numFmtId="0" fontId="1" fillId="16" borderId="8" applyNumberFormat="0" applyFont="0" applyAlignment="0" applyProtection="0"/>
    <xf numFmtId="4" fontId="69" fillId="0" borderId="10" applyNumberFormat="0" applyFont="0" applyFill="0" applyBorder="0" applyAlignment="0"/>
    <xf numFmtId="40" fontId="70" fillId="20" borderId="0">
      <alignment horizontal="right"/>
    </xf>
    <xf numFmtId="0" fontId="71" fillId="29" borderId="0">
      <alignment horizontal="center"/>
    </xf>
    <xf numFmtId="0" fontId="72" fillId="20" borderId="18"/>
    <xf numFmtId="0" fontId="23" fillId="23" borderId="0" applyBorder="0">
      <alignment horizontal="centerContinuous"/>
    </xf>
    <xf numFmtId="0" fontId="73" fillId="30" borderId="0" applyBorder="0">
      <alignment horizontal="centerContinuous"/>
    </xf>
    <xf numFmtId="0" fontId="74" fillId="0" borderId="3" applyFill="0" applyProtection="0">
      <alignment vertical="center" wrapText="1"/>
      <protection locked="0"/>
    </xf>
    <xf numFmtId="1" fontId="75" fillId="0" borderId="0" applyProtection="0">
      <alignment horizontal="right" vertical="center"/>
    </xf>
    <xf numFmtId="14" fontId="37" fillId="0" borderId="0">
      <alignment horizontal="center" wrapText="1"/>
      <protection locked="0"/>
    </xf>
    <xf numFmtId="10" fontId="3" fillId="0" borderId="0" applyFont="0" applyFill="0" applyBorder="0" applyAlignment="0" applyProtection="0"/>
    <xf numFmtId="10" fontId="3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198" fontId="60" fillId="0" borderId="0" applyFont="0" applyFill="0" applyBorder="0" applyAlignment="0" applyProtection="0">
      <alignment vertical="center"/>
    </xf>
    <xf numFmtId="13" fontId="3" fillId="0" borderId="0" applyFont="0" applyFill="0" applyProtection="0"/>
    <xf numFmtId="0" fontId="76" fillId="15" borderId="3" applyNumberFormat="0" applyFont="0" applyBorder="0" applyAlignment="0" applyProtection="0">
      <alignment horizontal="center" vertical="center"/>
    </xf>
    <xf numFmtId="9" fontId="10" fillId="0" borderId="0" applyFont="0" applyFill="0" applyBorder="0" applyAlignment="0" applyProtection="0"/>
    <xf numFmtId="9" fontId="6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" fillId="0" borderId="0" applyFont="0" applyFill="0" applyBorder="0" applyAlignment="0" applyProtection="0"/>
    <xf numFmtId="37" fontId="3" fillId="0" borderId="0" applyFont="0" applyFill="0" applyBorder="0" applyAlignment="0" applyProtection="0"/>
    <xf numFmtId="37" fontId="3" fillId="0" borderId="0" applyFont="0" applyFill="0" applyBorder="0" applyAlignment="0" applyProtection="0"/>
    <xf numFmtId="3" fontId="77" fillId="0" borderId="0" applyFill="0" applyBorder="0" applyProtection="0"/>
    <xf numFmtId="0" fontId="78" fillId="31" borderId="0" applyNumberFormat="0" applyFont="0" applyBorder="0" applyAlignment="0">
      <alignment horizontal="center"/>
    </xf>
    <xf numFmtId="0" fontId="79" fillId="0" borderId="3" applyProtection="0">
      <alignment vertical="center"/>
    </xf>
    <xf numFmtId="0" fontId="76" fillId="0" borderId="3" applyFill="0" applyBorder="0" applyProtection="0">
      <alignment horizontal="left" vertical="center"/>
    </xf>
    <xf numFmtId="0" fontId="62" fillId="32" borderId="0">
      <alignment horizontal="center"/>
    </xf>
    <xf numFmtId="49" fontId="80" fillId="23" borderId="0">
      <alignment horizontal="center"/>
    </xf>
    <xf numFmtId="199" fontId="81" fillId="0" borderId="0" applyNumberFormat="0" applyFill="0" applyBorder="0" applyAlignment="0" applyProtection="0">
      <alignment horizontal="left"/>
    </xf>
    <xf numFmtId="0" fontId="45" fillId="22" borderId="0">
      <alignment horizontal="center"/>
    </xf>
    <xf numFmtId="0" fontId="45" fillId="22" borderId="0">
      <alignment horizontal="centerContinuous"/>
    </xf>
    <xf numFmtId="0" fontId="82" fillId="23" borderId="0">
      <alignment horizontal="left"/>
    </xf>
    <xf numFmtId="49" fontId="82" fillId="23" borderId="0">
      <alignment horizontal="center"/>
    </xf>
    <xf numFmtId="0" fontId="44" fillId="22" borderId="0">
      <alignment horizontal="left"/>
    </xf>
    <xf numFmtId="49" fontId="82" fillId="23" borderId="0">
      <alignment horizontal="left"/>
    </xf>
    <xf numFmtId="0" fontId="44" fillId="22" borderId="0">
      <alignment horizontal="centerContinuous"/>
    </xf>
    <xf numFmtId="0" fontId="44" fillId="22" borderId="0">
      <alignment horizontal="right"/>
    </xf>
    <xf numFmtId="49" fontId="62" fillId="23" borderId="0">
      <alignment horizontal="left"/>
    </xf>
    <xf numFmtId="0" fontId="45" fillId="22" borderId="0">
      <alignment horizontal="right"/>
    </xf>
    <xf numFmtId="0" fontId="3" fillId="0" borderId="0" applyNumberFormat="0" applyFill="0" applyBorder="0" applyAlignment="0" applyProtection="0"/>
    <xf numFmtId="0" fontId="82" fillId="33" borderId="0">
      <alignment horizontal="center"/>
    </xf>
    <xf numFmtId="0" fontId="83" fillId="33" borderId="0">
      <alignment horizontal="center"/>
    </xf>
    <xf numFmtId="0" fontId="84" fillId="34" borderId="19">
      <alignment vertical="center"/>
    </xf>
    <xf numFmtId="0" fontId="85" fillId="34" borderId="19" applyProtection="0">
      <alignment vertical="center"/>
    </xf>
    <xf numFmtId="0" fontId="78" fillId="1" borderId="5" applyNumberFormat="0" applyFont="0" applyAlignment="0">
      <alignment horizontal="center"/>
    </xf>
    <xf numFmtId="3" fontId="31" fillId="0" borderId="0"/>
    <xf numFmtId="0" fontId="86" fillId="0" borderId="0" applyNumberFormat="0" applyFill="0" applyBorder="0" applyAlignment="0">
      <alignment horizontal="center"/>
    </xf>
    <xf numFmtId="1" fontId="67" fillId="0" borderId="0" applyBorder="0">
      <alignment horizontal="left" vertical="top" wrapText="1"/>
    </xf>
    <xf numFmtId="0" fontId="3" fillId="0" borderId="0"/>
    <xf numFmtId="0" fontId="61" fillId="0" borderId="0"/>
    <xf numFmtId="0" fontId="1" fillId="0" borderId="0"/>
    <xf numFmtId="0" fontId="3" fillId="0" borderId="0"/>
    <xf numFmtId="185" fontId="67" fillId="23" borderId="0"/>
    <xf numFmtId="0" fontId="3" fillId="0" borderId="0"/>
    <xf numFmtId="0" fontId="33" fillId="0" borderId="0"/>
    <xf numFmtId="3" fontId="87" fillId="0" borderId="0" applyNumberFormat="0" applyFill="0" applyBorder="0" applyAlignment="0" applyProtection="0">
      <alignment vertical="center"/>
    </xf>
    <xf numFmtId="3" fontId="88" fillId="0" borderId="0" applyNumberFormat="0" applyAlignment="0">
      <alignment horizontal="right"/>
    </xf>
    <xf numFmtId="40" fontId="89" fillId="0" borderId="0" applyBorder="0">
      <alignment horizontal="right"/>
    </xf>
    <xf numFmtId="0" fontId="90" fillId="0" borderId="0" applyBorder="0" applyProtection="0">
      <alignment vertical="center"/>
    </xf>
    <xf numFmtId="182" fontId="90" fillId="0" borderId="1" applyBorder="0" applyProtection="0">
      <alignment horizontal="right" vertical="center"/>
    </xf>
    <xf numFmtId="0" fontId="91" fillId="35" borderId="0" applyBorder="0" applyProtection="0">
      <alignment horizontal="centerContinuous" vertical="center"/>
    </xf>
    <xf numFmtId="0" fontId="91" fillId="36" borderId="1" applyBorder="0" applyProtection="0">
      <alignment horizontal="centerContinuous" vertical="center"/>
    </xf>
    <xf numFmtId="3" fontId="43" fillId="0" borderId="0" applyNumberFormat="0"/>
    <xf numFmtId="0" fontId="92" fillId="0" borderId="0" applyFill="0" applyBorder="0" applyProtection="0">
      <alignment horizontal="left"/>
    </xf>
    <xf numFmtId="0" fontId="54" fillId="0" borderId="12" applyFill="0" applyBorder="0" applyProtection="0">
      <alignment horizontal="left" vertical="top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20" fontId="36" fillId="0" borderId="3" applyProtection="0">
      <alignment horizontal="right" vertical="center"/>
    </xf>
    <xf numFmtId="3" fontId="93" fillId="0" borderId="0"/>
    <xf numFmtId="1" fontId="7" fillId="0" borderId="20" applyNumberFormat="0" applyProtection="0">
      <alignment horizontal="left" vertical="center"/>
    </xf>
    <xf numFmtId="0" fontId="43" fillId="0" borderId="5">
      <alignment horizontal="right" wrapText="1"/>
    </xf>
    <xf numFmtId="0" fontId="94" fillId="23" borderId="0">
      <alignment horizontal="center"/>
    </xf>
    <xf numFmtId="167" fontId="3" fillId="0" borderId="0" applyFont="0" applyFill="0" applyBorder="0" applyAlignment="0" applyProtection="0"/>
    <xf numFmtId="200" fontId="95" fillId="0" borderId="1" applyBorder="0" applyProtection="0">
      <alignment horizontal="right"/>
    </xf>
    <xf numFmtId="4" fontId="31" fillId="25" borderId="21"/>
    <xf numFmtId="43" fontId="1" fillId="0" borderId="0" applyFont="0" applyFill="0" applyBorder="0" applyAlignment="0" applyProtection="0"/>
    <xf numFmtId="168" fontId="3" fillId="0" borderId="0" applyFont="0" applyFill="0" applyBorder="0" applyAlignment="0" applyProtection="0"/>
    <xf numFmtId="0" fontId="3" fillId="0" borderId="0"/>
    <xf numFmtId="0" fontId="113" fillId="41" borderId="0" applyNumberFormat="0" applyBorder="0" applyAlignment="0" applyProtection="0"/>
    <xf numFmtId="0" fontId="114" fillId="42" borderId="56" applyNumberFormat="0" applyAlignment="0" applyProtection="0"/>
    <xf numFmtId="0" fontId="115" fillId="43" borderId="57" applyNumberFormat="0" applyAlignment="0" applyProtection="0"/>
    <xf numFmtId="0" fontId="116" fillId="0" borderId="0" applyNumberFormat="0" applyFill="0" applyBorder="0" applyAlignment="0" applyProtection="0"/>
    <xf numFmtId="0" fontId="117" fillId="44" borderId="0" applyNumberFormat="0" applyBorder="0" applyAlignment="0" applyProtection="0"/>
    <xf numFmtId="0" fontId="118" fillId="0" borderId="58" applyNumberFormat="0" applyFill="0" applyAlignment="0" applyProtection="0"/>
    <xf numFmtId="0" fontId="119" fillId="0" borderId="0" applyProtection="0">
      <alignment horizontal="left"/>
    </xf>
    <xf numFmtId="0" fontId="120" fillId="0" borderId="0" applyProtection="0">
      <alignment horizontal="left"/>
    </xf>
    <xf numFmtId="0" fontId="121" fillId="0" borderId="0" applyNumberFormat="0" applyFill="0" applyBorder="0" applyAlignment="0" applyProtection="0"/>
    <xf numFmtId="3" fontId="58" fillId="0" borderId="0"/>
    <xf numFmtId="0" fontId="122" fillId="0" borderId="59" applyNumberFormat="0" applyFill="0" applyAlignment="0" applyProtection="0"/>
    <xf numFmtId="0" fontId="123" fillId="32" borderId="0" applyNumberFormat="0" applyBorder="0" applyAlignment="0" applyProtection="0"/>
    <xf numFmtId="0" fontId="3" fillId="45" borderId="60" applyNumberFormat="0" applyFont="0" applyAlignment="0" applyProtection="0"/>
    <xf numFmtId="0" fontId="124" fillId="42" borderId="61" applyNumberFormat="0" applyAlignment="0" applyProtection="0"/>
    <xf numFmtId="0" fontId="3" fillId="0" borderId="0"/>
    <xf numFmtId="3" fontId="7" fillId="0" borderId="0" applyNumberFormat="0" applyFill="0" applyBorder="0" applyAlignment="0" applyProtection="0">
      <alignment vertical="center"/>
    </xf>
    <xf numFmtId="210" fontId="125" fillId="0" borderId="1" applyFill="0" applyAlignment="0" applyProtection="0"/>
    <xf numFmtId="0" fontId="126" fillId="0" borderId="62" applyNumberFormat="0" applyFill="0" applyAlignment="0" applyProtection="0"/>
    <xf numFmtId="167" fontId="3" fillId="0" borderId="0" applyFont="0" applyFill="0" applyBorder="0" applyAlignment="0" applyProtection="0"/>
    <xf numFmtId="0" fontId="127" fillId="0" borderId="0" applyNumberFormat="0" applyFill="0" applyBorder="0" applyAlignment="0" applyProtection="0"/>
    <xf numFmtId="0" fontId="10" fillId="0" borderId="0"/>
    <xf numFmtId="0" fontId="10" fillId="0" borderId="0"/>
    <xf numFmtId="186" fontId="60" fillId="27" borderId="86" applyNumberFormat="0" applyAlignment="0">
      <alignment vertical="center"/>
      <protection locked="0"/>
    </xf>
    <xf numFmtId="0" fontId="135" fillId="0" borderId="0"/>
    <xf numFmtId="0" fontId="3" fillId="0" borderId="0"/>
    <xf numFmtId="0" fontId="114" fillId="42" borderId="87" applyNumberFormat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3" fillId="45" borderId="85" applyNumberFormat="0" applyFont="0" applyAlignment="0" applyProtection="0"/>
    <xf numFmtId="0" fontId="124" fillId="42" borderId="88" applyNumberFormat="0" applyAlignment="0" applyProtection="0"/>
    <xf numFmtId="9" fontId="10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0" fillId="0" borderId="0"/>
    <xf numFmtId="0" fontId="1" fillId="0" borderId="0"/>
    <xf numFmtId="0" fontId="1" fillId="0" borderId="0"/>
    <xf numFmtId="0" fontId="1" fillId="0" borderId="0"/>
    <xf numFmtId="0" fontId="126" fillId="0" borderId="89" applyNumberFormat="0" applyFill="0" applyAlignment="0" applyProtection="0"/>
    <xf numFmtId="44" fontId="1" fillId="0" borderId="0" applyFont="0" applyFill="0" applyBorder="0" applyAlignment="0" applyProtection="0"/>
    <xf numFmtId="0" fontId="1" fillId="0" borderId="0"/>
    <xf numFmtId="0" fontId="3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3" fillId="0" borderId="0"/>
    <xf numFmtId="0" fontId="10" fillId="0" borderId="0"/>
    <xf numFmtId="0" fontId="3" fillId="0" borderId="0"/>
    <xf numFmtId="0" fontId="3" fillId="0" borderId="0"/>
    <xf numFmtId="0" fontId="10" fillId="0" borderId="0"/>
    <xf numFmtId="0" fontId="30" fillId="0" borderId="0"/>
    <xf numFmtId="0" fontId="33" fillId="0" borderId="0"/>
    <xf numFmtId="0" fontId="3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0" fillId="0" borderId="0"/>
    <xf numFmtId="0" fontId="30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0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0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3" fillId="0" borderId="0"/>
    <xf numFmtId="0" fontId="3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0" fillId="0" borderId="0"/>
    <xf numFmtId="0" fontId="3" fillId="0" borderId="0"/>
    <xf numFmtId="0" fontId="10" fillId="0" borderId="0"/>
    <xf numFmtId="0" fontId="3" fillId="0" borderId="0"/>
    <xf numFmtId="0" fontId="3" fillId="0" borderId="0" applyBorder="0"/>
    <xf numFmtId="0" fontId="3" fillId="0" borderId="0" applyNumberFormat="0" applyFill="0" applyBorder="0" applyAlignment="0" applyProtection="0"/>
    <xf numFmtId="0" fontId="3" fillId="0" borderId="0"/>
    <xf numFmtId="0" fontId="3" fillId="0" borderId="0" applyNumberFormat="0" applyFill="0" applyBorder="0" applyAlignment="0" applyProtection="0"/>
    <xf numFmtId="0" fontId="30" fillId="0" borderId="0"/>
    <xf numFmtId="0" fontId="30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3" fillId="0" borderId="0"/>
    <xf numFmtId="0" fontId="3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 applyNumberFormat="0" applyFill="0" applyBorder="0" applyAlignment="0" applyProtection="0"/>
    <xf numFmtId="0" fontId="33" fillId="0" borderId="0"/>
    <xf numFmtId="0" fontId="3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0" fillId="0" borderId="0"/>
    <xf numFmtId="0" fontId="10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0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0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36" fillId="0" borderId="0"/>
    <xf numFmtId="0" fontId="3" fillId="0" borderId="0" applyNumberFormat="0" applyFill="0" applyBorder="0" applyAlignment="0" applyProtection="0"/>
    <xf numFmtId="0" fontId="32" fillId="0" borderId="0" applyNumberFormat="0" applyFont="0" applyFill="0" applyBorder="0" applyAlignment="0" applyProtection="0"/>
    <xf numFmtId="0" fontId="32" fillId="0" borderId="0" applyNumberFormat="0" applyFont="0" applyFill="0" applyBorder="0" applyAlignment="0" applyProtection="0"/>
    <xf numFmtId="0" fontId="32" fillId="0" borderId="0" applyNumberFormat="0" applyFont="0" applyFill="0" applyBorder="0" applyAlignment="0" applyProtection="0"/>
    <xf numFmtId="0" fontId="32" fillId="0" borderId="0" applyNumberFormat="0" applyFont="0" applyFill="0" applyBorder="0" applyAlignment="0" applyProtection="0"/>
    <xf numFmtId="0" fontId="30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3" fillId="0" borderId="0"/>
    <xf numFmtId="3" fontId="3" fillId="0" borderId="0"/>
    <xf numFmtId="3" fontId="3" fillId="0" borderId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10" fillId="0" borderId="0"/>
    <xf numFmtId="0" fontId="10" fillId="0" borderId="0"/>
    <xf numFmtId="0" fontId="3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3" fontId="3" fillId="0" borderId="0"/>
    <xf numFmtId="3" fontId="3" fillId="0" borderId="0"/>
    <xf numFmtId="0" fontId="10" fillId="0" borderId="0"/>
    <xf numFmtId="0" fontId="3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3" fillId="0" borderId="0"/>
    <xf numFmtId="0" fontId="33" fillId="0" borderId="0"/>
    <xf numFmtId="0" fontId="33" fillId="0" borderId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3" fillId="0" borderId="0"/>
    <xf numFmtId="0" fontId="30" fillId="0" borderId="0"/>
    <xf numFmtId="0" fontId="30" fillId="0" borderId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10" fillId="0" borderId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37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/>
    <xf numFmtId="0" fontId="10" fillId="0" borderId="0"/>
    <xf numFmtId="0" fontId="10" fillId="0" borderId="0"/>
    <xf numFmtId="0" fontId="3" fillId="0" borderId="0"/>
    <xf numFmtId="0" fontId="10" fillId="0" borderId="0"/>
    <xf numFmtId="0" fontId="10" fillId="0" borderId="0"/>
    <xf numFmtId="0" fontId="10" fillId="0" borderId="0"/>
    <xf numFmtId="0" fontId="137" fillId="0" borderId="0"/>
    <xf numFmtId="0" fontId="10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0" fillId="0" borderId="0"/>
    <xf numFmtId="0" fontId="30" fillId="0" borderId="0"/>
    <xf numFmtId="3" fontId="3" fillId="0" borderId="0"/>
    <xf numFmtId="3" fontId="3" fillId="0" borderId="0"/>
    <xf numFmtId="0" fontId="32" fillId="0" borderId="0" applyNumberFormat="0" applyFont="0" applyFill="0" applyBorder="0" applyAlignment="0" applyProtection="0"/>
    <xf numFmtId="0" fontId="30" fillId="0" borderId="0"/>
    <xf numFmtId="0" fontId="30" fillId="0" borderId="0"/>
    <xf numFmtId="0" fontId="30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0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38" fillId="0" borderId="0"/>
    <xf numFmtId="0" fontId="32" fillId="0" borderId="0" applyNumberFormat="0" applyFont="0" applyFill="0" applyBorder="0" applyAlignment="0" applyProtection="0"/>
    <xf numFmtId="0" fontId="32" fillId="0" borderId="0" applyNumberFormat="0" applyFont="0" applyFill="0" applyBorder="0" applyAlignment="0" applyProtection="0"/>
    <xf numFmtId="0" fontId="3" fillId="0" borderId="0" applyFill="0" applyBorder="0" applyAlignment="0" applyProtection="0"/>
    <xf numFmtId="0" fontId="30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39" fillId="0" borderId="0" applyNumberFormat="0" applyFill="0" applyBorder="0" applyAlignment="0" applyProtection="0"/>
    <xf numFmtId="0" fontId="10" fillId="0" borderId="0"/>
    <xf numFmtId="0" fontId="30" fillId="0" borderId="0"/>
    <xf numFmtId="0" fontId="3" fillId="0" borderId="0"/>
    <xf numFmtId="0" fontId="3" fillId="0" borderId="0"/>
    <xf numFmtId="0" fontId="10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0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3" fillId="0" borderId="0"/>
    <xf numFmtId="0" fontId="3" fillId="0" borderId="0"/>
    <xf numFmtId="0" fontId="3" fillId="0" borderId="0"/>
    <xf numFmtId="0" fontId="3" fillId="0" borderId="0"/>
    <xf numFmtId="0" fontId="10" fillId="0" borderId="0"/>
    <xf numFmtId="0" fontId="10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0" fillId="0" borderId="0"/>
    <xf numFmtId="0" fontId="33" fillId="0" borderId="0"/>
    <xf numFmtId="0" fontId="33" fillId="0" borderId="0"/>
    <xf numFmtId="0" fontId="33" fillId="0" borderId="0"/>
    <xf numFmtId="0" fontId="32" fillId="0" borderId="0" applyNumberFormat="0" applyFont="0" applyFill="0" applyBorder="0" applyAlignment="0" applyProtection="0"/>
    <xf numFmtId="0" fontId="32" fillId="0" borderId="0" applyNumberFormat="0" applyFont="0" applyFill="0" applyBorder="0" applyAlignment="0" applyProtection="0"/>
    <xf numFmtId="0" fontId="33" fillId="0" borderId="0"/>
    <xf numFmtId="0" fontId="30" fillId="0" borderId="0"/>
    <xf numFmtId="0" fontId="33" fillId="0" borderId="0"/>
    <xf numFmtId="0" fontId="33" fillId="0" borderId="0"/>
    <xf numFmtId="0" fontId="3" fillId="0" borderId="0"/>
    <xf numFmtId="0" fontId="3" fillId="0" borderId="0"/>
    <xf numFmtId="0" fontId="30" fillId="0" borderId="0"/>
    <xf numFmtId="0" fontId="33" fillId="0" borderId="0"/>
    <xf numFmtId="0" fontId="10" fillId="0" borderId="0"/>
    <xf numFmtId="0" fontId="3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0" fillId="0" borderId="0"/>
    <xf numFmtId="0" fontId="10" fillId="0" borderId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2" fillId="0" borderId="0" applyNumberFormat="0" applyFont="0" applyFill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3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0" fillId="0" borderId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Font="0" applyFill="0" applyBorder="0" applyAlignment="0" applyProtection="0"/>
    <xf numFmtId="0" fontId="32" fillId="0" borderId="0" applyNumberFormat="0" applyFont="0" applyFill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39" fillId="0" borderId="0" applyNumberFormat="0" applyFill="0" applyBorder="0" applyAlignment="0" applyProtection="0"/>
    <xf numFmtId="0" fontId="139" fillId="0" borderId="0" applyNumberFormat="0" applyFill="0" applyBorder="0" applyAlignment="0" applyProtection="0"/>
    <xf numFmtId="0" fontId="139" fillId="0" borderId="0" applyNumberFormat="0" applyFill="0" applyBorder="0" applyAlignment="0" applyProtection="0"/>
    <xf numFmtId="0" fontId="139" fillId="0" borderId="0" applyNumberFormat="0" applyFill="0" applyBorder="0" applyAlignment="0" applyProtection="0"/>
    <xf numFmtId="0" fontId="139" fillId="0" borderId="0" applyNumberFormat="0" applyFill="0" applyBorder="0" applyAlignment="0" applyProtection="0"/>
    <xf numFmtId="0" fontId="139" fillId="0" borderId="0" applyNumberFormat="0" applyFill="0" applyBorder="0" applyAlignment="0" applyProtection="0"/>
    <xf numFmtId="0" fontId="139" fillId="0" borderId="0" applyNumberFormat="0" applyFill="0" applyBorder="0" applyAlignment="0" applyProtection="0"/>
    <xf numFmtId="0" fontId="139" fillId="0" borderId="0" applyNumberFormat="0" applyFill="0" applyBorder="0" applyAlignment="0" applyProtection="0"/>
    <xf numFmtId="0" fontId="139" fillId="0" borderId="0" applyNumberFormat="0" applyFill="0" applyBorder="0" applyAlignment="0" applyProtection="0"/>
    <xf numFmtId="0" fontId="139" fillId="0" borderId="0" applyNumberForma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0" fillId="0" borderId="0"/>
    <xf numFmtId="0" fontId="3" fillId="0" borderId="0" applyFill="0" applyBorder="0" applyProtection="0">
      <alignment vertical="center"/>
    </xf>
    <xf numFmtId="0" fontId="3" fillId="0" borderId="0" applyFill="0" applyBorder="0" applyProtection="0">
      <alignment vertical="center"/>
    </xf>
    <xf numFmtId="0" fontId="30" fillId="0" borderId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10" fillId="0" borderId="0"/>
    <xf numFmtId="0" fontId="3" fillId="0" borderId="0"/>
    <xf numFmtId="0" fontId="3" fillId="0" borderId="0"/>
    <xf numFmtId="0" fontId="3" fillId="0" borderId="0"/>
    <xf numFmtId="0" fontId="137" fillId="0" borderId="0"/>
    <xf numFmtId="0" fontId="3" fillId="0" borderId="0"/>
    <xf numFmtId="0" fontId="3" fillId="0" borderId="0" applyNumberFormat="0" applyFill="0" applyBorder="0" applyAlignment="0" applyProtection="0"/>
    <xf numFmtId="0" fontId="32" fillId="0" borderId="0" applyNumberFormat="0" applyFont="0" applyFill="0" applyBorder="0" applyAlignment="0" applyProtection="0"/>
    <xf numFmtId="0" fontId="32" fillId="0" borderId="0" applyNumberFormat="0" applyFon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2" fillId="0" borderId="0" applyNumberFormat="0" applyFont="0" applyFill="0" applyBorder="0" applyAlignment="0" applyProtection="0"/>
    <xf numFmtId="0" fontId="32" fillId="0" borderId="0" applyNumberFormat="0" applyFont="0" applyFill="0" applyBorder="0" applyAlignment="0" applyProtection="0"/>
    <xf numFmtId="0" fontId="3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0" fontId="140" fillId="0" borderId="0"/>
    <xf numFmtId="0" fontId="140" fillId="0" borderId="0"/>
    <xf numFmtId="0" fontId="140" fillId="0" borderId="0"/>
    <xf numFmtId="0" fontId="140" fillId="0" borderId="0"/>
    <xf numFmtId="0" fontId="10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37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0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0" fontId="10" fillId="0" borderId="0"/>
    <xf numFmtId="0" fontId="10" fillId="0" borderId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3" fillId="0" borderId="0"/>
    <xf numFmtId="0" fontId="10" fillId="0" borderId="0"/>
    <xf numFmtId="0" fontId="10" fillId="0" borderId="0"/>
    <xf numFmtId="0" fontId="33" fillId="0" borderId="0"/>
    <xf numFmtId="0" fontId="141" fillId="0" borderId="0"/>
    <xf numFmtId="0" fontId="14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0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0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0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0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3" fillId="0" borderId="0"/>
    <xf numFmtId="0" fontId="3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39" fillId="0" borderId="0" applyNumberFormat="0" applyFill="0" applyBorder="0" applyAlignment="0" applyProtection="0"/>
    <xf numFmtId="0" fontId="139" fillId="0" borderId="0" applyNumberFormat="0" applyFill="0" applyBorder="0" applyAlignment="0" applyProtection="0"/>
    <xf numFmtId="0" fontId="139" fillId="0" borderId="0" applyNumberFormat="0" applyFill="0" applyBorder="0" applyAlignment="0" applyProtection="0"/>
    <xf numFmtId="0" fontId="139" fillId="0" borderId="0" applyNumberFormat="0" applyFill="0" applyBorder="0" applyAlignment="0" applyProtection="0"/>
    <xf numFmtId="0" fontId="139" fillId="0" borderId="0" applyNumberFormat="0" applyFill="0" applyBorder="0" applyAlignment="0" applyProtection="0"/>
    <xf numFmtId="0" fontId="139" fillId="0" borderId="0" applyNumberFormat="0" applyFill="0" applyBorder="0" applyAlignment="0" applyProtection="0"/>
    <xf numFmtId="0" fontId="139" fillId="0" borderId="0" applyNumberFormat="0" applyFill="0" applyBorder="0" applyAlignment="0" applyProtection="0"/>
    <xf numFmtId="0" fontId="139" fillId="0" borderId="0" applyNumberFormat="0" applyFill="0" applyBorder="0" applyAlignment="0" applyProtection="0"/>
    <xf numFmtId="0" fontId="139" fillId="0" borderId="0" applyNumberFormat="0" applyFill="0" applyBorder="0" applyAlignment="0" applyProtection="0"/>
    <xf numFmtId="0" fontId="139" fillId="0" borderId="0" applyNumberForma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2" fillId="0" borderId="0" applyNumberFormat="0" applyFont="0" applyFill="0" applyBorder="0" applyAlignment="0" applyProtection="0"/>
    <xf numFmtId="0" fontId="3" fillId="0" borderId="0"/>
    <xf numFmtId="0" fontId="3" fillId="0" borderId="0"/>
    <xf numFmtId="0" fontId="33" fillId="0" borderId="0"/>
    <xf numFmtId="0" fontId="30" fillId="0" borderId="0"/>
    <xf numFmtId="0" fontId="32" fillId="0" borderId="0" applyNumberFormat="0" applyFont="0" applyFill="0" applyBorder="0" applyAlignment="0" applyProtection="0"/>
    <xf numFmtId="0" fontId="32" fillId="0" borderId="0" applyNumberFormat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3" fontId="3" fillId="0" borderId="0"/>
    <xf numFmtId="3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2" fillId="0" borderId="0"/>
    <xf numFmtId="0" fontId="32" fillId="0" borderId="0"/>
    <xf numFmtId="0" fontId="137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3" fontId="3" fillId="0" borderId="0"/>
    <xf numFmtId="3" fontId="3" fillId="0" borderId="0"/>
    <xf numFmtId="0" fontId="3" fillId="0" borderId="0"/>
    <xf numFmtId="0" fontId="3" fillId="0" borderId="0"/>
    <xf numFmtId="0" fontId="32" fillId="0" borderId="0" applyNumberFormat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2" fillId="0" borderId="0" applyNumberFormat="0" applyFont="0" applyFill="0" applyBorder="0" applyAlignment="0" applyProtection="0"/>
    <xf numFmtId="0" fontId="32" fillId="0" borderId="0" applyNumberFormat="0" applyFont="0" applyFill="0" applyBorder="0" applyAlignment="0" applyProtection="0"/>
    <xf numFmtId="0" fontId="3" fillId="0" borderId="0"/>
    <xf numFmtId="0" fontId="3" fillId="0" borderId="0"/>
    <xf numFmtId="0" fontId="30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0" fillId="0" borderId="0"/>
    <xf numFmtId="0" fontId="3" fillId="0" borderId="0"/>
    <xf numFmtId="0" fontId="3" fillId="0" borderId="0"/>
    <xf numFmtId="38" fontId="35" fillId="0" borderId="0" applyFont="0" applyFill="0" applyBorder="0" applyAlignment="0" applyProtection="0"/>
    <xf numFmtId="38" fontId="35" fillId="0" borderId="0" applyFont="0" applyFill="0" applyBorder="0" applyAlignment="0" applyProtection="0"/>
    <xf numFmtId="0" fontId="10" fillId="0" borderId="0"/>
    <xf numFmtId="0" fontId="10" fillId="0" borderId="0"/>
    <xf numFmtId="0" fontId="10" fillId="0" borderId="0"/>
    <xf numFmtId="0" fontId="3" fillId="0" borderId="0"/>
    <xf numFmtId="0" fontId="3" fillId="0" borderId="0"/>
    <xf numFmtId="0" fontId="3" fillId="0" borderId="0"/>
    <xf numFmtId="0" fontId="30" fillId="0" borderId="0"/>
    <xf numFmtId="0" fontId="3" fillId="0" borderId="0"/>
    <xf numFmtId="0" fontId="3" fillId="0" borderId="0"/>
    <xf numFmtId="0" fontId="3" fillId="0" borderId="0"/>
    <xf numFmtId="0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0" fontId="3" fillId="0" borderId="0"/>
    <xf numFmtId="3" fontId="3" fillId="0" borderId="0"/>
    <xf numFmtId="3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3" fontId="3" fillId="0" borderId="0"/>
    <xf numFmtId="3" fontId="3" fillId="0" borderId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0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2" fillId="0" borderId="0" applyNumberFormat="0" applyFont="0" applyFill="0" applyBorder="0" applyAlignment="0" applyProtection="0"/>
    <xf numFmtId="0" fontId="32" fillId="0" borderId="0" applyNumberFormat="0" applyFont="0" applyFill="0" applyBorder="0" applyAlignment="0" applyProtection="0"/>
    <xf numFmtId="0" fontId="33" fillId="0" borderId="0"/>
    <xf numFmtId="0" fontId="32" fillId="0" borderId="0" applyNumberFormat="0" applyFont="0" applyFill="0" applyBorder="0" applyAlignment="0" applyProtection="0"/>
    <xf numFmtId="0" fontId="32" fillId="0" borderId="0" applyNumberFormat="0" applyFont="0" applyFill="0" applyBorder="0" applyAlignment="0" applyProtection="0"/>
    <xf numFmtId="0" fontId="32" fillId="0" borderId="0" applyNumberFormat="0" applyFont="0" applyFill="0" applyBorder="0" applyAlignment="0" applyProtection="0"/>
    <xf numFmtId="0" fontId="32" fillId="0" borderId="0" applyNumberFormat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0" fillId="0" borderId="0"/>
    <xf numFmtId="0" fontId="32" fillId="0" borderId="0" applyNumberFormat="0" applyFont="0" applyFill="0" applyBorder="0" applyAlignment="0" applyProtection="0"/>
    <xf numFmtId="0" fontId="32" fillId="0" borderId="0" applyNumberFormat="0" applyFont="0" applyFill="0" applyBorder="0" applyAlignment="0" applyProtection="0"/>
    <xf numFmtId="0" fontId="32" fillId="0" borderId="0" applyNumberFormat="0" applyFont="0" applyFill="0" applyBorder="0" applyAlignment="0" applyProtection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2" fillId="0" borderId="0" applyNumberFormat="0" applyFont="0" applyFill="0" applyBorder="0" applyAlignment="0" applyProtection="0"/>
    <xf numFmtId="0" fontId="33" fillId="0" borderId="0"/>
    <xf numFmtId="0" fontId="33" fillId="0" borderId="0"/>
    <xf numFmtId="0" fontId="33" fillId="0" borderId="0"/>
    <xf numFmtId="0" fontId="3" fillId="0" borderId="0"/>
    <xf numFmtId="0" fontId="3" fillId="0" borderId="0"/>
    <xf numFmtId="0" fontId="30" fillId="0" borderId="0"/>
    <xf numFmtId="0" fontId="30" fillId="0" borderId="0"/>
    <xf numFmtId="0" fontId="10" fillId="0" borderId="0"/>
    <xf numFmtId="0" fontId="32" fillId="0" borderId="0" applyNumberFormat="0" applyFont="0" applyFill="0" applyBorder="0" applyAlignment="0" applyProtection="0"/>
    <xf numFmtId="0" fontId="32" fillId="0" borderId="0" applyNumberFormat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37" fillId="0" borderId="0"/>
    <xf numFmtId="0" fontId="137" fillId="0" borderId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14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3" fillId="0" borderId="0"/>
    <xf numFmtId="0" fontId="10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3" fillId="0" borderId="0"/>
    <xf numFmtId="0" fontId="3" fillId="0" borderId="0"/>
    <xf numFmtId="0" fontId="3" fillId="0" borderId="0"/>
    <xf numFmtId="3" fontId="60" fillId="0" borderId="0"/>
    <xf numFmtId="0" fontId="33" fillId="0" borderId="0"/>
    <xf numFmtId="0" fontId="32" fillId="0" borderId="0" applyNumberFormat="0" applyFont="0" applyFill="0" applyBorder="0" applyAlignment="0" applyProtection="0"/>
    <xf numFmtId="0" fontId="32" fillId="0" borderId="0" applyNumberFormat="0" applyFont="0" applyFill="0" applyBorder="0" applyAlignment="0" applyProtection="0"/>
    <xf numFmtId="0" fontId="3" fillId="20" borderId="0"/>
    <xf numFmtId="0" fontId="3" fillId="20" borderId="0"/>
    <xf numFmtId="0" fontId="3" fillId="0" borderId="0"/>
    <xf numFmtId="0" fontId="3" fillId="0" borderId="0"/>
    <xf numFmtId="0" fontId="10" fillId="0" borderId="0"/>
    <xf numFmtId="0" fontId="3" fillId="0" borderId="0"/>
    <xf numFmtId="0" fontId="3" fillId="0" borderId="0"/>
    <xf numFmtId="0" fontId="3" fillId="0" borderId="0"/>
    <xf numFmtId="0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0" fontId="10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37" fillId="0" borderId="0"/>
    <xf numFmtId="0" fontId="10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3" fillId="0" borderId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3" fillId="0" borderId="0"/>
    <xf numFmtId="0" fontId="3" fillId="0" borderId="0" applyNumberFormat="0" applyFill="0" applyBorder="0" applyAlignment="0" applyProtection="0"/>
    <xf numFmtId="0" fontId="10" fillId="0" borderId="0"/>
    <xf numFmtId="0" fontId="139" fillId="0" borderId="0" applyNumberFormat="0" applyFill="0" applyBorder="0" applyAlignment="0" applyProtection="0"/>
    <xf numFmtId="0" fontId="3" fillId="0" borderId="0"/>
    <xf numFmtId="0" fontId="3" fillId="0" borderId="0"/>
    <xf numFmtId="0" fontId="10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0" fillId="0" borderId="0"/>
    <xf numFmtId="0" fontId="10" fillId="0" borderId="0"/>
    <xf numFmtId="0" fontId="10" fillId="0" borderId="0"/>
    <xf numFmtId="3" fontId="3" fillId="0" borderId="0"/>
    <xf numFmtId="3" fontId="3" fillId="0" borderId="0"/>
    <xf numFmtId="0" fontId="10" fillId="0" borderId="0"/>
    <xf numFmtId="0" fontId="33" fillId="0" borderId="0"/>
    <xf numFmtId="0" fontId="10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 applyNumberFormat="0" applyFill="0" applyBorder="0" applyAlignment="0" applyProtection="0"/>
    <xf numFmtId="0" fontId="3" fillId="0" borderId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3" fontId="3" fillId="0" borderId="0"/>
    <xf numFmtId="3" fontId="3" fillId="0" borderId="0"/>
    <xf numFmtId="0" fontId="10" fillId="0" borderId="0"/>
    <xf numFmtId="0" fontId="10" fillId="0" borderId="0"/>
    <xf numFmtId="0" fontId="10" fillId="0" borderId="0"/>
    <xf numFmtId="3" fontId="3" fillId="0" borderId="0"/>
    <xf numFmtId="3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3" fillId="0" borderId="0"/>
    <xf numFmtId="0" fontId="33" fillId="0" borderId="0"/>
    <xf numFmtId="0" fontId="10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3" fillId="0" borderId="0"/>
    <xf numFmtId="0" fontId="10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3" fillId="0" borderId="0"/>
    <xf numFmtId="0" fontId="33" fillId="0" borderId="0"/>
    <xf numFmtId="0" fontId="33" fillId="0" borderId="0"/>
    <xf numFmtId="0" fontId="3" fillId="0" borderId="0"/>
    <xf numFmtId="0" fontId="33" fillId="0" borderId="0"/>
    <xf numFmtId="0" fontId="30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3" fillId="0" borderId="0"/>
    <xf numFmtId="0" fontId="3" fillId="0" borderId="0"/>
    <xf numFmtId="0" fontId="33" fillId="0" borderId="0"/>
    <xf numFmtId="0" fontId="3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0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214" fontId="5" fillId="0" borderId="0" applyFont="0" applyFill="0" applyBorder="0" applyAlignment="0">
      <protection hidden="1"/>
    </xf>
    <xf numFmtId="0" fontId="3" fillId="0" borderId="0"/>
    <xf numFmtId="0" fontId="3" fillId="0" borderId="0"/>
    <xf numFmtId="215" fontId="142" fillId="0" borderId="0">
      <alignment horizontal="left"/>
    </xf>
    <xf numFmtId="216" fontId="143" fillId="0" borderId="0">
      <alignment horizontal="left"/>
    </xf>
    <xf numFmtId="0" fontId="1" fillId="47" borderId="0" applyNumberFormat="0" applyBorder="0" applyAlignment="0" applyProtection="0"/>
    <xf numFmtId="0" fontId="1" fillId="48" borderId="0" applyNumberFormat="0" applyBorder="0" applyAlignment="0" applyProtection="0"/>
    <xf numFmtId="0" fontId="1" fillId="50" borderId="0" applyNumberFormat="0" applyBorder="0" applyAlignment="0" applyProtection="0"/>
    <xf numFmtId="0" fontId="1" fillId="52" borderId="0" applyNumberFormat="0" applyBorder="0" applyAlignment="0" applyProtection="0"/>
    <xf numFmtId="0" fontId="1" fillId="53" borderId="0" applyNumberFormat="0" applyBorder="0" applyAlignment="0" applyProtection="0"/>
    <xf numFmtId="0" fontId="1" fillId="55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9" borderId="0" applyNumberFormat="0" applyBorder="0" applyAlignment="0" applyProtection="0"/>
    <xf numFmtId="0" fontId="1" fillId="5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44" fillId="56" borderId="0" applyNumberFormat="0" applyBorder="0" applyAlignment="0" applyProtection="0"/>
    <xf numFmtId="0" fontId="1" fillId="54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34" fillId="57" borderId="0" applyNumberFormat="0" applyBorder="0" applyAlignment="0" applyProtection="0"/>
    <xf numFmtId="0" fontId="61" fillId="58" borderId="0" applyNumberFormat="0" applyBorder="0" applyAlignment="0" applyProtection="0"/>
    <xf numFmtId="0" fontId="61" fillId="59" borderId="0" applyNumberFormat="0" applyBorder="0" applyAlignment="0" applyProtection="0"/>
    <xf numFmtId="0" fontId="61" fillId="59" borderId="0" applyNumberFormat="0" applyBorder="0" applyAlignment="0" applyProtection="0"/>
    <xf numFmtId="0" fontId="61" fillId="60" borderId="0" applyNumberFormat="0" applyBorder="0" applyAlignment="0" applyProtection="0"/>
    <xf numFmtId="0" fontId="61" fillId="61" borderId="0" applyNumberFormat="0" applyBorder="0" applyAlignment="0" applyProtection="0"/>
    <xf numFmtId="0" fontId="61" fillId="61" borderId="0" applyNumberFormat="0" applyBorder="0" applyAlignment="0" applyProtection="0"/>
    <xf numFmtId="0" fontId="145" fillId="62" borderId="0" applyNumberFormat="0" applyBorder="0" applyAlignment="0" applyProtection="0"/>
    <xf numFmtId="0" fontId="145" fillId="63" borderId="0" applyNumberFormat="0" applyBorder="0" applyAlignment="0" applyProtection="0"/>
    <xf numFmtId="0" fontId="145" fillId="63" borderId="0" applyNumberFormat="0" applyBorder="0" applyAlignment="0" applyProtection="0"/>
    <xf numFmtId="0" fontId="145" fillId="64" borderId="0" applyNumberFormat="0" applyBorder="0" applyAlignment="0" applyProtection="0"/>
    <xf numFmtId="0" fontId="145" fillId="64" borderId="0" applyNumberFormat="0" applyBorder="0" applyAlignment="0" applyProtection="0"/>
    <xf numFmtId="0" fontId="145" fillId="64" borderId="0" applyNumberFormat="0" applyBorder="0" applyAlignment="0" applyProtection="0"/>
    <xf numFmtId="0" fontId="134" fillId="57" borderId="0" applyNumberFormat="0" applyBorder="0" applyAlignment="0" applyProtection="0"/>
    <xf numFmtId="0" fontId="145" fillId="64" borderId="0" applyNumberFormat="0" applyBorder="0" applyAlignment="0" applyProtection="0"/>
    <xf numFmtId="0" fontId="145" fillId="64" borderId="0" applyNumberFormat="0" applyBorder="0" applyAlignment="0" applyProtection="0"/>
    <xf numFmtId="0" fontId="145" fillId="64" borderId="0" applyNumberFormat="0" applyBorder="0" applyAlignment="0" applyProtection="0"/>
    <xf numFmtId="0" fontId="145" fillId="64" borderId="0" applyNumberFormat="0" applyBorder="0" applyAlignment="0" applyProtection="0"/>
    <xf numFmtId="0" fontId="145" fillId="64" borderId="0" applyNumberFormat="0" applyBorder="0" applyAlignment="0" applyProtection="0"/>
    <xf numFmtId="0" fontId="145" fillId="64" borderId="0" applyNumberFormat="0" applyBorder="0" applyAlignment="0" applyProtection="0"/>
    <xf numFmtId="0" fontId="145" fillId="64" borderId="0" applyNumberFormat="0" applyBorder="0" applyAlignment="0" applyProtection="0"/>
    <xf numFmtId="0" fontId="61" fillId="65" borderId="0" applyNumberFormat="0" applyBorder="0" applyAlignment="0" applyProtection="0"/>
    <xf numFmtId="0" fontId="61" fillId="66" borderId="0" applyNumberFormat="0" applyBorder="0" applyAlignment="0" applyProtection="0"/>
    <xf numFmtId="0" fontId="61" fillId="66" borderId="0" applyNumberFormat="0" applyBorder="0" applyAlignment="0" applyProtection="0"/>
    <xf numFmtId="0" fontId="61" fillId="67" borderId="0" applyNumberFormat="0" applyBorder="0" applyAlignment="0" applyProtection="0"/>
    <xf numFmtId="0" fontId="61" fillId="68" borderId="0" applyNumberFormat="0" applyBorder="0" applyAlignment="0" applyProtection="0"/>
    <xf numFmtId="0" fontId="61" fillId="68" borderId="0" applyNumberFormat="0" applyBorder="0" applyAlignment="0" applyProtection="0"/>
    <xf numFmtId="0" fontId="145" fillId="68" borderId="0" applyNumberFormat="0" applyBorder="0" applyAlignment="0" applyProtection="0"/>
    <xf numFmtId="0" fontId="145" fillId="69" borderId="0" applyNumberFormat="0" applyBorder="0" applyAlignment="0" applyProtection="0"/>
    <xf numFmtId="0" fontId="145" fillId="69" borderId="0" applyNumberFormat="0" applyBorder="0" applyAlignment="0" applyProtection="0"/>
    <xf numFmtId="0" fontId="145" fillId="70" borderId="0" applyNumberFormat="0" applyBorder="0" applyAlignment="0" applyProtection="0"/>
    <xf numFmtId="0" fontId="145" fillId="70" borderId="0" applyNumberFormat="0" applyBorder="0" applyAlignment="0" applyProtection="0"/>
    <xf numFmtId="0" fontId="145" fillId="70" borderId="0" applyNumberFormat="0" applyBorder="0" applyAlignment="0" applyProtection="0"/>
    <xf numFmtId="0" fontId="145" fillId="70" borderId="0" applyNumberFormat="0" applyBorder="0" applyAlignment="0" applyProtection="0"/>
    <xf numFmtId="0" fontId="145" fillId="70" borderId="0" applyNumberFormat="0" applyBorder="0" applyAlignment="0" applyProtection="0"/>
    <xf numFmtId="0" fontId="145" fillId="70" borderId="0" applyNumberFormat="0" applyBorder="0" applyAlignment="0" applyProtection="0"/>
    <xf numFmtId="0" fontId="145" fillId="70" borderId="0" applyNumberFormat="0" applyBorder="0" applyAlignment="0" applyProtection="0"/>
    <xf numFmtId="0" fontId="145" fillId="70" borderId="0" applyNumberFormat="0" applyBorder="0" applyAlignment="0" applyProtection="0"/>
    <xf numFmtId="0" fontId="145" fillId="70" borderId="0" applyNumberFormat="0" applyBorder="0" applyAlignment="0" applyProtection="0"/>
    <xf numFmtId="0" fontId="145" fillId="70" borderId="0" applyNumberFormat="0" applyBorder="0" applyAlignment="0" applyProtection="0"/>
    <xf numFmtId="0" fontId="145" fillId="70" borderId="0" applyNumberFormat="0" applyBorder="0" applyAlignment="0" applyProtection="0"/>
    <xf numFmtId="0" fontId="61" fillId="71" borderId="0" applyNumberFormat="0" applyBorder="0" applyAlignment="0" applyProtection="0"/>
    <xf numFmtId="0" fontId="61" fillId="72" borderId="0" applyNumberFormat="0" applyBorder="0" applyAlignment="0" applyProtection="0"/>
    <xf numFmtId="0" fontId="61" fillId="72" borderId="0" applyNumberFormat="0" applyBorder="0" applyAlignment="0" applyProtection="0"/>
    <xf numFmtId="0" fontId="61" fillId="73" borderId="0" applyNumberFormat="0" applyBorder="0" applyAlignment="0" applyProtection="0"/>
    <xf numFmtId="0" fontId="61" fillId="67" borderId="0" applyNumberFormat="0" applyBorder="0" applyAlignment="0" applyProtection="0"/>
    <xf numFmtId="0" fontId="61" fillId="67" borderId="0" applyNumberFormat="0" applyBorder="0" applyAlignment="0" applyProtection="0"/>
    <xf numFmtId="0" fontId="145" fillId="74" borderId="0" applyNumberFormat="0" applyBorder="0" applyAlignment="0" applyProtection="0"/>
    <xf numFmtId="0" fontId="145" fillId="60" borderId="0" applyNumberFormat="0" applyBorder="0" applyAlignment="0" applyProtection="0"/>
    <xf numFmtId="0" fontId="145" fillId="60" borderId="0" applyNumberFormat="0" applyBorder="0" applyAlignment="0" applyProtection="0"/>
    <xf numFmtId="0" fontId="145" fillId="75" borderId="0" applyNumberFormat="0" applyBorder="0" applyAlignment="0" applyProtection="0"/>
    <xf numFmtId="0" fontId="145" fillId="75" borderId="0" applyNumberFormat="0" applyBorder="0" applyAlignment="0" applyProtection="0"/>
    <xf numFmtId="0" fontId="145" fillId="75" borderId="0" applyNumberFormat="0" applyBorder="0" applyAlignment="0" applyProtection="0"/>
    <xf numFmtId="0" fontId="145" fillId="75" borderId="0" applyNumberFormat="0" applyBorder="0" applyAlignment="0" applyProtection="0"/>
    <xf numFmtId="0" fontId="145" fillId="75" borderId="0" applyNumberFormat="0" applyBorder="0" applyAlignment="0" applyProtection="0"/>
    <xf numFmtId="0" fontId="145" fillId="75" borderId="0" applyNumberFormat="0" applyBorder="0" applyAlignment="0" applyProtection="0"/>
    <xf numFmtId="0" fontId="145" fillId="75" borderId="0" applyNumberFormat="0" applyBorder="0" applyAlignment="0" applyProtection="0"/>
    <xf numFmtId="0" fontId="145" fillId="75" borderId="0" applyNumberFormat="0" applyBorder="0" applyAlignment="0" applyProtection="0"/>
    <xf numFmtId="0" fontId="145" fillId="75" borderId="0" applyNumberFormat="0" applyBorder="0" applyAlignment="0" applyProtection="0"/>
    <xf numFmtId="0" fontId="145" fillId="75" borderId="0" applyNumberFormat="0" applyBorder="0" applyAlignment="0" applyProtection="0"/>
    <xf numFmtId="0" fontId="145" fillId="75" borderId="0" applyNumberFormat="0" applyBorder="0" applyAlignment="0" applyProtection="0"/>
    <xf numFmtId="0" fontId="61" fillId="65" borderId="0" applyNumberFormat="0" applyBorder="0" applyAlignment="0" applyProtection="0"/>
    <xf numFmtId="0" fontId="61" fillId="67" borderId="0" applyNumberFormat="0" applyBorder="0" applyAlignment="0" applyProtection="0"/>
    <xf numFmtId="0" fontId="61" fillId="67" borderId="0" applyNumberFormat="0" applyBorder="0" applyAlignment="0" applyProtection="0"/>
    <xf numFmtId="0" fontId="61" fillId="69" borderId="0" applyNumberFormat="0" applyBorder="0" applyAlignment="0" applyProtection="0"/>
    <xf numFmtId="0" fontId="61" fillId="60" borderId="0" applyNumberFormat="0" applyBorder="0" applyAlignment="0" applyProtection="0"/>
    <xf numFmtId="0" fontId="61" fillId="60" borderId="0" applyNumberFormat="0" applyBorder="0" applyAlignment="0" applyProtection="0"/>
    <xf numFmtId="0" fontId="145" fillId="67" borderId="0" applyNumberFormat="0" applyBorder="0" applyAlignment="0" applyProtection="0"/>
    <xf numFmtId="0" fontId="145" fillId="60" borderId="0" applyNumberFormat="0" applyBorder="0" applyAlignment="0" applyProtection="0"/>
    <xf numFmtId="0" fontId="145" fillId="60" borderId="0" applyNumberFormat="0" applyBorder="0" applyAlignment="0" applyProtection="0"/>
    <xf numFmtId="0" fontId="145" fillId="76" borderId="0" applyNumberFormat="0" applyBorder="0" applyAlignment="0" applyProtection="0"/>
    <xf numFmtId="0" fontId="145" fillId="76" borderId="0" applyNumberFormat="0" applyBorder="0" applyAlignment="0" applyProtection="0"/>
    <xf numFmtId="0" fontId="145" fillId="76" borderId="0" applyNumberFormat="0" applyBorder="0" applyAlignment="0" applyProtection="0"/>
    <xf numFmtId="0" fontId="134" fillId="77" borderId="0" applyNumberFormat="0" applyBorder="0" applyAlignment="0" applyProtection="0"/>
    <xf numFmtId="0" fontId="145" fillId="76" borderId="0" applyNumberFormat="0" applyBorder="0" applyAlignment="0" applyProtection="0"/>
    <xf numFmtId="0" fontId="145" fillId="76" borderId="0" applyNumberFormat="0" applyBorder="0" applyAlignment="0" applyProtection="0"/>
    <xf numFmtId="0" fontId="145" fillId="76" borderId="0" applyNumberFormat="0" applyBorder="0" applyAlignment="0" applyProtection="0"/>
    <xf numFmtId="0" fontId="145" fillId="76" borderId="0" applyNumberFormat="0" applyBorder="0" applyAlignment="0" applyProtection="0"/>
    <xf numFmtId="0" fontId="145" fillId="76" borderId="0" applyNumberFormat="0" applyBorder="0" applyAlignment="0" applyProtection="0"/>
    <xf numFmtId="0" fontId="145" fillId="76" borderId="0" applyNumberFormat="0" applyBorder="0" applyAlignment="0" applyProtection="0"/>
    <xf numFmtId="0" fontId="145" fillId="76" borderId="0" applyNumberFormat="0" applyBorder="0" applyAlignment="0" applyProtection="0"/>
    <xf numFmtId="0" fontId="61" fillId="72" borderId="0" applyNumberFormat="0" applyBorder="0" applyAlignment="0" applyProtection="0"/>
    <xf numFmtId="0" fontId="61" fillId="59" borderId="0" applyNumberFormat="0" applyBorder="0" applyAlignment="0" applyProtection="0"/>
    <xf numFmtId="0" fontId="61" fillId="59" borderId="0" applyNumberFormat="0" applyBorder="0" applyAlignment="0" applyProtection="0"/>
    <xf numFmtId="0" fontId="61" fillId="61" borderId="0" applyNumberFormat="0" applyBorder="0" applyAlignment="0" applyProtection="0"/>
    <xf numFmtId="0" fontId="145" fillId="62" borderId="0" applyNumberFormat="0" applyBorder="0" applyAlignment="0" applyProtection="0"/>
    <xf numFmtId="0" fontId="145" fillId="61" borderId="0" applyNumberFormat="0" applyBorder="0" applyAlignment="0" applyProtection="0"/>
    <xf numFmtId="0" fontId="145" fillId="61" borderId="0" applyNumberFormat="0" applyBorder="0" applyAlignment="0" applyProtection="0"/>
    <xf numFmtId="0" fontId="145" fillId="62" borderId="0" applyNumberFormat="0" applyBorder="0" applyAlignment="0" applyProtection="0"/>
    <xf numFmtId="0" fontId="145" fillId="62" borderId="0" applyNumberFormat="0" applyBorder="0" applyAlignment="0" applyProtection="0"/>
    <xf numFmtId="0" fontId="145" fillId="62" borderId="0" applyNumberFormat="0" applyBorder="0" applyAlignment="0" applyProtection="0"/>
    <xf numFmtId="0" fontId="145" fillId="62" borderId="0" applyNumberFormat="0" applyBorder="0" applyAlignment="0" applyProtection="0"/>
    <xf numFmtId="0" fontId="145" fillId="62" borderId="0" applyNumberFormat="0" applyBorder="0" applyAlignment="0" applyProtection="0"/>
    <xf numFmtId="0" fontId="145" fillId="62" borderId="0" applyNumberFormat="0" applyBorder="0" applyAlignment="0" applyProtection="0"/>
    <xf numFmtId="0" fontId="145" fillId="62" borderId="0" applyNumberFormat="0" applyBorder="0" applyAlignment="0" applyProtection="0"/>
    <xf numFmtId="0" fontId="145" fillId="62" borderId="0" applyNumberFormat="0" applyBorder="0" applyAlignment="0" applyProtection="0"/>
    <xf numFmtId="0" fontId="145" fillId="62" borderId="0" applyNumberFormat="0" applyBorder="0" applyAlignment="0" applyProtection="0"/>
    <xf numFmtId="0" fontId="145" fillId="62" borderId="0" applyNumberFormat="0" applyBorder="0" applyAlignment="0" applyProtection="0"/>
    <xf numFmtId="0" fontId="145" fillId="62" borderId="0" applyNumberFormat="0" applyBorder="0" applyAlignment="0" applyProtection="0"/>
    <xf numFmtId="0" fontId="61" fillId="78" borderId="0" applyNumberFormat="0" applyBorder="0" applyAlignment="0" applyProtection="0"/>
    <xf numFmtId="0" fontId="61" fillId="79" borderId="0" applyNumberFormat="0" applyBorder="0" applyAlignment="0" applyProtection="0"/>
    <xf numFmtId="0" fontId="61" fillId="68" borderId="0" applyNumberFormat="0" applyBorder="0" applyAlignment="0" applyProtection="0"/>
    <xf numFmtId="0" fontId="61" fillId="68" borderId="0" applyNumberFormat="0" applyBorder="0" applyAlignment="0" applyProtection="0"/>
    <xf numFmtId="0" fontId="145" fillId="80" borderId="0" applyNumberFormat="0" applyBorder="0" applyAlignment="0" applyProtection="0"/>
    <xf numFmtId="0" fontId="145" fillId="79" borderId="0" applyNumberFormat="0" applyBorder="0" applyAlignment="0" applyProtection="0"/>
    <xf numFmtId="0" fontId="145" fillId="79" borderId="0" applyNumberFormat="0" applyBorder="0" applyAlignment="0" applyProtection="0"/>
    <xf numFmtId="0" fontId="145" fillId="81" borderId="0" applyNumberFormat="0" applyBorder="0" applyAlignment="0" applyProtection="0"/>
    <xf numFmtId="0" fontId="145" fillId="81" borderId="0" applyNumberFormat="0" applyBorder="0" applyAlignment="0" applyProtection="0"/>
    <xf numFmtId="0" fontId="145" fillId="81" borderId="0" applyNumberFormat="0" applyBorder="0" applyAlignment="0" applyProtection="0"/>
    <xf numFmtId="0" fontId="145" fillId="81" borderId="0" applyNumberFormat="0" applyBorder="0" applyAlignment="0" applyProtection="0"/>
    <xf numFmtId="0" fontId="145" fillId="81" borderId="0" applyNumberFormat="0" applyBorder="0" applyAlignment="0" applyProtection="0"/>
    <xf numFmtId="0" fontId="145" fillId="81" borderId="0" applyNumberFormat="0" applyBorder="0" applyAlignment="0" applyProtection="0"/>
    <xf numFmtId="0" fontId="145" fillId="81" borderId="0" applyNumberFormat="0" applyBorder="0" applyAlignment="0" applyProtection="0"/>
    <xf numFmtId="0" fontId="145" fillId="81" borderId="0" applyNumberFormat="0" applyBorder="0" applyAlignment="0" applyProtection="0"/>
    <xf numFmtId="0" fontId="145" fillId="81" borderId="0" applyNumberFormat="0" applyBorder="0" applyAlignment="0" applyProtection="0"/>
    <xf numFmtId="0" fontId="145" fillId="81" borderId="0" applyNumberFormat="0" applyBorder="0" applyAlignment="0" applyProtection="0"/>
    <xf numFmtId="0" fontId="145" fillId="81" borderId="0" applyNumberFormat="0" applyBorder="0" applyAlignment="0" applyProtection="0"/>
    <xf numFmtId="0" fontId="31" fillId="0" borderId="0" applyNumberFormat="0" applyAlignment="0"/>
    <xf numFmtId="0" fontId="31" fillId="0" borderId="0"/>
    <xf numFmtId="217" fontId="3" fillId="0" borderId="0" applyNumberFormat="0" applyFont="0" applyFill="0" applyBorder="0">
      <alignment vertical="top"/>
      <protection hidden="1"/>
    </xf>
    <xf numFmtId="217" fontId="3" fillId="0" borderId="0" applyNumberFormat="0" applyFont="0" applyFill="0" applyBorder="0">
      <alignment vertical="top"/>
      <protection hidden="1"/>
    </xf>
    <xf numFmtId="0" fontId="146" fillId="0" borderId="0"/>
    <xf numFmtId="0" fontId="147" fillId="78" borderId="0" applyNumberFormat="0" applyBorder="0" applyAlignment="0" applyProtection="0"/>
    <xf numFmtId="0" fontId="148" fillId="41" borderId="0" applyNumberFormat="0" applyBorder="0" applyAlignment="0" applyProtection="0"/>
    <xf numFmtId="217" fontId="80" fillId="0" borderId="0" applyNumberFormat="0" applyFill="0" applyBorder="0">
      <protection hidden="1"/>
    </xf>
    <xf numFmtId="217" fontId="80" fillId="0" borderId="91" applyNumberFormat="0" applyFill="0">
      <protection hidden="1"/>
    </xf>
    <xf numFmtId="217" fontId="80" fillId="0" borderId="91" applyNumberFormat="0" applyFill="0">
      <protection hidden="1"/>
    </xf>
    <xf numFmtId="217" fontId="80" fillId="0" borderId="0" applyNumberFormat="0" applyFill="0" applyBorder="0">
      <protection hidden="1"/>
    </xf>
    <xf numFmtId="217" fontId="80" fillId="0" borderId="0" applyNumberFormat="0" applyFill="0" applyBorder="0">
      <protection hidden="1"/>
    </xf>
    <xf numFmtId="218" fontId="149" fillId="0" borderId="0">
      <alignment vertical="center"/>
      <protection locked="0"/>
    </xf>
    <xf numFmtId="0" fontId="143" fillId="0" borderId="0" applyFont="0" applyFill="0" applyBorder="0" applyAlignment="0" applyProtection="0">
      <alignment horizontal="right"/>
    </xf>
    <xf numFmtId="219" fontId="3" fillId="0" borderId="0" applyFill="0" applyBorder="0">
      <protection hidden="1"/>
    </xf>
    <xf numFmtId="219" fontId="3" fillId="0" borderId="0" applyFill="0" applyBorder="0">
      <protection hidden="1"/>
    </xf>
    <xf numFmtId="0" fontId="60" fillId="0" borderId="50" applyNumberFormat="0" applyFont="0" applyAlignment="0"/>
    <xf numFmtId="0" fontId="3" fillId="0" borderId="0"/>
    <xf numFmtId="187" fontId="17" fillId="34" borderId="92" applyNumberFormat="0">
      <alignment vertical="center"/>
    </xf>
    <xf numFmtId="220" fontId="17" fillId="82" borderId="92" applyNumberFormat="0">
      <alignment vertical="center"/>
    </xf>
    <xf numFmtId="1" fontId="3" fillId="83" borderId="92" applyNumberFormat="0">
      <alignment vertical="center"/>
    </xf>
    <xf numFmtId="187" fontId="17" fillId="84" borderId="92" applyNumberFormat="0">
      <alignment vertical="center"/>
    </xf>
    <xf numFmtId="187" fontId="17" fillId="19" borderId="92" applyNumberFormat="0">
      <alignment vertical="center"/>
    </xf>
    <xf numFmtId="3" fontId="17" fillId="0" borderId="92" applyNumberFormat="0">
      <alignment vertical="center"/>
    </xf>
    <xf numFmtId="221" fontId="144" fillId="0" borderId="0" applyFill="0" applyBorder="0" applyAlignment="0"/>
    <xf numFmtId="222" fontId="144" fillId="0" borderId="0" applyFill="0" applyBorder="0" applyAlignment="0"/>
    <xf numFmtId="223" fontId="144" fillId="0" borderId="0" applyFill="0" applyBorder="0" applyAlignment="0"/>
    <xf numFmtId="224" fontId="144" fillId="0" borderId="0" applyFill="0" applyBorder="0" applyAlignment="0"/>
    <xf numFmtId="225" fontId="144" fillId="0" borderId="0" applyFill="0" applyBorder="0" applyAlignment="0"/>
    <xf numFmtId="226" fontId="144" fillId="0" borderId="0" applyFill="0" applyBorder="0" applyAlignment="0"/>
    <xf numFmtId="221" fontId="144" fillId="0" borderId="0" applyFill="0" applyBorder="0" applyAlignment="0"/>
    <xf numFmtId="187" fontId="17" fillId="34" borderId="92" applyNumberFormat="0">
      <alignment vertical="center"/>
    </xf>
    <xf numFmtId="0" fontId="150" fillId="85" borderId="93" applyNumberFormat="0" applyAlignment="0" applyProtection="0"/>
    <xf numFmtId="0" fontId="151" fillId="0" borderId="0"/>
    <xf numFmtId="0" fontId="152" fillId="86" borderId="11" applyBorder="0">
      <alignment vertical="center"/>
    </xf>
    <xf numFmtId="2" fontId="41" fillId="21" borderId="12">
      <alignment horizontal="left" vertical="center"/>
    </xf>
    <xf numFmtId="0" fontId="115" fillId="76" borderId="57" applyNumberFormat="0" applyAlignment="0" applyProtection="0"/>
    <xf numFmtId="227" fontId="3" fillId="0" borderId="0" applyFont="0" applyFill="0" applyBorder="0" applyAlignment="0">
      <protection hidden="1"/>
    </xf>
    <xf numFmtId="227" fontId="3" fillId="0" borderId="0" applyFont="0" applyFill="0" applyBorder="0" applyAlignment="0">
      <protection hidden="1"/>
    </xf>
    <xf numFmtId="228" fontId="3" fillId="0" borderId="0" applyFont="0" applyFill="0" applyBorder="0" applyAlignment="0">
      <protection hidden="1"/>
    </xf>
    <xf numFmtId="228" fontId="3" fillId="0" borderId="0" applyFont="0" applyFill="0" applyBorder="0" applyAlignment="0">
      <protection hidden="1"/>
    </xf>
    <xf numFmtId="229" fontId="3" fillId="0" borderId="0" applyFont="0" applyFill="0" applyBorder="0">
      <protection hidden="1"/>
    </xf>
    <xf numFmtId="229" fontId="3" fillId="0" borderId="0" applyFont="0" applyFill="0" applyBorder="0">
      <protection hidden="1"/>
    </xf>
    <xf numFmtId="0" fontId="153" fillId="0" borderId="0" applyNumberFormat="0" applyFill="0" applyBorder="0" applyAlignment="0" applyProtection="0"/>
    <xf numFmtId="217" fontId="3" fillId="0" borderId="0" applyNumberFormat="0" applyFont="0" applyBorder="0" applyAlignment="0" applyProtection="0">
      <protection hidden="1"/>
    </xf>
    <xf numFmtId="217" fontId="3" fillId="0" borderId="0" applyNumberFormat="0" applyFont="0" applyBorder="0" applyAlignment="0" applyProtection="0">
      <protection hidden="1"/>
    </xf>
    <xf numFmtId="217" fontId="3" fillId="87" borderId="0" applyNumberFormat="0" applyFont="0" applyBorder="0" applyAlignment="0" applyProtection="0">
      <protection hidden="1"/>
    </xf>
    <xf numFmtId="217" fontId="3" fillId="87" borderId="0" applyNumberFormat="0" applyFont="0" applyBorder="0" applyAlignment="0" applyProtection="0">
      <protection hidden="1"/>
    </xf>
    <xf numFmtId="217" fontId="3" fillId="88" borderId="0" applyNumberFormat="0" applyFont="0" applyBorder="0" applyAlignment="0" applyProtection="0">
      <protection hidden="1"/>
    </xf>
    <xf numFmtId="217" fontId="3" fillId="88" borderId="0" applyNumberFormat="0" applyFont="0" applyBorder="0" applyAlignment="0" applyProtection="0">
      <protection hidden="1"/>
    </xf>
    <xf numFmtId="217" fontId="3" fillId="25" borderId="0" applyNumberFormat="0" applyFont="0" applyBorder="0" applyAlignment="0" applyProtection="0">
      <protection hidden="1"/>
    </xf>
    <xf numFmtId="217" fontId="3" fillId="25" borderId="0" applyNumberFormat="0" applyFont="0" applyBorder="0" applyAlignment="0" applyProtection="0">
      <protection hidden="1"/>
    </xf>
    <xf numFmtId="230" fontId="27" fillId="89" borderId="94" applyNumberFormat="0" applyProtection="0">
      <alignment horizontal="center"/>
      <protection hidden="1"/>
    </xf>
    <xf numFmtId="217" fontId="3" fillId="83" borderId="0" applyNumberFormat="0" applyFont="0" applyBorder="0" applyAlignment="0" applyProtection="0">
      <protection hidden="1"/>
    </xf>
    <xf numFmtId="217" fontId="3" fillId="83" borderId="0" applyNumberFormat="0" applyFont="0" applyBorder="0" applyAlignment="0" applyProtection="0">
      <protection hidden="1"/>
    </xf>
    <xf numFmtId="217" fontId="3" fillId="90" borderId="0" applyNumberFormat="0" applyFont="0" applyBorder="0" applyAlignment="0" applyProtection="0">
      <protection hidden="1"/>
    </xf>
    <xf numFmtId="217" fontId="3" fillId="90" borderId="0" applyNumberFormat="0" applyFont="0" applyBorder="0" applyAlignment="0" applyProtection="0">
      <protection hidden="1"/>
    </xf>
    <xf numFmtId="217" fontId="3" fillId="91" borderId="0" applyNumberFormat="0" applyFont="0" applyBorder="0" applyAlignment="0" applyProtection="0">
      <protection hidden="1"/>
    </xf>
    <xf numFmtId="217" fontId="3" fillId="91" borderId="0" applyNumberFormat="0" applyFont="0" applyBorder="0" applyAlignment="0" applyProtection="0">
      <protection hidden="1"/>
    </xf>
    <xf numFmtId="217" fontId="3" fillId="34" borderId="0" applyNumberFormat="0" applyFont="0" applyBorder="0" applyAlignment="0" applyProtection="0">
      <protection hidden="1"/>
    </xf>
    <xf numFmtId="217" fontId="3" fillId="34" borderId="0" applyNumberFormat="0" applyFont="0" applyBorder="0" applyAlignment="0" applyProtection="0">
      <protection hidden="1"/>
    </xf>
    <xf numFmtId="0" fontId="154" fillId="92" borderId="16" applyNumberFormat="0" applyProtection="0">
      <alignment horizontal="center" vertical="center" wrapText="1"/>
    </xf>
    <xf numFmtId="0" fontId="3" fillId="0" borderId="0" applyFill="0" applyBorder="0">
      <alignment horizontal="justify" vertical="top"/>
    </xf>
    <xf numFmtId="0" fontId="3" fillId="0" borderId="0" applyFill="0" applyBorder="0">
      <alignment horizontal="justify" vertical="top"/>
    </xf>
    <xf numFmtId="0" fontId="7" fillId="0" borderId="3">
      <alignment horizontal="left" wrapText="1"/>
    </xf>
    <xf numFmtId="231" fontId="155" fillId="0" borderId="0"/>
    <xf numFmtId="231" fontId="155" fillId="0" borderId="0"/>
    <xf numFmtId="231" fontId="155" fillId="0" borderId="0"/>
    <xf numFmtId="231" fontId="155" fillId="0" borderId="0"/>
    <xf numFmtId="231" fontId="155" fillId="0" borderId="0"/>
    <xf numFmtId="231" fontId="155" fillId="0" borderId="0"/>
    <xf numFmtId="231" fontId="155" fillId="0" borderId="0"/>
    <xf numFmtId="231" fontId="155" fillId="0" borderId="0"/>
    <xf numFmtId="225" fontId="3" fillId="0" borderId="0" applyFont="0" applyFill="0" applyBorder="0" applyAlignment="0" applyProtection="0"/>
    <xf numFmtId="168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61" fillId="0" borderId="0" applyFont="0" applyFill="0" applyBorder="0" applyAlignment="0" applyProtection="0"/>
    <xf numFmtId="168" fontId="3" fillId="0" borderId="0" applyFont="0" applyFill="0" applyBorder="0" applyAlignment="0" applyProtection="0"/>
    <xf numFmtId="168" fontId="61" fillId="0" borderId="0" applyFont="0" applyFill="0" applyBorder="0" applyAlignment="0" applyProtection="0"/>
    <xf numFmtId="168" fontId="61" fillId="0" borderId="0" applyFont="0" applyFill="0" applyBorder="0" applyAlignment="0" applyProtection="0"/>
    <xf numFmtId="168" fontId="61" fillId="0" borderId="0" applyFont="0" applyFill="0" applyBorder="0" applyAlignment="0" applyProtection="0"/>
    <xf numFmtId="168" fontId="61" fillId="0" borderId="0" applyFont="0" applyFill="0" applyBorder="0" applyAlignment="0" applyProtection="0"/>
    <xf numFmtId="168" fontId="3" fillId="0" borderId="0" applyFont="0" applyFill="0" applyBorder="0" applyAlignment="0" applyProtection="0"/>
    <xf numFmtId="168" fontId="3" fillId="0" borderId="0" applyFont="0" applyFill="0" applyBorder="0" applyAlignment="0" applyProtection="0"/>
    <xf numFmtId="168" fontId="3" fillId="0" borderId="0" applyFont="0" applyFill="0" applyBorder="0" applyAlignment="0" applyProtection="0"/>
    <xf numFmtId="168" fontId="61" fillId="0" borderId="0" applyFont="0" applyFill="0" applyBorder="0" applyAlignment="0" applyProtection="0"/>
    <xf numFmtId="168" fontId="61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61" fillId="0" borderId="0" applyFont="0" applyFill="0" applyBorder="0" applyAlignment="0" applyProtection="0"/>
    <xf numFmtId="168" fontId="3" fillId="0" borderId="0" applyFont="0" applyFill="0" applyBorder="0" applyAlignment="0" applyProtection="0"/>
    <xf numFmtId="168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8" fontId="3" fillId="0" borderId="0" applyFont="0" applyFill="0" applyBorder="0" applyAlignment="0" applyProtection="0"/>
    <xf numFmtId="43" fontId="61" fillId="0" borderId="0" applyFont="0" applyFill="0" applyBorder="0" applyAlignment="0" applyProtection="0"/>
    <xf numFmtId="176" fontId="39" fillId="0" borderId="0" applyFont="0" applyFill="0" applyBorder="0" applyAlignment="0" applyProtection="0">
      <alignment horizontal="right"/>
    </xf>
    <xf numFmtId="168" fontId="61" fillId="0" borderId="0" applyFont="0" applyFill="0" applyBorder="0" applyAlignment="0" applyProtection="0"/>
    <xf numFmtId="168" fontId="3" fillId="0" borderId="0" applyFont="0" applyFill="0" applyBorder="0" applyAlignment="0" applyProtection="0"/>
    <xf numFmtId="168" fontId="3" fillId="0" borderId="0" applyFont="0" applyFill="0" applyBorder="0" applyAlignment="0" applyProtection="0"/>
    <xf numFmtId="168" fontId="3" fillId="0" borderId="0" applyFont="0" applyFill="0" applyBorder="0" applyAlignment="0" applyProtection="0"/>
    <xf numFmtId="176" fontId="39" fillId="0" borderId="0" applyFont="0" applyFill="0" applyBorder="0" applyAlignment="0" applyProtection="0">
      <alignment horizontal="right"/>
    </xf>
    <xf numFmtId="43" fontId="3" fillId="0" borderId="0" applyFont="0" applyFill="0" applyBorder="0" applyAlignment="0" applyProtection="0"/>
    <xf numFmtId="4" fontId="35" fillId="0" borderId="0" applyFont="0" applyFill="0" applyBorder="0" applyAlignment="0" applyProtection="0"/>
    <xf numFmtId="43" fontId="3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61" fillId="0" borderId="0" applyFont="0" applyFill="0" applyBorder="0" applyAlignment="0" applyProtection="0"/>
    <xf numFmtId="168" fontId="61" fillId="0" borderId="0" applyFont="0" applyFill="0" applyBorder="0" applyAlignment="0" applyProtection="0"/>
    <xf numFmtId="168" fontId="61" fillId="0" borderId="0" applyFont="0" applyFill="0" applyBorder="0" applyAlignment="0" applyProtection="0"/>
    <xf numFmtId="168" fontId="61" fillId="0" borderId="0" applyFont="0" applyFill="0" applyBorder="0" applyAlignment="0" applyProtection="0"/>
    <xf numFmtId="0" fontId="3" fillId="0" borderId="0"/>
    <xf numFmtId="0" fontId="3" fillId="0" borderId="0"/>
    <xf numFmtId="232" fontId="3" fillId="0" borderId="0" applyFont="0" applyFill="0" applyBorder="0" applyAlignment="0" applyProtection="0"/>
    <xf numFmtId="168" fontId="61" fillId="0" borderId="0" applyFont="0" applyFill="0" applyBorder="0" applyAlignment="0" applyProtection="0"/>
    <xf numFmtId="168" fontId="61" fillId="0" borderId="0" applyFont="0" applyFill="0" applyBorder="0" applyAlignment="0" applyProtection="0"/>
    <xf numFmtId="168" fontId="61" fillId="0" borderId="0" applyFont="0" applyFill="0" applyBorder="0" applyAlignment="0" applyProtection="0"/>
    <xf numFmtId="0" fontId="3" fillId="0" borderId="0"/>
    <xf numFmtId="0" fontId="3" fillId="0" borderId="0"/>
    <xf numFmtId="41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8" fontId="61" fillId="0" borderId="0" applyFont="0" applyFill="0" applyBorder="0" applyAlignment="0" applyProtection="0"/>
    <xf numFmtId="168" fontId="61" fillId="0" borderId="0" applyFont="0" applyFill="0" applyBorder="0" applyAlignment="0" applyProtection="0"/>
    <xf numFmtId="168" fontId="61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8" fontId="61" fillId="0" borderId="0" applyFont="0" applyFill="0" applyBorder="0" applyAlignment="0" applyProtection="0"/>
    <xf numFmtId="168" fontId="61" fillId="0" borderId="0" applyFont="0" applyFill="0" applyBorder="0" applyAlignment="0" applyProtection="0"/>
    <xf numFmtId="43" fontId="61" fillId="0" borderId="0" applyFont="0" applyFill="0" applyBorder="0" applyAlignment="0" applyProtection="0"/>
    <xf numFmtId="168" fontId="61" fillId="0" borderId="0" applyFont="0" applyFill="0" applyBorder="0" applyAlignment="0" applyProtection="0"/>
    <xf numFmtId="168" fontId="3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3" fillId="0" borderId="0" applyFont="0" applyFill="0" applyBorder="0" applyAlignment="0" applyProtection="0"/>
    <xf numFmtId="168" fontId="3" fillId="0" borderId="0" applyFont="0" applyFill="0" applyBorder="0" applyAlignment="0" applyProtection="0"/>
    <xf numFmtId="43" fontId="61" fillId="0" borderId="0" applyFont="0" applyFill="0" applyBorder="0" applyAlignment="0" applyProtection="0"/>
    <xf numFmtId="168" fontId="3" fillId="0" borderId="0" applyFont="0" applyFill="0" applyBorder="0" applyAlignment="0" applyProtection="0"/>
    <xf numFmtId="233" fontId="156" fillId="0" borderId="0">
      <protection locked="0"/>
    </xf>
    <xf numFmtId="234" fontId="157" fillId="0" borderId="0" applyFont="0" applyFill="0" applyBorder="0" applyAlignment="0">
      <protection hidden="1"/>
    </xf>
    <xf numFmtId="221" fontId="3" fillId="0" borderId="0" applyFont="0" applyFill="0" applyBorder="0" applyAlignment="0" applyProtection="0"/>
    <xf numFmtId="44" fontId="61" fillId="0" borderId="0" applyFont="0" applyFill="0" applyBorder="0" applyAlignment="0" applyProtection="0"/>
    <xf numFmtId="178" fontId="39" fillId="0" borderId="0" applyFont="0" applyFill="0" applyBorder="0" applyAlignment="0" applyProtection="0">
      <alignment horizontal="right"/>
    </xf>
    <xf numFmtId="167" fontId="10" fillId="0" borderId="0" applyFont="0" applyFill="0" applyBorder="0" applyAlignment="0" applyProtection="0"/>
    <xf numFmtId="44" fontId="3" fillId="0" borderId="0" applyFont="0" applyFill="0" applyBorder="0" applyAlignment="0" applyProtection="0"/>
    <xf numFmtId="235" fontId="3" fillId="0" borderId="0" applyFont="0" applyFill="0" applyBorder="0" applyAlignment="0" applyProtection="0"/>
    <xf numFmtId="233" fontId="156" fillId="0" borderId="0">
      <protection locked="0"/>
    </xf>
    <xf numFmtId="0" fontId="158" fillId="0" borderId="30" applyNumberFormat="0" applyBorder="0">
      <alignment horizontal="centerContinuous"/>
    </xf>
    <xf numFmtId="179" fontId="31" fillId="0" borderId="0" applyFont="0" applyFill="0" applyBorder="0">
      <alignment horizontal="right" vertical="center"/>
    </xf>
    <xf numFmtId="0" fontId="3" fillId="0" borderId="0" applyNumberFormat="0" applyFont="0" applyBorder="0" applyProtection="0">
      <alignment vertical="top"/>
      <protection locked="0"/>
    </xf>
    <xf numFmtId="233" fontId="156" fillId="0" borderId="0">
      <protection locked="0"/>
    </xf>
    <xf numFmtId="236" fontId="144" fillId="0" borderId="0" applyFill="0" applyBorder="0">
      <protection hidden="1"/>
    </xf>
    <xf numFmtId="236" fontId="144" fillId="0" borderId="0" applyFill="0" applyBorder="0">
      <protection hidden="1"/>
    </xf>
    <xf numFmtId="237" fontId="144" fillId="0" borderId="0" applyFill="0" applyBorder="0">
      <protection hidden="1"/>
    </xf>
    <xf numFmtId="237" fontId="144" fillId="0" borderId="0" applyFill="0" applyBorder="0">
      <protection hidden="1"/>
    </xf>
    <xf numFmtId="181" fontId="144" fillId="0" borderId="0" applyFill="0" applyBorder="0">
      <protection hidden="1"/>
    </xf>
    <xf numFmtId="181" fontId="144" fillId="0" borderId="0" applyFill="0" applyBorder="0">
      <protection hidden="1"/>
    </xf>
    <xf numFmtId="238" fontId="144" fillId="0" borderId="0" applyFill="0" applyBorder="0">
      <protection hidden="1"/>
    </xf>
    <xf numFmtId="238" fontId="144" fillId="0" borderId="0" applyFill="0" applyBorder="0">
      <protection hidden="1"/>
    </xf>
    <xf numFmtId="239" fontId="144" fillId="0" borderId="0" applyFill="0" applyBorder="0">
      <protection hidden="1"/>
    </xf>
    <xf numFmtId="239" fontId="144" fillId="0" borderId="0" applyFill="0" applyBorder="0">
      <protection hidden="1"/>
    </xf>
    <xf numFmtId="14" fontId="144" fillId="0" borderId="0" applyFill="0" applyBorder="0" applyAlignment="0"/>
    <xf numFmtId="233" fontId="156" fillId="0" borderId="0">
      <protection locked="0"/>
    </xf>
    <xf numFmtId="38" fontId="35" fillId="0" borderId="0" applyFont="0" applyFill="0" applyBorder="0" applyAlignment="0" applyProtection="0"/>
    <xf numFmtId="240" fontId="159" fillId="0" borderId="10">
      <alignment vertical="center"/>
    </xf>
    <xf numFmtId="241" fontId="159" fillId="0" borderId="10">
      <alignment vertical="center"/>
    </xf>
    <xf numFmtId="242" fontId="159" fillId="0" borderId="10">
      <alignment vertical="center"/>
    </xf>
    <xf numFmtId="40" fontId="35" fillId="0" borderId="0" applyFont="0" applyFill="0" applyBorder="0" applyAlignment="0" applyProtection="0"/>
    <xf numFmtId="0" fontId="10" fillId="0" borderId="0" applyNumberFormat="0" applyFill="0" applyBorder="0" applyAlignment="0" applyProtection="0"/>
    <xf numFmtId="185" fontId="160" fillId="93" borderId="0"/>
    <xf numFmtId="243" fontId="161" fillId="0" borderId="95" applyNumberFormat="0" applyFont="0" applyAlignment="0"/>
    <xf numFmtId="244" fontId="160" fillId="0" borderId="0" applyBorder="0" applyProtection="0"/>
    <xf numFmtId="245" fontId="3" fillId="0" borderId="0" applyFill="0" applyBorder="0" applyProtection="0">
      <alignment horizontal="right"/>
    </xf>
    <xf numFmtId="246" fontId="3" fillId="0" borderId="0"/>
    <xf numFmtId="246" fontId="31" fillId="0" borderId="0" applyFill="0" applyBorder="0" applyProtection="0">
      <alignment vertical="center"/>
    </xf>
    <xf numFmtId="247" fontId="160" fillId="10" borderId="0">
      <alignment horizontal="right" indent="1"/>
    </xf>
    <xf numFmtId="246" fontId="162" fillId="19" borderId="0">
      <alignment horizontal="right"/>
    </xf>
    <xf numFmtId="247" fontId="160" fillId="93" borderId="0"/>
    <xf numFmtId="248" fontId="3" fillId="0" borderId="0" applyFill="0" applyBorder="0" applyAlignment="0" applyProtection="0"/>
    <xf numFmtId="249" fontId="3" fillId="0" borderId="0" applyFill="0" applyBorder="0" applyProtection="0"/>
    <xf numFmtId="0" fontId="126" fillId="94" borderId="0" applyNumberFormat="0" applyBorder="0" applyAlignment="0" applyProtection="0"/>
    <xf numFmtId="0" fontId="126" fillId="95" borderId="0" applyNumberFormat="0" applyBorder="0" applyAlignment="0" applyProtection="0"/>
    <xf numFmtId="0" fontId="126" fillId="96" borderId="0" applyNumberFormat="0" applyBorder="0" applyAlignment="0" applyProtection="0"/>
    <xf numFmtId="225" fontId="27" fillId="0" borderId="0" applyFill="0" applyBorder="0" applyAlignment="0"/>
    <xf numFmtId="221" fontId="27" fillId="0" borderId="0" applyFill="0" applyBorder="0" applyAlignment="0"/>
    <xf numFmtId="225" fontId="27" fillId="0" borderId="0" applyFill="0" applyBorder="0" applyAlignment="0"/>
    <xf numFmtId="226" fontId="27" fillId="0" borderId="0" applyFill="0" applyBorder="0" applyAlignment="0"/>
    <xf numFmtId="221" fontId="27" fillId="0" borderId="0" applyFill="0" applyBorder="0" applyAlignment="0"/>
    <xf numFmtId="37" fontId="163" fillId="0" borderId="25" applyFill="0" applyBorder="0">
      <alignment vertical="center"/>
      <protection locked="0"/>
    </xf>
    <xf numFmtId="0" fontId="163" fillId="0" borderId="0" applyFill="0" applyBorder="0">
      <alignment vertical="center"/>
    </xf>
    <xf numFmtId="0" fontId="163" fillId="0" borderId="25" applyFill="0" applyBorder="0">
      <alignment horizontal="left" wrapText="1"/>
      <protection locked="0"/>
    </xf>
    <xf numFmtId="37" fontId="163" fillId="0" borderId="25" applyFill="0" applyBorder="0">
      <alignment vertical="center"/>
      <protection locked="0"/>
    </xf>
    <xf numFmtId="250" fontId="157" fillId="0" borderId="0" applyFont="0" applyFill="0" applyBorder="0" applyAlignment="0">
      <protection hidden="1"/>
    </xf>
    <xf numFmtId="251" fontId="3" fillId="0" borderId="0" applyFont="0" applyFill="0" applyBorder="0" applyAlignment="0" applyProtection="0"/>
    <xf numFmtId="167" fontId="3" fillId="0" borderId="0" applyFont="0" applyFill="0" applyBorder="0" applyAlignment="0" applyProtection="0"/>
    <xf numFmtId="167" fontId="3" fillId="0" borderId="0" applyFont="0" applyFill="0" applyBorder="0" applyAlignment="0" applyProtection="0"/>
    <xf numFmtId="252" fontId="3" fillId="0" borderId="0" applyFont="0" applyFill="0" applyBorder="0" applyAlignment="0" applyProtection="0"/>
    <xf numFmtId="252" fontId="3" fillId="0" borderId="0" applyFont="0" applyFill="0" applyBorder="0" applyAlignment="0" applyProtection="0"/>
    <xf numFmtId="253" fontId="35" fillId="0" borderId="0" applyFont="0" applyFill="0" applyBorder="0" applyAlignment="0" applyProtection="0"/>
    <xf numFmtId="254" fontId="67" fillId="0" borderId="0" applyFont="0" applyFill="0" applyBorder="0" applyAlignment="0" applyProtection="0"/>
    <xf numFmtId="253" fontId="35" fillId="0" borderId="0" applyFont="0" applyFill="0" applyBorder="0" applyAlignment="0" applyProtection="0"/>
    <xf numFmtId="253" fontId="35" fillId="0" borderId="0" applyFont="0" applyFill="0" applyBorder="0" applyAlignment="0" applyProtection="0"/>
    <xf numFmtId="253" fontId="35" fillId="0" borderId="0" applyFont="0" applyFill="0" applyBorder="0" applyAlignment="0" applyProtection="0"/>
    <xf numFmtId="255" fontId="3" fillId="0" borderId="0" applyFont="0" applyFill="0" applyBorder="0" applyAlignment="0">
      <protection hidden="1"/>
    </xf>
    <xf numFmtId="255" fontId="3" fillId="0" borderId="0" applyFont="0" applyFill="0" applyBorder="0" applyAlignment="0">
      <protection hidden="1"/>
    </xf>
    <xf numFmtId="256" fontId="157" fillId="0" borderId="0" applyFont="0" applyFill="0" applyBorder="0" applyAlignment="0">
      <protection hidden="1"/>
    </xf>
    <xf numFmtId="257" fontId="3" fillId="0" borderId="0" applyFont="0" applyFill="0" applyBorder="0" applyAlignment="0" applyProtection="0"/>
    <xf numFmtId="0" fontId="17" fillId="97" borderId="96" applyNumberFormat="0">
      <alignment vertical="center"/>
    </xf>
    <xf numFmtId="0" fontId="164" fillId="0" borderId="12" applyFill="0" applyBorder="0">
      <alignment horizontal="left" vertical="top"/>
    </xf>
    <xf numFmtId="217" fontId="7" fillId="0" borderId="97">
      <protection hidden="1"/>
    </xf>
    <xf numFmtId="258" fontId="157" fillId="0" borderId="0" applyFont="0" applyFill="0" applyBorder="0">
      <protection hidden="1"/>
    </xf>
    <xf numFmtId="217" fontId="7" fillId="0" borderId="97">
      <protection hidden="1"/>
    </xf>
    <xf numFmtId="217" fontId="7" fillId="0" borderId="97">
      <protection hidden="1"/>
    </xf>
    <xf numFmtId="0" fontId="17" fillId="19" borderId="88" applyNumberFormat="0">
      <alignment vertical="center"/>
    </xf>
    <xf numFmtId="0" fontId="17" fillId="19" borderId="88" applyNumberFormat="0">
      <alignment vertical="center"/>
    </xf>
    <xf numFmtId="0" fontId="17" fillId="19" borderId="88" applyNumberFormat="0">
      <alignment vertical="center"/>
    </xf>
    <xf numFmtId="3" fontId="3" fillId="0" borderId="0" applyFont="0" applyFill="0" applyBorder="0" applyAlignment="0" applyProtection="0"/>
    <xf numFmtId="3" fontId="3" fillId="0" borderId="0" applyFont="0" applyFill="0" applyBorder="0" applyAlignment="0" applyProtection="0"/>
    <xf numFmtId="3" fontId="3" fillId="0" borderId="0" applyFont="0" applyFill="0" applyBorder="0" applyAlignment="0" applyProtection="0"/>
    <xf numFmtId="3" fontId="3" fillId="0" borderId="0" applyFont="0" applyFill="0" applyBorder="0" applyAlignment="0" applyProtection="0"/>
    <xf numFmtId="233" fontId="156" fillId="0" borderId="0">
      <protection locked="0"/>
    </xf>
    <xf numFmtId="37" fontId="3" fillId="0" borderId="25" applyFill="0" applyBorder="0">
      <alignment vertical="center"/>
    </xf>
    <xf numFmtId="259" fontId="3" fillId="0" borderId="0" applyFont="0" applyFill="0" applyBorder="0" applyAlignment="0">
      <protection hidden="1"/>
    </xf>
    <xf numFmtId="259" fontId="3" fillId="0" borderId="0" applyFont="0" applyFill="0" applyBorder="0" applyAlignment="0">
      <protection hidden="1"/>
    </xf>
    <xf numFmtId="260" fontId="3" fillId="0" borderId="0" applyFont="0" applyFill="0" applyBorder="0" applyAlignment="0">
      <protection hidden="1"/>
    </xf>
    <xf numFmtId="260" fontId="3" fillId="0" borderId="0" applyFont="0" applyFill="0" applyBorder="0" applyAlignment="0">
      <protection hidden="1"/>
    </xf>
    <xf numFmtId="0" fontId="61" fillId="73" borderId="0" applyNumberFormat="0" applyBorder="0" applyAlignment="0" applyProtection="0"/>
    <xf numFmtId="38" fontId="31" fillId="19" borderId="0" applyNumberFormat="0" applyBorder="0" applyAlignment="0" applyProtection="0"/>
    <xf numFmtId="0" fontId="165" fillId="19" borderId="98" applyNumberFormat="0">
      <alignment vertical="center"/>
    </xf>
    <xf numFmtId="261" fontId="3" fillId="0" borderId="0" applyFont="0" applyFill="0" applyBorder="0" applyAlignment="0">
      <protection hidden="1"/>
    </xf>
    <xf numFmtId="261" fontId="3" fillId="0" borderId="0" applyFont="0" applyFill="0" applyBorder="0" applyAlignment="0">
      <protection hidden="1"/>
    </xf>
    <xf numFmtId="262" fontId="157" fillId="0" borderId="0" applyFont="0" applyFill="0" applyBorder="0" applyAlignment="0">
      <protection hidden="1"/>
    </xf>
    <xf numFmtId="0" fontId="6" fillId="0" borderId="15" applyNumberFormat="0" applyAlignment="0" applyProtection="0">
      <alignment horizontal="left" vertical="center"/>
    </xf>
    <xf numFmtId="0" fontId="166" fillId="0" borderId="99" applyNumberFormat="0" applyFill="0" applyAlignment="0" applyProtection="0"/>
    <xf numFmtId="0" fontId="119" fillId="0" borderId="0" applyProtection="0">
      <alignment horizontal="left"/>
    </xf>
    <xf numFmtId="0" fontId="120" fillId="0" borderId="0" applyProtection="0">
      <alignment horizontal="left"/>
    </xf>
    <xf numFmtId="0" fontId="167" fillId="0" borderId="0" applyNumberFormat="0" applyFill="0" applyBorder="0" applyAlignment="0" applyProtection="0"/>
    <xf numFmtId="217" fontId="168" fillId="87" borderId="100" applyNumberFormat="0" applyAlignment="0">
      <protection hidden="1"/>
    </xf>
    <xf numFmtId="263" fontId="169" fillId="0" borderId="18">
      <alignment horizontal="left" vertical="center"/>
    </xf>
    <xf numFmtId="0" fontId="170" fillId="0" borderId="0" applyNumberFormat="0" applyFill="0" applyBorder="0" applyAlignment="0" applyProtection="0">
      <alignment vertical="top"/>
      <protection locked="0"/>
    </xf>
    <xf numFmtId="0" fontId="171" fillId="0" borderId="0" applyNumberFormat="0" applyFill="0" applyBorder="0" applyAlignment="0" applyProtection="0">
      <alignment vertical="top"/>
      <protection locked="0"/>
    </xf>
    <xf numFmtId="254" fontId="171" fillId="0" borderId="0" applyNumberFormat="0" applyFill="0" applyBorder="0" applyAlignment="0" applyProtection="0">
      <alignment vertical="top"/>
      <protection locked="0"/>
    </xf>
    <xf numFmtId="0" fontId="172" fillId="0" borderId="0" applyNumberFormat="0" applyFill="0" applyBorder="0" applyAlignment="0" applyProtection="0">
      <alignment vertical="top"/>
      <protection locked="0"/>
    </xf>
    <xf numFmtId="0" fontId="171" fillId="0" borderId="0" applyNumberFormat="0" applyFill="0" applyBorder="0" applyAlignment="0" applyProtection="0">
      <alignment vertical="top"/>
      <protection locked="0"/>
    </xf>
    <xf numFmtId="264" fontId="173" fillId="0" borderId="101">
      <alignment vertical="center"/>
    </xf>
    <xf numFmtId="265" fontId="174" fillId="0" borderId="0"/>
    <xf numFmtId="217" fontId="3" fillId="10" borderId="0" applyNumberFormat="0" applyFont="0" applyBorder="0" applyAlignment="0">
      <protection locked="0"/>
    </xf>
    <xf numFmtId="217" fontId="3" fillId="10" borderId="0" applyNumberFormat="0" applyFont="0" applyBorder="0" applyAlignment="0">
      <protection locked="0"/>
    </xf>
    <xf numFmtId="217" fontId="3" fillId="83" borderId="0" applyNumberFormat="0" applyFont="0" applyBorder="0" applyAlignment="0">
      <protection locked="0"/>
    </xf>
    <xf numFmtId="217" fontId="3" fillId="83" borderId="0" applyNumberFormat="0" applyFont="0" applyBorder="0" applyAlignment="0">
      <protection locked="0"/>
    </xf>
    <xf numFmtId="217" fontId="175" fillId="0" borderId="0" applyNumberFormat="0" applyFill="0" applyBorder="0" applyAlignment="0"/>
    <xf numFmtId="217" fontId="176" fillId="0" borderId="0" applyNumberFormat="0" applyFill="0" applyBorder="0" applyAlignment="0"/>
    <xf numFmtId="0" fontId="27" fillId="0" borderId="0" applyFill="0" applyBorder="0" applyAlignment="0"/>
    <xf numFmtId="0" fontId="27" fillId="0" borderId="0" applyFill="0" applyBorder="0" applyAlignment="0"/>
    <xf numFmtId="266" fontId="174" fillId="0" borderId="0"/>
    <xf numFmtId="10" fontId="31" fillId="25" borderId="90" applyNumberFormat="0" applyBorder="0" applyAlignment="0" applyProtection="0"/>
    <xf numFmtId="240" fontId="177" fillId="0" borderId="101">
      <alignment vertical="center"/>
    </xf>
    <xf numFmtId="267" fontId="173" fillId="0" borderId="101">
      <alignment vertical="center"/>
    </xf>
    <xf numFmtId="268" fontId="177" fillId="0" borderId="101">
      <alignment vertical="center"/>
    </xf>
    <xf numFmtId="187" fontId="17" fillId="28" borderId="102" applyNumberFormat="0">
      <alignment vertical="center"/>
      <protection locked="0"/>
    </xf>
    <xf numFmtId="3" fontId="58" fillId="0" borderId="0"/>
    <xf numFmtId="0" fontId="17" fillId="89" borderId="102" applyNumberFormat="0">
      <alignment vertical="center"/>
      <protection locked="0"/>
    </xf>
    <xf numFmtId="0" fontId="17" fillId="89" borderId="102" applyNumberFormat="0">
      <alignment vertical="center"/>
      <protection locked="0"/>
    </xf>
    <xf numFmtId="3" fontId="58" fillId="0" borderId="0"/>
    <xf numFmtId="217" fontId="178" fillId="0" borderId="0" applyNumberFormat="0" applyFill="0" applyBorder="0" applyAlignment="0"/>
    <xf numFmtId="217" fontId="179" fillId="0" borderId="0" applyNumberFormat="0" applyFill="0" applyBorder="0" applyAlignment="0"/>
    <xf numFmtId="217" fontId="109" fillId="0" borderId="0" applyNumberFormat="0" applyFill="0" applyBorder="0" applyAlignment="0"/>
    <xf numFmtId="217" fontId="109" fillId="0" borderId="0" applyNumberFormat="0" applyFill="0" applyBorder="0" applyAlignment="0"/>
    <xf numFmtId="269" fontId="83" fillId="10" borderId="0"/>
    <xf numFmtId="0" fontId="3" fillId="0" borderId="0"/>
    <xf numFmtId="0" fontId="140" fillId="0" borderId="0"/>
    <xf numFmtId="0" fontId="30" fillId="0" borderId="0"/>
    <xf numFmtId="0" fontId="33" fillId="0" borderId="0"/>
    <xf numFmtId="217" fontId="5" fillId="98" borderId="0" applyNumberFormat="0" applyFont="0" applyBorder="0" applyAlignment="0">
      <protection hidden="1"/>
    </xf>
    <xf numFmtId="270" fontId="3" fillId="0" borderId="0" applyFont="0" applyFill="0" applyBorder="0">
      <protection hidden="1"/>
    </xf>
    <xf numFmtId="270" fontId="3" fillId="0" borderId="0" applyFont="0" applyFill="0" applyBorder="0">
      <protection hidden="1"/>
    </xf>
    <xf numFmtId="168" fontId="3" fillId="0" borderId="0" applyFont="0" applyFill="0" applyBorder="0" applyAlignment="0" applyProtection="0"/>
    <xf numFmtId="168" fontId="31" fillId="0" borderId="0" applyFont="0" applyFill="0" applyBorder="0" applyAlignment="0" applyProtection="0"/>
    <xf numFmtId="38" fontId="180" fillId="0" borderId="0"/>
    <xf numFmtId="38" fontId="181" fillId="0" borderId="0"/>
    <xf numFmtId="38" fontId="182" fillId="0" borderId="0"/>
    <xf numFmtId="38" fontId="183" fillId="0" borderId="0"/>
    <xf numFmtId="0" fontId="184" fillId="0" borderId="0"/>
    <xf numFmtId="0" fontId="184" fillId="0" borderId="0"/>
    <xf numFmtId="271" fontId="3" fillId="0" borderId="0" applyFont="0" applyFill="0" applyBorder="0" applyAlignment="0">
      <protection hidden="1"/>
    </xf>
    <xf numFmtId="271" fontId="3" fillId="0" borderId="0" applyFont="0" applyFill="0" applyBorder="0" applyAlignment="0">
      <protection hidden="1"/>
    </xf>
    <xf numFmtId="272" fontId="157" fillId="0" borderId="0" applyFont="0" applyFill="0" applyBorder="0" applyAlignment="0">
      <protection hidden="1"/>
    </xf>
    <xf numFmtId="0" fontId="67" fillId="0" borderId="0" applyNumberFormat="0" applyFont="0" applyFill="0" applyBorder="0" applyProtection="0">
      <alignment horizontal="left" vertical="center"/>
    </xf>
    <xf numFmtId="0" fontId="144" fillId="0" borderId="0"/>
    <xf numFmtId="0" fontId="33" fillId="0" borderId="0"/>
    <xf numFmtId="217" fontId="5" fillId="14" borderId="0" applyNumberFormat="0" applyFont="0" applyBorder="0" applyAlignment="0">
      <protection hidden="1"/>
    </xf>
    <xf numFmtId="0" fontId="31" fillId="0" borderId="0" applyNumberFormat="0" applyFill="0" applyBorder="0"/>
    <xf numFmtId="0" fontId="31" fillId="0" borderId="0" applyNumberFormat="0" applyFill="0" applyBorder="0"/>
    <xf numFmtId="225" fontId="185" fillId="0" borderId="0" applyFill="0" applyBorder="0" applyAlignment="0"/>
    <xf numFmtId="221" fontId="185" fillId="0" borderId="0" applyFill="0" applyBorder="0" applyAlignment="0"/>
    <xf numFmtId="225" fontId="185" fillId="0" borderId="0" applyFill="0" applyBorder="0" applyAlignment="0"/>
    <xf numFmtId="226" fontId="185" fillId="0" borderId="0" applyFill="0" applyBorder="0" applyAlignment="0"/>
    <xf numFmtId="221" fontId="185" fillId="0" borderId="0" applyFill="0" applyBorder="0" applyAlignment="0"/>
    <xf numFmtId="217" fontId="186" fillId="0" borderId="0" applyNumberFormat="0" applyFill="0" applyBorder="0" applyAlignment="0"/>
    <xf numFmtId="217" fontId="187" fillId="0" borderId="0" applyNumberFormat="0" applyFill="0" applyBorder="0" applyAlignment="0"/>
    <xf numFmtId="217" fontId="20" fillId="0" borderId="0" applyNumberFormat="0" applyFill="0" applyBorder="0" applyAlignment="0"/>
    <xf numFmtId="217" fontId="20" fillId="0" borderId="0" applyNumberFormat="0" applyFill="0" applyBorder="0" applyAlignment="0"/>
    <xf numFmtId="3" fontId="63" fillId="0" borderId="0"/>
    <xf numFmtId="3" fontId="63" fillId="0" borderId="0"/>
    <xf numFmtId="0" fontId="117" fillId="0" borderId="103" applyNumberFormat="0" applyFill="0" applyAlignment="0" applyProtection="0"/>
    <xf numFmtId="187" fontId="3" fillId="0" borderId="0" applyFont="0" applyFill="0" applyBorder="0" applyAlignment="0" applyProtection="0"/>
    <xf numFmtId="187" fontId="3" fillId="0" borderId="0" applyFont="0" applyFill="0" applyBorder="0" applyAlignment="0" applyProtection="0"/>
    <xf numFmtId="0" fontId="3" fillId="99" borderId="0" applyNumberFormat="0" applyFont="0" applyBorder="0" applyAlignment="0"/>
    <xf numFmtId="273" fontId="3" fillId="100" borderId="104" applyNumberFormat="0" applyFont="0" applyBorder="0" applyAlignment="0"/>
    <xf numFmtId="274" fontId="144" fillId="0" borderId="91" applyFont="0" applyFill="0" applyBorder="0">
      <protection hidden="1"/>
    </xf>
    <xf numFmtId="274" fontId="144" fillId="0" borderId="91" applyFont="0" applyFill="0" applyBorder="0">
      <protection hidden="1"/>
    </xf>
    <xf numFmtId="275" fontId="157" fillId="0" borderId="0" applyFont="0" applyFill="0" applyBorder="0">
      <protection hidden="1"/>
    </xf>
    <xf numFmtId="276" fontId="157" fillId="0" borderId="91" applyFont="0" applyFill="0" applyBorder="0">
      <protection hidden="1"/>
    </xf>
    <xf numFmtId="277" fontId="7" fillId="10" borderId="90" applyFont="0" applyFill="0" applyBorder="0" applyAlignment="0">
      <alignment horizontal="centerContinuous"/>
    </xf>
    <xf numFmtId="43" fontId="3" fillId="0" borderId="0" applyFont="0" applyFill="0" applyBorder="0" applyAlignment="0" applyProtection="0"/>
    <xf numFmtId="0" fontId="188" fillId="0" borderId="16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192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194" fontId="3" fillId="0" borderId="0" applyFont="0" applyFill="0" applyBorder="0" applyAlignment="0" applyProtection="0"/>
    <xf numFmtId="194" fontId="3" fillId="0" borderId="0" applyFont="0" applyFill="0" applyBorder="0" applyAlignment="0" applyProtection="0"/>
    <xf numFmtId="10" fontId="3" fillId="0" borderId="0" applyFont="0" applyFill="0" applyProtection="0"/>
    <xf numFmtId="10" fontId="3" fillId="0" borderId="0" applyFont="0" applyFill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19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93" fontId="3" fillId="0" borderId="0" applyFont="0" applyFill="0" applyBorder="0" applyAlignment="0" applyProtection="0"/>
    <xf numFmtId="12" fontId="3" fillId="0" borderId="0" applyFont="0" applyFill="0" applyProtection="0"/>
    <xf numFmtId="12" fontId="3" fillId="0" borderId="0" applyFont="0" applyFill="0" applyProtection="0"/>
    <xf numFmtId="278" fontId="3" fillId="0" borderId="0" applyFont="0" applyFill="0" applyBorder="0" applyAlignment="0">
      <protection hidden="1"/>
    </xf>
    <xf numFmtId="278" fontId="3" fillId="0" borderId="0" applyFont="0" applyFill="0" applyBorder="0" applyAlignment="0">
      <protection hidden="1"/>
    </xf>
    <xf numFmtId="279" fontId="157" fillId="0" borderId="0" applyFont="0" applyFill="0" applyBorder="0" applyAlignment="0">
      <protection hidden="1"/>
    </xf>
    <xf numFmtId="0" fontId="189" fillId="89" borderId="105" applyNumberFormat="0" applyFill="0" applyAlignment="0" applyProtection="0">
      <alignment vertical="center"/>
      <protection locked="0"/>
    </xf>
    <xf numFmtId="0" fontId="190" fillId="0" borderId="0" applyNumberFormat="0" applyBorder="0">
      <alignment horizontal="left" vertical="top"/>
    </xf>
    <xf numFmtId="0" fontId="189" fillId="89" borderId="105" applyNumberFormat="0" applyFill="0" applyAlignment="0" applyProtection="0">
      <alignment vertical="center"/>
      <protection locked="0"/>
    </xf>
    <xf numFmtId="0" fontId="117" fillId="79" borderId="0" applyNumberFormat="0" applyBorder="0" applyAlignment="0" applyProtection="0"/>
    <xf numFmtId="0" fontId="32" fillId="0" borderId="0"/>
    <xf numFmtId="197" fontId="3" fillId="0" borderId="0"/>
    <xf numFmtId="265" fontId="191" fillId="0" borderId="0"/>
    <xf numFmtId="280" fontId="3" fillId="0" borderId="0">
      <protection hidden="1"/>
    </xf>
    <xf numFmtId="280" fontId="3" fillId="0" borderId="0">
      <protection hidden="1"/>
    </xf>
    <xf numFmtId="244" fontId="191" fillId="0" borderId="0"/>
    <xf numFmtId="281" fontId="144" fillId="0" borderId="0">
      <protection hidden="1"/>
    </xf>
    <xf numFmtId="281" fontId="144" fillId="0" borderId="0">
      <protection hidden="1"/>
    </xf>
    <xf numFmtId="3" fontId="3" fillId="0" borderId="0"/>
    <xf numFmtId="37" fontId="67" fillId="0" borderId="0" applyAlignment="0"/>
    <xf numFmtId="0" fontId="61" fillId="0" borderId="0"/>
    <xf numFmtId="0" fontId="61" fillId="0" borderId="0"/>
    <xf numFmtId="0" fontId="61" fillId="0" borderId="0"/>
    <xf numFmtId="0" fontId="192" fillId="0" borderId="0"/>
    <xf numFmtId="0" fontId="61" fillId="0" borderId="0"/>
    <xf numFmtId="0" fontId="61" fillId="0" borderId="0"/>
    <xf numFmtId="0" fontId="192" fillId="0" borderId="0"/>
    <xf numFmtId="0" fontId="61" fillId="0" borderId="0"/>
    <xf numFmtId="0" fontId="61" fillId="0" borderId="0"/>
    <xf numFmtId="0" fontId="192" fillId="0" borderId="0"/>
    <xf numFmtId="0" fontId="3" fillId="0" borderId="0"/>
    <xf numFmtId="0" fontId="3" fillId="0" borderId="0"/>
    <xf numFmtId="0" fontId="192" fillId="0" borderId="0"/>
    <xf numFmtId="0" fontId="3" fillId="0" borderId="0"/>
    <xf numFmtId="0" fontId="3" fillId="0" borderId="0"/>
    <xf numFmtId="0" fontId="193" fillId="0" borderId="0"/>
    <xf numFmtId="0" fontId="61" fillId="0" borderId="0"/>
    <xf numFmtId="0" fontId="61" fillId="0" borderId="0"/>
    <xf numFmtId="0" fontId="61" fillId="0" borderId="0"/>
    <xf numFmtId="0" fontId="61" fillId="0" borderId="0"/>
    <xf numFmtId="0" fontId="1" fillId="0" borderId="0"/>
    <xf numFmtId="0" fontId="61" fillId="0" borderId="0"/>
    <xf numFmtId="0" fontId="3" fillId="0" borderId="0"/>
    <xf numFmtId="0" fontId="61" fillId="0" borderId="0"/>
    <xf numFmtId="0" fontId="61" fillId="0" borderId="0"/>
    <xf numFmtId="0" fontId="61" fillId="0" borderId="0"/>
    <xf numFmtId="0" fontId="3" fillId="0" borderId="0"/>
    <xf numFmtId="0" fontId="6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1" fillId="0" borderId="0"/>
    <xf numFmtId="0" fontId="61" fillId="0" borderId="0"/>
    <xf numFmtId="0" fontId="61" fillId="0" borderId="0"/>
    <xf numFmtId="0" fontId="61" fillId="0" borderId="0"/>
    <xf numFmtId="0" fontId="3" fillId="0" borderId="0"/>
    <xf numFmtId="254" fontId="35" fillId="0" borderId="0"/>
    <xf numFmtId="0" fontId="3" fillId="0" borderId="0"/>
    <xf numFmtId="0" fontId="3" fillId="0" borderId="0"/>
    <xf numFmtId="0" fontId="3" fillId="0" borderId="0"/>
    <xf numFmtId="0" fontId="61" fillId="0" borderId="0"/>
    <xf numFmtId="0" fontId="61" fillId="0" borderId="0"/>
    <xf numFmtId="0" fontId="192" fillId="0" borderId="0"/>
    <xf numFmtId="0" fontId="61" fillId="0" borderId="0"/>
    <xf numFmtId="0" fontId="61" fillId="0" borderId="0"/>
    <xf numFmtId="0" fontId="192" fillId="0" borderId="0"/>
    <xf numFmtId="0" fontId="61" fillId="0" borderId="0"/>
    <xf numFmtId="0" fontId="61" fillId="0" borderId="0"/>
    <xf numFmtId="0" fontId="3" fillId="0" borderId="0"/>
    <xf numFmtId="0" fontId="61" fillId="0" borderId="0"/>
    <xf numFmtId="0" fontId="192" fillId="0" borderId="0"/>
    <xf numFmtId="0" fontId="61" fillId="0" borderId="0"/>
    <xf numFmtId="0" fontId="61" fillId="0" borderId="0"/>
    <xf numFmtId="0" fontId="192" fillId="0" borderId="0"/>
    <xf numFmtId="0" fontId="61" fillId="0" borderId="0"/>
    <xf numFmtId="0" fontId="3" fillId="0" borderId="0"/>
    <xf numFmtId="0" fontId="138" fillId="0" borderId="0"/>
    <xf numFmtId="0" fontId="61" fillId="0" borderId="0"/>
    <xf numFmtId="0" fontId="192" fillId="0" borderId="0"/>
    <xf numFmtId="0" fontId="61" fillId="0" borderId="0"/>
    <xf numFmtId="0" fontId="61" fillId="0" borderId="0"/>
    <xf numFmtId="0" fontId="192" fillId="0" borderId="0"/>
    <xf numFmtId="0" fontId="3" fillId="0" borderId="0"/>
    <xf numFmtId="0" fontId="3" fillId="0" borderId="0"/>
    <xf numFmtId="0" fontId="61" fillId="0" borderId="0"/>
    <xf numFmtId="3" fontId="3" fillId="0" borderId="0"/>
    <xf numFmtId="0" fontId="61" fillId="0" borderId="0"/>
    <xf numFmtId="0" fontId="192" fillId="0" borderId="0"/>
    <xf numFmtId="0" fontId="3" fillId="0" borderId="0"/>
    <xf numFmtId="0" fontId="3" fillId="0" borderId="0"/>
    <xf numFmtId="0" fontId="61" fillId="0" borderId="0"/>
    <xf numFmtId="0" fontId="1" fillId="0" borderId="0"/>
    <xf numFmtId="0" fontId="61" fillId="0" borderId="0"/>
    <xf numFmtId="0" fontId="61" fillId="0" borderId="0"/>
    <xf numFmtId="0" fontId="192" fillId="0" borderId="0"/>
    <xf numFmtId="0" fontId="3" fillId="0" borderId="0"/>
    <xf numFmtId="0" fontId="61" fillId="0" borderId="0"/>
    <xf numFmtId="0" fontId="3" fillId="0" borderId="0"/>
    <xf numFmtId="0" fontId="31" fillId="0" borderId="0"/>
    <xf numFmtId="0" fontId="61" fillId="0" borderId="0"/>
    <xf numFmtId="0" fontId="61" fillId="0" borderId="0"/>
    <xf numFmtId="0" fontId="192" fillId="0" borderId="0"/>
    <xf numFmtId="0" fontId="61" fillId="0" borderId="0"/>
    <xf numFmtId="0" fontId="61" fillId="0" borderId="0"/>
    <xf numFmtId="0" fontId="61" fillId="0" borderId="0"/>
    <xf numFmtId="0" fontId="10" fillId="0" borderId="0"/>
    <xf numFmtId="0" fontId="61" fillId="0" borderId="0"/>
    <xf numFmtId="0" fontId="61" fillId="0" borderId="0"/>
    <xf numFmtId="0" fontId="3" fillId="0" borderId="0"/>
    <xf numFmtId="37" fontId="37" fillId="0" borderId="0" applyNumberFormat="0" applyFill="0" applyAlignment="0"/>
    <xf numFmtId="37" fontId="37" fillId="0" borderId="0" applyNumberFormat="0" applyFill="0" applyAlignment="0"/>
    <xf numFmtId="0" fontId="61" fillId="0" borderId="0"/>
    <xf numFmtId="0" fontId="3" fillId="0" borderId="0"/>
    <xf numFmtId="0" fontId="194" fillId="0" borderId="0"/>
    <xf numFmtId="0" fontId="61" fillId="16" borderId="8" applyNumberFormat="0" applyFont="0" applyAlignment="0" applyProtection="0"/>
    <xf numFmtId="0" fontId="3" fillId="45" borderId="85" applyNumberFormat="0" applyFont="0" applyAlignment="0" applyProtection="0"/>
    <xf numFmtId="0" fontId="3" fillId="45" borderId="85" applyNumberFormat="0" applyFont="0" applyAlignment="0" applyProtection="0"/>
    <xf numFmtId="0" fontId="3" fillId="45" borderId="85" applyNumberFormat="0" applyFont="0" applyAlignment="0" applyProtection="0"/>
    <xf numFmtId="0" fontId="3" fillId="45" borderId="85" applyNumberFormat="0" applyFont="0" applyAlignment="0" applyProtection="0"/>
    <xf numFmtId="0" fontId="195" fillId="0" borderId="101"/>
    <xf numFmtId="0" fontId="196" fillId="0" borderId="0" applyProtection="0">
      <alignment horizontal="left"/>
      <protection hidden="1"/>
    </xf>
    <xf numFmtId="0" fontId="196" fillId="0" borderId="106" applyProtection="0">
      <alignment horizontal="left"/>
    </xf>
    <xf numFmtId="0" fontId="144" fillId="45" borderId="85" applyNumberFormat="0" applyFont="0" applyAlignment="0" applyProtection="0"/>
    <xf numFmtId="0" fontId="144" fillId="45" borderId="85" applyNumberFormat="0" applyFont="0" applyAlignment="0" applyProtection="0"/>
    <xf numFmtId="0" fontId="3" fillId="45" borderId="85" applyNumberFormat="0" applyFont="0" applyAlignment="0" applyProtection="0"/>
    <xf numFmtId="0" fontId="3" fillId="45" borderId="85" applyNumberFormat="0" applyFont="0" applyAlignment="0" applyProtection="0"/>
    <xf numFmtId="0" fontId="3" fillId="45" borderId="85" applyNumberFormat="0" applyFont="0" applyAlignment="0" applyProtection="0"/>
    <xf numFmtId="0" fontId="3" fillId="45" borderId="85" applyNumberFormat="0" applyFont="0" applyAlignment="0" applyProtection="0"/>
    <xf numFmtId="0" fontId="3" fillId="45" borderId="85" applyNumberFormat="0" applyFont="0" applyAlignment="0" applyProtection="0"/>
    <xf numFmtId="0" fontId="3" fillId="45" borderId="85" applyNumberFormat="0" applyFont="0" applyAlignment="0" applyProtection="0"/>
    <xf numFmtId="0" fontId="3" fillId="45" borderId="85" applyNumberFormat="0" applyFont="0" applyAlignment="0" applyProtection="0"/>
    <xf numFmtId="3" fontId="60" fillId="0" borderId="0" applyBorder="0"/>
    <xf numFmtId="4" fontId="69" fillId="0" borderId="101" applyNumberFormat="0" applyFont="0" applyFill="0" applyBorder="0" applyAlignment="0"/>
    <xf numFmtId="173" fontId="3" fillId="0" borderId="0" applyFont="0" applyFill="0" applyBorder="0" applyAlignment="0" applyProtection="0"/>
    <xf numFmtId="282" fontId="3" fillId="0" borderId="0" applyFont="0" applyFill="0" applyBorder="0" applyAlignment="0" applyProtection="0"/>
    <xf numFmtId="0" fontId="197" fillId="0" borderId="0"/>
    <xf numFmtId="217" fontId="7" fillId="101" borderId="0" applyNumberFormat="0" applyBorder="0" applyAlignment="0"/>
    <xf numFmtId="217" fontId="7" fillId="101" borderId="0" applyNumberFormat="0" applyBorder="0" applyAlignment="0"/>
    <xf numFmtId="0" fontId="124" fillId="85" borderId="88" applyNumberFormat="0" applyAlignment="0" applyProtection="0"/>
    <xf numFmtId="0" fontId="198" fillId="42" borderId="88" applyNumberFormat="0" applyAlignment="0" applyProtection="0"/>
    <xf numFmtId="0" fontId="198" fillId="42" borderId="88" applyNumberFormat="0" applyAlignment="0" applyProtection="0"/>
    <xf numFmtId="0" fontId="198" fillId="42" borderId="88" applyNumberFormat="0" applyAlignment="0" applyProtection="0"/>
    <xf numFmtId="0" fontId="198" fillId="42" borderId="88" applyNumberFormat="0" applyAlignment="0" applyProtection="0"/>
    <xf numFmtId="0" fontId="74" fillId="0" borderId="3" applyFill="0" applyProtection="0">
      <alignment vertical="center" wrapText="1"/>
      <protection locked="0"/>
    </xf>
    <xf numFmtId="283" fontId="199" fillId="0" borderId="0" applyFill="0" applyBorder="0" applyAlignment="0">
      <protection hidden="1"/>
    </xf>
    <xf numFmtId="208" fontId="3" fillId="0" borderId="0" applyFont="0" applyFill="0" applyBorder="0" applyAlignment="0" applyProtection="0"/>
    <xf numFmtId="208" fontId="3" fillId="0" borderId="0" applyFont="0" applyFill="0" applyBorder="0" applyAlignment="0" applyProtection="0"/>
    <xf numFmtId="224" fontId="3" fillId="0" borderId="0" applyFont="0" applyFill="0" applyBorder="0" applyAlignment="0" applyProtection="0"/>
    <xf numFmtId="284" fontId="3" fillId="0" borderId="0" applyFont="0" applyFill="0" applyBorder="0" applyAlignment="0" applyProtection="0"/>
    <xf numFmtId="10" fontId="3" fillId="0" borderId="0" applyFont="0" applyFill="0" applyBorder="0" applyAlignment="0" applyProtection="0"/>
    <xf numFmtId="9" fontId="61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61" fillId="0" borderId="0" applyFont="0" applyFill="0" applyBorder="0" applyAlignment="0" applyProtection="0"/>
    <xf numFmtId="9" fontId="35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61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61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144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61" fillId="0" borderId="0" applyFont="0" applyFill="0" applyBorder="0" applyAlignment="0" applyProtection="0"/>
    <xf numFmtId="9" fontId="61" fillId="0" borderId="0" applyFont="0" applyFill="0" applyBorder="0" applyAlignment="0" applyProtection="0"/>
    <xf numFmtId="9" fontId="61" fillId="0" borderId="0" applyFont="0" applyFill="0" applyBorder="0" applyAlignment="0" applyProtection="0"/>
    <xf numFmtId="9" fontId="61" fillId="0" borderId="0" applyFont="0" applyFill="0" applyBorder="0" applyAlignment="0" applyProtection="0"/>
    <xf numFmtId="9" fontId="61" fillId="0" borderId="0" applyFont="0" applyFill="0" applyBorder="0" applyAlignment="0" applyProtection="0"/>
    <xf numFmtId="9" fontId="61" fillId="0" borderId="0" applyFont="0" applyFill="0" applyBorder="0" applyAlignment="0" applyProtection="0"/>
    <xf numFmtId="0" fontId="200" fillId="0" borderId="107"/>
    <xf numFmtId="225" fontId="109" fillId="0" borderId="0" applyFill="0" applyBorder="0" applyAlignment="0"/>
    <xf numFmtId="221" fontId="109" fillId="0" borderId="0" applyFill="0" applyBorder="0" applyAlignment="0"/>
    <xf numFmtId="225" fontId="109" fillId="0" borderId="0" applyFill="0" applyBorder="0" applyAlignment="0"/>
    <xf numFmtId="226" fontId="109" fillId="0" borderId="0" applyFill="0" applyBorder="0" applyAlignment="0"/>
    <xf numFmtId="221" fontId="109" fillId="0" borderId="0" applyFill="0" applyBorder="0" applyAlignment="0"/>
    <xf numFmtId="9" fontId="3" fillId="0" borderId="0" applyFont="0" applyFill="0" applyBorder="0" applyAlignment="0" applyProtection="0"/>
    <xf numFmtId="37" fontId="3" fillId="0" borderId="0" applyFont="0" applyFill="0" applyBorder="0" applyAlignment="0" applyProtection="0"/>
    <xf numFmtId="217" fontId="3" fillId="0" borderId="0" applyNumberFormat="0" applyFont="0" applyFill="0" applyBorder="0" applyAlignment="0">
      <protection locked="0" hidden="1"/>
    </xf>
    <xf numFmtId="217" fontId="3" fillId="0" borderId="0" applyNumberFormat="0" applyFont="0" applyFill="0" applyBorder="0" applyAlignment="0">
      <protection locked="0" hidden="1"/>
    </xf>
    <xf numFmtId="217" fontId="3" fillId="0" borderId="0" applyNumberFormat="0" applyFont="0" applyFill="0" applyBorder="0" applyAlignment="0"/>
    <xf numFmtId="217" fontId="3" fillId="0" borderId="0" applyNumberFormat="0" applyFont="0" applyFill="0" applyBorder="0" applyAlignment="0"/>
    <xf numFmtId="217" fontId="3" fillId="0" borderId="0" applyNumberFormat="0" applyFont="0" applyFill="0" applyBorder="0" applyAlignment="0">
      <protection hidden="1"/>
    </xf>
    <xf numFmtId="217" fontId="3" fillId="0" borderId="0" applyNumberFormat="0" applyFont="0" applyFill="0" applyBorder="0" applyAlignment="0">
      <protection hidden="1"/>
    </xf>
    <xf numFmtId="217" fontId="3" fillId="0" borderId="0" applyNumberFormat="0" applyFont="0" applyFill="0" applyBorder="0" applyAlignment="0">
      <protection locked="0"/>
    </xf>
    <xf numFmtId="217" fontId="3" fillId="0" borderId="0" applyNumberFormat="0" applyFont="0" applyFill="0" applyBorder="0" applyAlignment="0">
      <protection locked="0"/>
    </xf>
    <xf numFmtId="264" fontId="159" fillId="0" borderId="101">
      <alignment vertical="center"/>
    </xf>
    <xf numFmtId="9" fontId="201" fillId="0" borderId="79" applyFont="0" applyFill="0" applyBorder="0" applyAlignment="0" applyProtection="0">
      <alignment vertical="top" wrapText="1"/>
    </xf>
    <xf numFmtId="285" fontId="202" fillId="0" borderId="101" applyFill="0" applyBorder="0" applyAlignment="0" applyProtection="0">
      <alignment vertical="center"/>
    </xf>
    <xf numFmtId="0" fontId="35" fillId="0" borderId="0" applyNumberFormat="0" applyFont="0" applyFill="0" applyBorder="0" applyAlignment="0" applyProtection="0">
      <alignment horizontal="left"/>
    </xf>
    <xf numFmtId="15" fontId="35" fillId="0" borderId="0" applyFont="0" applyFill="0" applyBorder="0" applyAlignment="0" applyProtection="0"/>
    <xf numFmtId="4" fontId="35" fillId="0" borderId="0" applyFont="0" applyFill="0" applyBorder="0" applyAlignment="0" applyProtection="0"/>
    <xf numFmtId="0" fontId="203" fillId="0" borderId="16">
      <alignment horizontal="center"/>
    </xf>
    <xf numFmtId="3" fontId="35" fillId="0" borderId="0" applyFont="0" applyFill="0" applyBorder="0" applyAlignment="0" applyProtection="0"/>
    <xf numFmtId="0" fontId="35" fillId="102" borderId="0" applyNumberFormat="0" applyFont="0" applyBorder="0" applyAlignment="0" applyProtection="0"/>
    <xf numFmtId="286" fontId="5" fillId="0" borderId="0" applyFont="0" applyFill="0" applyBorder="0" applyAlignment="0" applyProtection="0">
      <alignment horizontal="right"/>
    </xf>
    <xf numFmtId="286" fontId="5" fillId="0" borderId="0" applyFont="0" applyFill="0" applyBorder="0" applyAlignment="0" applyProtection="0">
      <alignment horizontal="right"/>
    </xf>
    <xf numFmtId="49" fontId="60" fillId="0" borderId="0">
      <alignment horizontal="right"/>
    </xf>
    <xf numFmtId="0" fontId="204" fillId="101" borderId="0" applyBorder="0" applyAlignment="0" applyProtection="0"/>
    <xf numFmtId="0" fontId="205" fillId="0" borderId="0" applyFill="0" applyBorder="0">
      <alignment horizontal="right"/>
    </xf>
    <xf numFmtId="0" fontId="3" fillId="0" borderId="0" applyNumberFormat="0" applyFill="0" applyBorder="0">
      <alignment horizontal="left" vertical="center" wrapText="1"/>
    </xf>
    <xf numFmtId="0" fontId="3" fillId="0" borderId="0" applyNumberFormat="0" applyFill="0" applyBorder="0">
      <alignment horizontal="left" vertical="center" wrapText="1"/>
    </xf>
    <xf numFmtId="4" fontId="31" fillId="32" borderId="93" applyNumberFormat="0" applyProtection="0">
      <alignment vertical="center"/>
    </xf>
    <xf numFmtId="4" fontId="144" fillId="10" borderId="88" applyNumberFormat="0" applyProtection="0">
      <alignment vertical="center"/>
    </xf>
    <xf numFmtId="4" fontId="144" fillId="10" borderId="88" applyNumberFormat="0" applyProtection="0">
      <alignment vertical="center"/>
    </xf>
    <xf numFmtId="4" fontId="206" fillId="10" borderId="93" applyNumberFormat="0" applyProtection="0">
      <alignment vertical="center"/>
    </xf>
    <xf numFmtId="4" fontId="207" fillId="10" borderId="88" applyNumberFormat="0" applyProtection="0">
      <alignment vertical="center"/>
    </xf>
    <xf numFmtId="4" fontId="207" fillId="10" borderId="88" applyNumberFormat="0" applyProtection="0">
      <alignment vertical="center"/>
    </xf>
    <xf numFmtId="4" fontId="31" fillId="10" borderId="93" applyNumberFormat="0" applyProtection="0">
      <alignment horizontal="left" vertical="center" indent="1"/>
    </xf>
    <xf numFmtId="4" fontId="144" fillId="10" borderId="88" applyNumberFormat="0" applyProtection="0">
      <alignment horizontal="left" vertical="center" indent="1"/>
    </xf>
    <xf numFmtId="4" fontId="144" fillId="10" borderId="88" applyNumberFormat="0" applyProtection="0">
      <alignment horizontal="left" vertical="center" indent="1"/>
    </xf>
    <xf numFmtId="0" fontId="46" fillId="32" borderId="108" applyNumberFormat="0" applyProtection="0">
      <alignment horizontal="left" vertical="top" indent="1"/>
    </xf>
    <xf numFmtId="4" fontId="144" fillId="10" borderId="88" applyNumberFormat="0" applyProtection="0">
      <alignment horizontal="left" vertical="center" indent="1"/>
    </xf>
    <xf numFmtId="4" fontId="144" fillId="10" borderId="88" applyNumberFormat="0" applyProtection="0">
      <alignment horizontal="left" vertical="center" indent="1"/>
    </xf>
    <xf numFmtId="4" fontId="31" fillId="57" borderId="93" applyNumberFormat="0" applyProtection="0">
      <alignment horizontal="left" vertical="center" indent="1"/>
    </xf>
    <xf numFmtId="0" fontId="3" fillId="34" borderId="88" applyNumberFormat="0" applyProtection="0">
      <alignment horizontal="left" vertical="center" indent="1"/>
    </xf>
    <xf numFmtId="0" fontId="3" fillId="34" borderId="88" applyNumberFormat="0" applyProtection="0">
      <alignment horizontal="left" vertical="center" indent="1"/>
    </xf>
    <xf numFmtId="0" fontId="3" fillId="34" borderId="88" applyNumberFormat="0" applyProtection="0">
      <alignment horizontal="left" vertical="center" indent="1"/>
    </xf>
    <xf numFmtId="4" fontId="31" fillId="41" borderId="93" applyNumberFormat="0" applyProtection="0">
      <alignment horizontal="right" vertical="center"/>
    </xf>
    <xf numFmtId="4" fontId="144" fillId="98" borderId="88" applyNumberFormat="0" applyProtection="0">
      <alignment horizontal="right" vertical="center"/>
    </xf>
    <xf numFmtId="4" fontId="144" fillId="98" borderId="88" applyNumberFormat="0" applyProtection="0">
      <alignment horizontal="right" vertical="center"/>
    </xf>
    <xf numFmtId="4" fontId="31" fillId="22" borderId="93" applyNumberFormat="0" applyProtection="0">
      <alignment horizontal="right" vertical="center"/>
    </xf>
    <xf numFmtId="4" fontId="144" fillId="90" borderId="88" applyNumberFormat="0" applyProtection="0">
      <alignment horizontal="right" vertical="center"/>
    </xf>
    <xf numFmtId="4" fontId="144" fillId="90" borderId="88" applyNumberFormat="0" applyProtection="0">
      <alignment horizontal="right" vertical="center"/>
    </xf>
    <xf numFmtId="4" fontId="31" fillId="103" borderId="109" applyNumberFormat="0" applyProtection="0">
      <alignment horizontal="right" vertical="center"/>
    </xf>
    <xf numFmtId="4" fontId="144" fillId="104" borderId="88" applyNumberFormat="0" applyProtection="0">
      <alignment horizontal="right" vertical="center"/>
    </xf>
    <xf numFmtId="4" fontId="144" fillId="104" borderId="88" applyNumberFormat="0" applyProtection="0">
      <alignment horizontal="right" vertical="center"/>
    </xf>
    <xf numFmtId="4" fontId="31" fillId="105" borderId="93" applyNumberFormat="0" applyProtection="0">
      <alignment horizontal="right" vertical="center"/>
    </xf>
    <xf numFmtId="4" fontId="144" fillId="101" borderId="88" applyNumberFormat="0" applyProtection="0">
      <alignment horizontal="right" vertical="center"/>
    </xf>
    <xf numFmtId="4" fontId="144" fillId="101" borderId="88" applyNumberFormat="0" applyProtection="0">
      <alignment horizontal="right" vertical="center"/>
    </xf>
    <xf numFmtId="4" fontId="31" fillId="106" borderId="93" applyNumberFormat="0" applyProtection="0">
      <alignment horizontal="right" vertical="center"/>
    </xf>
    <xf numFmtId="4" fontId="144" fillId="107" borderId="88" applyNumberFormat="0" applyProtection="0">
      <alignment horizontal="right" vertical="center"/>
    </xf>
    <xf numFmtId="4" fontId="144" fillId="107" borderId="88" applyNumberFormat="0" applyProtection="0">
      <alignment horizontal="right" vertical="center"/>
    </xf>
    <xf numFmtId="4" fontId="31" fillId="108" borderId="93" applyNumberFormat="0" applyProtection="0">
      <alignment horizontal="right" vertical="center"/>
    </xf>
    <xf numFmtId="4" fontId="144" fillId="109" borderId="88" applyNumberFormat="0" applyProtection="0">
      <alignment horizontal="right" vertical="center"/>
    </xf>
    <xf numFmtId="4" fontId="144" fillId="109" borderId="88" applyNumberFormat="0" applyProtection="0">
      <alignment horizontal="right" vertical="center"/>
    </xf>
    <xf numFmtId="4" fontId="31" fillId="110" borderId="93" applyNumberFormat="0" applyProtection="0">
      <alignment horizontal="right" vertical="center"/>
    </xf>
    <xf numFmtId="4" fontId="144" fillId="111" borderId="88" applyNumberFormat="0" applyProtection="0">
      <alignment horizontal="right" vertical="center"/>
    </xf>
    <xf numFmtId="4" fontId="144" fillId="111" borderId="88" applyNumberFormat="0" applyProtection="0">
      <alignment horizontal="right" vertical="center"/>
    </xf>
    <xf numFmtId="4" fontId="31" fillId="112" borderId="93" applyNumberFormat="0" applyProtection="0">
      <alignment horizontal="right" vertical="center"/>
    </xf>
    <xf numFmtId="4" fontId="144" fillId="86" borderId="88" applyNumberFormat="0" applyProtection="0">
      <alignment horizontal="right" vertical="center"/>
    </xf>
    <xf numFmtId="4" fontId="144" fillId="86" borderId="88" applyNumberFormat="0" applyProtection="0">
      <alignment horizontal="right" vertical="center"/>
    </xf>
    <xf numFmtId="4" fontId="31" fillId="113" borderId="93" applyNumberFormat="0" applyProtection="0">
      <alignment horizontal="right" vertical="center"/>
    </xf>
    <xf numFmtId="4" fontId="144" fillId="40" borderId="88" applyNumberFormat="0" applyProtection="0">
      <alignment horizontal="right" vertical="center"/>
    </xf>
    <xf numFmtId="4" fontId="144" fillId="40" borderId="88" applyNumberFormat="0" applyProtection="0">
      <alignment horizontal="right" vertical="center"/>
    </xf>
    <xf numFmtId="4" fontId="31" fillId="114" borderId="109" applyNumberFormat="0" applyProtection="0">
      <alignment horizontal="left" vertical="center" indent="1"/>
    </xf>
    <xf numFmtId="4" fontId="62" fillId="115" borderId="88" applyNumberFormat="0" applyProtection="0">
      <alignment horizontal="left" vertical="center" indent="1"/>
    </xf>
    <xf numFmtId="4" fontId="62" fillId="115" borderId="88" applyNumberFormat="0" applyProtection="0">
      <alignment horizontal="left" vertical="center" indent="1"/>
    </xf>
    <xf numFmtId="4" fontId="3" fillId="77" borderId="109" applyNumberFormat="0" applyProtection="0">
      <alignment horizontal="left" vertical="center" indent="1"/>
    </xf>
    <xf numFmtId="4" fontId="144" fillId="82" borderId="110" applyNumberFormat="0" applyProtection="0">
      <alignment horizontal="left" vertical="center" indent="1"/>
    </xf>
    <xf numFmtId="4" fontId="144" fillId="82" borderId="110" applyNumberFormat="0" applyProtection="0">
      <alignment horizontal="left" vertical="center" indent="1"/>
    </xf>
    <xf numFmtId="4" fontId="3" fillId="77" borderId="109" applyNumberFormat="0" applyProtection="0">
      <alignment horizontal="left" vertical="center" indent="1"/>
    </xf>
    <xf numFmtId="4" fontId="80" fillId="116" borderId="0" applyNumberFormat="0" applyProtection="0">
      <alignment horizontal="left" vertical="center" indent="1"/>
    </xf>
    <xf numFmtId="4" fontId="80" fillId="116" borderId="0" applyNumberFormat="0" applyProtection="0">
      <alignment horizontal="left" vertical="center" indent="1"/>
    </xf>
    <xf numFmtId="4" fontId="31" fillId="117" borderId="93" applyNumberFormat="0" applyProtection="0">
      <alignment horizontal="right" vertical="center"/>
    </xf>
    <xf numFmtId="0" fontId="3" fillId="34" borderId="88" applyNumberFormat="0" applyProtection="0">
      <alignment horizontal="left" vertical="center" indent="1"/>
    </xf>
    <xf numFmtId="0" fontId="3" fillId="34" borderId="88" applyNumberFormat="0" applyProtection="0">
      <alignment horizontal="left" vertical="center" indent="1"/>
    </xf>
    <xf numFmtId="4" fontId="31" fillId="118" borderId="109" applyNumberFormat="0" applyProtection="0">
      <alignment horizontal="left" vertical="center" indent="1"/>
    </xf>
    <xf numFmtId="4" fontId="144" fillId="82" borderId="88" applyNumberFormat="0" applyProtection="0">
      <alignment horizontal="left" vertical="center" indent="1"/>
    </xf>
    <xf numFmtId="4" fontId="144" fillId="82" borderId="88" applyNumberFormat="0" applyProtection="0">
      <alignment horizontal="left" vertical="center" indent="1"/>
    </xf>
    <xf numFmtId="4" fontId="31" fillId="117" borderId="109" applyNumberFormat="0" applyProtection="0">
      <alignment horizontal="left" vertical="center" indent="1"/>
    </xf>
    <xf numFmtId="4" fontId="144" fillId="119" borderId="88" applyNumberFormat="0" applyProtection="0">
      <alignment horizontal="left" vertical="center" indent="1"/>
    </xf>
    <xf numFmtId="4" fontId="144" fillId="119" borderId="88" applyNumberFormat="0" applyProtection="0">
      <alignment horizontal="left" vertical="center" indent="1"/>
    </xf>
    <xf numFmtId="0" fontId="31" fillId="42" borderId="93" applyNumberFormat="0" applyProtection="0">
      <alignment horizontal="left" vertical="center" indent="1"/>
    </xf>
    <xf numFmtId="0" fontId="3" fillId="119" borderId="88" applyNumberFormat="0" applyProtection="0">
      <alignment horizontal="left" vertical="center" indent="1"/>
    </xf>
    <xf numFmtId="0" fontId="3" fillId="119" borderId="88" applyNumberFormat="0" applyProtection="0">
      <alignment horizontal="left" vertical="center" indent="1"/>
    </xf>
    <xf numFmtId="0" fontId="31" fillId="77" borderId="108" applyNumberFormat="0" applyProtection="0">
      <alignment horizontal="left" vertical="top" indent="1"/>
    </xf>
    <xf numFmtId="0" fontId="3" fillId="119" borderId="88" applyNumberFormat="0" applyProtection="0">
      <alignment horizontal="left" vertical="center" indent="1"/>
    </xf>
    <xf numFmtId="0" fontId="3" fillId="119" borderId="88" applyNumberFormat="0" applyProtection="0">
      <alignment horizontal="left" vertical="center" indent="1"/>
    </xf>
    <xf numFmtId="0" fontId="31" fillId="120" borderId="93" applyNumberFormat="0" applyProtection="0">
      <alignment horizontal="left" vertical="center" indent="1"/>
    </xf>
    <xf numFmtId="0" fontId="3" fillId="121" borderId="88" applyNumberFormat="0" applyProtection="0">
      <alignment horizontal="left" vertical="center" indent="1"/>
    </xf>
    <xf numFmtId="0" fontId="3" fillId="121" borderId="88" applyNumberFormat="0" applyProtection="0">
      <alignment horizontal="left" vertical="center" indent="1"/>
    </xf>
    <xf numFmtId="0" fontId="31" fillId="117" borderId="108" applyNumberFormat="0" applyProtection="0">
      <alignment horizontal="left" vertical="top" indent="1"/>
    </xf>
    <xf numFmtId="0" fontId="3" fillId="121" borderId="88" applyNumberFormat="0" applyProtection="0">
      <alignment horizontal="left" vertical="center" indent="1"/>
    </xf>
    <xf numFmtId="0" fontId="3" fillId="121" borderId="88" applyNumberFormat="0" applyProtection="0">
      <alignment horizontal="left" vertical="center" indent="1"/>
    </xf>
    <xf numFmtId="0" fontId="31" fillId="122" borderId="93" applyNumberFormat="0" applyProtection="0">
      <alignment horizontal="left" vertical="center" indent="1"/>
    </xf>
    <xf numFmtId="0" fontId="3" fillId="19" borderId="88" applyNumberFormat="0" applyProtection="0">
      <alignment horizontal="left" vertical="center" indent="1"/>
    </xf>
    <xf numFmtId="0" fontId="3" fillId="19" borderId="88" applyNumberFormat="0" applyProtection="0">
      <alignment horizontal="left" vertical="center" indent="1"/>
    </xf>
    <xf numFmtId="0" fontId="31" fillId="122" borderId="108" applyNumberFormat="0" applyProtection="0">
      <alignment horizontal="left" vertical="top" indent="1"/>
    </xf>
    <xf numFmtId="0" fontId="3" fillId="19" borderId="88" applyNumberFormat="0" applyProtection="0">
      <alignment horizontal="left" vertical="center" indent="1"/>
    </xf>
    <xf numFmtId="0" fontId="3" fillId="19" borderId="88" applyNumberFormat="0" applyProtection="0">
      <alignment horizontal="left" vertical="center" indent="1"/>
    </xf>
    <xf numFmtId="0" fontId="31" fillId="118" borderId="93" applyNumberFormat="0" applyProtection="0">
      <alignment horizontal="left" vertical="center" indent="1"/>
    </xf>
    <xf numFmtId="0" fontId="3" fillId="15" borderId="108" applyNumberFormat="0" applyProtection="0">
      <alignment horizontal="left" vertical="center" indent="1"/>
    </xf>
    <xf numFmtId="0" fontId="3" fillId="15" borderId="108" applyNumberFormat="0" applyProtection="0">
      <alignment horizontal="left" vertical="center" indent="1"/>
    </xf>
    <xf numFmtId="0" fontId="3" fillId="15" borderId="108" applyNumberFormat="0" applyProtection="0">
      <alignment horizontal="left" vertical="center" indent="1"/>
    </xf>
    <xf numFmtId="0" fontId="3" fillId="34" borderId="88" applyNumberFormat="0" applyProtection="0">
      <alignment horizontal="left" vertical="center" indent="1"/>
    </xf>
    <xf numFmtId="0" fontId="3" fillId="15" borderId="108" applyNumberFormat="0" applyProtection="0">
      <alignment horizontal="left" vertical="center" indent="1"/>
    </xf>
    <xf numFmtId="0" fontId="31" fillId="118" borderId="108" applyNumberFormat="0" applyProtection="0">
      <alignment horizontal="left" vertical="top" indent="1"/>
    </xf>
    <xf numFmtId="0" fontId="3" fillId="34" borderId="88" applyNumberFormat="0" applyProtection="0">
      <alignment horizontal="left" vertical="center" indent="1"/>
    </xf>
    <xf numFmtId="0" fontId="3" fillId="34" borderId="88" applyNumberFormat="0" applyProtection="0">
      <alignment horizontal="left" vertical="center" indent="1"/>
    </xf>
    <xf numFmtId="0" fontId="31" fillId="23" borderId="111" applyNumberFormat="0">
      <protection locked="0"/>
    </xf>
    <xf numFmtId="0" fontId="3" fillId="23" borderId="3" applyNumberFormat="0">
      <protection locked="0"/>
    </xf>
    <xf numFmtId="0" fontId="3" fillId="23" borderId="3" applyNumberFormat="0">
      <protection locked="0"/>
    </xf>
    <xf numFmtId="0" fontId="87" fillId="77" borderId="112" applyBorder="0"/>
    <xf numFmtId="4" fontId="82" fillId="45" borderId="108" applyNumberFormat="0" applyProtection="0">
      <alignment vertical="center"/>
    </xf>
    <xf numFmtId="4" fontId="144" fillId="25" borderId="88" applyNumberFormat="0" applyProtection="0">
      <alignment vertical="center"/>
    </xf>
    <xf numFmtId="4" fontId="144" fillId="25" borderId="88" applyNumberFormat="0" applyProtection="0">
      <alignment vertical="center"/>
    </xf>
    <xf numFmtId="4" fontId="206" fillId="25" borderId="3" applyNumberFormat="0" applyProtection="0">
      <alignment vertical="center"/>
    </xf>
    <xf numFmtId="4" fontId="207" fillId="25" borderId="88" applyNumberFormat="0" applyProtection="0">
      <alignment vertical="center"/>
    </xf>
    <xf numFmtId="4" fontId="207" fillId="25" borderId="88" applyNumberFormat="0" applyProtection="0">
      <alignment vertical="center"/>
    </xf>
    <xf numFmtId="4" fontId="82" fillId="42" borderId="108" applyNumberFormat="0" applyProtection="0">
      <alignment horizontal="left" vertical="center" indent="1"/>
    </xf>
    <xf numFmtId="4" fontId="144" fillId="25" borderId="88" applyNumberFormat="0" applyProtection="0">
      <alignment horizontal="left" vertical="center" indent="1"/>
    </xf>
    <xf numFmtId="4" fontId="144" fillId="25" borderId="88" applyNumberFormat="0" applyProtection="0">
      <alignment horizontal="left" vertical="center" indent="1"/>
    </xf>
    <xf numFmtId="0" fontId="82" fillId="45" borderId="108" applyNumberFormat="0" applyProtection="0">
      <alignment horizontal="left" vertical="top" indent="1"/>
    </xf>
    <xf numFmtId="4" fontId="144" fillId="25" borderId="88" applyNumberFormat="0" applyProtection="0">
      <alignment horizontal="left" vertical="center" indent="1"/>
    </xf>
    <xf numFmtId="4" fontId="144" fillId="25" borderId="88" applyNumberFormat="0" applyProtection="0">
      <alignment horizontal="left" vertical="center" indent="1"/>
    </xf>
    <xf numFmtId="4" fontId="31" fillId="0" borderId="93" applyNumberFormat="0" applyProtection="0">
      <alignment horizontal="right" vertical="center"/>
    </xf>
    <xf numFmtId="4" fontId="144" fillId="82" borderId="88" applyNumberFormat="0" applyProtection="0">
      <alignment horizontal="right" vertical="center"/>
    </xf>
    <xf numFmtId="4" fontId="144" fillId="82" borderId="88" applyNumberFormat="0" applyProtection="0">
      <alignment horizontal="right" vertical="center"/>
    </xf>
    <xf numFmtId="4" fontId="206" fillId="20" borderId="93" applyNumberFormat="0" applyProtection="0">
      <alignment horizontal="right" vertical="center"/>
    </xf>
    <xf numFmtId="4" fontId="207" fillId="82" borderId="88" applyNumberFormat="0" applyProtection="0">
      <alignment horizontal="right" vertical="center"/>
    </xf>
    <xf numFmtId="4" fontId="207" fillId="82" borderId="88" applyNumberFormat="0" applyProtection="0">
      <alignment horizontal="right" vertical="center"/>
    </xf>
    <xf numFmtId="4" fontId="31" fillId="57" borderId="93" applyNumberFormat="0" applyProtection="0">
      <alignment horizontal="left" vertical="center" indent="1"/>
    </xf>
    <xf numFmtId="0" fontId="3" fillId="34" borderId="88" applyNumberFormat="0" applyProtection="0">
      <alignment horizontal="left" vertical="center" indent="1"/>
    </xf>
    <xf numFmtId="0" fontId="3" fillId="34" borderId="88" applyNumberFormat="0" applyProtection="0">
      <alignment horizontal="left" vertical="center" indent="1"/>
    </xf>
    <xf numFmtId="4" fontId="144" fillId="117" borderId="108" applyNumberFormat="0" applyProtection="0">
      <alignment horizontal="left" vertical="center" indent="1"/>
    </xf>
    <xf numFmtId="0" fontId="3" fillId="34" borderId="88" applyNumberFormat="0" applyProtection="0">
      <alignment horizontal="left" vertical="center" indent="1"/>
    </xf>
    <xf numFmtId="0" fontId="82" fillId="117" borderId="108" applyNumberFormat="0" applyProtection="0">
      <alignment horizontal="left" vertical="top" indent="1"/>
    </xf>
    <xf numFmtId="0" fontId="3" fillId="34" borderId="88" applyNumberFormat="0" applyProtection="0">
      <alignment horizontal="left" vertical="center" indent="1"/>
    </xf>
    <xf numFmtId="0" fontId="3" fillId="34" borderId="88" applyNumberFormat="0" applyProtection="0">
      <alignment horizontal="left" vertical="center" indent="1"/>
    </xf>
    <xf numFmtId="4" fontId="208" fillId="26" borderId="109" applyNumberFormat="0" applyProtection="0">
      <alignment horizontal="left" vertical="center" indent="1"/>
    </xf>
    <xf numFmtId="0" fontId="209" fillId="0" borderId="0"/>
    <xf numFmtId="0" fontId="209" fillId="0" borderId="0"/>
    <xf numFmtId="0" fontId="31" fillId="123" borderId="3"/>
    <xf numFmtId="0" fontId="31" fillId="123" borderId="3"/>
    <xf numFmtId="4" fontId="210" fillId="23" borderId="93" applyNumberFormat="0" applyProtection="0">
      <alignment horizontal="right" vertical="center"/>
    </xf>
    <xf numFmtId="4" fontId="109" fillId="82" borderId="88" applyNumberFormat="0" applyProtection="0">
      <alignment horizontal="right" vertical="center"/>
    </xf>
    <xf numFmtId="4" fontId="109" fillId="82" borderId="88" applyNumberFormat="0" applyProtection="0">
      <alignment horizontal="right" vertical="center"/>
    </xf>
    <xf numFmtId="0" fontId="211" fillId="0" borderId="0" applyNumberFormat="0" applyFill="0" applyBorder="0" applyAlignment="0" applyProtection="0"/>
    <xf numFmtId="3" fontId="31" fillId="0" borderId="0"/>
    <xf numFmtId="1" fontId="67" fillId="0" borderId="0" applyBorder="0">
      <alignment horizontal="left" vertical="top" wrapText="1"/>
    </xf>
    <xf numFmtId="0" fontId="1" fillId="0" borderId="0"/>
    <xf numFmtId="0" fontId="31" fillId="0" borderId="0"/>
    <xf numFmtId="0" fontId="212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5" fillId="0" borderId="0"/>
    <xf numFmtId="185" fontId="67" fillId="23" borderId="0"/>
    <xf numFmtId="185" fontId="67" fillId="23" borderId="0"/>
    <xf numFmtId="185" fontId="67" fillId="23" borderId="0"/>
    <xf numFmtId="185" fontId="67" fillId="23" borderId="0"/>
    <xf numFmtId="0" fontId="3" fillId="0" borderId="0"/>
    <xf numFmtId="0" fontId="3" fillId="0" borderId="0"/>
    <xf numFmtId="0" fontId="3" fillId="0" borderId="0"/>
    <xf numFmtId="254" fontId="3" fillId="0" borderId="0"/>
    <xf numFmtId="0" fontId="33" fillId="0" borderId="0"/>
    <xf numFmtId="0" fontId="188" fillId="0" borderId="0"/>
    <xf numFmtId="217" fontId="7" fillId="0" borderId="0" applyNumberFormat="0" applyFill="0" applyBorder="0" applyAlignment="0">
      <protection hidden="1"/>
    </xf>
    <xf numFmtId="217" fontId="7" fillId="0" borderId="0" applyNumberFormat="0" applyFill="0" applyBorder="0" applyAlignment="0">
      <protection hidden="1"/>
    </xf>
    <xf numFmtId="217" fontId="7" fillId="0" borderId="70" applyNumberFormat="0" applyFill="0" applyAlignment="0">
      <protection hidden="1"/>
    </xf>
    <xf numFmtId="217" fontId="7" fillId="0" borderId="70" applyNumberFormat="0" applyFill="0" applyAlignment="0">
      <protection hidden="1"/>
    </xf>
    <xf numFmtId="217" fontId="7" fillId="0" borderId="5" applyNumberFormat="0" applyFill="0" applyAlignment="0">
      <protection hidden="1"/>
    </xf>
    <xf numFmtId="217" fontId="7" fillId="0" borderId="5" applyNumberFormat="0" applyFill="0" applyAlignment="0">
      <protection hidden="1"/>
    </xf>
    <xf numFmtId="217" fontId="7" fillId="0" borderId="97" applyNumberFormat="0" applyFill="0" applyAlignment="0">
      <protection hidden="1"/>
    </xf>
    <xf numFmtId="217" fontId="7" fillId="0" borderId="97" applyNumberFormat="0" applyFill="0" applyAlignment="0">
      <protection hidden="1"/>
    </xf>
    <xf numFmtId="217" fontId="3" fillId="0" borderId="0">
      <protection hidden="1"/>
    </xf>
    <xf numFmtId="217" fontId="3" fillId="0" borderId="0">
      <protection hidden="1"/>
    </xf>
    <xf numFmtId="182" fontId="90" fillId="0" borderId="1" applyBorder="0" applyProtection="0">
      <alignment horizontal="right" vertical="center"/>
    </xf>
    <xf numFmtId="0" fontId="91" fillId="36" borderId="1" applyBorder="0" applyProtection="0">
      <alignment horizontal="centerContinuous" vertical="center"/>
    </xf>
    <xf numFmtId="0" fontId="54" fillId="0" borderId="12" applyFill="0" applyBorder="0" applyProtection="0">
      <alignment horizontal="left" vertical="top"/>
    </xf>
    <xf numFmtId="0" fontId="3" fillId="0" borderId="0"/>
    <xf numFmtId="0" fontId="3" fillId="0" borderId="0"/>
    <xf numFmtId="217" fontId="5" fillId="0" borderId="0" applyNumberFormat="0" applyFont="0" applyFill="0" applyBorder="0">
      <protection hidden="1"/>
    </xf>
    <xf numFmtId="217" fontId="5" fillId="0" borderId="0" applyNumberFormat="0" applyFont="0" applyFill="0" applyBorder="0">
      <alignment horizontal="left" indent="1"/>
      <protection hidden="1"/>
    </xf>
    <xf numFmtId="217" fontId="5" fillId="0" borderId="0" applyNumberFormat="0" applyFont="0" applyFill="0" applyBorder="0">
      <alignment horizontal="left" indent="2"/>
      <protection hidden="1"/>
    </xf>
    <xf numFmtId="217" fontId="5" fillId="0" borderId="0" applyNumberFormat="0" applyFont="0" applyFill="0" applyBorder="0">
      <alignment horizontal="left" indent="3"/>
      <protection hidden="1"/>
    </xf>
    <xf numFmtId="49" fontId="144" fillId="0" borderId="0" applyFill="0" applyBorder="0" applyAlignment="0"/>
    <xf numFmtId="287" fontId="144" fillId="0" borderId="0" applyFill="0" applyBorder="0" applyAlignment="0"/>
    <xf numFmtId="288" fontId="144" fillId="0" borderId="0" applyFill="0" applyBorder="0" applyAlignment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289" fontId="7" fillId="0" borderId="5" applyFont="0" applyFill="0" applyBorder="0" applyAlignment="0">
      <protection hidden="1"/>
    </xf>
    <xf numFmtId="289" fontId="7" fillId="0" borderId="5" applyFont="0" applyFill="0" applyBorder="0" applyAlignment="0">
      <protection hidden="1"/>
    </xf>
    <xf numFmtId="187" fontId="213" fillId="124" borderId="0" applyNumberFormat="0">
      <alignment vertical="center"/>
    </xf>
    <xf numFmtId="187" fontId="214" fillId="34" borderId="0" applyNumberFormat="0">
      <alignment vertical="center"/>
    </xf>
    <xf numFmtId="187" fontId="215" fillId="0" borderId="0" applyNumberFormat="0">
      <alignment vertical="center"/>
    </xf>
    <xf numFmtId="187" fontId="11" fillId="0" borderId="0" applyNumberFormat="0">
      <alignment vertical="center"/>
    </xf>
    <xf numFmtId="1" fontId="7" fillId="0" borderId="20" applyNumberFormat="0" applyProtection="0">
      <alignment horizontal="left" vertical="center"/>
    </xf>
    <xf numFmtId="1" fontId="7" fillId="0" borderId="20" applyNumberFormat="0" applyProtection="0">
      <alignment horizontal="left" vertical="center"/>
    </xf>
    <xf numFmtId="0" fontId="126" fillId="0" borderId="113" applyNumberFormat="0" applyFill="0" applyAlignment="0" applyProtection="0"/>
    <xf numFmtId="3" fontId="43" fillId="0" borderId="1" applyNumberFormat="0"/>
    <xf numFmtId="14" fontId="3" fillId="19" borderId="114" applyFont="0" applyFill="0" applyBorder="0" applyAlignment="0" applyProtection="0">
      <alignment horizontal="center" vertical="top" wrapText="1"/>
    </xf>
    <xf numFmtId="290" fontId="3" fillId="0" borderId="0" applyFont="0" applyFill="0" applyBorder="0" applyAlignment="0">
      <protection hidden="1"/>
    </xf>
    <xf numFmtId="290" fontId="3" fillId="0" borderId="0" applyFont="0" applyFill="0" applyBorder="0" applyAlignment="0">
      <protection hidden="1"/>
    </xf>
    <xf numFmtId="263" fontId="216" fillId="0" borderId="0">
      <alignment horizontal="left" vertical="center"/>
    </xf>
    <xf numFmtId="0" fontId="217" fillId="0" borderId="0">
      <alignment vertical="center"/>
    </xf>
    <xf numFmtId="263" fontId="218" fillId="0" borderId="0">
      <alignment horizontal="left" vertical="center"/>
    </xf>
    <xf numFmtId="192" fontId="219" fillId="0" borderId="0">
      <alignment horizontal="left" vertical="center"/>
    </xf>
    <xf numFmtId="0" fontId="197" fillId="0" borderId="0"/>
    <xf numFmtId="291" fontId="5" fillId="0" borderId="0" applyFont="0" applyFill="0" applyBorder="0" applyAlignment="0">
      <protection hidden="1"/>
    </xf>
    <xf numFmtId="292" fontId="5" fillId="0" borderId="0" applyFont="0" applyFill="0" applyBorder="0" applyAlignment="0">
      <protection hidden="1"/>
    </xf>
    <xf numFmtId="37" fontId="3" fillId="0" borderId="0" applyFont="0" applyFill="0" applyBorder="0" applyAlignment="0" applyProtection="0"/>
    <xf numFmtId="235" fontId="31" fillId="0" borderId="0" applyFont="0" applyFill="0" applyBorder="0" applyAlignment="0" applyProtection="0"/>
    <xf numFmtId="44" fontId="61" fillId="0" borderId="0" applyFont="0" applyFill="0" applyBorder="0" applyAlignment="0" applyProtection="0"/>
    <xf numFmtId="235" fontId="3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3" fillId="0" borderId="0" applyNumberFormat="0">
      <alignment horizontal="center" textRotation="90"/>
    </xf>
    <xf numFmtId="0" fontId="3" fillId="0" borderId="0" applyNumberFormat="0">
      <alignment horizontal="center" textRotation="90"/>
    </xf>
    <xf numFmtId="0" fontId="3" fillId="0" borderId="0" applyNumberFormat="0">
      <alignment horizontal="center" textRotation="90"/>
    </xf>
    <xf numFmtId="0" fontId="3" fillId="0" borderId="0" applyNumberFormat="0">
      <alignment horizontal="center" textRotation="90"/>
    </xf>
    <xf numFmtId="293" fontId="35" fillId="0" borderId="0" applyFont="0" applyFill="0" applyBorder="0" applyAlignment="0" applyProtection="0"/>
    <xf numFmtId="294" fontId="35" fillId="0" borderId="0" applyFont="0" applyFill="0" applyBorder="0" applyAlignment="0" applyProtection="0"/>
    <xf numFmtId="0" fontId="220" fillId="0" borderId="0" applyNumberFormat="0" applyFill="0" applyBorder="0" applyAlignment="0" applyProtection="0"/>
    <xf numFmtId="0" fontId="140" fillId="0" borderId="0" applyNumberFormat="0" applyFont="0" applyFill="0" applyBorder="0" applyProtection="0">
      <alignment horizontal="center" vertical="center" wrapText="1"/>
    </xf>
    <xf numFmtId="217" fontId="3" fillId="0" borderId="0" applyNumberFormat="0" applyFont="0" applyFill="0" applyBorder="0">
      <alignment wrapText="1"/>
      <protection hidden="1"/>
    </xf>
    <xf numFmtId="217" fontId="3" fillId="0" borderId="0" applyNumberFormat="0" applyFont="0" applyFill="0" applyBorder="0">
      <alignment wrapText="1"/>
      <protection hidden="1"/>
    </xf>
    <xf numFmtId="295" fontId="7" fillId="0" borderId="16">
      <protection hidden="1"/>
    </xf>
    <xf numFmtId="295" fontId="7" fillId="0" borderId="16">
      <protection hidden="1"/>
    </xf>
    <xf numFmtId="296" fontId="7" fillId="0" borderId="16">
      <protection hidden="1"/>
    </xf>
    <xf numFmtId="296" fontId="7" fillId="0" borderId="16">
      <protection hidden="1"/>
    </xf>
    <xf numFmtId="200" fontId="95" fillId="0" borderId="1" applyBorder="0" applyProtection="0">
      <alignment horizontal="right"/>
    </xf>
    <xf numFmtId="200" fontId="95" fillId="0" borderId="1" applyBorder="0" applyProtection="0">
      <alignment horizontal="right"/>
    </xf>
    <xf numFmtId="200" fontId="95" fillId="0" borderId="1" applyBorder="0" applyProtection="0">
      <alignment horizontal="right"/>
    </xf>
    <xf numFmtId="200" fontId="95" fillId="0" borderId="1" applyBorder="0" applyProtection="0">
      <alignment horizontal="right"/>
    </xf>
    <xf numFmtId="1" fontId="221" fillId="0" borderId="0"/>
    <xf numFmtId="0" fontId="7" fillId="0" borderId="16">
      <protection hidden="1"/>
    </xf>
    <xf numFmtId="297" fontId="3" fillId="0" borderId="0" applyFont="0" applyFill="0" applyBorder="0" applyAlignment="0">
      <protection hidden="1"/>
    </xf>
    <xf numFmtId="297" fontId="3" fillId="0" borderId="0" applyFont="0" applyFill="0" applyBorder="0" applyAlignment="0">
      <protection hidden="1"/>
    </xf>
    <xf numFmtId="298" fontId="3" fillId="0" borderId="0" applyFont="0" applyFill="0" applyBorder="0" applyAlignment="0">
      <protection hidden="1"/>
    </xf>
    <xf numFmtId="298" fontId="3" fillId="0" borderId="0" applyFont="0" applyFill="0" applyBorder="0" applyAlignment="0">
      <protection hidden="1"/>
    </xf>
    <xf numFmtId="4" fontId="31" fillId="25" borderId="21"/>
    <xf numFmtId="4" fontId="31" fillId="25" borderId="21"/>
    <xf numFmtId="41" fontId="3" fillId="0" borderId="0" applyFont="0" applyFill="0" applyBorder="0" applyAlignment="0" applyProtection="0"/>
    <xf numFmtId="0" fontId="222" fillId="0" borderId="0"/>
    <xf numFmtId="2" fontId="41" fillId="21" borderId="12">
      <alignment horizontal="left" vertical="center"/>
    </xf>
    <xf numFmtId="2" fontId="41" fillId="21" borderId="12">
      <alignment horizontal="left" vertical="center"/>
    </xf>
    <xf numFmtId="2" fontId="41" fillId="21" borderId="12">
      <alignment horizontal="left" vertical="center"/>
    </xf>
    <xf numFmtId="2" fontId="41" fillId="21" borderId="12">
      <alignment horizontal="left" vertical="center"/>
    </xf>
    <xf numFmtId="166" fontId="1" fillId="0" borderId="0" applyFont="0" applyFill="0" applyBorder="0" applyAlignment="0" applyProtection="0"/>
    <xf numFmtId="299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54" fillId="0" borderId="12" applyFill="0" applyBorder="0" applyProtection="0">
      <alignment horizontal="left" vertical="top"/>
    </xf>
    <xf numFmtId="0" fontId="54" fillId="0" borderId="12" applyFill="0" applyBorder="0" applyProtection="0">
      <alignment horizontal="left" vertical="top"/>
    </xf>
    <xf numFmtId="0" fontId="54" fillId="0" borderId="12" applyFill="0" applyBorder="0" applyProtection="0">
      <alignment horizontal="left" vertical="top"/>
    </xf>
    <xf numFmtId="0" fontId="54" fillId="0" borderId="12" applyFill="0" applyBorder="0" applyProtection="0">
      <alignment horizontal="left" vertical="top"/>
    </xf>
  </cellStyleXfs>
  <cellXfs count="643">
    <xf numFmtId="0" fontId="0" fillId="0" borderId="0" xfId="0"/>
    <xf numFmtId="0" fontId="3" fillId="2" borderId="0" xfId="0" applyFont="1" applyFill="1" applyBorder="1"/>
    <xf numFmtId="0" fontId="3" fillId="2" borderId="0" xfId="2" applyFont="1" applyFill="1" applyBorder="1"/>
    <xf numFmtId="49" fontId="3" fillId="2" borderId="0" xfId="0" applyNumberFormat="1" applyFont="1" applyFill="1" applyBorder="1"/>
    <xf numFmtId="0" fontId="4" fillId="2" borderId="0" xfId="0" applyFont="1" applyFill="1" applyBorder="1"/>
    <xf numFmtId="0" fontId="5" fillId="0" borderId="0" xfId="0" applyFont="1" applyFill="1" applyBorder="1"/>
    <xf numFmtId="0" fontId="0" fillId="3" borderId="0" xfId="0" applyFill="1"/>
    <xf numFmtId="0" fontId="6" fillId="2" borderId="0" xfId="2" applyFont="1" applyFill="1" applyBorder="1"/>
    <xf numFmtId="0" fontId="7" fillId="2" borderId="0" xfId="0" applyFont="1" applyFill="1" applyBorder="1"/>
    <xf numFmtId="0" fontId="6" fillId="2" borderId="0" xfId="0" applyFont="1" applyFill="1" applyBorder="1" applyAlignment="1">
      <alignment horizontal="left"/>
    </xf>
    <xf numFmtId="0" fontId="6" fillId="2" borderId="0" xfId="0" applyFont="1" applyFill="1" applyBorder="1"/>
    <xf numFmtId="0" fontId="3" fillId="2" borderId="1" xfId="0" applyFont="1" applyFill="1" applyBorder="1"/>
    <xf numFmtId="0" fontId="3" fillId="2" borderId="1" xfId="2" applyFont="1" applyFill="1" applyBorder="1"/>
    <xf numFmtId="49" fontId="3" fillId="2" borderId="1" xfId="0" applyNumberFormat="1" applyFont="1" applyFill="1" applyBorder="1"/>
    <xf numFmtId="0" fontId="4" fillId="2" borderId="1" xfId="0" applyFont="1" applyFill="1" applyBorder="1"/>
    <xf numFmtId="0" fontId="9" fillId="5" borderId="0" xfId="2" applyFont="1" applyFill="1" applyBorder="1"/>
    <xf numFmtId="0" fontId="9" fillId="5" borderId="0" xfId="3" applyFont="1" applyFill="1" applyBorder="1"/>
    <xf numFmtId="44" fontId="9" fillId="5" borderId="0" xfId="4" applyFont="1" applyFill="1" applyBorder="1"/>
    <xf numFmtId="0" fontId="3" fillId="0" borderId="0" xfId="0" applyFont="1" applyFill="1" applyBorder="1"/>
    <xf numFmtId="0" fontId="3" fillId="5" borderId="0" xfId="2" applyFont="1" applyFill="1" applyBorder="1"/>
    <xf numFmtId="0" fontId="7" fillId="0" borderId="0" xfId="3" applyFont="1" applyFill="1" applyBorder="1"/>
    <xf numFmtId="0" fontId="7" fillId="6" borderId="2" xfId="3" applyFont="1" applyFill="1" applyBorder="1"/>
    <xf numFmtId="0" fontId="3" fillId="0" borderId="3" xfId="0" applyFont="1" applyFill="1" applyBorder="1"/>
    <xf numFmtId="0" fontId="3" fillId="6" borderId="2" xfId="3" applyFont="1" applyFill="1" applyBorder="1"/>
    <xf numFmtId="0" fontId="4" fillId="0" borderId="3" xfId="0" applyFont="1" applyFill="1" applyBorder="1"/>
    <xf numFmtId="0" fontId="10" fillId="0" borderId="0" xfId="0" applyFont="1" applyFill="1" applyBorder="1"/>
    <xf numFmtId="44" fontId="9" fillId="5" borderId="4" xfId="4" applyFont="1" applyFill="1" applyBorder="1"/>
    <xf numFmtId="0" fontId="5" fillId="5" borderId="0" xfId="2" applyFont="1" applyFill="1" applyBorder="1"/>
    <xf numFmtId="0" fontId="3" fillId="0" borderId="2" xfId="3" applyFont="1" applyFill="1" applyBorder="1"/>
    <xf numFmtId="0" fontId="3" fillId="0" borderId="0" xfId="3" applyFont="1" applyFill="1" applyBorder="1"/>
    <xf numFmtId="0" fontId="4" fillId="0" borderId="0" xfId="0" applyFont="1" applyFill="1" applyBorder="1"/>
    <xf numFmtId="0" fontId="11" fillId="0" borderId="0" xfId="0" applyFont="1" applyFill="1" applyBorder="1"/>
    <xf numFmtId="0" fontId="3" fillId="0" borderId="5" xfId="0" applyFont="1" applyFill="1" applyBorder="1"/>
    <xf numFmtId="0" fontId="4" fillId="0" borderId="5" xfId="0" applyFont="1" applyFill="1" applyBorder="1"/>
    <xf numFmtId="0" fontId="3" fillId="0" borderId="4" xfId="0" applyFont="1" applyFill="1" applyBorder="1"/>
    <xf numFmtId="1" fontId="7" fillId="0" borderId="3" xfId="6" applyNumberFormat="1" applyFont="1" applyFill="1" applyBorder="1" applyAlignment="1">
      <alignment horizontal="center" vertical="center"/>
    </xf>
    <xf numFmtId="1" fontId="7" fillId="0" borderId="3" xfId="6" quotePrefix="1" applyNumberFormat="1" applyFont="1" applyFill="1" applyBorder="1" applyAlignment="1">
      <alignment horizontal="center" vertical="center"/>
    </xf>
    <xf numFmtId="0" fontId="4" fillId="6" borderId="2" xfId="3" applyFont="1" applyFill="1" applyBorder="1"/>
    <xf numFmtId="0" fontId="3" fillId="0" borderId="0" xfId="2" applyFont="1" applyFill="1" applyBorder="1"/>
    <xf numFmtId="0" fontId="3" fillId="0" borderId="0" xfId="7" applyFont="1" applyFill="1" applyBorder="1"/>
    <xf numFmtId="0" fontId="13" fillId="0" borderId="3" xfId="7" applyFont="1" applyFill="1" applyBorder="1"/>
    <xf numFmtId="0" fontId="4" fillId="0" borderId="3" xfId="7" applyFont="1" applyFill="1" applyBorder="1"/>
    <xf numFmtId="0" fontId="3" fillId="0" borderId="3" xfId="7" applyFont="1" applyFill="1" applyBorder="1"/>
    <xf numFmtId="0" fontId="14" fillId="0" borderId="3" xfId="7" applyFont="1" applyFill="1" applyBorder="1"/>
    <xf numFmtId="0" fontId="8" fillId="5" borderId="0" xfId="2" applyFont="1" applyFill="1" applyBorder="1"/>
    <xf numFmtId="44" fontId="8" fillId="5" borderId="0" xfId="4" applyFont="1" applyFill="1" applyBorder="1"/>
    <xf numFmtId="0" fontId="7" fillId="0" borderId="0" xfId="0" applyFont="1" applyFill="1" applyBorder="1"/>
    <xf numFmtId="0" fontId="4" fillId="0" borderId="0" xfId="7" applyFont="1" applyFill="1" applyBorder="1"/>
    <xf numFmtId="0" fontId="3" fillId="6" borderId="3" xfId="3" applyFont="1" applyFill="1" applyBorder="1"/>
    <xf numFmtId="0" fontId="3" fillId="0" borderId="2" xfId="0" applyFont="1" applyFill="1" applyBorder="1"/>
    <xf numFmtId="0" fontId="4" fillId="0" borderId="4" xfId="0" applyFont="1" applyFill="1" applyBorder="1"/>
    <xf numFmtId="0" fontId="3" fillId="0" borderId="0" xfId="0" applyFont="1"/>
    <xf numFmtId="0" fontId="3" fillId="0" borderId="0" xfId="2" applyFont="1"/>
    <xf numFmtId="169" fontId="5" fillId="0" borderId="0" xfId="0" applyNumberFormat="1" applyFont="1" applyFill="1" applyBorder="1"/>
    <xf numFmtId="44" fontId="15" fillId="9" borderId="4" xfId="4" applyFont="1" applyFill="1" applyBorder="1"/>
    <xf numFmtId="170" fontId="5" fillId="0" borderId="0" xfId="0" applyNumberFormat="1" applyFont="1" applyFill="1" applyBorder="1"/>
    <xf numFmtId="0" fontId="14" fillId="0" borderId="0" xfId="7" applyFont="1" applyFill="1" applyBorder="1"/>
    <xf numFmtId="0" fontId="16" fillId="0" borderId="0" xfId="2" applyFont="1" applyFill="1" applyBorder="1"/>
    <xf numFmtId="0" fontId="3" fillId="6" borderId="0" xfId="3" applyFont="1" applyFill="1" applyBorder="1"/>
    <xf numFmtId="44" fontId="3" fillId="0" borderId="0" xfId="4" applyFont="1" applyFill="1" applyBorder="1"/>
    <xf numFmtId="0" fontId="4" fillId="0" borderId="0" xfId="2" applyFont="1" applyFill="1" applyBorder="1"/>
    <xf numFmtId="44" fontId="3" fillId="8" borderId="3" xfId="4" applyFont="1" applyFill="1" applyBorder="1"/>
    <xf numFmtId="0" fontId="3" fillId="0" borderId="0" xfId="0" applyFont="1" applyAlignment="1" applyProtection="1">
      <protection locked="0"/>
    </xf>
    <xf numFmtId="0" fontId="3" fillId="0" borderId="0" xfId="0" applyFont="1" applyProtection="1"/>
    <xf numFmtId="0" fontId="20" fillId="0" borderId="0" xfId="0" applyFont="1" applyFill="1" applyBorder="1" applyAlignment="1" applyProtection="1">
      <alignment horizontal="center"/>
    </xf>
    <xf numFmtId="0" fontId="7" fillId="0" borderId="0" xfId="0" applyFont="1" applyAlignment="1" applyProtection="1">
      <alignment horizontal="center"/>
    </xf>
    <xf numFmtId="0" fontId="21" fillId="0" borderId="6" xfId="0" applyFont="1" applyBorder="1" applyProtection="1"/>
    <xf numFmtId="0" fontId="21" fillId="0" borderId="6" xfId="0" applyFont="1" applyBorder="1" applyProtection="1">
      <protection locked="0"/>
    </xf>
    <xf numFmtId="0" fontId="21" fillId="0" borderId="6" xfId="0" applyFont="1" applyFill="1" applyBorder="1" applyAlignment="1" applyProtection="1">
      <alignment horizontal="center"/>
    </xf>
    <xf numFmtId="0" fontId="22" fillId="0" borderId="6" xfId="0" applyFont="1" applyBorder="1" applyAlignment="1" applyProtection="1">
      <alignment horizontal="center"/>
    </xf>
    <xf numFmtId="0" fontId="0" fillId="0" borderId="0" xfId="0" applyFont="1" applyAlignment="1" applyProtection="1"/>
    <xf numFmtId="0" fontId="7" fillId="0" borderId="0" xfId="0" applyFont="1" applyProtection="1"/>
    <xf numFmtId="0" fontId="0" fillId="0" borderId="0" xfId="0" applyFont="1" applyProtection="1"/>
    <xf numFmtId="0" fontId="7" fillId="0" borderId="0" xfId="0" applyFont="1" applyAlignment="1">
      <alignment vertical="center" wrapText="1"/>
    </xf>
    <xf numFmtId="0" fontId="0" fillId="0" borderId="0" xfId="0" applyFont="1" applyFill="1" applyBorder="1" applyAlignment="1" applyProtection="1"/>
    <xf numFmtId="0" fontId="4" fillId="0" borderId="0" xfId="0" applyFont="1" applyProtection="1"/>
    <xf numFmtId="0" fontId="4" fillId="0" borderId="0" xfId="0" applyFont="1" applyBorder="1" applyProtection="1"/>
    <xf numFmtId="20" fontId="4" fillId="0" borderId="0" xfId="0" applyNumberFormat="1" applyFont="1" applyBorder="1" applyProtection="1"/>
    <xf numFmtId="3" fontId="23" fillId="0" borderId="0" xfId="0" applyNumberFormat="1" applyFont="1" applyBorder="1" applyAlignment="1" applyProtection="1"/>
    <xf numFmtId="0" fontId="21" fillId="0" borderId="0" xfId="0" applyFont="1" applyProtection="1"/>
    <xf numFmtId="0" fontId="7" fillId="0" borderId="0" xfId="0" applyFont="1" applyAlignment="1" applyProtection="1"/>
    <xf numFmtId="0" fontId="24" fillId="0" borderId="0" xfId="0" applyFont="1" applyProtection="1"/>
    <xf numFmtId="0" fontId="25" fillId="0" borderId="0" xfId="0" applyFont="1" applyProtection="1"/>
    <xf numFmtId="0" fontId="25" fillId="0" borderId="0" xfId="0" applyFont="1" applyAlignment="1" applyProtection="1">
      <alignment horizontal="center"/>
    </xf>
    <xf numFmtId="0" fontId="26" fillId="0" borderId="0" xfId="0" applyFont="1" applyProtection="1"/>
    <xf numFmtId="0" fontId="0" fillId="0" borderId="0" xfId="0" applyFont="1" applyAlignment="1" applyProtection="1">
      <alignment horizontal="center"/>
    </xf>
    <xf numFmtId="0" fontId="7" fillId="0" borderId="0" xfId="0" applyFont="1" applyProtection="1">
      <protection locked="0"/>
    </xf>
    <xf numFmtId="0" fontId="7" fillId="0" borderId="0" xfId="0" applyFont="1" applyAlignment="1" applyProtection="1">
      <alignment horizontal="center"/>
      <protection locked="0"/>
    </xf>
    <xf numFmtId="3" fontId="0" fillId="0" borderId="0" xfId="0" applyNumberFormat="1" applyAlignment="1" applyProtection="1"/>
    <xf numFmtId="4" fontId="0" fillId="0" borderId="0" xfId="0" applyNumberFormat="1" applyAlignment="1" applyProtection="1">
      <alignment horizontal="center"/>
    </xf>
    <xf numFmtId="3" fontId="7" fillId="0" borderId="0" xfId="0" applyNumberFormat="1" applyFont="1" applyAlignment="1" applyProtection="1">
      <alignment horizontal="center"/>
    </xf>
    <xf numFmtId="3" fontId="0" fillId="0" borderId="0" xfId="0" applyNumberFormat="1" applyAlignment="1" applyProtection="1">
      <protection locked="0"/>
    </xf>
    <xf numFmtId="3" fontId="0" fillId="0" borderId="0" xfId="0" applyNumberFormat="1" applyAlignment="1" applyProtection="1">
      <alignment horizontal="center"/>
      <protection locked="0"/>
    </xf>
    <xf numFmtId="4" fontId="0" fillId="0" borderId="0" xfId="0" applyNumberFormat="1" applyAlignment="1" applyProtection="1">
      <alignment horizontal="center"/>
      <protection locked="0"/>
    </xf>
    <xf numFmtId="0" fontId="7" fillId="0" borderId="0" xfId="0" applyFont="1" applyAlignment="1">
      <alignment horizontal="center" vertical="center" wrapText="1"/>
    </xf>
    <xf numFmtId="0" fontId="2" fillId="0" borderId="0" xfId="0" applyFont="1"/>
    <xf numFmtId="9" fontId="0" fillId="0" borderId="0" xfId="1" applyFont="1"/>
    <xf numFmtId="0" fontId="1" fillId="17" borderId="0" xfId="9" applyFont="1" applyFill="1"/>
    <xf numFmtId="0" fontId="1" fillId="0" borderId="9" xfId="9" applyFont="1" applyFill="1" applyBorder="1"/>
    <xf numFmtId="0" fontId="1" fillId="0" borderId="0" xfId="9" applyFont="1"/>
    <xf numFmtId="0" fontId="1" fillId="0" borderId="9" xfId="9" applyFont="1" applyBorder="1"/>
    <xf numFmtId="3" fontId="7" fillId="0" borderId="0" xfId="0" applyNumberFormat="1" applyFont="1" applyAlignment="1" applyProtection="1">
      <alignment horizontal="left"/>
    </xf>
    <xf numFmtId="3" fontId="0" fillId="0" borderId="0" xfId="0" applyNumberFormat="1" applyAlignment="1" applyProtection="1">
      <alignment horizontal="left"/>
    </xf>
    <xf numFmtId="0" fontId="0" fillId="0" borderId="0" xfId="0" applyFont="1" applyAlignment="1" applyProtection="1">
      <alignment horizontal="left"/>
    </xf>
    <xf numFmtId="0" fontId="0" fillId="0" borderId="0" xfId="0" applyFont="1" applyFill="1" applyBorder="1" applyAlignment="1" applyProtection="1">
      <alignment horizontal="left"/>
    </xf>
    <xf numFmtId="3" fontId="0" fillId="0" borderId="0" xfId="0" applyNumberFormat="1" applyAlignment="1" applyProtection="1">
      <alignment horizontal="left"/>
      <protection locked="0"/>
    </xf>
    <xf numFmtId="4" fontId="4" fillId="0" borderId="0" xfId="0" applyNumberFormat="1" applyFont="1" applyFill="1" applyBorder="1" applyAlignment="1" applyProtection="1">
      <alignment horizontal="center"/>
    </xf>
    <xf numFmtId="20" fontId="4" fillId="0" borderId="0" xfId="0" applyNumberFormat="1" applyFont="1" applyFill="1" applyBorder="1" applyProtection="1"/>
    <xf numFmtId="0" fontId="2" fillId="0" borderId="0" xfId="0" applyFont="1" applyAlignment="1">
      <alignment wrapText="1"/>
    </xf>
    <xf numFmtId="0" fontId="2" fillId="0" borderId="22" xfId="0" applyFont="1" applyBorder="1"/>
    <xf numFmtId="0" fontId="2" fillId="0" borderId="23" xfId="0" applyFont="1" applyBorder="1"/>
    <xf numFmtId="0" fontId="2" fillId="0" borderId="12" xfId="0" applyFont="1" applyBorder="1"/>
    <xf numFmtId="0" fontId="2" fillId="11" borderId="0" xfId="0" applyFont="1" applyFill="1" applyBorder="1"/>
    <xf numFmtId="0" fontId="2" fillId="13" borderId="0" xfId="0" applyFont="1" applyFill="1" applyBorder="1"/>
    <xf numFmtId="0" fontId="2" fillId="13" borderId="18" xfId="0" applyFont="1" applyFill="1" applyBorder="1"/>
    <xf numFmtId="0" fontId="2" fillId="0" borderId="25" xfId="0" applyFont="1" applyBorder="1" applyAlignment="1">
      <alignment wrapText="1"/>
    </xf>
    <xf numFmtId="0" fontId="2" fillId="0" borderId="1" xfId="0" applyFont="1" applyBorder="1" applyAlignment="1">
      <alignment wrapText="1"/>
    </xf>
    <xf numFmtId="0" fontId="2" fillId="11" borderId="1" xfId="0" applyFont="1" applyFill="1" applyBorder="1" applyAlignment="1">
      <alignment wrapText="1"/>
    </xf>
    <xf numFmtId="0" fontId="2" fillId="12" borderId="1" xfId="0" applyFont="1" applyFill="1" applyBorder="1" applyAlignment="1">
      <alignment wrapText="1"/>
    </xf>
    <xf numFmtId="0" fontId="2" fillId="13" borderId="1" xfId="0" applyFont="1" applyFill="1" applyBorder="1" applyAlignment="1">
      <alignment wrapText="1"/>
    </xf>
    <xf numFmtId="0" fontId="2" fillId="13" borderId="26" xfId="0" applyFont="1" applyFill="1" applyBorder="1" applyAlignment="1">
      <alignment wrapText="1"/>
    </xf>
    <xf numFmtId="0" fontId="2" fillId="13" borderId="12" xfId="0" applyFont="1" applyFill="1" applyBorder="1"/>
    <xf numFmtId="0" fontId="2" fillId="13" borderId="25" xfId="0" applyFont="1" applyFill="1" applyBorder="1" applyAlignment="1">
      <alignment wrapText="1"/>
    </xf>
    <xf numFmtId="0" fontId="2" fillId="12" borderId="25" xfId="0" applyFont="1" applyFill="1" applyBorder="1" applyAlignment="1">
      <alignment wrapText="1"/>
    </xf>
    <xf numFmtId="0" fontId="2" fillId="11" borderId="18" xfId="0" applyFont="1" applyFill="1" applyBorder="1"/>
    <xf numFmtId="0" fontId="2" fillId="11" borderId="25" xfId="0" applyFont="1" applyFill="1" applyBorder="1" applyAlignment="1">
      <alignment wrapText="1"/>
    </xf>
    <xf numFmtId="0" fontId="2" fillId="11" borderId="26" xfId="0" applyFont="1" applyFill="1" applyBorder="1" applyAlignment="1">
      <alignment wrapText="1"/>
    </xf>
    <xf numFmtId="0" fontId="2" fillId="0" borderId="24" xfId="0" applyFont="1" applyBorder="1"/>
    <xf numFmtId="0" fontId="2" fillId="0" borderId="26" xfId="0" applyFont="1" applyBorder="1" applyAlignment="1">
      <alignment wrapText="1"/>
    </xf>
    <xf numFmtId="0" fontId="7" fillId="0" borderId="0" xfId="0" applyFont="1" applyAlignment="1">
      <alignment horizontal="left" vertical="center" wrapText="1"/>
    </xf>
    <xf numFmtId="0" fontId="0" fillId="0" borderId="0" xfId="0" applyAlignment="1">
      <alignment horizontal="left"/>
    </xf>
    <xf numFmtId="0" fontId="2" fillId="0" borderId="0" xfId="0" applyFont="1" applyAlignment="1">
      <alignment horizontal="left"/>
    </xf>
    <xf numFmtId="0" fontId="2" fillId="0" borderId="0" xfId="0" applyFont="1" applyBorder="1"/>
    <xf numFmtId="0" fontId="2" fillId="0" borderId="0" xfId="0" applyFont="1" applyBorder="1" applyAlignment="1">
      <alignment wrapText="1"/>
    </xf>
    <xf numFmtId="0" fontId="96" fillId="0" borderId="12" xfId="11" applyFont="1" applyFill="1" applyBorder="1"/>
    <xf numFmtId="0" fontId="96" fillId="0" borderId="18" xfId="11" applyFont="1" applyFill="1" applyBorder="1"/>
    <xf numFmtId="0" fontId="2" fillId="0" borderId="0" xfId="0" applyFont="1" applyFill="1" applyBorder="1" applyAlignment="1">
      <alignment horizontal="center"/>
    </xf>
    <xf numFmtId="0" fontId="2" fillId="0" borderId="0" xfId="0" applyFont="1" applyFill="1" applyBorder="1"/>
    <xf numFmtId="0" fontId="2" fillId="0" borderId="0" xfId="0" applyFont="1" applyFill="1" applyBorder="1" applyAlignment="1">
      <alignment wrapText="1"/>
    </xf>
    <xf numFmtId="0" fontId="0" fillId="0" borderId="0" xfId="0" applyFill="1" applyBorder="1"/>
    <xf numFmtId="0" fontId="96" fillId="0" borderId="22" xfId="11" applyFont="1" applyFill="1" applyBorder="1"/>
    <xf numFmtId="0" fontId="96" fillId="0" borderId="24" xfId="11" applyFont="1" applyFill="1" applyBorder="1"/>
    <xf numFmtId="0" fontId="96" fillId="0" borderId="25" xfId="11" applyFont="1" applyFill="1" applyBorder="1" applyAlignment="1">
      <alignment wrapText="1"/>
    </xf>
    <xf numFmtId="0" fontId="96" fillId="0" borderId="26" xfId="11" applyFont="1" applyFill="1" applyBorder="1" applyAlignment="1">
      <alignment wrapText="1"/>
    </xf>
    <xf numFmtId="3" fontId="20" fillId="14" borderId="7" xfId="0" applyNumberFormat="1" applyFont="1" applyFill="1" applyBorder="1" applyAlignment="1" applyProtection="1">
      <alignment horizontal="center"/>
    </xf>
    <xf numFmtId="3" fontId="20" fillId="14" borderId="7" xfId="0" applyNumberFormat="1" applyFont="1" applyFill="1" applyBorder="1" applyAlignment="1" applyProtection="1">
      <alignment horizontal="left"/>
    </xf>
    <xf numFmtId="9" fontId="99" fillId="0" borderId="9" xfId="1" applyFont="1" applyFill="1" applyBorder="1"/>
    <xf numFmtId="0" fontId="99" fillId="0" borderId="9" xfId="9" applyFont="1" applyFill="1" applyBorder="1"/>
    <xf numFmtId="0" fontId="99" fillId="0" borderId="0" xfId="0" applyFont="1"/>
    <xf numFmtId="0" fontId="2" fillId="0" borderId="18" xfId="0" applyFont="1" applyBorder="1"/>
    <xf numFmtId="2" fontId="0" fillId="0" borderId="0" xfId="0" applyNumberFormat="1" applyFill="1" applyBorder="1"/>
    <xf numFmtId="0" fontId="0" fillId="0" borderId="0" xfId="0" applyFill="1"/>
    <xf numFmtId="3" fontId="4" fillId="0" borderId="0" xfId="0" applyNumberFormat="1" applyFont="1" applyBorder="1" applyProtection="1"/>
    <xf numFmtId="4" fontId="27" fillId="0" borderId="0" xfId="0" applyNumberFormat="1" applyFont="1" applyFill="1" applyBorder="1" applyAlignment="1" applyProtection="1">
      <alignment horizontal="center"/>
    </xf>
    <xf numFmtId="4" fontId="0" fillId="0" borderId="0" xfId="0" applyNumberFormat="1" applyFill="1" applyAlignment="1" applyProtection="1">
      <alignment horizontal="center"/>
      <protection locked="0"/>
    </xf>
    <xf numFmtId="3" fontId="0" fillId="0" borderId="0" xfId="0" applyNumberFormat="1" applyFill="1" applyAlignment="1" applyProtection="1"/>
    <xf numFmtId="4" fontId="0" fillId="0" borderId="0" xfId="0" applyNumberFormat="1" applyFill="1" applyAlignment="1" applyProtection="1">
      <alignment horizontal="center"/>
    </xf>
    <xf numFmtId="0" fontId="25" fillId="0" borderId="0" xfId="0" applyFont="1" applyFill="1" applyAlignment="1" applyProtection="1">
      <alignment horizontal="center"/>
    </xf>
    <xf numFmtId="0" fontId="0" fillId="0" borderId="0" xfId="0" applyFont="1" applyFill="1" applyAlignment="1" applyProtection="1">
      <alignment horizontal="center"/>
    </xf>
    <xf numFmtId="0" fontId="7" fillId="0" borderId="0" xfId="0" applyFont="1" applyFill="1" applyAlignment="1">
      <alignment horizontal="center" vertical="center" wrapText="1"/>
    </xf>
    <xf numFmtId="3" fontId="7" fillId="0" borderId="0" xfId="0" applyNumberFormat="1" applyFont="1" applyFill="1" applyAlignment="1" applyProtection="1">
      <alignment horizontal="center"/>
    </xf>
    <xf numFmtId="3" fontId="2" fillId="0" borderId="0" xfId="0" applyNumberFormat="1" applyFont="1" applyAlignment="1" applyProtection="1">
      <protection locked="0"/>
    </xf>
    <xf numFmtId="0" fontId="101" fillId="0" borderId="0" xfId="0" applyFont="1"/>
    <xf numFmtId="9" fontId="99" fillId="0" borderId="0" xfId="1" applyFont="1"/>
    <xf numFmtId="0" fontId="7" fillId="0" borderId="0" xfId="0" applyFont="1" applyAlignment="1">
      <alignment wrapText="1"/>
    </xf>
    <xf numFmtId="0" fontId="103" fillId="0" borderId="0" xfId="0" applyFont="1" applyAlignment="1">
      <alignment vertical="center" wrapText="1"/>
    </xf>
    <xf numFmtId="0" fontId="102" fillId="0" borderId="0" xfId="0" applyFont="1"/>
    <xf numFmtId="0" fontId="1" fillId="0" borderId="0" xfId="9" applyFont="1" applyBorder="1"/>
    <xf numFmtId="0" fontId="2" fillId="38" borderId="24" xfId="0" applyFont="1" applyFill="1" applyBorder="1" applyAlignment="1"/>
    <xf numFmtId="0" fontId="2" fillId="0" borderId="23" xfId="0" applyFont="1" applyFill="1" applyBorder="1" applyAlignment="1">
      <alignment horizontal="center"/>
    </xf>
    <xf numFmtId="0" fontId="2" fillId="12" borderId="0" xfId="0" applyFont="1" applyFill="1" applyBorder="1" applyAlignment="1"/>
    <xf numFmtId="0" fontId="2" fillId="38" borderId="18" xfId="0" applyFont="1" applyFill="1" applyBorder="1" applyAlignment="1"/>
    <xf numFmtId="0" fontId="2" fillId="37" borderId="1" xfId="0" applyFont="1" applyFill="1" applyBorder="1" applyAlignment="1">
      <alignment wrapText="1"/>
    </xf>
    <xf numFmtId="0" fontId="2" fillId="0" borderId="1" xfId="0" applyFont="1" applyFill="1" applyBorder="1" applyAlignment="1">
      <alignment wrapText="1"/>
    </xf>
    <xf numFmtId="0" fontId="2" fillId="38" borderId="26" xfId="0" applyFont="1" applyFill="1" applyBorder="1" applyAlignment="1">
      <alignment wrapText="1"/>
    </xf>
    <xf numFmtId="2" fontId="0" fillId="0" borderId="0" xfId="0" applyNumberFormat="1" applyFill="1"/>
    <xf numFmtId="9" fontId="99" fillId="0" borderId="0" xfId="0" applyNumberFormat="1" applyFont="1"/>
    <xf numFmtId="9" fontId="96" fillId="0" borderId="9" xfId="1" applyFont="1" applyFill="1" applyBorder="1"/>
    <xf numFmtId="0" fontId="4" fillId="0" borderId="0" xfId="0" applyFont="1" applyFill="1" applyProtection="1"/>
    <xf numFmtId="0" fontId="99" fillId="0" borderId="0" xfId="0" applyFont="1" applyFill="1"/>
    <xf numFmtId="4" fontId="0" fillId="0" borderId="0" xfId="0" applyNumberFormat="1" applyFill="1" applyBorder="1"/>
    <xf numFmtId="9" fontId="0" fillId="0" borderId="0" xfId="1" applyFont="1" applyFill="1" applyBorder="1"/>
    <xf numFmtId="3" fontId="2" fillId="0" borderId="0" xfId="0" applyNumberFormat="1" applyFont="1" applyAlignment="1" applyProtection="1">
      <alignment horizontal="left"/>
    </xf>
    <xf numFmtId="3" fontId="0" fillId="0" borderId="0" xfId="0" applyNumberFormat="1"/>
    <xf numFmtId="4" fontId="0" fillId="0" borderId="0" xfId="0" applyNumberFormat="1" applyFill="1"/>
    <xf numFmtId="0" fontId="99" fillId="0" borderId="0" xfId="0" applyFont="1" applyFill="1" applyAlignment="1">
      <alignment horizontal="center"/>
    </xf>
    <xf numFmtId="0" fontId="100" fillId="12" borderId="1" xfId="0" applyFont="1" applyFill="1" applyBorder="1" applyAlignment="1">
      <alignment wrapText="1"/>
    </xf>
    <xf numFmtId="0" fontId="2" fillId="0" borderId="0" xfId="0" applyFont="1" applyBorder="1" applyAlignment="1">
      <alignment horizontal="center"/>
    </xf>
    <xf numFmtId="0" fontId="2" fillId="11" borderId="23" xfId="0" applyFont="1" applyFill="1" applyBorder="1" applyAlignment="1">
      <alignment horizontal="center"/>
    </xf>
    <xf numFmtId="4" fontId="104" fillId="0" borderId="0" xfId="0" applyNumberFormat="1" applyFont="1"/>
    <xf numFmtId="3" fontId="99" fillId="39" borderId="0" xfId="0" applyNumberFormat="1" applyFont="1" applyFill="1" applyAlignment="1" applyProtection="1">
      <alignment horizontal="left"/>
    </xf>
    <xf numFmtId="3" fontId="0" fillId="39" borderId="0" xfId="0" applyNumberFormat="1" applyFill="1" applyAlignment="1" applyProtection="1">
      <alignment horizontal="left"/>
    </xf>
    <xf numFmtId="3" fontId="99" fillId="39" borderId="0" xfId="0" applyNumberFormat="1" applyFont="1" applyFill="1" applyAlignment="1" applyProtection="1">
      <alignment horizontal="right"/>
    </xf>
    <xf numFmtId="0" fontId="99" fillId="39" borderId="33" xfId="0" applyFont="1" applyFill="1" applyBorder="1"/>
    <xf numFmtId="0" fontId="99" fillId="39" borderId="0" xfId="0" applyFont="1" applyFill="1"/>
    <xf numFmtId="0" fontId="4" fillId="39" borderId="0" xfId="0" applyFont="1" applyFill="1" applyBorder="1" applyProtection="1"/>
    <xf numFmtId="0" fontId="0" fillId="39" borderId="0" xfId="0" applyFont="1" applyFill="1" applyBorder="1" applyAlignment="1" applyProtection="1"/>
    <xf numFmtId="0" fontId="99" fillId="39" borderId="0" xfId="0" applyFont="1" applyFill="1" applyBorder="1" applyAlignment="1" applyProtection="1"/>
    <xf numFmtId="3" fontId="104" fillId="0" borderId="0" xfId="1" applyNumberFormat="1" applyFont="1" applyFill="1" applyBorder="1"/>
    <xf numFmtId="3" fontId="25" fillId="0" borderId="0" xfId="0" applyNumberFormat="1" applyFont="1" applyAlignment="1" applyProtection="1">
      <alignment horizontal="center"/>
    </xf>
    <xf numFmtId="3" fontId="0" fillId="0" borderId="0" xfId="0" applyNumberFormat="1" applyFont="1" applyAlignment="1" applyProtection="1">
      <alignment horizontal="center"/>
    </xf>
    <xf numFmtId="3" fontId="7" fillId="0" borderId="0" xfId="0" applyNumberFormat="1" applyFont="1" applyAlignment="1">
      <alignment horizontal="center" vertical="center" wrapText="1"/>
    </xf>
    <xf numFmtId="3" fontId="99" fillId="0" borderId="0" xfId="0" applyNumberFormat="1" applyFont="1" applyAlignment="1" applyProtection="1">
      <protection locked="0"/>
    </xf>
    <xf numFmtId="3" fontId="99" fillId="0" borderId="0" xfId="0" applyNumberFormat="1" applyFont="1" applyAlignment="1" applyProtection="1">
      <alignment horizontal="left"/>
      <protection locked="0"/>
    </xf>
    <xf numFmtId="0" fontId="104" fillId="0" borderId="0" xfId="0" applyFont="1" applyFill="1" applyBorder="1"/>
    <xf numFmtId="4" fontId="104" fillId="0" borderId="0" xfId="0" applyNumberFormat="1" applyFont="1" applyFill="1" applyBorder="1"/>
    <xf numFmtId="4" fontId="96" fillId="0" borderId="0" xfId="0" applyNumberFormat="1" applyFont="1"/>
    <xf numFmtId="0" fontId="0" fillId="0" borderId="9" xfId="9" applyFont="1" applyBorder="1"/>
    <xf numFmtId="4" fontId="0" fillId="0" borderId="0" xfId="0" applyNumberFormat="1"/>
    <xf numFmtId="3" fontId="105" fillId="0" borderId="0" xfId="0" applyNumberFormat="1" applyFont="1"/>
    <xf numFmtId="0" fontId="1" fillId="0" borderId="0" xfId="659" applyFont="1" applyBorder="1"/>
    <xf numFmtId="0" fontId="0" fillId="0" borderId="0" xfId="659" applyFont="1" applyBorder="1"/>
    <xf numFmtId="0" fontId="1" fillId="0" borderId="31" xfId="659" applyFont="1" applyBorder="1"/>
    <xf numFmtId="0" fontId="0" fillId="0" borderId="15" xfId="659" applyFont="1" applyBorder="1"/>
    <xf numFmtId="0" fontId="1" fillId="0" borderId="15" xfId="659" applyFont="1" applyBorder="1"/>
    <xf numFmtId="0" fontId="1" fillId="0" borderId="32" xfId="659" applyFont="1" applyBorder="1" applyAlignment="1">
      <alignment wrapText="1"/>
    </xf>
    <xf numFmtId="0" fontId="0" fillId="0" borderId="34" xfId="659" applyFont="1" applyBorder="1"/>
    <xf numFmtId="167" fontId="1" fillId="0" borderId="35" xfId="506" applyFont="1" applyBorder="1"/>
    <xf numFmtId="0" fontId="0" fillId="0" borderId="36" xfId="659" applyFont="1" applyBorder="1"/>
    <xf numFmtId="0" fontId="1" fillId="0" borderId="0" xfId="659" applyFont="1" applyBorder="1" applyAlignment="1">
      <alignment horizontal="left"/>
    </xf>
    <xf numFmtId="0" fontId="1" fillId="0" borderId="37" xfId="659" applyFont="1" applyBorder="1"/>
    <xf numFmtId="167" fontId="1" fillId="0" borderId="38" xfId="506" applyFont="1" applyBorder="1"/>
    <xf numFmtId="0" fontId="1" fillId="0" borderId="39" xfId="659" applyFont="1" applyBorder="1"/>
    <xf numFmtId="0" fontId="102" fillId="0" borderId="37" xfId="659" applyFont="1" applyBorder="1"/>
    <xf numFmtId="167" fontId="1" fillId="17" borderId="38" xfId="506" applyFont="1" applyFill="1" applyBorder="1"/>
    <xf numFmtId="0" fontId="102" fillId="0" borderId="37" xfId="659" applyFont="1" applyFill="1" applyBorder="1"/>
    <xf numFmtId="167" fontId="1" fillId="0" borderId="38" xfId="506" applyFont="1" applyFill="1" applyBorder="1"/>
    <xf numFmtId="0" fontId="0" fillId="0" borderId="39" xfId="659" applyFont="1" applyBorder="1"/>
    <xf numFmtId="0" fontId="0" fillId="0" borderId="37" xfId="659" applyFont="1" applyBorder="1"/>
    <xf numFmtId="0" fontId="1" fillId="0" borderId="37" xfId="659" applyFont="1" applyFill="1" applyBorder="1"/>
    <xf numFmtId="167" fontId="1" fillId="0" borderId="38" xfId="659" applyNumberFormat="1" applyFont="1" applyBorder="1"/>
    <xf numFmtId="0" fontId="1" fillId="0" borderId="38" xfId="659" applyFont="1" applyBorder="1"/>
    <xf numFmtId="0" fontId="0" fillId="0" borderId="0" xfId="659" applyFont="1" applyFill="1" applyBorder="1"/>
    <xf numFmtId="0" fontId="1" fillId="0" borderId="40" xfId="659" applyFont="1" applyBorder="1"/>
    <xf numFmtId="167" fontId="1" fillId="0" borderId="41" xfId="659" applyNumberFormat="1" applyFont="1" applyBorder="1"/>
    <xf numFmtId="0" fontId="1" fillId="0" borderId="41" xfId="659" applyFont="1" applyBorder="1"/>
    <xf numFmtId="0" fontId="1" fillId="0" borderId="42" xfId="659" applyFont="1" applyBorder="1"/>
    <xf numFmtId="3" fontId="7" fillId="0" borderId="0" xfId="0" applyNumberFormat="1" applyFont="1" applyAlignment="1" applyProtection="1">
      <alignment horizontal="center" wrapText="1"/>
    </xf>
    <xf numFmtId="0" fontId="0" fillId="17" borderId="0" xfId="0" applyFill="1"/>
    <xf numFmtId="0" fontId="15" fillId="9" borderId="0" xfId="2" applyFont="1" applyFill="1"/>
    <xf numFmtId="0" fontId="3" fillId="9" borderId="0" xfId="2" applyFont="1" applyFill="1"/>
    <xf numFmtId="0" fontId="15" fillId="9" borderId="0" xfId="3" applyFont="1" applyFill="1" applyBorder="1"/>
    <xf numFmtId="0" fontId="106" fillId="9" borderId="0" xfId="2" applyFont="1" applyFill="1"/>
    <xf numFmtId="44" fontId="106" fillId="9" borderId="0" xfId="4" applyFont="1" applyFill="1" applyBorder="1"/>
    <xf numFmtId="0" fontId="3" fillId="0" borderId="0" xfId="2" applyFont="1" applyFill="1"/>
    <xf numFmtId="0" fontId="3" fillId="20" borderId="2" xfId="3" applyFont="1" applyFill="1" applyBorder="1"/>
    <xf numFmtId="0" fontId="107" fillId="0" borderId="3" xfId="761" applyNumberFormat="1" applyFont="1" applyFill="1" applyBorder="1" applyAlignment="1" applyProtection="1">
      <alignment horizontal="left" vertical="center"/>
      <protection locked="0"/>
    </xf>
    <xf numFmtId="0" fontId="3" fillId="20" borderId="3" xfId="3" applyFont="1" applyFill="1" applyBorder="1"/>
    <xf numFmtId="0" fontId="0" fillId="0" borderId="3" xfId="0" applyBorder="1"/>
    <xf numFmtId="3" fontId="4" fillId="0" borderId="0" xfId="0" applyNumberFormat="1" applyFont="1" applyFill="1" applyBorder="1" applyAlignment="1" applyProtection="1">
      <alignment horizontal="center"/>
    </xf>
    <xf numFmtId="3" fontId="0" fillId="0" borderId="0" xfId="0" applyNumberFormat="1" applyFill="1" applyAlignment="1" applyProtection="1">
      <alignment horizontal="left"/>
      <protection locked="0"/>
    </xf>
    <xf numFmtId="4" fontId="104" fillId="0" borderId="0" xfId="1" applyNumberFormat="1" applyFont="1" applyFill="1" applyBorder="1"/>
    <xf numFmtId="0" fontId="10" fillId="0" borderId="0" xfId="11"/>
    <xf numFmtId="0" fontId="3" fillId="0" borderId="0" xfId="11" applyFont="1" applyFill="1"/>
    <xf numFmtId="49" fontId="3" fillId="0" borderId="0" xfId="11" applyNumberFormat="1" applyFont="1" applyFill="1"/>
    <xf numFmtId="0" fontId="7" fillId="0" borderId="0" xfId="11" applyFont="1" applyFill="1"/>
    <xf numFmtId="0" fontId="3" fillId="0" borderId="1" xfId="11" applyFont="1" applyFill="1" applyBorder="1"/>
    <xf numFmtId="49" fontId="3" fillId="0" borderId="1" xfId="11" applyNumberFormat="1" applyFont="1" applyFill="1" applyBorder="1"/>
    <xf numFmtId="49" fontId="7" fillId="0" borderId="0" xfId="11" applyNumberFormat="1" applyFont="1" applyFill="1" applyBorder="1"/>
    <xf numFmtId="0" fontId="7" fillId="0" borderId="0" xfId="11" applyFont="1" applyFill="1" applyBorder="1"/>
    <xf numFmtId="0" fontId="3" fillId="0" borderId="0" xfId="11" applyFont="1" applyFill="1" applyBorder="1"/>
    <xf numFmtId="0" fontId="7" fillId="0" borderId="0" xfId="11" applyFont="1" applyFill="1" applyBorder="1" applyAlignment="1">
      <alignment horizontal="center"/>
    </xf>
    <xf numFmtId="1" fontId="12" fillId="0" borderId="0" xfId="6" applyNumberFormat="1" applyFont="1" applyFill="1" applyBorder="1" applyAlignment="1">
      <alignment horizontal="right" vertical="top"/>
    </xf>
    <xf numFmtId="167" fontId="3" fillId="0" borderId="0" xfId="12" applyFont="1" applyFill="1" applyBorder="1"/>
    <xf numFmtId="0" fontId="3" fillId="0" borderId="0" xfId="11" applyFont="1" applyFill="1" applyBorder="1" applyAlignment="1">
      <alignment horizontal="left"/>
    </xf>
    <xf numFmtId="167" fontId="3" fillId="0" borderId="0" xfId="762" applyNumberFormat="1" applyFont="1" applyFill="1" applyBorder="1" applyAlignment="1"/>
    <xf numFmtId="167" fontId="3" fillId="0" borderId="0" xfId="11" applyNumberFormat="1" applyFont="1" applyFill="1" applyBorder="1"/>
    <xf numFmtId="167" fontId="3" fillId="0" borderId="0" xfId="11" applyNumberFormat="1" applyFont="1" applyFill="1" applyBorder="1" applyAlignment="1">
      <alignment horizontal="left"/>
    </xf>
    <xf numFmtId="167" fontId="7" fillId="0" borderId="0" xfId="762" applyNumberFormat="1" applyFont="1" applyFill="1" applyBorder="1" applyAlignment="1"/>
    <xf numFmtId="0" fontId="7" fillId="0" borderId="0" xfId="11" applyFont="1" applyFill="1" applyBorder="1" applyAlignment="1">
      <alignment horizontal="left"/>
    </xf>
    <xf numFmtId="1" fontId="12" fillId="0" borderId="0" xfId="6" applyNumberFormat="1" applyFont="1" applyFill="1" applyBorder="1" applyAlignment="1">
      <alignment horizontal="center" vertical="top"/>
    </xf>
    <xf numFmtId="0" fontId="3" fillId="0" borderId="0" xfId="11" quotePrefix="1" applyFont="1" applyFill="1" applyBorder="1" applyAlignment="1">
      <alignment horizontal="left"/>
    </xf>
    <xf numFmtId="0" fontId="17" fillId="0" borderId="0" xfId="11" applyFont="1" applyFill="1"/>
    <xf numFmtId="49" fontId="17" fillId="0" borderId="0" xfId="11" applyNumberFormat="1" applyFont="1" applyFill="1"/>
    <xf numFmtId="0" fontId="11" fillId="0" borderId="0" xfId="11" applyFont="1" applyFill="1"/>
    <xf numFmtId="0" fontId="17" fillId="0" borderId="1" xfId="11" applyFont="1" applyFill="1" applyBorder="1"/>
    <xf numFmtId="49" fontId="17" fillId="0" borderId="1" xfId="11" applyNumberFormat="1" applyFont="1" applyFill="1" applyBorder="1"/>
    <xf numFmtId="49" fontId="11" fillId="0" borderId="0" xfId="11" applyNumberFormat="1" applyFont="1" applyFill="1" applyBorder="1"/>
    <xf numFmtId="0" fontId="11" fillId="0" borderId="0" xfId="11" applyFont="1" applyFill="1" applyBorder="1"/>
    <xf numFmtId="0" fontId="17" fillId="0" borderId="0" xfId="11" applyFont="1" applyFill="1" applyBorder="1"/>
    <xf numFmtId="0" fontId="17" fillId="0" borderId="0" xfId="11" applyFont="1"/>
    <xf numFmtId="0" fontId="17" fillId="0" borderId="12" xfId="11" applyFont="1" applyBorder="1"/>
    <xf numFmtId="0" fontId="17" fillId="0" borderId="18" xfId="11" applyFont="1" applyBorder="1"/>
    <xf numFmtId="0" fontId="17" fillId="0" borderId="25" xfId="11" applyFont="1" applyBorder="1"/>
    <xf numFmtId="0" fontId="17" fillId="0" borderId="26" xfId="11" applyFont="1" applyBorder="1"/>
    <xf numFmtId="0" fontId="6" fillId="0" borderId="0" xfId="11" applyFont="1" applyFill="1"/>
    <xf numFmtId="0" fontId="11" fillId="0" borderId="25" xfId="11" applyFont="1" applyFill="1" applyBorder="1"/>
    <xf numFmtId="203" fontId="11" fillId="0" borderId="1" xfId="11" applyNumberFormat="1" applyFont="1" applyFill="1" applyBorder="1"/>
    <xf numFmtId="0" fontId="11" fillId="0" borderId="1" xfId="11" applyFont="1" applyFill="1" applyBorder="1"/>
    <xf numFmtId="43" fontId="11" fillId="0" borderId="1" xfId="11" applyNumberFormat="1" applyFont="1" applyFill="1" applyBorder="1"/>
    <xf numFmtId="43" fontId="11" fillId="0" borderId="44" xfId="11" applyNumberFormat="1" applyFont="1" applyFill="1" applyBorder="1"/>
    <xf numFmtId="43" fontId="11" fillId="0" borderId="26" xfId="11" applyNumberFormat="1" applyFont="1" applyFill="1" applyBorder="1"/>
    <xf numFmtId="168" fontId="17" fillId="0" borderId="0" xfId="536" applyFont="1" applyFill="1"/>
    <xf numFmtId="203" fontId="17" fillId="0" borderId="0" xfId="11" applyNumberFormat="1" applyFont="1" applyFill="1" applyBorder="1"/>
    <xf numFmtId="0" fontId="3" fillId="21" borderId="0" xfId="11" applyFont="1" applyFill="1"/>
    <xf numFmtId="49" fontId="3" fillId="21" borderId="0" xfId="11" applyNumberFormat="1" applyFont="1" applyFill="1"/>
    <xf numFmtId="0" fontId="7" fillId="21" borderId="0" xfId="11" applyFont="1" applyFill="1"/>
    <xf numFmtId="0" fontId="3" fillId="21" borderId="1" xfId="11" applyFont="1" applyFill="1" applyBorder="1"/>
    <xf numFmtId="49" fontId="3" fillId="21" borderId="1" xfId="11" applyNumberFormat="1" applyFont="1" applyFill="1" applyBorder="1"/>
    <xf numFmtId="0" fontId="3" fillId="20" borderId="0" xfId="11" applyFont="1" applyFill="1" applyBorder="1"/>
    <xf numFmtId="49" fontId="7" fillId="20" borderId="0" xfId="11" applyNumberFormat="1" applyFont="1" applyFill="1" applyBorder="1"/>
    <xf numFmtId="0" fontId="7" fillId="20" borderId="0" xfId="11" applyFont="1" applyFill="1" applyBorder="1"/>
    <xf numFmtId="0" fontId="108" fillId="20" borderId="0" xfId="11" applyFont="1" applyFill="1" applyBorder="1"/>
    <xf numFmtId="208" fontId="108" fillId="20" borderId="0" xfId="684" applyNumberFormat="1" applyFont="1" applyFill="1" applyBorder="1"/>
    <xf numFmtId="167" fontId="3" fillId="20" borderId="0" xfId="11" applyNumberFormat="1" applyFont="1" applyFill="1" applyBorder="1"/>
    <xf numFmtId="0" fontId="109" fillId="20" borderId="0" xfId="11" applyFont="1" applyFill="1" applyBorder="1"/>
    <xf numFmtId="208" fontId="109" fillId="20" borderId="0" xfId="684" applyNumberFormat="1" applyFont="1" applyFill="1" applyBorder="1"/>
    <xf numFmtId="0" fontId="3" fillId="0" borderId="0" xfId="7"/>
    <xf numFmtId="0" fontId="3" fillId="0" borderId="0" xfId="7" applyFont="1" applyBorder="1"/>
    <xf numFmtId="0" fontId="3" fillId="20" borderId="0" xfId="7" applyFont="1" applyFill="1" applyBorder="1"/>
    <xf numFmtId="167" fontId="3" fillId="20" borderId="0" xfId="12" applyFont="1" applyFill="1" applyBorder="1"/>
    <xf numFmtId="0" fontId="110" fillId="0" borderId="0" xfId="11" applyFont="1"/>
    <xf numFmtId="0" fontId="7" fillId="20" borderId="0" xfId="11" applyFont="1" applyFill="1" applyBorder="1" applyAlignment="1">
      <alignment horizontal="right"/>
    </xf>
    <xf numFmtId="0" fontId="3" fillId="20" borderId="0" xfId="11" applyFont="1" applyFill="1"/>
    <xf numFmtId="0" fontId="3" fillId="20" borderId="27" xfId="11" applyFont="1" applyFill="1" applyBorder="1" applyAlignment="1">
      <alignment horizontal="center"/>
    </xf>
    <xf numFmtId="0" fontId="3" fillId="20" borderId="30" xfId="11" applyFont="1" applyFill="1" applyBorder="1" applyAlignment="1">
      <alignment horizontal="center"/>
    </xf>
    <xf numFmtId="0" fontId="3" fillId="20" borderId="28" xfId="11" applyFont="1" applyFill="1" applyBorder="1" applyAlignment="1">
      <alignment horizontal="center"/>
    </xf>
    <xf numFmtId="0" fontId="3" fillId="20" borderId="45" xfId="11" applyFont="1" applyFill="1" applyBorder="1" applyAlignment="1">
      <alignment horizontal="center"/>
    </xf>
    <xf numFmtId="0" fontId="3" fillId="20" borderId="11" xfId="11" applyFont="1" applyFill="1" applyBorder="1" applyAlignment="1">
      <alignment horizontal="center"/>
    </xf>
    <xf numFmtId="0" fontId="3" fillId="20" borderId="0" xfId="11" applyFont="1" applyFill="1" applyBorder="1" applyAlignment="1">
      <alignment horizontal="center"/>
    </xf>
    <xf numFmtId="0" fontId="3" fillId="20" borderId="29" xfId="11" applyFont="1" applyFill="1" applyBorder="1" applyAlignment="1">
      <alignment horizontal="center"/>
    </xf>
    <xf numFmtId="0" fontId="3" fillId="20" borderId="46" xfId="11" applyFont="1" applyFill="1" applyBorder="1" applyAlignment="1">
      <alignment horizontal="center"/>
    </xf>
    <xf numFmtId="0" fontId="7" fillId="20" borderId="0" xfId="11" applyFont="1" applyFill="1" applyBorder="1" applyAlignment="1">
      <alignment horizontal="center" wrapText="1"/>
    </xf>
    <xf numFmtId="0" fontId="7" fillId="20" borderId="47" xfId="11" applyFont="1" applyFill="1" applyBorder="1" applyAlignment="1">
      <alignment horizontal="left" wrapText="1"/>
    </xf>
    <xf numFmtId="0" fontId="7" fillId="20" borderId="11" xfId="11" applyFont="1" applyFill="1" applyBorder="1" applyAlignment="1">
      <alignment horizontal="center" wrapText="1"/>
    </xf>
    <xf numFmtId="0" fontId="7" fillId="20" borderId="48" xfId="11" applyFont="1" applyFill="1" applyBorder="1" applyAlignment="1">
      <alignment horizontal="center" wrapText="1"/>
    </xf>
    <xf numFmtId="0" fontId="7" fillId="20" borderId="29" xfId="11" applyFont="1" applyFill="1" applyBorder="1" applyAlignment="1">
      <alignment horizontal="center" wrapText="1"/>
    </xf>
    <xf numFmtId="0" fontId="7" fillId="20" borderId="46" xfId="11" applyFont="1" applyFill="1" applyBorder="1" applyAlignment="1">
      <alignment horizontal="center" wrapText="1"/>
    </xf>
    <xf numFmtId="0" fontId="7" fillId="20" borderId="49" xfId="11" applyFont="1" applyFill="1" applyBorder="1" applyAlignment="1">
      <alignment horizontal="left" wrapText="1"/>
    </xf>
    <xf numFmtId="0" fontId="7" fillId="20" borderId="50" xfId="11" applyFont="1" applyFill="1" applyBorder="1" applyAlignment="1">
      <alignment horizontal="left" wrapText="1"/>
    </xf>
    <xf numFmtId="0" fontId="7" fillId="20" borderId="51" xfId="11" applyFont="1" applyFill="1" applyBorder="1" applyAlignment="1">
      <alignment horizontal="center" wrapText="1"/>
    </xf>
    <xf numFmtId="0" fontId="7" fillId="20" borderId="49" xfId="11" applyFont="1" applyFill="1" applyBorder="1" applyAlignment="1">
      <alignment horizontal="center" wrapText="1"/>
    </xf>
    <xf numFmtId="0" fontId="7" fillId="20" borderId="52" xfId="11" applyFont="1" applyFill="1" applyBorder="1" applyAlignment="1">
      <alignment horizontal="center" wrapText="1"/>
    </xf>
    <xf numFmtId="0" fontId="7" fillId="20" borderId="53" xfId="11" applyFont="1" applyFill="1" applyBorder="1" applyAlignment="1">
      <alignment horizontal="center" wrapText="1"/>
    </xf>
    <xf numFmtId="0" fontId="7" fillId="20" borderId="54" xfId="11" applyFont="1" applyFill="1" applyBorder="1" applyAlignment="1">
      <alignment horizontal="center" wrapText="1"/>
    </xf>
    <xf numFmtId="0" fontId="7" fillId="20" borderId="55" xfId="11" applyFont="1" applyFill="1" applyBorder="1" applyAlignment="1">
      <alignment horizontal="center" wrapText="1"/>
    </xf>
    <xf numFmtId="167" fontId="109" fillId="20" borderId="11" xfId="12" applyNumberFormat="1" applyFont="1" applyFill="1" applyBorder="1"/>
    <xf numFmtId="167" fontId="109" fillId="20" borderId="0" xfId="12" applyNumberFormat="1" applyFont="1" applyFill="1" applyBorder="1"/>
    <xf numFmtId="167" fontId="109" fillId="20" borderId="29" xfId="12" applyNumberFormat="1" applyFont="1" applyFill="1" applyBorder="1"/>
    <xf numFmtId="167" fontId="3" fillId="20" borderId="0" xfId="12" applyNumberFormat="1" applyFont="1" applyFill="1" applyBorder="1" applyAlignment="1">
      <alignment horizontal="left" indent="3"/>
    </xf>
    <xf numFmtId="167" fontId="109" fillId="20" borderId="46" xfId="12" applyNumberFormat="1" applyFont="1" applyFill="1" applyBorder="1"/>
    <xf numFmtId="0" fontId="6" fillId="20" borderId="0" xfId="11" applyFont="1" applyFill="1" applyBorder="1"/>
    <xf numFmtId="0" fontId="3" fillId="10" borderId="49" xfId="11" applyFont="1" applyFill="1" applyBorder="1"/>
    <xf numFmtId="204" fontId="111" fillId="0" borderId="50" xfId="536" applyNumberFormat="1" applyFont="1" applyFill="1" applyBorder="1"/>
    <xf numFmtId="209" fontId="112" fillId="20" borderId="0" xfId="12" applyNumberFormat="1" applyFont="1" applyFill="1" applyBorder="1"/>
    <xf numFmtId="209" fontId="68" fillId="20" borderId="29" xfId="12" applyNumberFormat="1" applyFont="1" applyFill="1" applyBorder="1"/>
    <xf numFmtId="209" fontId="112" fillId="20" borderId="0" xfId="12" applyNumberFormat="1" applyFont="1" applyFill="1" applyBorder="1" applyAlignment="1">
      <alignment horizontal="left" indent="3"/>
    </xf>
    <xf numFmtId="209" fontId="3" fillId="20" borderId="0" xfId="12" applyNumberFormat="1" applyFont="1" applyFill="1" applyBorder="1"/>
    <xf numFmtId="209" fontId="3" fillId="20" borderId="46" xfId="12" applyNumberFormat="1" applyFont="1" applyFill="1" applyBorder="1"/>
    <xf numFmtId="0" fontId="3" fillId="0" borderId="65" xfId="11" applyFont="1" applyFill="1" applyBorder="1"/>
    <xf numFmtId="0" fontId="7" fillId="0" borderId="65" xfId="11" applyFont="1" applyFill="1" applyBorder="1"/>
    <xf numFmtId="49" fontId="7" fillId="0" borderId="65" xfId="11" applyNumberFormat="1" applyFont="1" applyFill="1" applyBorder="1"/>
    <xf numFmtId="167" fontId="3" fillId="0" borderId="63" xfId="12" applyFont="1" applyFill="1" applyBorder="1"/>
    <xf numFmtId="1" fontId="12" fillId="10" borderId="63" xfId="6" applyNumberFormat="1" applyFont="1" applyFill="1" applyBorder="1" applyAlignment="1">
      <alignment horizontal="right" vertical="top"/>
    </xf>
    <xf numFmtId="0" fontId="3" fillId="0" borderId="64" xfId="11" applyFont="1" applyFill="1" applyBorder="1"/>
    <xf numFmtId="0" fontId="97" fillId="0" borderId="63" xfId="11" applyFont="1" applyBorder="1"/>
    <xf numFmtId="168" fontId="12" fillId="0" borderId="63" xfId="536" applyFont="1" applyFill="1" applyBorder="1" applyAlignment="1">
      <alignment horizontal="center" vertical="top"/>
    </xf>
    <xf numFmtId="167" fontId="3" fillId="0" borderId="63" xfId="762" applyNumberFormat="1" applyFont="1" applyFill="1" applyBorder="1" applyAlignment="1"/>
    <xf numFmtId="1" fontId="12" fillId="0" borderId="63" xfId="6" applyNumberFormat="1" applyFont="1" applyFill="1" applyBorder="1" applyAlignment="1">
      <alignment horizontal="center" vertical="top"/>
    </xf>
    <xf numFmtId="0" fontId="17" fillId="0" borderId="66" xfId="11" applyFont="1" applyFill="1" applyBorder="1"/>
    <xf numFmtId="0" fontId="17" fillId="0" borderId="65" xfId="11" applyFont="1" applyFill="1" applyBorder="1"/>
    <xf numFmtId="203" fontId="17" fillId="0" borderId="65" xfId="11" applyNumberFormat="1" applyFont="1" applyFill="1" applyBorder="1"/>
    <xf numFmtId="0" fontId="17" fillId="0" borderId="64" xfId="11" applyFont="1" applyFill="1" applyBorder="1"/>
    <xf numFmtId="43" fontId="17" fillId="0" borderId="66" xfId="11" applyNumberFormat="1" applyFont="1" applyFill="1" applyBorder="1"/>
    <xf numFmtId="1" fontId="17" fillId="0" borderId="63" xfId="536" applyNumberFormat="1" applyFont="1" applyFill="1" applyBorder="1" applyAlignment="1">
      <alignment horizontal="center"/>
    </xf>
    <xf numFmtId="168" fontId="17" fillId="0" borderId="67" xfId="536" applyFont="1" applyFill="1" applyBorder="1"/>
    <xf numFmtId="43" fontId="17" fillId="0" borderId="63" xfId="11" applyNumberFormat="1" applyFont="1" applyFill="1" applyBorder="1"/>
    <xf numFmtId="206" fontId="17" fillId="0" borderId="68" xfId="11" applyNumberFormat="1" applyFont="1" applyFill="1" applyBorder="1"/>
    <xf numFmtId="0" fontId="17" fillId="0" borderId="68" xfId="11" applyFont="1" applyFill="1" applyBorder="1"/>
    <xf numFmtId="168" fontId="17" fillId="0" borderId="64" xfId="536" applyFont="1" applyFill="1" applyBorder="1"/>
    <xf numFmtId="206" fontId="17" fillId="0" borderId="63" xfId="11" applyNumberFormat="1" applyFont="1" applyFill="1" applyBorder="1"/>
    <xf numFmtId="0" fontId="17" fillId="0" borderId="63" xfId="11" applyFont="1" applyFill="1" applyBorder="1"/>
    <xf numFmtId="1" fontId="17" fillId="0" borderId="63" xfId="11" applyNumberFormat="1" applyFont="1" applyFill="1" applyBorder="1" applyAlignment="1">
      <alignment horizontal="center"/>
    </xf>
    <xf numFmtId="43" fontId="17" fillId="0" borderId="64" xfId="11" applyNumberFormat="1" applyFont="1" applyFill="1" applyBorder="1"/>
    <xf numFmtId="203" fontId="17" fillId="0" borderId="63" xfId="11" applyNumberFormat="1" applyFont="1" applyFill="1" applyBorder="1"/>
    <xf numFmtId="205" fontId="17" fillId="0" borderId="63" xfId="11" applyNumberFormat="1" applyFont="1" applyFill="1" applyBorder="1"/>
    <xf numFmtId="43" fontId="11" fillId="0" borderId="66" xfId="11" applyNumberFormat="1" applyFont="1" applyFill="1" applyBorder="1"/>
    <xf numFmtId="43" fontId="11" fillId="0" borderId="63" xfId="11" applyNumberFormat="1" applyFont="1" applyFill="1" applyBorder="1"/>
    <xf numFmtId="43" fontId="11" fillId="0" borderId="65" xfId="11" applyNumberFormat="1" applyFont="1" applyFill="1" applyBorder="1"/>
    <xf numFmtId="0" fontId="11" fillId="0" borderId="65" xfId="11" applyFont="1" applyFill="1" applyBorder="1"/>
    <xf numFmtId="203" fontId="11" fillId="0" borderId="65" xfId="11" applyNumberFormat="1" applyFont="1" applyFill="1" applyBorder="1"/>
    <xf numFmtId="0" fontId="11" fillId="0" borderId="64" xfId="11" applyFont="1" applyFill="1" applyBorder="1"/>
    <xf numFmtId="202" fontId="11" fillId="0" borderId="66" xfId="11" applyNumberFormat="1" applyFont="1" applyFill="1" applyBorder="1"/>
    <xf numFmtId="202" fontId="17" fillId="0" borderId="66" xfId="11" applyNumberFormat="1" applyFont="1" applyFill="1" applyBorder="1"/>
    <xf numFmtId="207" fontId="17" fillId="0" borderId="63" xfId="11" applyNumberFormat="1" applyFont="1" applyFill="1" applyBorder="1"/>
    <xf numFmtId="49" fontId="11" fillId="0" borderId="65" xfId="11" applyNumberFormat="1" applyFont="1" applyFill="1" applyBorder="1"/>
    <xf numFmtId="203" fontId="17" fillId="0" borderId="63" xfId="536" applyNumberFormat="1" applyFont="1" applyFill="1" applyBorder="1" applyAlignment="1">
      <alignment horizontal="right" vertical="top"/>
    </xf>
    <xf numFmtId="0" fontId="17" fillId="0" borderId="69" xfId="11" applyFont="1" applyBorder="1"/>
    <xf numFmtId="0" fontId="17" fillId="0" borderId="67" xfId="11" applyFont="1" applyBorder="1"/>
    <xf numFmtId="168" fontId="17" fillId="10" borderId="63" xfId="536" applyFont="1" applyFill="1" applyBorder="1" applyAlignment="1">
      <alignment horizontal="right" vertical="top"/>
    </xf>
    <xf numFmtId="0" fontId="17" fillId="0" borderId="66" xfId="11" applyFont="1" applyBorder="1"/>
    <xf numFmtId="0" fontId="17" fillId="0" borderId="65" xfId="11" applyFont="1" applyBorder="1"/>
    <xf numFmtId="0" fontId="11" fillId="0" borderId="64" xfId="11" applyFont="1" applyBorder="1"/>
    <xf numFmtId="0" fontId="3" fillId="40" borderId="65" xfId="11" applyFont="1" applyFill="1" applyBorder="1"/>
    <xf numFmtId="0" fontId="7" fillId="40" borderId="65" xfId="11" applyFont="1" applyFill="1" applyBorder="1"/>
    <xf numFmtId="49" fontId="7" fillId="40" borderId="65" xfId="11" applyNumberFormat="1" applyFont="1" applyFill="1" applyBorder="1"/>
    <xf numFmtId="0" fontId="3" fillId="0" borderId="63" xfId="7" applyFont="1" applyBorder="1"/>
    <xf numFmtId="0" fontId="7" fillId="0" borderId="63" xfId="7" applyFont="1" applyBorder="1"/>
    <xf numFmtId="167" fontId="3" fillId="10" borderId="63" xfId="12" applyFont="1" applyFill="1" applyBorder="1"/>
    <xf numFmtId="0" fontId="3" fillId="0" borderId="63" xfId="11" applyFont="1" applyBorder="1"/>
    <xf numFmtId="0" fontId="7" fillId="0" borderId="63" xfId="11" applyFont="1" applyBorder="1"/>
    <xf numFmtId="0" fontId="7" fillId="20" borderId="3" xfId="11" applyFont="1" applyFill="1" applyBorder="1" applyAlignment="1">
      <alignment horizontal="center"/>
    </xf>
    <xf numFmtId="0" fontId="2" fillId="0" borderId="0" xfId="0" applyFont="1" applyFill="1" applyBorder="1" applyAlignment="1"/>
    <xf numFmtId="0" fontId="2" fillId="12" borderId="0" xfId="0" applyFont="1" applyFill="1" applyBorder="1" applyAlignment="1">
      <alignment wrapText="1"/>
    </xf>
    <xf numFmtId="0" fontId="3" fillId="20" borderId="0" xfId="783" applyFont="1" applyFill="1"/>
    <xf numFmtId="0" fontId="3" fillId="20" borderId="0" xfId="783" applyFont="1" applyFill="1" applyAlignment="1">
      <alignment wrapText="1"/>
    </xf>
    <xf numFmtId="0" fontId="3" fillId="20" borderId="0" xfId="783" applyFont="1" applyFill="1" applyBorder="1"/>
    <xf numFmtId="212" fontId="3" fillId="20" borderId="0" xfId="783" applyNumberFormat="1" applyFont="1" applyFill="1" applyBorder="1"/>
    <xf numFmtId="209" fontId="3" fillId="20" borderId="0" xfId="783" applyNumberFormat="1" applyFont="1" applyFill="1" applyBorder="1"/>
    <xf numFmtId="0" fontId="130" fillId="46" borderId="7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133" fillId="0" borderId="0" xfId="0" applyFont="1" applyAlignment="1">
      <alignment horizontal="left" vertical="center" readingOrder="1"/>
    </xf>
    <xf numFmtId="0" fontId="2" fillId="0" borderId="0" xfId="0" applyFont="1" applyFill="1"/>
    <xf numFmtId="0" fontId="6" fillId="0" borderId="0" xfId="0" applyFont="1" applyFill="1"/>
    <xf numFmtId="4" fontId="3" fillId="0" borderId="84" xfId="0" applyNumberFormat="1" applyFont="1" applyFill="1" applyBorder="1" applyAlignment="1" applyProtection="1">
      <alignment horizontal="center"/>
    </xf>
    <xf numFmtId="0" fontId="4" fillId="0" borderId="0" xfId="0" applyFont="1" applyFill="1"/>
    <xf numFmtId="0" fontId="110" fillId="0" borderId="0" xfId="11" applyFont="1" applyFill="1"/>
    <xf numFmtId="0" fontId="10" fillId="0" borderId="0" xfId="11" applyFill="1"/>
    <xf numFmtId="3" fontId="20" fillId="3" borderId="84" xfId="0" applyNumberFormat="1" applyFont="1" applyFill="1" applyBorder="1" applyAlignment="1" applyProtection="1">
      <alignment horizontal="left"/>
    </xf>
    <xf numFmtId="3" fontId="20" fillId="3" borderId="84" xfId="0" applyNumberFormat="1" applyFont="1" applyFill="1" applyBorder="1" applyAlignment="1" applyProtection="1">
      <alignment horizontal="center"/>
    </xf>
    <xf numFmtId="3" fontId="20" fillId="14" borderId="84" xfId="0" applyNumberFormat="1" applyFont="1" applyFill="1" applyBorder="1" applyAlignment="1" applyProtection="1">
      <alignment horizontal="center"/>
    </xf>
    <xf numFmtId="3" fontId="20" fillId="14" borderId="84" xfId="0" applyNumberFormat="1" applyFont="1" applyFill="1" applyBorder="1" applyAlignment="1" applyProtection="1">
      <alignment horizontal="left"/>
    </xf>
    <xf numFmtId="3" fontId="7" fillId="0" borderId="85" xfId="0" applyNumberFormat="1" applyFont="1" applyBorder="1" applyAlignment="1" applyProtection="1"/>
    <xf numFmtId="4" fontId="223" fillId="10" borderId="84" xfId="0" applyNumberFormat="1" applyFont="1" applyFill="1" applyBorder="1" applyAlignment="1" applyProtection="1">
      <alignment horizontal="center"/>
    </xf>
    <xf numFmtId="4" fontId="224" fillId="0" borderId="84" xfId="0" applyNumberFormat="1" applyFont="1" applyFill="1" applyBorder="1" applyAlignment="1" applyProtection="1">
      <alignment horizontal="center"/>
    </xf>
    <xf numFmtId="4" fontId="4" fillId="10" borderId="84" xfId="0" applyNumberFormat="1" applyFont="1" applyFill="1" applyBorder="1" applyAlignment="1" applyProtection="1">
      <alignment horizontal="center"/>
    </xf>
    <xf numFmtId="4" fontId="27" fillId="10" borderId="84" xfId="0" applyNumberFormat="1" applyFont="1" applyFill="1" applyBorder="1" applyAlignment="1" applyProtection="1">
      <alignment horizontal="center"/>
    </xf>
    <xf numFmtId="211" fontId="112" fillId="0" borderId="11" xfId="12" applyNumberFormat="1" applyFont="1" applyFill="1" applyBorder="1"/>
    <xf numFmtId="209" fontId="112" fillId="0" borderId="0" xfId="12" applyNumberFormat="1" applyFont="1" applyFill="1" applyBorder="1" applyAlignment="1">
      <alignment horizontal="left" indent="3"/>
    </xf>
    <xf numFmtId="209" fontId="112" fillId="0" borderId="0" xfId="12" applyNumberFormat="1" applyFont="1" applyFill="1" applyBorder="1"/>
    <xf numFmtId="0" fontId="3" fillId="0" borderId="0" xfId="783" applyFont="1" applyFill="1" applyBorder="1"/>
    <xf numFmtId="0" fontId="2" fillId="7" borderId="0" xfId="0" applyFont="1" applyFill="1"/>
    <xf numFmtId="43" fontId="2" fillId="7" borderId="0" xfId="760" applyFont="1" applyFill="1"/>
    <xf numFmtId="0" fontId="0" fillId="7" borderId="0" xfId="0" applyFill="1"/>
    <xf numFmtId="0" fontId="225" fillId="0" borderId="3" xfId="0" applyFont="1" applyBorder="1" applyAlignment="1">
      <alignment vertical="top" wrapText="1"/>
    </xf>
    <xf numFmtId="0" fontId="225" fillId="0" borderId="3" xfId="0" applyFont="1" applyFill="1" applyBorder="1" applyAlignment="1">
      <alignment vertical="top" wrapText="1"/>
    </xf>
    <xf numFmtId="0" fontId="225" fillId="0" borderId="3" xfId="0" applyFont="1" applyBorder="1" applyAlignment="1">
      <alignment horizontal="left" vertical="top" wrapText="1"/>
    </xf>
    <xf numFmtId="43" fontId="225" fillId="0" borderId="3" xfId="760" applyFont="1" applyBorder="1" applyAlignment="1">
      <alignment horizontal="left" vertical="top" wrapText="1"/>
    </xf>
    <xf numFmtId="0" fontId="225" fillId="0" borderId="2" xfId="0" applyFont="1" applyBorder="1" applyAlignment="1">
      <alignment horizontal="left" vertical="top" wrapText="1"/>
    </xf>
    <xf numFmtId="43" fontId="0" fillId="0" borderId="3" xfId="0" applyNumberFormat="1" applyFill="1" applyBorder="1"/>
    <xf numFmtId="43" fontId="0" fillId="0" borderId="3" xfId="0" applyNumberFormat="1" applyBorder="1"/>
    <xf numFmtId="43" fontId="0" fillId="0" borderId="3" xfId="760" applyFont="1" applyBorder="1"/>
    <xf numFmtId="43" fontId="0" fillId="0" borderId="2" xfId="0" applyNumberFormat="1" applyBorder="1"/>
    <xf numFmtId="43" fontId="0" fillId="0" borderId="3" xfId="760" applyFont="1" applyFill="1" applyBorder="1"/>
    <xf numFmtId="43" fontId="0" fillId="7" borderId="3" xfId="0" applyNumberFormat="1" applyFill="1" applyBorder="1"/>
    <xf numFmtId="43" fontId="0" fillId="7" borderId="3" xfId="760" applyFont="1" applyFill="1" applyBorder="1"/>
    <xf numFmtId="43" fontId="0" fillId="7" borderId="2" xfId="0" applyNumberFormat="1" applyFill="1" applyBorder="1"/>
    <xf numFmtId="43" fontId="225" fillId="0" borderId="3" xfId="0" applyNumberFormat="1" applyFont="1" applyFill="1" applyBorder="1"/>
    <xf numFmtId="43" fontId="225" fillId="0" borderId="3" xfId="0" applyNumberFormat="1" applyFont="1" applyFill="1" applyBorder="1" applyAlignment="1">
      <alignment vertical="top" wrapText="1"/>
    </xf>
    <xf numFmtId="202" fontId="0" fillId="0" borderId="3" xfId="760" applyNumberFormat="1" applyFont="1" applyBorder="1"/>
    <xf numFmtId="0" fontId="0" fillId="0" borderId="3" xfId="0" applyFill="1" applyBorder="1"/>
    <xf numFmtId="0" fontId="0" fillId="0" borderId="2" xfId="0" applyFill="1" applyBorder="1"/>
    <xf numFmtId="0" fontId="0" fillId="7" borderId="3" xfId="0" applyFill="1" applyBorder="1"/>
    <xf numFmtId="0" fontId="0" fillId="7" borderId="2" xfId="0" applyFill="1" applyBorder="1"/>
    <xf numFmtId="0" fontId="226" fillId="0" borderId="3" xfId="0" applyFont="1" applyFill="1" applyBorder="1"/>
    <xf numFmtId="43" fontId="226" fillId="0" borderId="3" xfId="760" applyFont="1" applyFill="1" applyBorder="1"/>
    <xf numFmtId="0" fontId="226" fillId="0" borderId="2" xfId="0" applyFont="1" applyFill="1" applyBorder="1"/>
    <xf numFmtId="43" fontId="0" fillId="0" borderId="2" xfId="0" applyNumberFormat="1" applyFill="1" applyBorder="1"/>
    <xf numFmtId="202" fontId="0" fillId="0" borderId="3" xfId="760" applyNumberFormat="1" applyFont="1" applyFill="1" applyBorder="1"/>
    <xf numFmtId="0" fontId="225" fillId="0" borderId="3" xfId="0" applyFont="1" applyFill="1" applyBorder="1" applyAlignment="1">
      <alignment wrapText="1"/>
    </xf>
    <xf numFmtId="0" fontId="225" fillId="0" borderId="2" xfId="0" applyFont="1" applyFill="1" applyBorder="1" applyAlignment="1">
      <alignment wrapText="1"/>
    </xf>
    <xf numFmtId="0" fontId="0" fillId="0" borderId="2" xfId="0" applyBorder="1"/>
    <xf numFmtId="0" fontId="227" fillId="0" borderId="3" xfId="0" applyFont="1" applyBorder="1"/>
    <xf numFmtId="43" fontId="225" fillId="0" borderId="2" xfId="0" applyNumberFormat="1" applyFont="1" applyFill="1" applyBorder="1" applyAlignment="1">
      <alignment wrapText="1"/>
    </xf>
    <xf numFmtId="43" fontId="0" fillId="7" borderId="0" xfId="760" applyFont="1" applyFill="1"/>
    <xf numFmtId="43" fontId="0" fillId="7" borderId="0" xfId="0" applyNumberFormat="1" applyFill="1" applyBorder="1"/>
    <xf numFmtId="0" fontId="0" fillId="0" borderId="13" xfId="0" applyBorder="1"/>
    <xf numFmtId="43" fontId="225" fillId="0" borderId="3" xfId="760" applyFont="1" applyBorder="1" applyAlignment="1">
      <alignment wrapText="1"/>
    </xf>
    <xf numFmtId="0" fontId="0" fillId="0" borderId="3" xfId="0" applyBorder="1" applyAlignment="1">
      <alignment vertical="top"/>
    </xf>
    <xf numFmtId="43" fontId="0" fillId="0" borderId="0" xfId="760" applyFont="1"/>
    <xf numFmtId="10" fontId="96" fillId="0" borderId="9" xfId="1" applyNumberFormat="1" applyFont="1" applyFill="1" applyBorder="1"/>
    <xf numFmtId="0" fontId="3" fillId="21" borderId="0" xfId="0" applyFont="1" applyFill="1"/>
    <xf numFmtId="49" fontId="3" fillId="21" borderId="0" xfId="0" applyNumberFormat="1" applyFont="1" applyFill="1"/>
    <xf numFmtId="0" fontId="7" fillId="21" borderId="0" xfId="0" applyFont="1" applyFill="1"/>
    <xf numFmtId="0" fontId="3" fillId="21" borderId="1" xfId="0" applyFont="1" applyFill="1" applyBorder="1"/>
    <xf numFmtId="49" fontId="3" fillId="21" borderId="1" xfId="0" applyNumberFormat="1" applyFont="1" applyFill="1" applyBorder="1"/>
    <xf numFmtId="49" fontId="3" fillId="0" borderId="0" xfId="0" applyNumberFormat="1" applyFont="1"/>
    <xf numFmtId="0" fontId="7" fillId="0" borderId="0" xfId="0" applyFont="1"/>
    <xf numFmtId="0" fontId="3" fillId="40" borderId="5" xfId="0" applyFont="1" applyFill="1" applyBorder="1"/>
    <xf numFmtId="49" fontId="7" fillId="40" borderId="5" xfId="0" applyNumberFormat="1" applyFont="1" applyFill="1" applyBorder="1"/>
    <xf numFmtId="0" fontId="7" fillId="40" borderId="5" xfId="0" applyFont="1" applyFill="1" applyBorder="1"/>
    <xf numFmtId="0" fontId="96" fillId="0" borderId="0" xfId="0" applyFont="1"/>
    <xf numFmtId="49" fontId="0" fillId="0" borderId="0" xfId="0" applyNumberFormat="1"/>
    <xf numFmtId="0" fontId="5" fillId="0" borderId="0" xfId="0" applyFont="1"/>
    <xf numFmtId="0" fontId="13" fillId="0" borderId="22" xfId="0" applyFont="1" applyBorder="1"/>
    <xf numFmtId="0" fontId="3" fillId="0" borderId="115" xfId="0" applyFont="1" applyBorder="1"/>
    <xf numFmtId="0" fontId="5" fillId="0" borderId="43" xfId="0" applyFont="1" applyBorder="1"/>
    <xf numFmtId="0" fontId="3" fillId="125" borderId="12" xfId="0" applyFont="1" applyFill="1" applyBorder="1"/>
    <xf numFmtId="0" fontId="228" fillId="125" borderId="0" xfId="0" applyFont="1" applyFill="1" applyBorder="1"/>
    <xf numFmtId="0" fontId="229" fillId="125" borderId="18" xfId="0" applyFont="1" applyFill="1" applyBorder="1"/>
    <xf numFmtId="167" fontId="3" fillId="125" borderId="63" xfId="12" applyFont="1" applyFill="1" applyBorder="1"/>
    <xf numFmtId="1" fontId="12" fillId="125" borderId="63" xfId="6" applyNumberFormat="1" applyFont="1" applyFill="1" applyBorder="1" applyAlignment="1">
      <alignment horizontal="center" vertical="top"/>
    </xf>
    <xf numFmtId="10" fontId="12" fillId="125" borderId="63" xfId="684" applyNumberFormat="1" applyFont="1" applyFill="1" applyBorder="1" applyAlignment="1">
      <alignment horizontal="center" vertical="top"/>
    </xf>
    <xf numFmtId="1" fontId="12" fillId="125" borderId="63" xfId="6" applyNumberFormat="1" applyFont="1" applyFill="1" applyBorder="1" applyAlignment="1">
      <alignment horizontal="right" vertical="top"/>
    </xf>
    <xf numFmtId="9" fontId="12" fillId="125" borderId="63" xfId="684" applyNumberFormat="1" applyFont="1" applyFill="1" applyBorder="1" applyAlignment="1">
      <alignment horizontal="center" vertical="top"/>
    </xf>
    <xf numFmtId="9" fontId="12" fillId="125" borderId="63" xfId="684" applyFont="1" applyFill="1" applyBorder="1" applyAlignment="1">
      <alignment horizontal="center" vertical="top"/>
    </xf>
    <xf numFmtId="203" fontId="12" fillId="125" borderId="63" xfId="536" applyNumberFormat="1" applyFont="1" applyFill="1" applyBorder="1" applyAlignment="1">
      <alignment horizontal="right" vertical="top"/>
    </xf>
    <xf numFmtId="0" fontId="6" fillId="3" borderId="0" xfId="0" applyFont="1" applyFill="1"/>
    <xf numFmtId="167" fontId="4" fillId="0" borderId="0" xfId="5" applyNumberFormat="1" applyFont="1" applyFill="1" applyBorder="1"/>
    <xf numFmtId="167" fontId="3" fillId="0" borderId="0" xfId="5" applyNumberFormat="1" applyFont="1" applyFill="1" applyBorder="1"/>
    <xf numFmtId="167" fontId="3" fillId="6" borderId="3" xfId="5" applyNumberFormat="1" applyFont="1" applyFill="1" applyBorder="1"/>
    <xf numFmtId="44" fontId="3" fillId="7" borderId="4" xfId="5" applyFont="1" applyFill="1" applyBorder="1"/>
    <xf numFmtId="167" fontId="3" fillId="8" borderId="4" xfId="5" applyNumberFormat="1" applyFont="1" applyFill="1" applyBorder="1"/>
    <xf numFmtId="167" fontId="3" fillId="8" borderId="3" xfId="5" applyNumberFormat="1" applyFont="1" applyFill="1" applyBorder="1" applyAlignment="1">
      <alignment horizontal="right"/>
    </xf>
    <xf numFmtId="167" fontId="3" fillId="0" borderId="3" xfId="5" applyNumberFormat="1" applyFont="1" applyFill="1" applyBorder="1"/>
    <xf numFmtId="167" fontId="3" fillId="0" borderId="3" xfId="5" applyNumberFormat="1" applyFont="1" applyFill="1" applyBorder="1" applyAlignment="1">
      <alignment horizontal="right"/>
    </xf>
    <xf numFmtId="167" fontId="3" fillId="0" borderId="4" xfId="5" applyNumberFormat="1" applyFont="1" applyFill="1" applyBorder="1"/>
    <xf numFmtId="168" fontId="5" fillId="0" borderId="0" xfId="8" applyNumberFormat="1" applyFont="1" applyFill="1" applyBorder="1"/>
    <xf numFmtId="169" fontId="3" fillId="0" borderId="0" xfId="5" applyNumberFormat="1" applyFont="1" applyFill="1" applyBorder="1"/>
    <xf numFmtId="169" fontId="0" fillId="0" borderId="0" xfId="0" applyNumberFormat="1"/>
    <xf numFmtId="168" fontId="17" fillId="0" borderId="0" xfId="8" applyNumberFormat="1" applyFont="1" applyFill="1" applyBorder="1"/>
    <xf numFmtId="0" fontId="3" fillId="0" borderId="3" xfId="3" applyFont="1" applyFill="1" applyBorder="1"/>
    <xf numFmtId="2" fontId="3" fillId="0" borderId="3" xfId="3" applyNumberFormat="1" applyFont="1" applyFill="1" applyBorder="1"/>
    <xf numFmtId="167" fontId="3" fillId="8" borderId="0" xfId="5" applyNumberFormat="1" applyFont="1" applyFill="1" applyBorder="1"/>
    <xf numFmtId="44" fontId="3" fillId="10" borderId="4" xfId="4" applyFont="1" applyFill="1" applyBorder="1"/>
    <xf numFmtId="44" fontId="3" fillId="10" borderId="3" xfId="4" applyFont="1" applyFill="1" applyBorder="1"/>
    <xf numFmtId="167" fontId="3" fillId="4" borderId="4" xfId="5" applyNumberFormat="1" applyFont="1" applyFill="1" applyBorder="1"/>
    <xf numFmtId="0" fontId="3" fillId="4" borderId="3" xfId="3" applyFont="1" applyFill="1" applyBorder="1" applyAlignment="1"/>
    <xf numFmtId="0" fontId="3" fillId="4" borderId="3" xfId="3" applyFont="1" applyFill="1" applyBorder="1"/>
    <xf numFmtId="0" fontId="4" fillId="126" borderId="4" xfId="0" applyFont="1" applyFill="1" applyBorder="1"/>
    <xf numFmtId="0" fontId="0" fillId="0" borderId="18" xfId="0" applyFill="1" applyBorder="1"/>
    <xf numFmtId="0" fontId="104" fillId="0" borderId="12" xfId="0" applyFont="1" applyFill="1" applyBorder="1"/>
    <xf numFmtId="2" fontId="0" fillId="0" borderId="18" xfId="0" applyNumberFormat="1" applyFill="1" applyBorder="1"/>
    <xf numFmtId="0" fontId="104" fillId="0" borderId="12" xfId="0" applyFont="1" applyFill="1" applyBorder="1" applyAlignment="1">
      <alignment horizontal="right"/>
    </xf>
    <xf numFmtId="201" fontId="104" fillId="0" borderId="0" xfId="1" applyNumberFormat="1" applyFont="1" applyFill="1" applyBorder="1"/>
    <xf numFmtId="201" fontId="0" fillId="0" borderId="0" xfId="1" applyNumberFormat="1" applyFont="1" applyFill="1" applyBorder="1"/>
    <xf numFmtId="2" fontId="104" fillId="0" borderId="0" xfId="0" applyNumberFormat="1" applyFont="1" applyFill="1" applyBorder="1"/>
    <xf numFmtId="2" fontId="0" fillId="0" borderId="12" xfId="0" applyNumberFormat="1" applyFill="1" applyBorder="1"/>
    <xf numFmtId="0" fontId="98" fillId="0" borderId="12" xfId="0" applyFont="1" applyFill="1" applyBorder="1"/>
    <xf numFmtId="4" fontId="99" fillId="0" borderId="0" xfId="0" applyNumberFormat="1" applyFont="1" applyFill="1" applyBorder="1"/>
    <xf numFmtId="0" fontId="99" fillId="0" borderId="0" xfId="0" applyFont="1" applyFill="1" applyAlignment="1">
      <alignment horizontal="left"/>
    </xf>
    <xf numFmtId="0" fontId="0" fillId="0" borderId="0" xfId="0" applyFill="1" applyAlignment="1">
      <alignment horizontal="center"/>
    </xf>
    <xf numFmtId="3" fontId="104" fillId="0" borderId="0" xfId="0" applyNumberFormat="1" applyFont="1" applyFill="1" applyBorder="1"/>
    <xf numFmtId="3" fontId="107" fillId="125" borderId="0" xfId="664" applyNumberFormat="1" applyFont="1" applyFill="1" applyBorder="1" applyAlignment="1">
      <alignment horizontal="center"/>
    </xf>
    <xf numFmtId="208" fontId="131" fillId="125" borderId="72" xfId="0" applyNumberFormat="1" applyFont="1" applyFill="1" applyBorder="1" applyAlignment="1">
      <alignment horizontal="center"/>
    </xf>
    <xf numFmtId="208" fontId="131" fillId="125" borderId="73" xfId="0" applyNumberFormat="1" applyFont="1" applyFill="1" applyBorder="1" applyAlignment="1">
      <alignment horizontal="center"/>
    </xf>
    <xf numFmtId="208" fontId="131" fillId="125" borderId="74" xfId="0" applyNumberFormat="1" applyFont="1" applyFill="1" applyBorder="1" applyAlignment="1">
      <alignment horizontal="center"/>
    </xf>
    <xf numFmtId="208" fontId="131" fillId="125" borderId="53" xfId="0" applyNumberFormat="1" applyFont="1" applyFill="1" applyBorder="1" applyAlignment="1">
      <alignment horizontal="center"/>
    </xf>
    <xf numFmtId="208" fontId="131" fillId="125" borderId="49" xfId="0" applyNumberFormat="1" applyFont="1" applyFill="1" applyBorder="1" applyAlignment="1">
      <alignment horizontal="center"/>
    </xf>
    <xf numFmtId="208" fontId="131" fillId="125" borderId="75" xfId="0" applyNumberFormat="1" applyFont="1" applyFill="1" applyBorder="1" applyAlignment="1">
      <alignment horizontal="center"/>
    </xf>
    <xf numFmtId="213" fontId="131" fillId="125" borderId="53" xfId="0" applyNumberFormat="1" applyFont="1" applyFill="1" applyBorder="1" applyAlignment="1">
      <alignment horizontal="center"/>
    </xf>
    <xf numFmtId="213" fontId="131" fillId="125" borderId="74" xfId="0" applyNumberFormat="1" applyFont="1" applyFill="1" applyBorder="1" applyAlignment="1">
      <alignment horizontal="center"/>
    </xf>
    <xf numFmtId="208" fontId="131" fillId="125" borderId="54" xfId="0" applyNumberFormat="1" applyFont="1" applyFill="1" applyBorder="1" applyAlignment="1">
      <alignment horizontal="center"/>
    </xf>
    <xf numFmtId="213" fontId="131" fillId="125" borderId="49" xfId="0" applyNumberFormat="1" applyFont="1" applyFill="1" applyBorder="1" applyAlignment="1">
      <alignment horizontal="center"/>
    </xf>
    <xf numFmtId="213" fontId="131" fillId="125" borderId="54" xfId="0" applyNumberFormat="1" applyFont="1" applyFill="1" applyBorder="1" applyAlignment="1">
      <alignment horizontal="center"/>
    </xf>
    <xf numFmtId="208" fontId="131" fillId="125" borderId="52" xfId="0" applyNumberFormat="1" applyFont="1" applyFill="1" applyBorder="1" applyAlignment="1">
      <alignment horizontal="center"/>
    </xf>
    <xf numFmtId="208" fontId="131" fillId="125" borderId="53" xfId="0" applyNumberFormat="1" applyFont="1" applyFill="1" applyBorder="1" applyAlignment="1">
      <alignment horizontal="center" vertical="center"/>
    </xf>
    <xf numFmtId="208" fontId="131" fillId="125" borderId="54" xfId="0" applyNumberFormat="1" applyFont="1" applyFill="1" applyBorder="1" applyAlignment="1">
      <alignment horizontal="center" vertical="center"/>
    </xf>
    <xf numFmtId="208" fontId="131" fillId="125" borderId="49" xfId="0" applyNumberFormat="1" applyFont="1" applyFill="1" applyBorder="1" applyAlignment="1">
      <alignment horizontal="center" vertical="center"/>
    </xf>
    <xf numFmtId="208" fontId="131" fillId="125" borderId="52" xfId="0" applyNumberFormat="1" applyFont="1" applyFill="1" applyBorder="1" applyAlignment="1">
      <alignment horizontal="center" vertical="center"/>
    </xf>
    <xf numFmtId="213" fontId="131" fillId="125" borderId="53" xfId="0" applyNumberFormat="1" applyFont="1" applyFill="1" applyBorder="1" applyAlignment="1">
      <alignment horizontal="center" vertical="center"/>
    </xf>
    <xf numFmtId="213" fontId="131" fillId="125" borderId="49" xfId="0" applyNumberFormat="1" applyFont="1" applyFill="1" applyBorder="1" applyAlignment="1">
      <alignment horizontal="center" vertical="center"/>
    </xf>
    <xf numFmtId="213" fontId="131" fillId="125" borderId="54" xfId="0" applyNumberFormat="1" applyFont="1" applyFill="1" applyBorder="1" applyAlignment="1">
      <alignment horizontal="center" vertical="center"/>
    </xf>
    <xf numFmtId="208" fontId="131" fillId="125" borderId="76" xfId="0" applyNumberFormat="1" applyFont="1" applyFill="1" applyBorder="1" applyAlignment="1">
      <alignment horizontal="center"/>
    </xf>
    <xf numFmtId="208" fontId="131" fillId="125" borderId="77" xfId="0" applyNumberFormat="1" applyFont="1" applyFill="1" applyBorder="1" applyAlignment="1">
      <alignment horizontal="center"/>
    </xf>
    <xf numFmtId="208" fontId="131" fillId="125" borderId="78" xfId="0" applyNumberFormat="1" applyFont="1" applyFill="1" applyBorder="1" applyAlignment="1">
      <alignment horizontal="center"/>
    </xf>
    <xf numFmtId="208" fontId="131" fillId="125" borderId="79" xfId="0" applyNumberFormat="1" applyFont="1" applyFill="1" applyBorder="1" applyAlignment="1">
      <alignment horizontal="center"/>
    </xf>
    <xf numFmtId="213" fontId="131" fillId="125" borderId="77" xfId="0" applyNumberFormat="1" applyFont="1" applyFill="1" applyBorder="1" applyAlignment="1">
      <alignment horizontal="center"/>
    </xf>
    <xf numFmtId="213" fontId="131" fillId="125" borderId="79" xfId="0" applyNumberFormat="1" applyFont="1" applyFill="1" applyBorder="1" applyAlignment="1">
      <alignment horizontal="center"/>
    </xf>
    <xf numFmtId="213" fontId="131" fillId="125" borderId="78" xfId="0" applyNumberFormat="1" applyFont="1" applyFill="1" applyBorder="1" applyAlignment="1">
      <alignment horizontal="center"/>
    </xf>
    <xf numFmtId="208" fontId="131" fillId="125" borderId="80" xfId="0" applyNumberFormat="1" applyFont="1" applyFill="1" applyBorder="1" applyAlignment="1">
      <alignment horizontal="center"/>
    </xf>
    <xf numFmtId="208" fontId="131" fillId="125" borderId="81" xfId="0" applyNumberFormat="1" applyFont="1" applyFill="1" applyBorder="1" applyAlignment="1">
      <alignment horizontal="center"/>
    </xf>
    <xf numFmtId="208" fontId="131" fillId="125" borderId="82" xfId="0" applyNumberFormat="1" applyFont="1" applyFill="1" applyBorder="1" applyAlignment="1">
      <alignment horizontal="center"/>
    </xf>
    <xf numFmtId="208" fontId="131" fillId="125" borderId="83" xfId="0" applyNumberFormat="1" applyFont="1" applyFill="1" applyBorder="1" applyAlignment="1">
      <alignment horizontal="center"/>
    </xf>
    <xf numFmtId="213" fontId="131" fillId="125" borderId="81" xfId="0" applyNumberFormat="1" applyFont="1" applyFill="1" applyBorder="1" applyAlignment="1">
      <alignment horizontal="center"/>
    </xf>
    <xf numFmtId="213" fontId="131" fillId="125" borderId="83" xfId="0" applyNumberFormat="1" applyFont="1" applyFill="1" applyBorder="1" applyAlignment="1">
      <alignment horizontal="center"/>
    </xf>
    <xf numFmtId="213" fontId="131" fillId="125" borderId="82" xfId="0" applyNumberFormat="1" applyFont="1" applyFill="1" applyBorder="1" applyAlignment="1">
      <alignment horizontal="center"/>
    </xf>
    <xf numFmtId="213" fontId="131" fillId="125" borderId="80" xfId="0" applyNumberFormat="1" applyFont="1" applyFill="1" applyBorder="1" applyAlignment="1">
      <alignment horizontal="center"/>
    </xf>
    <xf numFmtId="9" fontId="99" fillId="125" borderId="0" xfId="1" applyFont="1" applyFill="1"/>
    <xf numFmtId="9" fontId="99" fillId="125" borderId="9" xfId="1" applyFont="1" applyFill="1" applyBorder="1"/>
    <xf numFmtId="0" fontId="99" fillId="125" borderId="0" xfId="0" applyFont="1" applyFill="1"/>
    <xf numFmtId="10" fontId="99" fillId="125" borderId="0" xfId="1" applyNumberFormat="1" applyFont="1" applyFill="1"/>
    <xf numFmtId="3" fontId="99" fillId="125" borderId="0" xfId="1" applyNumberFormat="1" applyFont="1" applyFill="1"/>
    <xf numFmtId="0" fontId="3" fillId="0" borderId="0" xfId="784" applyFont="1" applyFill="1" applyAlignment="1">
      <alignment wrapText="1"/>
    </xf>
    <xf numFmtId="0" fontId="3" fillId="0" borderId="0" xfId="783" applyFont="1" applyFill="1"/>
    <xf numFmtId="212" fontId="3" fillId="0" borderId="0" xfId="783" applyNumberFormat="1" applyFont="1" applyFill="1" applyBorder="1"/>
    <xf numFmtId="43" fontId="0" fillId="125" borderId="3" xfId="0" applyNumberFormat="1" applyFill="1" applyBorder="1"/>
    <xf numFmtId="43" fontId="0" fillId="125" borderId="3" xfId="760" applyNumberFormat="1" applyFont="1" applyFill="1" applyBorder="1"/>
    <xf numFmtId="43" fontId="0" fillId="125" borderId="3" xfId="760" applyFont="1" applyFill="1" applyBorder="1"/>
    <xf numFmtId="43" fontId="0" fillId="125" borderId="2" xfId="0" applyNumberFormat="1" applyFill="1" applyBorder="1"/>
    <xf numFmtId="202" fontId="0" fillId="125" borderId="3" xfId="760" applyNumberFormat="1" applyFont="1" applyFill="1" applyBorder="1"/>
    <xf numFmtId="0" fontId="0" fillId="125" borderId="3" xfId="0" applyFill="1" applyBorder="1"/>
    <xf numFmtId="4" fontId="10" fillId="0" borderId="0" xfId="11" applyNumberFormat="1" applyFill="1"/>
    <xf numFmtId="4" fontId="10" fillId="0" borderId="0" xfId="11" quotePrefix="1" applyNumberFormat="1" applyFill="1"/>
    <xf numFmtId="9" fontId="17" fillId="125" borderId="63" xfId="684" applyFont="1" applyFill="1" applyBorder="1" applyAlignment="1">
      <alignment horizontal="right" vertical="top"/>
    </xf>
    <xf numFmtId="203" fontId="17" fillId="125" borderId="63" xfId="536" applyNumberFormat="1" applyFont="1" applyFill="1" applyBorder="1" applyAlignment="1">
      <alignment horizontal="right" vertical="top"/>
    </xf>
    <xf numFmtId="168" fontId="17" fillId="0" borderId="63" xfId="536" applyNumberFormat="1" applyFont="1" applyFill="1" applyBorder="1" applyAlignment="1">
      <alignment horizontal="right" vertical="top"/>
    </xf>
    <xf numFmtId="173" fontId="12" fillId="125" borderId="63" xfId="6" applyNumberFormat="1" applyFont="1" applyFill="1" applyBorder="1" applyAlignment="1">
      <alignment horizontal="right" vertical="top"/>
    </xf>
    <xf numFmtId="204" fontId="17" fillId="125" borderId="63" xfId="536" applyNumberFormat="1" applyFont="1" applyFill="1" applyBorder="1" applyAlignment="1">
      <alignment horizontal="right" vertical="top"/>
    </xf>
    <xf numFmtId="168" fontId="17" fillId="125" borderId="63" xfId="536" applyFont="1" applyFill="1" applyBorder="1" applyAlignment="1">
      <alignment horizontal="right" vertical="top"/>
    </xf>
    <xf numFmtId="10" fontId="99" fillId="125" borderId="0" xfId="0" applyNumberFormat="1" applyFont="1" applyFill="1"/>
    <xf numFmtId="44" fontId="3" fillId="125" borderId="4" xfId="5" applyFont="1" applyFill="1" applyBorder="1"/>
    <xf numFmtId="44" fontId="3" fillId="127" borderId="4" xfId="4" applyFont="1" applyFill="1" applyBorder="1"/>
    <xf numFmtId="167" fontId="3" fillId="127" borderId="3" xfId="5" applyNumberFormat="1" applyFont="1" applyFill="1" applyBorder="1" applyAlignment="1">
      <alignment horizontal="right"/>
    </xf>
    <xf numFmtId="167" fontId="3" fillId="127" borderId="4" xfId="5" applyNumberFormat="1" applyFont="1" applyFill="1" applyBorder="1"/>
    <xf numFmtId="0" fontId="2" fillId="37" borderId="0" xfId="0" applyFont="1" applyFill="1" applyBorder="1" applyAlignment="1"/>
    <xf numFmtId="0" fontId="234" fillId="18" borderId="71" xfId="0" applyFont="1" applyFill="1" applyBorder="1" applyAlignment="1">
      <alignment vertical="center" wrapText="1"/>
    </xf>
    <xf numFmtId="0" fontId="234" fillId="18" borderId="32" xfId="0" applyFont="1" applyFill="1" applyBorder="1" applyAlignment="1">
      <alignment horizontal="center" vertical="center" wrapText="1"/>
    </xf>
    <xf numFmtId="0" fontId="132" fillId="18" borderId="71" xfId="0" applyFont="1" applyFill="1" applyBorder="1" applyAlignment="1">
      <alignment horizontal="center" vertical="center" readingOrder="1"/>
    </xf>
    <xf numFmtId="0" fontId="132" fillId="18" borderId="0" xfId="0" applyFont="1" applyFill="1" applyAlignment="1">
      <alignment horizontal="center" vertical="center" readingOrder="1"/>
    </xf>
    <xf numFmtId="0" fontId="131" fillId="18" borderId="71" xfId="0" applyFont="1" applyFill="1" applyBorder="1" applyAlignment="1">
      <alignment horizontal="center" vertical="center" wrapText="1"/>
    </xf>
    <xf numFmtId="167" fontId="3" fillId="0" borderId="90" xfId="12" applyFont="1" applyFill="1" applyBorder="1"/>
    <xf numFmtId="167" fontId="3" fillId="10" borderId="90" xfId="12" applyFont="1" applyFill="1" applyBorder="1"/>
    <xf numFmtId="0" fontId="3" fillId="0" borderId="90" xfId="784" applyFont="1" applyBorder="1"/>
    <xf numFmtId="0" fontId="3" fillId="0" borderId="90" xfId="11" applyFont="1" applyBorder="1"/>
    <xf numFmtId="0" fontId="7" fillId="0" borderId="90" xfId="7" applyFont="1" applyBorder="1"/>
    <xf numFmtId="0" fontId="3" fillId="0" borderId="90" xfId="7" applyFont="1" applyBorder="1"/>
    <xf numFmtId="167" fontId="3" fillId="128" borderId="90" xfId="12" applyFont="1" applyFill="1" applyBorder="1"/>
    <xf numFmtId="3" fontId="3" fillId="0" borderId="0" xfId="0" applyNumberFormat="1" applyFont="1" applyAlignment="1" applyProtection="1">
      <alignment horizontal="left"/>
    </xf>
    <xf numFmtId="0" fontId="233" fillId="18" borderId="31" xfId="0" applyFont="1" applyFill="1" applyBorder="1" applyAlignment="1">
      <alignment horizontal="center" vertical="center" wrapText="1"/>
    </xf>
    <xf numFmtId="0" fontId="233" fillId="18" borderId="15" xfId="0" applyFont="1" applyFill="1" applyBorder="1" applyAlignment="1">
      <alignment horizontal="center" vertical="center" wrapText="1"/>
    </xf>
    <xf numFmtId="0" fontId="233" fillId="18" borderId="32" xfId="0" applyFont="1" applyFill="1" applyBorder="1" applyAlignment="1">
      <alignment horizontal="center" vertical="center" wrapText="1"/>
    </xf>
    <xf numFmtId="0" fontId="129" fillId="0" borderId="31" xfId="0" applyFont="1" applyBorder="1" applyAlignment="1">
      <alignment horizontal="left"/>
    </xf>
    <xf numFmtId="0" fontId="129" fillId="0" borderId="32" xfId="0" applyFont="1" applyBorder="1" applyAlignment="1">
      <alignment horizontal="left"/>
    </xf>
    <xf numFmtId="0" fontId="231" fillId="18" borderId="31" xfId="0" applyFont="1" applyFill="1" applyBorder="1" applyAlignment="1">
      <alignment horizontal="center"/>
    </xf>
    <xf numFmtId="0" fontId="231" fillId="18" borderId="15" xfId="0" applyFont="1" applyFill="1" applyBorder="1" applyAlignment="1">
      <alignment horizontal="center"/>
    </xf>
    <xf numFmtId="0" fontId="231" fillId="18" borderId="32" xfId="0" applyFont="1" applyFill="1" applyBorder="1" applyAlignment="1">
      <alignment horizontal="center"/>
    </xf>
    <xf numFmtId="0" fontId="128" fillId="0" borderId="31" xfId="0" applyFont="1" applyBorder="1" applyAlignment="1">
      <alignment horizontal="left"/>
    </xf>
    <xf numFmtId="0" fontId="128" fillId="0" borderId="32" xfId="0" applyFont="1" applyBorder="1" applyAlignment="1">
      <alignment horizontal="left"/>
    </xf>
    <xf numFmtId="0" fontId="232" fillId="18" borderId="15" xfId="0" applyFont="1" applyFill="1" applyBorder="1" applyAlignment="1">
      <alignment horizontal="center"/>
    </xf>
    <xf numFmtId="0" fontId="232" fillId="18" borderId="32" xfId="0" applyFont="1" applyFill="1" applyBorder="1" applyAlignment="1">
      <alignment horizontal="center"/>
    </xf>
    <xf numFmtId="0" fontId="232" fillId="18" borderId="31" xfId="0" applyFont="1" applyFill="1" applyBorder="1" applyAlignment="1">
      <alignment horizontal="center"/>
    </xf>
    <xf numFmtId="0" fontId="230" fillId="18" borderId="31" xfId="0" applyFont="1" applyFill="1" applyBorder="1" applyAlignment="1">
      <alignment horizontal="center"/>
    </xf>
    <xf numFmtId="0" fontId="230" fillId="18" borderId="15" xfId="0" applyFont="1" applyFill="1" applyBorder="1" applyAlignment="1">
      <alignment horizontal="center"/>
    </xf>
    <xf numFmtId="0" fontId="230" fillId="18" borderId="32" xfId="0" applyFont="1" applyFill="1" applyBorder="1" applyAlignment="1">
      <alignment horizontal="center"/>
    </xf>
    <xf numFmtId="0" fontId="2" fillId="12" borderId="0" xfId="0" applyFont="1" applyFill="1" applyBorder="1" applyAlignment="1">
      <alignment horizontal="center"/>
    </xf>
    <xf numFmtId="0" fontId="2" fillId="37" borderId="115" xfId="0" applyFont="1" applyFill="1" applyBorder="1" applyAlignment="1">
      <alignment horizontal="center"/>
    </xf>
    <xf numFmtId="0" fontId="2" fillId="13" borderId="22" xfId="0" applyFont="1" applyFill="1" applyBorder="1" applyAlignment="1">
      <alignment horizontal="center"/>
    </xf>
    <xf numFmtId="0" fontId="2" fillId="13" borderId="70" xfId="0" applyFont="1" applyFill="1" applyBorder="1" applyAlignment="1">
      <alignment horizontal="center"/>
    </xf>
    <xf numFmtId="0" fontId="2" fillId="13" borderId="43" xfId="0" applyFont="1" applyFill="1" applyBorder="1" applyAlignment="1">
      <alignment horizontal="center"/>
    </xf>
    <xf numFmtId="0" fontId="2" fillId="0" borderId="12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13" borderId="23" xfId="0" applyFont="1" applyFill="1" applyBorder="1" applyAlignment="1">
      <alignment horizontal="center"/>
    </xf>
    <xf numFmtId="0" fontId="2" fillId="13" borderId="24" xfId="0" applyFont="1" applyFill="1" applyBorder="1" applyAlignment="1">
      <alignment horizontal="center"/>
    </xf>
    <xf numFmtId="0" fontId="2" fillId="11" borderId="22" xfId="0" applyFont="1" applyFill="1" applyBorder="1" applyAlignment="1">
      <alignment horizontal="center"/>
    </xf>
    <xf numFmtId="0" fontId="2" fillId="11" borderId="23" xfId="0" applyFont="1" applyFill="1" applyBorder="1" applyAlignment="1">
      <alignment horizontal="center"/>
    </xf>
    <xf numFmtId="0" fontId="2" fillId="11" borderId="24" xfId="0" applyFont="1" applyFill="1" applyBorder="1" applyAlignment="1">
      <alignment horizontal="center"/>
    </xf>
    <xf numFmtId="0" fontId="2" fillId="11" borderId="0" xfId="0" applyFont="1" applyFill="1" applyBorder="1" applyAlignment="1">
      <alignment horizontal="center"/>
    </xf>
    <xf numFmtId="0" fontId="2" fillId="11" borderId="12" xfId="0" applyFont="1" applyFill="1" applyBorder="1" applyAlignment="1">
      <alignment horizontal="center"/>
    </xf>
    <xf numFmtId="0" fontId="2" fillId="12" borderId="12" xfId="0" applyFont="1" applyFill="1" applyBorder="1" applyAlignment="1">
      <alignment horizontal="center"/>
    </xf>
    <xf numFmtId="0" fontId="2" fillId="12" borderId="22" xfId="0" applyFont="1" applyFill="1" applyBorder="1" applyAlignment="1">
      <alignment horizontal="center"/>
    </xf>
    <xf numFmtId="0" fontId="2" fillId="12" borderId="23" xfId="0" applyFont="1" applyFill="1" applyBorder="1" applyAlignment="1">
      <alignment horizontal="center"/>
    </xf>
  </cellXfs>
  <cellStyles count="3990">
    <cellStyle name=" 1" xfId="806"/>
    <cellStyle name="_x000d__x000a_JournalTemplate=C:\COMFO\CTALK\JOURSTD.TPL_x000d__x000a_LbStateAddress=3 3 0 251 1 89 2 311_x000d__x000a_LbStateJou" xfId="807"/>
    <cellStyle name="%" xfId="13"/>
    <cellStyle name="% 2" xfId="808"/>
    <cellStyle name="% 2 2" xfId="787"/>
    <cellStyle name="% 3" xfId="809"/>
    <cellStyle name="% 3 2" xfId="810"/>
    <cellStyle name="% 4" xfId="811"/>
    <cellStyle name="% 5" xfId="812"/>
    <cellStyle name="%_090909 GTN - ZM master_update-GTN" xfId="813"/>
    <cellStyle name="%_090909 GTN - ZM master_update-GTN_Menucard_Staff_Master_2010-09-12" xfId="814"/>
    <cellStyle name="%_2008 Budget Southern Region V1" xfId="815"/>
    <cellStyle name="%_20080709_Bevroren_Intercompanies_PvdPloeg" xfId="816"/>
    <cellStyle name="%_2012 PL" xfId="817"/>
    <cellStyle name="%_2012 PL months" xfId="818"/>
    <cellStyle name="%_A&amp;L - 08 LW v1" xfId="819"/>
    <cellStyle name="%_A&amp;L - 08 LW v1_ManInput" xfId="820"/>
    <cellStyle name="%_A&amp;L - 08 LW v1_Risks" xfId="821"/>
    <cellStyle name="%_A&amp;L - 08 LW v1_Sheet1" xfId="822"/>
    <cellStyle name="%_Barclays 2008 FC1 - Jan 08 v 2 9 Fiinal" xfId="823"/>
    <cellStyle name="%_Blad1" xfId="824"/>
    <cellStyle name="%_Blad1_Model Plan 2012" xfId="825"/>
    <cellStyle name="%_Boeing - 08 V1" xfId="826"/>
    <cellStyle name="%_Boeing - 08 V1_ManInput" xfId="827"/>
    <cellStyle name="%_Boeing - 08 V1_Risks" xfId="828"/>
    <cellStyle name="%_Boeing - 08 V1_Sheet1" xfId="829"/>
    <cellStyle name="%_Book1" xfId="830"/>
    <cellStyle name="%_BOOKER - 08 TEMPLATE (2)_PST_November6th" xfId="831"/>
    <cellStyle name="%_BOOKER - 08 TEMPLATE (2)_PST_November6th_ManInput" xfId="832"/>
    <cellStyle name="%_BOOKER - 08 TEMPLATE (2)_PST_November6th_Risks" xfId="833"/>
    <cellStyle name="%_BOOKER - 08 TEMPLATE (2)_PST_November6th_Sheet1" xfId="834"/>
    <cellStyle name="%_Britania BS - 08 V1" xfId="835"/>
    <cellStyle name="%_Britania BS - 08 V1_ManInput" xfId="836"/>
    <cellStyle name="%_Britania BS - 08 V1_Risks" xfId="837"/>
    <cellStyle name="%_Britania BS - 08 V1_Sheet1" xfId="838"/>
    <cellStyle name="%_BS_130504_VA%20NSDM_Q1_%202008(1)" xfId="839"/>
    <cellStyle name="%_Budgeted Vs Actuals - SOUTHERN REGION  V2" xfId="840"/>
    <cellStyle name="%_Budgeted Vs Actuals - SOUTHERN REGION  V2_ManInput" xfId="841"/>
    <cellStyle name="%_Budgeted Vs Actuals - SOUTHERN REGION  V2_Risks" xfId="842"/>
    <cellStyle name="%_Budgeted Vs Actuals - SOUTHERN REGION  V2_Sheet1" xfId="843"/>
    <cellStyle name="%_CBI - 08 MATT ARNOLD update" xfId="844"/>
    <cellStyle name="%_CBI - 08 MATT ARNOLD update_ManInput" xfId="845"/>
    <cellStyle name="%_CBI - 08 MATT ARNOLD update_Risks" xfId="846"/>
    <cellStyle name="%_CBI - 08 MATT ARNOLD update_Sheet1" xfId="847"/>
    <cellStyle name="%_Check" xfId="848"/>
    <cellStyle name="%_CLARKS - 08 TEMPLATE CK 7 Nov" xfId="849"/>
    <cellStyle name="%_CLARKS - 08 TEMPLATE CK 7 Nov_ManInput" xfId="850"/>
    <cellStyle name="%_CLARKS - 08 TEMPLATE CK 7 Nov_Risks" xfId="851"/>
    <cellStyle name="%_CLARKS - 08 TEMPLATE CK 7 Nov_Sheet1" xfId="852"/>
    <cellStyle name="%_COLT - 08 Chris Westwood" xfId="853"/>
    <cellStyle name="%_COLT - 08 Chris Westwood_ManInput" xfId="854"/>
    <cellStyle name="%_COLT - 08 Chris Westwood_Risks" xfId="855"/>
    <cellStyle name="%_COLT - 08 Chris Westwood_Sheet1" xfId="856"/>
    <cellStyle name="%_Copy of Org tabel menu kaart" xfId="857"/>
    <cellStyle name="%_Copy of PSN - 08 AN input 8 Nov" xfId="858"/>
    <cellStyle name="%_Copy of PSN - 08 AN input 8 Nov_ManInput" xfId="859"/>
    <cellStyle name="%_Copy of PSN - 08 AN input 8 Nov_Risks" xfId="860"/>
    <cellStyle name="%_Copy of PSN - 08 AN input 8 Nov_Sheet1" xfId="861"/>
    <cellStyle name="%_Corus - 08 V1" xfId="862"/>
    <cellStyle name="%_Corus - 08 V1_ManInput" xfId="863"/>
    <cellStyle name="%_Corus - 08 V1_Risks" xfId="864"/>
    <cellStyle name="%_Corus - 08 V1_Sheet1" xfId="865"/>
    <cellStyle name="%_COVENTRY BS - 08 V1" xfId="866"/>
    <cellStyle name="%_COVENTRY BS - 08 V1_ManInput" xfId="867"/>
    <cellStyle name="%_COVENTRY BS - 08 V1_Risks" xfId="868"/>
    <cellStyle name="%_COVENTRY BS - 08 V1_Sheet1" xfId="869"/>
    <cellStyle name="%_cpst aanbiedingen Q4 10 dec 2009 totaal" xfId="14"/>
    <cellStyle name="%_CUNNINGHAM LINDSAY - 08" xfId="870"/>
    <cellStyle name="%_CUNNINGHAM LINDSAY - 08_ManInput" xfId="871"/>
    <cellStyle name="%_CUNNINGHAM LINDSAY - 08_Risks" xfId="872"/>
    <cellStyle name="%_CUNNINGHAM LINDSAY - 08_Sheet1" xfId="873"/>
    <cellStyle name="%_CUSTOMER PROFITABILITY REPORTS - Dec 07" xfId="874"/>
    <cellStyle name="%_DCS Bridge actualv v Budget Feb 08" xfId="875"/>
    <cellStyle name="%_DERBYSHIRE - 08 LW v1" xfId="876"/>
    <cellStyle name="%_DERBYSHIRE - 08 LW v1_ManInput" xfId="877"/>
    <cellStyle name="%_DERBYSHIRE - 08 LW v1_Risks" xfId="878"/>
    <cellStyle name="%_DERBYSHIRE - 08 LW v1_Sheet1" xfId="879"/>
    <cellStyle name="%_DEUTSCHE BANK - 08 (Nikolai Lakovic)" xfId="880"/>
    <cellStyle name="%_DEUTSCHE BANK - 08 (Nikolai Lakovic)_ManInput" xfId="881"/>
    <cellStyle name="%_DEUTSCHE BANK - 08 (Nikolai Lakovic)_Risks" xfId="882"/>
    <cellStyle name="%_DEUTSCHE BANK - 08 (Nikolai Lakovic)_Sheet1" xfId="883"/>
    <cellStyle name="%_Direct (Projects)" xfId="884"/>
    <cellStyle name="%_DSM - 08 MW 3 Nov" xfId="885"/>
    <cellStyle name="%_DSM - 08 MW 3 Nov_ManInput" xfId="886"/>
    <cellStyle name="%_DSM - 08 MW 3 Nov_Risks" xfId="887"/>
    <cellStyle name="%_DSM - 08 MW 3 Nov_Sheet1" xfId="888"/>
    <cellStyle name="%_DWDM ILL tarief update 28-3-2011" xfId="889"/>
    <cellStyle name="%_Entity structuur 2011" xfId="890"/>
    <cellStyle name="%_EVPN Model_20102601_v0.1" xfId="15"/>
    <cellStyle name="%_FC_06" xfId="891"/>
    <cellStyle name="%_FC05 2008" xfId="892"/>
    <cellStyle name="%_Ford - 08 V1" xfId="893"/>
    <cellStyle name="%_Ford - 08 V1_ManInput" xfId="894"/>
    <cellStyle name="%_Ford - 08 V1_Risks" xfId="895"/>
    <cellStyle name="%_Ford - 08 V1_Sheet1" xfId="896"/>
    <cellStyle name="%_G4S - 08 TEMPLATE (2)" xfId="897"/>
    <cellStyle name="%_G4S - 08 TEMPLATE (2)_ManInput" xfId="898"/>
    <cellStyle name="%_G4S - 08 TEMPLATE (2)_Risks" xfId="899"/>
    <cellStyle name="%_G4S - 08 TEMPLATE (2)_Sheet1" xfId="900"/>
    <cellStyle name="%_GDC nieuwe pfc cc jan  2011 v4" xfId="901"/>
    <cellStyle name="%_GUNS Number and Customer Name" xfId="902"/>
    <cellStyle name="%_HBOS - 08 V1" xfId="903"/>
    <cellStyle name="%_HBOS - 08 V1_ManInput" xfId="904"/>
    <cellStyle name="%_HBOS - 08 V1_Risks" xfId="905"/>
    <cellStyle name="%_HBOS - 08 V1_Sheet1" xfId="906"/>
    <cellStyle name="%_IC_CS_2010_versie 1 sep" xfId="907"/>
    <cellStyle name="%_IC_CS_2010_versie 1 sep 2" xfId="908"/>
    <cellStyle name="%_IC_CS_2010_versie 1 sep_Blad2" xfId="909"/>
    <cellStyle name="%_IC_CS_2010_versie 1 sep_Blad2 2" xfId="910"/>
    <cellStyle name="%_IC_CS_2010_versie 1 sep_Blad2_JP2011" xfId="911"/>
    <cellStyle name="%_IC_CS_2010_versie 1 sep_JP2011" xfId="912"/>
    <cellStyle name="%_IC_CS_2010_versie 1 sep_Model Plan 2012" xfId="913"/>
    <cellStyle name="%_ICELAND - 08 LW v1" xfId="914"/>
    <cellStyle name="%_ICELAND - 08 LW v1_ManInput" xfId="915"/>
    <cellStyle name="%_ICELAND - 08 LW v1_Risks" xfId="916"/>
    <cellStyle name="%_ICELAND - 08 LW v1_Sheet1" xfId="917"/>
    <cellStyle name="%_ICS KPI" xfId="918"/>
    <cellStyle name="%_ICS_KPI driver sheet_ACT2010 - YEE2_sens" xfId="919"/>
    <cellStyle name="%_INEOS - 08 TEMPLATE sdm UPDATES" xfId="920"/>
    <cellStyle name="%_INEOS - 08 TEMPLATE sdm UPDATES_ManInput" xfId="921"/>
    <cellStyle name="%_INEOS - 08 TEMPLATE sdm UPDATES_Risks" xfId="922"/>
    <cellStyle name="%_INEOS - 08 TEMPLATE sdm UPDATES_Sheet1" xfId="923"/>
    <cellStyle name="%_ING - 08 PLAN Jim O Sullivan" xfId="924"/>
    <cellStyle name="%_ING - 08 PLAN Jim O Sullivan_ManInput" xfId="925"/>
    <cellStyle name="%_ING - 08 PLAN Jim O Sullivan_Risks" xfId="926"/>
    <cellStyle name="%_ING - 08 PLAN Jim O Sullivan_Sheet1" xfId="927"/>
    <cellStyle name="%_INNOSPEC - 08 (Forecast)v2" xfId="928"/>
    <cellStyle name="%_INNOSPEC - 08 (Forecast)v2_ManInput" xfId="929"/>
    <cellStyle name="%_INNOSPEC - 08 (Forecast)v2_Risks" xfId="930"/>
    <cellStyle name="%_INNOSPEC - 08 (Forecast)v2_Sheet1" xfId="931"/>
    <cellStyle name="%_IS Bridge actualv v Budget Feb08" xfId="932"/>
    <cellStyle name="%_Journal P05" xfId="933"/>
    <cellStyle name="%_JP2011" xfId="934"/>
    <cellStyle name="%_KWT IS Data 2010-10-07" xfId="935"/>
    <cellStyle name="%_LPM Zakelijk Glas Stedelijk 20101013 Concept" xfId="936"/>
    <cellStyle name="%_ManInput" xfId="937"/>
    <cellStyle name="%_ManInput_1" xfId="938"/>
    <cellStyle name="%_ManInput_Sheet1" xfId="939"/>
    <cellStyle name="%_Model Plan 2012" xfId="940"/>
    <cellStyle name="%_ND5 squeeze model  whs-whs v2 2 SDH ILL tar jan 2010" xfId="941"/>
    <cellStyle name="%_ND5 squeeze model  whs-whs v2.22" xfId="16"/>
    <cellStyle name="%_New PL Format" xfId="942"/>
    <cellStyle name="%_New PL Formatt" xfId="943"/>
    <cellStyle name="%_New PL Formatt_Sheet1" xfId="944"/>
    <cellStyle name="%_Onderbouwing Balanspost NSS " xfId="945"/>
    <cellStyle name="%_Oud KPN_HetNet_Planetportfolio OPTA" xfId="17"/>
    <cellStyle name="%_PHILIPS - 08 (09.11.07)" xfId="946"/>
    <cellStyle name="%_PHILIPS - 08 (09.11.07)_ManInput" xfId="947"/>
    <cellStyle name="%_PHILIPS - 08 (09.11.07)_Risks" xfId="948"/>
    <cellStyle name="%_PHILIPS - 08 (09.11.07)_Sheet1" xfId="949"/>
    <cellStyle name="%_Poorten Fee P09" xfId="950"/>
    <cellStyle name="%_Preclosing" xfId="951"/>
    <cellStyle name="%_Preclosing jan11" xfId="952"/>
    <cellStyle name="%_Profit Centre with GUNS number" xfId="953"/>
    <cellStyle name="%_Risks" xfId="954"/>
    <cellStyle name="%_SANOFI AVENTIS - 08 (DAWN LEWRY)" xfId="955"/>
    <cellStyle name="%_SANOFI AVENTIS - 08 (DAWN LEWRY)_ManInput" xfId="956"/>
    <cellStyle name="%_SANOFI AVENTIS - 08 (DAWN LEWRY)_Risks" xfId="957"/>
    <cellStyle name="%_SANOFI AVENTIS - 08 (DAWN LEWRY)_Sheet1" xfId="958"/>
    <cellStyle name="%_SCOTTISH WIDOWS - 08 A.Haslam input" xfId="959"/>
    <cellStyle name="%_SCOTTISH WIDOWS - 08 A.Haslam input_ManInput" xfId="960"/>
    <cellStyle name="%_SCOTTISH WIDOWS - 08 A.Haslam input_Risks" xfId="961"/>
    <cellStyle name="%_SCOTTISH WIDOWS - 08 A.Haslam input_Sheet1" xfId="962"/>
    <cellStyle name="%_SD_PIPE" xfId="963"/>
    <cellStyle name="%_Sheet1" xfId="964"/>
    <cellStyle name="%_Sheet2" xfId="965"/>
    <cellStyle name="%_SHELL - 08 PB 6 Nov" xfId="966"/>
    <cellStyle name="%_SHELL - 08 PB 6 Nov_ManInput" xfId="967"/>
    <cellStyle name="%_SHELL - 08 PB 6 Nov_Risks" xfId="968"/>
    <cellStyle name="%_SHELL - 08 PB 6 Nov_Sheet1" xfId="969"/>
    <cellStyle name="%_Southern Region 2008 Coverage Customer Budget V 1.4" xfId="970"/>
    <cellStyle name="%_Southern Region 2008 Depth Customer Budget V1.7 values" xfId="971"/>
    <cellStyle name="%_Southern Region 2008 Depth Customer Budget V2.3" xfId="972"/>
    <cellStyle name="%_Southern Region Depth Customer Account Analysis V 1.0" xfId="973"/>
    <cellStyle name="%_Southern Region Depth Customer Account Analysis V 1.0_ManInput" xfId="974"/>
    <cellStyle name="%_Southern Region Depth Customer Account Analysis V 1.0_Risks" xfId="975"/>
    <cellStyle name="%_Southern Region Depth Customer Account Analysis V 1.0_Sheet1" xfId="976"/>
    <cellStyle name="%_Southern Region Management Overhead" xfId="977"/>
    <cellStyle name="%_Southern Region Management Overhead Reporting Pack V1.1" xfId="978"/>
    <cellStyle name="%_Southern Region Management Overhead Reporting Pack V1.1_ManInput" xfId="979"/>
    <cellStyle name="%_Southern Region Management Overhead Reporting Pack V1.1_Risks" xfId="980"/>
    <cellStyle name="%_Southern Region Management Overhead Reporting Pack V1.1_Sheet1" xfId="981"/>
    <cellStyle name="%_Southern Region Management Overhead_ManInput" xfId="982"/>
    <cellStyle name="%_Southern Region Management Overhead_Risks" xfId="983"/>
    <cellStyle name="%_Southern Region Management Overhead_Sheet1" xfId="984"/>
    <cellStyle name="%_Squeeze model v0.3 20-10-2009" xfId="18"/>
    <cellStyle name="%_Squeezetoets ND5 VISP Vodafone 0.2 tov WBA" xfId="19"/>
    <cellStyle name="%_SUBSEA 7 - 08 MC v1" xfId="985"/>
    <cellStyle name="%_SUBSEA 7 - 08 MC v1_ManInput" xfId="986"/>
    <cellStyle name="%_SUBSEA 7 - 08 MC v1_Risks" xfId="987"/>
    <cellStyle name="%_SUBSEA 7 - 08 MC v1_Sheet1" xfId="988"/>
    <cellStyle name="%_Summary (2)" xfId="989"/>
    <cellStyle name="%_SUPERDRUG - 08 TEMPLATE PB 7 Nov" xfId="990"/>
    <cellStyle name="%_SUPERDRUG - 08 TEMPLATE PB 7 Nov_ManInput" xfId="991"/>
    <cellStyle name="%_SUPERDRUG - 08 TEMPLATE PB 7 Nov_Risks" xfId="992"/>
    <cellStyle name="%_SUPERDRUG - 08 TEMPLATE PB 7 Nov_Sheet1" xfId="993"/>
    <cellStyle name="%_Tarieven DWDM ILL 3 juni 2011" xfId="994"/>
    <cellStyle name="%_THOMAS COOK - 08 Forecast pmil v3.0" xfId="995"/>
    <cellStyle name="%_THOMAS COOK - 08 Forecast pmil v3.0_ManInput" xfId="996"/>
    <cellStyle name="%_THOMAS COOK - 08 Forecast pmil v3.0_Risks" xfId="997"/>
    <cellStyle name="%_THOMAS COOK - 08 Forecast pmil v3.0_Sheet1" xfId="998"/>
    <cellStyle name="%_THRESHER - 08 TEMPLATE" xfId="999"/>
    <cellStyle name="%_THRESHER - 08 TEMPLATE_ManInput" xfId="1000"/>
    <cellStyle name="%_THRESHER - 08 TEMPLATE_Risks" xfId="1001"/>
    <cellStyle name="%_THRESHER - 08 TEMPLATE_Sheet1" xfId="1002"/>
    <cellStyle name="%_T-MOBILE - 08 Fergal Donnelly" xfId="1003"/>
    <cellStyle name="%_T-MOBILE - 08 Fergal Donnelly_ManInput" xfId="1004"/>
    <cellStyle name="%_T-MOBILE - 08 Fergal Donnelly_Risks" xfId="1005"/>
    <cellStyle name="%_T-MOBILE - 08 Fergal Donnelly_Sheet1" xfId="1006"/>
    <cellStyle name="%_TRADER MEDIA - 08 M.Twiggs" xfId="1007"/>
    <cellStyle name="%_TRADER MEDIA - 08 M.Twiggs_ManInput" xfId="1008"/>
    <cellStyle name="%_TRADER MEDIA - 08 M.Twiggs_Risks" xfId="1009"/>
    <cellStyle name="%_TRADER MEDIA - 08 M.Twiggs_Sheet1" xfId="1010"/>
    <cellStyle name="%_UNISON - 2008 (Steve Newton)" xfId="1011"/>
    <cellStyle name="%_UNISON - 2008 (Steve Newton)_ManInput" xfId="1012"/>
    <cellStyle name="%_UNISON - 2008 (Steve Newton)_Risks" xfId="1013"/>
    <cellStyle name="%_UNISON - 2008 (Steve Newton)_Sheet1" xfId="1014"/>
    <cellStyle name="%_ZM IS Data Tarievenboek 2010-03-11" xfId="20"/>
    <cellStyle name="%_zz Southern Region 2008 Depth Customer Budget V2.1 ok so far" xfId="1015"/>
    <cellStyle name="******************************************" xfId="21"/>
    <cellStyle name="****************************************** 2" xfId="22"/>
    <cellStyle name="****************************************** 2 2" xfId="1016"/>
    <cellStyle name="****************************************** 3" xfId="1017"/>
    <cellStyle name="****************************************** 4" xfId="1018"/>
    <cellStyle name="??" xfId="23"/>
    <cellStyle name="?Q\?1@" xfId="24"/>
    <cellStyle name="?Q\?1@ 2" xfId="25"/>
    <cellStyle name="?Q\?1@ 2 2" xfId="1019"/>
    <cellStyle name="?Q\?1@ 3" xfId="1020"/>
    <cellStyle name="]_x000d__x000a_Width=797_x000d__x000a_Height=554_x000d__x000a__x000d__x000a_[Code]_x000d__x000a_Code0=/nyf50_x000d__x000a_Code1=4500000136_x000d__x000a_Code2=ME23_x000d__x000a_Code3=4500002322_x000d__x000a_Code4=#_x000d__x000a_Code5=MB01_x000d__x000a_" xfId="1021"/>
    <cellStyle name="_~4475784" xfId="1022"/>
    <cellStyle name="_~4789082" xfId="26"/>
    <cellStyle name="_~6915299" xfId="1023"/>
    <cellStyle name="_~6915299 2" xfId="1024"/>
    <cellStyle name="_~7561900" xfId="1025"/>
    <cellStyle name="_~7561900 2" xfId="1026"/>
    <cellStyle name="_~7910324" xfId="1027"/>
    <cellStyle name="_~8380888" xfId="27"/>
    <cellStyle name="_~8380888_ND5 squeeze model  whs-whs v2.21 DWDM ILL" xfId="1028"/>
    <cellStyle name="_~9871415" xfId="28"/>
    <cellStyle name="_~9871415_ZM IS Data Tarievenboek 2010-03-11" xfId="29"/>
    <cellStyle name="_040427 Omzet per BU_RJM" xfId="30"/>
    <cellStyle name="_040427 Omzet per BU_RJM_LPM PL 20101014 Concept" xfId="1029"/>
    <cellStyle name="_040427 Omzet per BU_RJM_LPM PL 20101028 obv LRIC inkoop" xfId="1030"/>
    <cellStyle name="_040427 Omzet per BU_RJM_Menucard_Staff_Master_2010-09-12" xfId="1031"/>
    <cellStyle name="_040427 Omzet per BU_RJM_ND5 squeeze model  whs-whs v2.21 DWDM ILL" xfId="1032"/>
    <cellStyle name="_071004 Model - ZM v21" xfId="1033"/>
    <cellStyle name="_071004 Model - ZM v21 2" xfId="1034"/>
    <cellStyle name="_071004 Model - ZM v21_Blad2" xfId="1035"/>
    <cellStyle name="_071004 Model - ZM v21_Blad2 2" xfId="1036"/>
    <cellStyle name="_071004 Model - ZM v21_Blad2_JP2011" xfId="1037"/>
    <cellStyle name="_071004 Model - ZM v21_JP2011" xfId="1038"/>
    <cellStyle name="_071004 Model - ZM v21_Model Plan 2012" xfId="1039"/>
    <cellStyle name="_074 Informatieprofiel XS4ALL1" xfId="1040"/>
    <cellStyle name="_074 Informatieprofiel XS4ALL1 2" xfId="1041"/>
    <cellStyle name="_074 Informatieprofiel XS4ALL1_FC categoraal" xfId="1042"/>
    <cellStyle name="_074 Informatieprofiel XS4ALL1_GDC nieuwe pfc cc jan  2011 v4" xfId="1043"/>
    <cellStyle name="_074 Informatieprofiel XS4ALL1_JP2011" xfId="1044"/>
    <cellStyle name="_074 Informatieprofiel XS4ALL1_JP2011 2" xfId="1045"/>
    <cellStyle name="_074 Informatieprofiel XS4ALL1_JP2011_1" xfId="1046"/>
    <cellStyle name="_074 Informatieprofiel XS4ALL1_Preclosing" xfId="1047"/>
    <cellStyle name="_074 Informatieprofiel XS4ALL1_Preclosing 2" xfId="1048"/>
    <cellStyle name="_074 Informatieprofiel XS4ALL1_Preclosing jan11" xfId="1049"/>
    <cellStyle name="_074 Informatieprofiel XS4ALL1_Preclosing_1" xfId="1050"/>
    <cellStyle name="_074 Informatieprofiel XS4ALL1_Preclosing_2" xfId="1051"/>
    <cellStyle name="_074 Informatieprofiel XS4ALL1_Preclosing_3" xfId="1052"/>
    <cellStyle name="_074 Informatieprofiel XS4ALL1_Preclosing_FC categoraal" xfId="1053"/>
    <cellStyle name="_074 Informatieprofiel XS4ALL1_Sheet1" xfId="1054"/>
    <cellStyle name="_074 Informatieprofiel XS4ALL1_Sheet1_1" xfId="1055"/>
    <cellStyle name="_074 Informatieprofiel XS4ALL1_Sheet1_1 2" xfId="1056"/>
    <cellStyle name="_074 Informatieprofiel XS4ALL1_Sheet1_1_FC categoraal" xfId="1057"/>
    <cellStyle name="_074 Informatieprofiel XS4ALL1_Sheet1_2" xfId="1058"/>
    <cellStyle name="_074 Informatieprofiel XS4ALL1_Sheet1_2 2" xfId="1059"/>
    <cellStyle name="_074 Informatieprofiel XS4ALL1_Sheet2" xfId="1060"/>
    <cellStyle name="_080605 JEV 2005" xfId="31"/>
    <cellStyle name="_080605 JEV 2005 2" xfId="32"/>
    <cellStyle name="_080605 JEV 2005 3" xfId="1061"/>
    <cellStyle name="_080605 JEV 2005_ND5 squeeze model  whs-whs v2.21 DWDM ILL" xfId="1062"/>
    <cellStyle name="_080619_OBU035_Oerlikon Solar_valuae creation from JV options_v1600" xfId="1063"/>
    <cellStyle name="_080619_OBU035_Oerlikon Solar_valuae creation from JV options_v1600 2" xfId="1064"/>
    <cellStyle name="_080717_Template _ICT vs  CS_v20080724 EdL" xfId="1065"/>
    <cellStyle name="_080717_Template _ICT vs  CS_v20080724 EdL 2" xfId="1066"/>
    <cellStyle name="_080717_Template _IS vs  CS_v1300_IS_250708" xfId="1067"/>
    <cellStyle name="_080717_Template _IS vs  CS_v1300_IS_250708 2" xfId="1068"/>
    <cellStyle name="_080717_Template _IS vs  CS_v20080724 EdL" xfId="1069"/>
    <cellStyle name="_080717_Template _IS vs  CS_v20080724 EdL 2" xfId="1070"/>
    <cellStyle name="_080717_Template _IS vs  ICT" xfId="1071"/>
    <cellStyle name="_080717_Template _IS vs  ICT 2" xfId="1072"/>
    <cellStyle name="_080717_Template _IS vs  ICT_v1300_IS_250708" xfId="1073"/>
    <cellStyle name="_080717_Template _IS vs  ICT_v1300_IS_250708 2" xfId="1074"/>
    <cellStyle name="_090909 GTN - ZM master_update-GTN" xfId="1075"/>
    <cellStyle name="_10 JEV oktober versie 5" xfId="33"/>
    <cellStyle name="_10 JEV oktober versie 5 2" xfId="34"/>
    <cellStyle name="_10 JEV oktober versie 5 3" xfId="1076"/>
    <cellStyle name="_10 JEV oktober versie 5_ND5 squeeze model  whs-whs v2.21 DWDM ILL" xfId="1077"/>
    <cellStyle name="_111501portfolio" xfId="35"/>
    <cellStyle name="_111501portfolio 2" xfId="36"/>
    <cellStyle name="_111501portfolio 3" xfId="1078"/>
    <cellStyle name="_111501portfolio_ND5 squeeze model  whs-whs v2.21 DWDM ILL" xfId="1079"/>
    <cellStyle name="_1201" xfId="1080"/>
    <cellStyle name="_12017" xfId="1081"/>
    <cellStyle name="_2.5.5.29 - Mexico FC09" xfId="1082"/>
    <cellStyle name="_2003-06-18 JEV3 LLS" xfId="37"/>
    <cellStyle name="_2003-06-18 JEV3 LLS 2" xfId="38"/>
    <cellStyle name="_2003-06-18 JEV3 LLS 2 2" xfId="1083"/>
    <cellStyle name="_2003-06-18 JEV3 LLS 3" xfId="1084"/>
    <cellStyle name="_2003-06-18 JEV3 LLS_Blad2" xfId="1085"/>
    <cellStyle name="_2003-06-18 JEV3 LLS_Blad2 2" xfId="1086"/>
    <cellStyle name="_2003-06-18 JEV3 LLS_Blad2_JP2011" xfId="1087"/>
    <cellStyle name="_2003-06-18 JEV3 LLS_EVPN Model_20102601_v0.1" xfId="39"/>
    <cellStyle name="_2003-06-18 JEV3 LLS_JP2011" xfId="1088"/>
    <cellStyle name="_2003-06-18 JEV3 LLS_KWT IS Data 2010-10-07" xfId="1089"/>
    <cellStyle name="_2003-06-18 JEV3 LLS_Model Plan 2012" xfId="1090"/>
    <cellStyle name="_2003-06-18 JEV3 LLS_ND5 squeeze model  whs-whs v2.21 DWDM ILL" xfId="1091"/>
    <cellStyle name="_2003-06-18 JEV3 LLS_ZM IS Data Tarievenboek 2010-03-11" xfId="40"/>
    <cellStyle name="_2003-08 JEV BSA v5" xfId="41"/>
    <cellStyle name="_2003-08 JEV BSA v5 2" xfId="1092"/>
    <cellStyle name="_2003-08 JEV BSA v5_Economy IPVPN - Centrale Aansluiting 20102601_v0.1 test EA" xfId="42"/>
    <cellStyle name="_2003-08 JEV BSA v5_Epacity EVPN_20102601_v0.1 test EA" xfId="43"/>
    <cellStyle name="_2003-08 JEV BSA v5_IP VPN Model 20100315_v1.0" xfId="44"/>
    <cellStyle name="_2003-08 JEV BSA v5_KWT IS Data 2010-10-07" xfId="1093"/>
    <cellStyle name="_2003-08 JEV BSA v5_LPM EVPN 20100126_v0.1 test PB" xfId="45"/>
    <cellStyle name="_2003-08 JEV BSA v5_LPM EVPN 20101013 Concept" xfId="46"/>
    <cellStyle name="_2003-08 JEV BSA v5_LPM EVPN 20101118 concept" xfId="47"/>
    <cellStyle name="_2003-08 JEV BSA v5_LPM IP VPN + ONE  obv prijslijst 10.1 + 6.2 dd 20101015 Concept" xfId="48"/>
    <cellStyle name="_2003-08 JEV BSA v5_LPM IP VPN + ONE 20110104" xfId="49"/>
    <cellStyle name="_2003-08 JEV BSA v5_LPM IP VPN 20100614 obv prijslijst 10.1 Concept incl additionele asn" xfId="50"/>
    <cellStyle name="_2003-08 JEV BSA v5_LPM PL 20101014 Concept" xfId="1094"/>
    <cellStyle name="_2003-08 JEV BSA v5_LPM PL 20101028 obv LRIC inkoop" xfId="1095"/>
    <cellStyle name="_2003-08 JEV BSA v5_LPM Zakelijk DSL 20100520 inclusief XS4ALL na 15 mei 2010 Concept" xfId="51"/>
    <cellStyle name="_2003-08 JEV BSA v5_LPM Zakelijk Glas bedrijventerreinen_20100401_v1.0 test PB" xfId="52"/>
    <cellStyle name="_2003-08 JEV BSA v5_LPM Zakelijk Glas Stedelijk 20100617 Concept" xfId="53"/>
    <cellStyle name="_2003-08 JEV BSA v5_LPM Zakelijk Glas Stedelijk 20101013 Concept" xfId="54"/>
    <cellStyle name="_2003-08 JEV BSA v5_Menucard_Staff_Master_2010-09-12" xfId="1096"/>
    <cellStyle name="_2003-08 JEV BSA v5_ND5 squeeze model  whs-whs v2.21 DWDM ILL" xfId="1097"/>
    <cellStyle name="_2003-08 JEV BSA v5_toets DSL 2010-11-18 obv LPM IP VPN + ONE 20101028" xfId="55"/>
    <cellStyle name="_2003-08 JEV BSA v5_toets DSL 2010-11-22 obv LPM IP VPN + ONE 20101028" xfId="56"/>
    <cellStyle name="_2003-08 JEV BSA v5_Zakelijk DSL Model 20100416_v1.1_inclusief XS4ALL" xfId="57"/>
    <cellStyle name="_2003-08 JEV BSA v5_Zakelijk Glas Stedelijk_2010_v0.1 test PB" xfId="58"/>
    <cellStyle name="_2003-08 JEV BSA v5_ZM IS Data Tarievenboek 2010-03-11" xfId="59"/>
    <cellStyle name="_2003-08 JEV BSA vPVO" xfId="60"/>
    <cellStyle name="_2003-08 JEV BSA vPVO 2" xfId="1098"/>
    <cellStyle name="_2003-08 JEV BSA vPVO_Economy IPVPN - Centrale Aansluiting 20102601_v0.1 test EA" xfId="61"/>
    <cellStyle name="_2003-08 JEV BSA vPVO_Epacity EVPN_20102601_v0.1 test EA" xfId="62"/>
    <cellStyle name="_2003-08 JEV BSA vPVO_IP VPN Model 20100315_v1.0" xfId="63"/>
    <cellStyle name="_2003-08 JEV BSA vPVO_KWT IS Data 2010-10-07" xfId="1099"/>
    <cellStyle name="_2003-08 JEV BSA vPVO_LPM EVPN 20100126_v0.1 test PB" xfId="64"/>
    <cellStyle name="_2003-08 JEV BSA vPVO_LPM EVPN 20101013 Concept" xfId="65"/>
    <cellStyle name="_2003-08 JEV BSA vPVO_LPM EVPN 20101118 concept" xfId="66"/>
    <cellStyle name="_2003-08 JEV BSA vPVO_LPM IP VPN + ONE  obv prijslijst 10.1 + 6.2 dd 20101015 Concept" xfId="67"/>
    <cellStyle name="_2003-08 JEV BSA vPVO_LPM IP VPN + ONE 20110104" xfId="68"/>
    <cellStyle name="_2003-08 JEV BSA vPVO_LPM IP VPN 20100614 obv prijslijst 10.1 Concept incl additionele asn" xfId="69"/>
    <cellStyle name="_2003-08 JEV BSA vPVO_LPM PL 20101014 Concept" xfId="1100"/>
    <cellStyle name="_2003-08 JEV BSA vPVO_LPM PL 20101028 obv LRIC inkoop" xfId="1101"/>
    <cellStyle name="_2003-08 JEV BSA vPVO_LPM Zakelijk DSL 20100520 inclusief XS4ALL na 15 mei 2010 Concept" xfId="70"/>
    <cellStyle name="_2003-08 JEV BSA vPVO_LPM Zakelijk Glas bedrijventerreinen_20100401_v1.0 test PB" xfId="71"/>
    <cellStyle name="_2003-08 JEV BSA vPVO_LPM Zakelijk Glas Stedelijk 20100617 Concept" xfId="72"/>
    <cellStyle name="_2003-08 JEV BSA vPVO_LPM Zakelijk Glas Stedelijk 20101013 Concept" xfId="73"/>
    <cellStyle name="_2003-08 JEV BSA vPVO_Menucard_Staff_Master_2010-09-12" xfId="1102"/>
    <cellStyle name="_2003-08 JEV BSA vPVO_ND5 squeeze model  whs-whs v2.21 DWDM ILL" xfId="1103"/>
    <cellStyle name="_2003-08 JEV BSA vPVO_toets DSL 2010-11-18 obv LPM IP VPN + ONE 20101028" xfId="74"/>
    <cellStyle name="_2003-08 JEV BSA vPVO_toets DSL 2010-11-22 obv LPM IP VPN + ONE 20101028" xfId="75"/>
    <cellStyle name="_2003-08 JEV BSA vPVO_Zakelijk DSL Model 20100416_v1.1_inclusief XS4ALL" xfId="76"/>
    <cellStyle name="_2003-08 JEV BSA vPVO_Zakelijk Glas Stedelijk_2010_v0.1 test PB" xfId="77"/>
    <cellStyle name="_2003-08 JEV BSA vPVO_ZM IS Data Tarievenboek 2010-03-11" xfId="78"/>
    <cellStyle name="_2003-08-19 VBM - v1008" xfId="79"/>
    <cellStyle name="_2003-08-19 VBM - v1008 2" xfId="1104"/>
    <cellStyle name="_2003-08-19 VBM - v1008_Economy IPVPN - Centrale Aansluiting 20102601_v0.1 test EA" xfId="80"/>
    <cellStyle name="_2003-08-19 VBM - v1008_Epacity EVPN_20102601_v0.1 test EA" xfId="81"/>
    <cellStyle name="_2003-08-19 VBM - v1008_IP VPN Model 20100315_v1.0" xfId="82"/>
    <cellStyle name="_2003-08-19 VBM - v1008_KWT IS Data 2010-10-07" xfId="1105"/>
    <cellStyle name="_2003-08-19 VBM - v1008_LPM EVPN 20100126_v0.1 test PB" xfId="83"/>
    <cellStyle name="_2003-08-19 VBM - v1008_LPM EVPN 20101013 Concept" xfId="84"/>
    <cellStyle name="_2003-08-19 VBM - v1008_LPM EVPN 20101118 concept" xfId="85"/>
    <cellStyle name="_2003-08-19 VBM - v1008_LPM IP VPN + ONE  obv prijslijst 10.1 + 6.2 dd 20101015 Concept" xfId="86"/>
    <cellStyle name="_2003-08-19 VBM - v1008_LPM IP VPN + ONE 20110104" xfId="87"/>
    <cellStyle name="_2003-08-19 VBM - v1008_LPM IP VPN 20100614 obv prijslijst 10.1 Concept incl additionele asn" xfId="88"/>
    <cellStyle name="_2003-08-19 VBM - v1008_LPM PL 20101014 Concept" xfId="1106"/>
    <cellStyle name="_2003-08-19 VBM - v1008_LPM PL 20101028 obv LRIC inkoop" xfId="1107"/>
    <cellStyle name="_2003-08-19 VBM - v1008_LPM Zakelijk DSL 20100520 inclusief XS4ALL na 15 mei 2010 Concept" xfId="89"/>
    <cellStyle name="_2003-08-19 VBM - v1008_LPM Zakelijk Glas bedrijventerreinen_20100401_v1.0 test PB" xfId="90"/>
    <cellStyle name="_2003-08-19 VBM - v1008_LPM Zakelijk Glas Stedelijk 20100617 Concept" xfId="91"/>
    <cellStyle name="_2003-08-19 VBM - v1008_LPM Zakelijk Glas Stedelijk 20101013 Concept" xfId="92"/>
    <cellStyle name="_2003-08-19 VBM - v1008_Menucard_Staff_Master_2010-09-12" xfId="1108"/>
    <cellStyle name="_2003-08-19 VBM - v1008_ND5 squeeze model  whs-whs v2.21 DWDM ILL" xfId="1109"/>
    <cellStyle name="_2003-08-19 VBM - v1008_toets DSL 2010-11-18 obv LPM IP VPN + ONE 20101028" xfId="93"/>
    <cellStyle name="_2003-08-19 VBM - v1008_toets DSL 2010-11-22 obv LPM IP VPN + ONE 20101028" xfId="94"/>
    <cellStyle name="_2003-08-19 VBM - v1008_Zakelijk DSL Model 20100416_v1.1_inclusief XS4ALL" xfId="95"/>
    <cellStyle name="_2003-08-19 VBM - v1008_Zakelijk Glas Stedelijk_2010_v0.1 test PB" xfId="96"/>
    <cellStyle name="_2003-08-19 VBM - v1008_ZM IS Data Tarievenboek 2010-03-11" xfId="97"/>
    <cellStyle name="_2003-09 Totaal LLS afdeling 2004" xfId="98"/>
    <cellStyle name="_2003-09 Totaal LLS afdeling 2004 2" xfId="99"/>
    <cellStyle name="_2003-09 Totaal LLS afdeling 2004 2 2" xfId="1110"/>
    <cellStyle name="_2003-09 Totaal LLS afdeling 2004 3" xfId="1111"/>
    <cellStyle name="_2003-09 Totaal LLS afdeling 2004_Blad2" xfId="1112"/>
    <cellStyle name="_2003-09 Totaal LLS afdeling 2004_Blad2 2" xfId="1113"/>
    <cellStyle name="_2003-09 Totaal LLS afdeling 2004_Blad2_JP2011" xfId="1114"/>
    <cellStyle name="_2003-09 Totaal LLS afdeling 2004_EVPN Model_20102601_v0.1" xfId="100"/>
    <cellStyle name="_2003-09 Totaal LLS afdeling 2004_JP2011" xfId="1115"/>
    <cellStyle name="_2003-09 Totaal LLS afdeling 2004_KWT IS Data 2010-10-07" xfId="1116"/>
    <cellStyle name="_2003-09 Totaal LLS afdeling 2004_Model Plan 2012" xfId="1117"/>
    <cellStyle name="_2003-09 Totaal LLS afdeling 2004_ND5 squeeze model  whs-whs v2.21 DWDM ILL" xfId="1118"/>
    <cellStyle name="_2003-09 Totaal LLS afdeling 2004_ZM IS Data Tarievenboek 2010-03-11" xfId="101"/>
    <cellStyle name="_2003-10 JEV MEV Grafieken v2" xfId="102"/>
    <cellStyle name="_2003-10 JEV MEV Grafieken v2 2" xfId="103"/>
    <cellStyle name="_2003-10 JEV MEV Grafieken v2 2 2" xfId="1119"/>
    <cellStyle name="_2003-10 JEV MEV Grafieken v2 3" xfId="1120"/>
    <cellStyle name="_2003-10 JEV MEV Grafieken v2_Blad2" xfId="1121"/>
    <cellStyle name="_2003-10 JEV MEV Grafieken v2_Blad2 2" xfId="1122"/>
    <cellStyle name="_2003-10 JEV MEV Grafieken v2_Blad2_JP2011" xfId="1123"/>
    <cellStyle name="_2003-10 JEV MEV Grafieken v2_EVPN Model_20102601_v0.1" xfId="104"/>
    <cellStyle name="_2003-10 JEV MEV Grafieken v2_JP2011" xfId="1124"/>
    <cellStyle name="_2003-10 JEV MEV Grafieken v2_KWT IS Data 2010-10-07" xfId="1125"/>
    <cellStyle name="_2003-10 JEV MEV Grafieken v2_Model Plan 2012" xfId="1126"/>
    <cellStyle name="_2003-10 JEV MEV Grafieken v2_ND5 squeeze model  whs-whs v2.21 DWDM ILL" xfId="1127"/>
    <cellStyle name="_2003-10 JEV MEV Grafieken v2_ZM IS Data Tarievenboek 2010-03-11" xfId="105"/>
    <cellStyle name="_2003-11 JEV Bitstream" xfId="106"/>
    <cellStyle name="_2003-11 JEV Bitstream 2" xfId="1128"/>
    <cellStyle name="_2003-11 JEV Bitstream_Economy IPVPN - Centrale Aansluiting 20102601_v0.1 test EA" xfId="107"/>
    <cellStyle name="_2003-11 JEV Bitstream_Epacity EVPN_20102601_v0.1 test EA" xfId="108"/>
    <cellStyle name="_2003-11 JEV Bitstream_IP VPN Model 20100315_v1.0" xfId="109"/>
    <cellStyle name="_2003-11 JEV Bitstream_KWT IS Data 2010-10-07" xfId="1129"/>
    <cellStyle name="_2003-11 JEV Bitstream_LPM EVPN 20100126_v0.1 test PB" xfId="110"/>
    <cellStyle name="_2003-11 JEV Bitstream_LPM EVPN 20101013 Concept" xfId="111"/>
    <cellStyle name="_2003-11 JEV Bitstream_LPM EVPN 20101118 concept" xfId="112"/>
    <cellStyle name="_2003-11 JEV Bitstream_LPM IP VPN + ONE  obv prijslijst 10.1 + 6.2 dd 20101015 Concept" xfId="113"/>
    <cellStyle name="_2003-11 JEV Bitstream_LPM IP VPN + ONE 20110104" xfId="114"/>
    <cellStyle name="_2003-11 JEV Bitstream_LPM IP VPN 20100614 obv prijslijst 10.1 Concept incl additionele asn" xfId="115"/>
    <cellStyle name="_2003-11 JEV Bitstream_LPM PL 20101014 Concept" xfId="1130"/>
    <cellStyle name="_2003-11 JEV Bitstream_LPM PL 20101028 obv LRIC inkoop" xfId="1131"/>
    <cellStyle name="_2003-11 JEV Bitstream_LPM Zakelijk DSL 20100520 inclusief XS4ALL na 15 mei 2010 Concept" xfId="116"/>
    <cellStyle name="_2003-11 JEV Bitstream_LPM Zakelijk Glas bedrijventerreinen_20100401_v1.0 test PB" xfId="117"/>
    <cellStyle name="_2003-11 JEV Bitstream_LPM Zakelijk Glas Stedelijk 20100617 Concept" xfId="118"/>
    <cellStyle name="_2003-11 JEV Bitstream_LPM Zakelijk Glas Stedelijk 20101013 Concept" xfId="119"/>
    <cellStyle name="_2003-11 JEV Bitstream_Menucard_Staff_Master_2010-09-12" xfId="1132"/>
    <cellStyle name="_2003-11 JEV Bitstream_ND5 squeeze model  whs-whs v2.21 DWDM ILL" xfId="1133"/>
    <cellStyle name="_2003-11 JEV Bitstream_toets DSL 2010-11-18 obv LPM IP VPN + ONE 20101028" xfId="120"/>
    <cellStyle name="_2003-11 JEV Bitstream_toets DSL 2010-11-22 obv LPM IP VPN + ONE 20101028" xfId="121"/>
    <cellStyle name="_2003-11 JEV Bitstream_Zakelijk DSL Model 20100416_v1.1_inclusief XS4ALL" xfId="122"/>
    <cellStyle name="_2003-11 JEV Bitstream_Zakelijk Glas Stedelijk_2010_v0.1 test PB" xfId="123"/>
    <cellStyle name="_2003-11 JEV Bitstream_ZM IS Data Tarievenboek 2010-03-11" xfId="124"/>
    <cellStyle name="_2005 JP Actief v8.xls" xfId="125"/>
    <cellStyle name="_2005 JP Actief v8.xls 2" xfId="126"/>
    <cellStyle name="_2005 JP Actief v8.xls 3" xfId="1134"/>
    <cellStyle name="_2005 JP Actief v8.xls_ND5 squeeze model  whs-whs v2.21 DWDM ILL" xfId="1135"/>
    <cellStyle name="_2006 Revenue Forecast v20b" xfId="1136"/>
    <cellStyle name="_20061112 FTE Finaal overzicht" xfId="1137"/>
    <cellStyle name="_2007-09-26 JEV2007-BP2008-2010 ambitie 18 sept bottom up" xfId="1138"/>
    <cellStyle name="_2007-09-26 JEV2007-BP2008-2010 ambitie 18 sept bottom up 2" xfId="1139"/>
    <cellStyle name="_2007-09-26 JEV2007-BP2008-2010 ambitie 18 sept bottom up_Blad2" xfId="1140"/>
    <cellStyle name="_2007-09-26 JEV2007-BP2008-2010 ambitie 18 sept bottom up_Blad2 2" xfId="1141"/>
    <cellStyle name="_2007-09-26 JEV2007-BP2008-2010 ambitie 18 sept bottom up_Blad2_JP2011" xfId="1142"/>
    <cellStyle name="_2007-09-26 JEV2007-BP2008-2010 ambitie 18 sept bottom up_JP2011" xfId="1143"/>
    <cellStyle name="_2007-09-26 JEV2007-BP2008-2010 ambitie 18 sept bottom up_Model Plan 2012" xfId="1144"/>
    <cellStyle name="_2007-10-16 BP model v35" xfId="1145"/>
    <cellStyle name="_2007-10-16 BP model v35 2" xfId="1146"/>
    <cellStyle name="_2007-10-16 BP model v35_Blad2" xfId="1147"/>
    <cellStyle name="_2007-10-16 BP model v35_Blad2 2" xfId="1148"/>
    <cellStyle name="_2007-10-16 BP model v35_Blad2_JP2011" xfId="1149"/>
    <cellStyle name="_2007-10-16 BP model v35_JP2011" xfId="1150"/>
    <cellStyle name="_2007-10-16 BP model v35_Model Plan 2012" xfId="1151"/>
    <cellStyle name="_2007-10-19 therese" xfId="1152"/>
    <cellStyle name="_2007-10-19 therese 2" xfId="1153"/>
    <cellStyle name="_2007-10-19 therese_Blad2" xfId="1154"/>
    <cellStyle name="_2007-10-19 therese_Blad2 2" xfId="1155"/>
    <cellStyle name="_2007-10-19 therese_Blad2_JP2011" xfId="1156"/>
    <cellStyle name="_2007-10-19 therese_JP2011" xfId="1157"/>
    <cellStyle name="_2007-10-19 therese_Model Plan 2012" xfId="1158"/>
    <cellStyle name="_20071024 CS TVW_6" xfId="1159"/>
    <cellStyle name="_20071024 CS TVW_6 2" xfId="1160"/>
    <cellStyle name="_20071024 CS TVW_6_Blad2" xfId="1161"/>
    <cellStyle name="_20071024 CS TVW_6_Blad2 2" xfId="1162"/>
    <cellStyle name="_20071024 CS TVW_6_Blad2_JP2011" xfId="1163"/>
    <cellStyle name="_20071024 CS TVW_6_JP2011" xfId="1164"/>
    <cellStyle name="_20071024 CS TVW_6_Model Plan 2012" xfId="1165"/>
    <cellStyle name="_20071025 CS - Two P&amp;Ls" xfId="1166"/>
    <cellStyle name="_20071025 CS - Two P&amp;Ls 2" xfId="1167"/>
    <cellStyle name="_20071025 CS - Two P&amp;Ls_Blad2" xfId="1168"/>
    <cellStyle name="_20071025 CS - Two P&amp;Ls_Blad2 2" xfId="1169"/>
    <cellStyle name="_20071025 CS - Two P&amp;Ls_Blad2_JP2011" xfId="1170"/>
    <cellStyle name="_20071025 CS - Two P&amp;Ls_JP2011" xfId="1171"/>
    <cellStyle name="_20071025 CS - Two P&amp;Ls_Model Plan 2012" xfId="1172"/>
    <cellStyle name="_200711 CS Verrekening - TC aanrekening - cijfers okt (doc v1.0)" xfId="1173"/>
    <cellStyle name="_200711 CS Verrekening - TC aanrekening - cijfers okt (doc v1.0) 2" xfId="1174"/>
    <cellStyle name="_200711 CS Verrekening - TC aanrekening - cijfers okt (doc v1.0)_Blad2" xfId="1175"/>
    <cellStyle name="_200711 CS Verrekening - TC aanrekening - cijfers okt (doc v1.0)_Blad2 2" xfId="1176"/>
    <cellStyle name="_200711 CS Verrekening - TC aanrekening - cijfers okt (doc v1.0)_Blad2_JP2011" xfId="1177"/>
    <cellStyle name="_200711 CS Verrekening - TC aanrekening - cijfers okt (doc v1.0)_JP2011" xfId="1178"/>
    <cellStyle name="_200711 CS Verrekening - TC aanrekening - cijfers okt (doc v1.0)_Model Plan 2012" xfId="1179"/>
    <cellStyle name="_20071110 ECS offertetool data v10 - Incl top20 " xfId="1180"/>
    <cellStyle name="_2007-11-30 Restated P&amp;Ls v19" xfId="1181"/>
    <cellStyle name="_2007-12-04 One Kosten analyse (doc v1.2)" xfId="1182"/>
    <cellStyle name="_2008 07 28_Template _ICT vs  CS versie 1.0" xfId="1183"/>
    <cellStyle name="_2008 07 28_Template _ICT vs  CS versie 1.0 2" xfId="1184"/>
    <cellStyle name="_2008 07 28_Template _IS vs  ICT versie 1.0" xfId="1185"/>
    <cellStyle name="_2008 07 28_Template _IS vs  ICT versie 1.0 2" xfId="1186"/>
    <cellStyle name="_2008 Budget Southern Region V1" xfId="1187"/>
    <cellStyle name="_2008 Budget Southern Region V1_ManInput" xfId="1188"/>
    <cellStyle name="_2008 Budget Southern Region V1_Risks" xfId="1189"/>
    <cellStyle name="_2008 Budget Southern Region V1_Sheet1" xfId="1190"/>
    <cellStyle name="_20080402 Omzet Businessplan CUs 05072007 van Jer Burcksen" xfId="1191"/>
    <cellStyle name="_27022007 match Rabobank vs KPN" xfId="1192"/>
    <cellStyle name="_27022007 match Rabobank vs KPN (Freijzer&amp;kees 14-mrt)" xfId="1193"/>
    <cellStyle name="_3-31 portfolio go-to-mkt sent to dave 092702" xfId="127"/>
    <cellStyle name="_3-31 portfolio go-to-mkt sent to dave 092702 2" xfId="128"/>
    <cellStyle name="_3-31 portfolio go-to-mkt sent to dave 092702 3" xfId="1194"/>
    <cellStyle name="_3-31 portfolio go-to-mkt sent to dave 092702_ND5 squeeze model  whs-whs v2.21 DWDM ILL" xfId="1195"/>
    <cellStyle name="_8 7 with PC final GPS PC and SF Restructure2" xfId="129"/>
    <cellStyle name="_8 7 with PC final GPS PC and SF Restructure2 2" xfId="130"/>
    <cellStyle name="_8 7 with PC final GPS PC and SF Restructure2 3" xfId="1196"/>
    <cellStyle name="_8 7 with PC final GPS PC and SF Restructure2_ND5 squeeze model  whs-whs v2.21 DWDM ILL" xfId="1197"/>
    <cellStyle name="_A&amp;L - 08 LW v1" xfId="1198"/>
    <cellStyle name="_AA" xfId="131"/>
    <cellStyle name="_AA 2" xfId="132"/>
    <cellStyle name="_AA 3" xfId="1199"/>
    <cellStyle name="_AA_ND5 squeeze model  whs-whs v2.21 DWDM ILL" xfId="1200"/>
    <cellStyle name="_Aansluitingen BM-Renald-jan06" xfId="133"/>
    <cellStyle name="_Aansluitingen BM-Renald-jan06 2" xfId="134"/>
    <cellStyle name="_Aansluitingen BM-Renald-jan06 3" xfId="1201"/>
    <cellStyle name="_Aansluitingen BM-Renald-jan06_Blad2" xfId="1202"/>
    <cellStyle name="_Aansluitingen BM-Renald-jan06_Blad2 2" xfId="1203"/>
    <cellStyle name="_Aansluitingen BM-Renald-jan06_Blad2_JP2011" xfId="1204"/>
    <cellStyle name="_Aansluitingen BM-Renald-jan06_JP2011" xfId="1205"/>
    <cellStyle name="_Aansluitingen BM-Renald-jan06_Model Plan 2012" xfId="1206"/>
    <cellStyle name="_Aansluitingen BM-Renald-jan06_ND5 squeeze model  whs-whs v2.21 DWDM ILL" xfId="1207"/>
    <cellStyle name="_Aansluitingen BM-Renald-jun05" xfId="135"/>
    <cellStyle name="_Aansluitingen BM-Renald-jun05 2" xfId="136"/>
    <cellStyle name="_Aansluitingen BM-Renald-jun05 3" xfId="1208"/>
    <cellStyle name="_Aansluitingen BM-Renald-jun05_Blad2" xfId="1209"/>
    <cellStyle name="_Aansluitingen BM-Renald-jun05_Blad2 2" xfId="1210"/>
    <cellStyle name="_Aansluitingen BM-Renald-jun05_Blad2_JP2011" xfId="1211"/>
    <cellStyle name="_Aansluitingen BM-Renald-jun05_JP2011" xfId="1212"/>
    <cellStyle name="_Aansluitingen BM-Renald-jun05_Model Plan 2012" xfId="1213"/>
    <cellStyle name="_Aansluitingen BM-Renald-jun05_ND5 squeeze model  whs-whs v2.21 DWDM ILL" xfId="1214"/>
    <cellStyle name="_Aansluitingen ZM-Renald-jan06" xfId="137"/>
    <cellStyle name="_Aansluitingen ZM-Renald-jan06 2" xfId="138"/>
    <cellStyle name="_Aansluitingen ZM-Renald-jan06 3" xfId="1215"/>
    <cellStyle name="_Aansluitingen ZM-Renald-jan06_Blad2" xfId="1216"/>
    <cellStyle name="_Aansluitingen ZM-Renald-jan06_Blad2 2" xfId="1217"/>
    <cellStyle name="_Aansluitingen ZM-Renald-jan06_Blad2_JP2011" xfId="1218"/>
    <cellStyle name="_Aansluitingen ZM-Renald-jan06_JP2011" xfId="1219"/>
    <cellStyle name="_Aansluitingen ZM-Renald-jan06_Model Plan 2012" xfId="1220"/>
    <cellStyle name="_Aansluitingen ZM-Renald-jan06_ND5 squeeze model  whs-whs v2.21 DWDM ILL" xfId="1221"/>
    <cellStyle name="_afstemming WO- PFM VOICE ZM vp 248 JEV apr07" xfId="139"/>
    <cellStyle name="_All_IP topology vs14-01" xfId="1222"/>
    <cellStyle name="_Alliance Budget 2008 values version 3. 0" xfId="1223"/>
    <cellStyle name="_Alliance Budget 2008 values version 3. 0_ManInput" xfId="1224"/>
    <cellStyle name="_Alliance Budget 2008 values version 3. 0_Risks" xfId="1225"/>
    <cellStyle name="_Alliance Budget 2008 values version 3. 0_Sheet1" xfId="1226"/>
    <cellStyle name="_Alliance Budget 2008 values version 4.0" xfId="1227"/>
    <cellStyle name="_AMS Business plan 2006" xfId="1228"/>
    <cellStyle name="_Analyse IC's apr 2006 concept" xfId="140"/>
    <cellStyle name="_Analyse IC's apr 2006 concept 2" xfId="141"/>
    <cellStyle name="_Analyse IC's apr 2006 concept 3" xfId="1229"/>
    <cellStyle name="_Analyse IC's apr 2006 concept_ND5 squeeze model  whs-whs v2.21 DWDM ILL" xfId="1230"/>
    <cellStyle name="_Analyse IC's feb 2006" xfId="142"/>
    <cellStyle name="_Analyse IC's feb 2006 2" xfId="143"/>
    <cellStyle name="_Analyse IC's feb 2006 3" xfId="1231"/>
    <cellStyle name="_Analyse IC's feb 2006_ND5 squeeze model  whs-whs v2.21 DWDM ILL" xfId="1232"/>
    <cellStyle name="_Analyse IC's Jan 2006" xfId="144"/>
    <cellStyle name="_Analyse IC's Jan 2006 2" xfId="145"/>
    <cellStyle name="_Analyse IC's Jan 2006 3" xfId="1233"/>
    <cellStyle name="_Analyse IC's Jan 2006_20080530 Consolidatie Businessplan v12" xfId="1234"/>
    <cellStyle name="_Analyse IC's Jan 2006_20080530 Consolidatie Businessplan v12 2" xfId="1235"/>
    <cellStyle name="_Analyse IC's Jan 2006_20080530 Consolidatie Businessplan v12_Blad2" xfId="1236"/>
    <cellStyle name="_Analyse IC's Jan 2006_20080530 Consolidatie Businessplan v12_Blad2 2" xfId="1237"/>
    <cellStyle name="_Analyse IC's Jan 2006_20080530 Consolidatie Businessplan v12_Blad2_JP2011" xfId="1238"/>
    <cellStyle name="_Analyse IC's Jan 2006_20080530 Consolidatie Businessplan v12_JP2011" xfId="1239"/>
    <cellStyle name="_Analyse IC's Jan 2006_20080530 Consolidatie Businessplan v12_Model Plan 2012" xfId="1240"/>
    <cellStyle name="_Analyse IC's Jan 2006_20080605 Consolidatie Businessplan v15" xfId="1241"/>
    <cellStyle name="_Analyse IC's Jan 2006_20080605 Consolidatie Businessplan v15 2" xfId="1242"/>
    <cellStyle name="_Analyse IC's Jan 2006_20080605 Consolidatie Businessplan v15_Blad2" xfId="1243"/>
    <cellStyle name="_Analyse IC's Jan 2006_20080605 Consolidatie Businessplan v15_Blad2 2" xfId="1244"/>
    <cellStyle name="_Analyse IC's Jan 2006_20080605 Consolidatie Businessplan v15_Blad2_JP2011" xfId="1245"/>
    <cellStyle name="_Analyse IC's Jan 2006_20080605 Consolidatie Businessplan v15_JP2011" xfId="1246"/>
    <cellStyle name="_Analyse IC's Jan 2006_20080605 Consolidatie Businessplan v15_Model Plan 2012" xfId="1247"/>
    <cellStyle name="_Analyse IC's Jan 2006_20080605 Consolidatie Businessplan v19" xfId="1248"/>
    <cellStyle name="_Analyse IC's Jan 2006_20080605 Consolidatie Businessplan v19 2" xfId="1249"/>
    <cellStyle name="_Analyse IC's Jan 2006_20080605 Consolidatie Businessplan v19_Blad2" xfId="1250"/>
    <cellStyle name="_Analyse IC's Jan 2006_20080605 Consolidatie Businessplan v19_Blad2 2" xfId="1251"/>
    <cellStyle name="_Analyse IC's Jan 2006_20080605 Consolidatie Businessplan v19_Blad2_JP2011" xfId="1252"/>
    <cellStyle name="_Analyse IC's Jan 2006_20080605 Consolidatie Businessplan v19_JP2011" xfId="1253"/>
    <cellStyle name="_Analyse IC's Jan 2006_20080605 Consolidatie Businessplan v19_Model Plan 2012" xfId="1254"/>
    <cellStyle name="_Analyse IC's Jan 2006_Blad2" xfId="1255"/>
    <cellStyle name="_Analyse IC's Jan 2006_Blad2 2" xfId="1256"/>
    <cellStyle name="_Analyse IC's Jan 2006_Blad2_JP2011" xfId="1257"/>
    <cellStyle name="_Analyse IC's Jan 2006_JP2011" xfId="1258"/>
    <cellStyle name="_Analyse IC's Jan 2006_Model Plan 2012" xfId="1259"/>
    <cellStyle name="_Analyse IC's Jan 2006_ND5 squeeze model  whs-whs v2.21 DWDM ILL" xfId="1260"/>
    <cellStyle name="_Analyse IC's mrt 20061" xfId="146"/>
    <cellStyle name="_Analyse IC's mrt 20061 2" xfId="147"/>
    <cellStyle name="_Analyse IC's mrt 20061 3" xfId="1261"/>
    <cellStyle name="_Analyse IC's mrt 20061_ND5 squeeze model  whs-whs v2.21 DWDM ILL" xfId="1262"/>
    <cellStyle name="_ATS_V03" xfId="148"/>
    <cellStyle name="_ATS_V03 2" xfId="149"/>
    <cellStyle name="_ATS_V03 3" xfId="1263"/>
    <cellStyle name="_ATS_V03_ND5 squeeze model  whs-whs v2.21 DWDM ILL" xfId="1264"/>
    <cellStyle name="_Baan jan" xfId="150"/>
    <cellStyle name="_Baan jan 2" xfId="151"/>
    <cellStyle name="_Baan jan 3" xfId="1265"/>
    <cellStyle name="_Baan jan_ND5 squeeze model  whs-whs v2.21 DWDM ILL" xfId="1266"/>
    <cellStyle name="_Barclays consolidated reporting pack summary 2006 close" xfId="1267"/>
    <cellStyle name="_Barclays forecast fc6 v2" xfId="1268"/>
    <cellStyle name="_Barclays Management Pack April 2007 V3" xfId="1269"/>
    <cellStyle name="_Barclays only - 20 Feb (2)" xfId="1270"/>
    <cellStyle name="_Barclays PL review - Jul 07 v FC8v2 5 re-structure" xfId="1271"/>
    <cellStyle name="_Barclays PL review - May 07 v 13" xfId="1272"/>
    <cellStyle name="_Barclays PL review - May 07 v FC7v2.3 Final" xfId="1273"/>
    <cellStyle name="_barclays Tracker" xfId="1274"/>
    <cellStyle name="_BBNED orderfomulier uitgave 2 6 (2)" xfId="1275"/>
    <cellStyle name="_BBSC + P&amp;L BU CS juni 2004 conc" xfId="1276"/>
    <cellStyle name="_BBSC + P&amp;L BU CS juni 2004 conc 2" xfId="1277"/>
    <cellStyle name="_BBSC + P&amp;L BU CS juni 2004 conc_FC categoraal" xfId="1278"/>
    <cellStyle name="_BBSC + P&amp;L BU CS juni 2004 conc_GDC nieuwe pfc cc jan  2011 v4" xfId="1279"/>
    <cellStyle name="_BBSC + P&amp;L BU CS juni 2004 conc_JP2011" xfId="1280"/>
    <cellStyle name="_BBSC + P&amp;L BU CS juni 2004 conc_JP2011 2" xfId="1281"/>
    <cellStyle name="_BBSC + P&amp;L BU CS juni 2004 conc_JP2011_1" xfId="1282"/>
    <cellStyle name="_BBSC + P&amp;L BU CS juni 2004 conc_Preclosing" xfId="1283"/>
    <cellStyle name="_BBSC + P&amp;L BU CS juni 2004 conc_Preclosing 2" xfId="1284"/>
    <cellStyle name="_BBSC + P&amp;L BU CS juni 2004 conc_Preclosing jan11" xfId="1285"/>
    <cellStyle name="_BBSC + P&amp;L BU CS juni 2004 conc_Preclosing_1" xfId="1286"/>
    <cellStyle name="_BBSC + P&amp;L BU CS juni 2004 conc_Preclosing_2" xfId="1287"/>
    <cellStyle name="_BBSC + P&amp;L BU CS juni 2004 conc_Preclosing_3" xfId="1288"/>
    <cellStyle name="_BBSC + P&amp;L BU CS juni 2004 conc_Preclosing_FC categoraal" xfId="1289"/>
    <cellStyle name="_BBSC + P&amp;L BU CS juni 2004 conc_Sheet1" xfId="1290"/>
    <cellStyle name="_BBSC + P&amp;L BU CS juni 2004 conc_Sheet1_1" xfId="1291"/>
    <cellStyle name="_BBSC + P&amp;L BU CS juni 2004 conc_Sheet1_1 2" xfId="1292"/>
    <cellStyle name="_BBSC + P&amp;L BU CS juni 2004 conc_Sheet1_1_FC categoraal" xfId="1293"/>
    <cellStyle name="_BBSC + P&amp;L BU CS juni 2004 conc_Sheet1_2" xfId="1294"/>
    <cellStyle name="_BBSC + P&amp;L BU CS juni 2004 conc_Sheet1_2 2" xfId="1295"/>
    <cellStyle name="_BBSC + P&amp;L BU CS juni 2004 conc_Sheet2" xfId="1296"/>
    <cellStyle name="_BBSC COMMERCIE en CHANGE Operations 2006 feb" xfId="1297"/>
    <cellStyle name="_BBSC contract Entercom 2005 Operations" xfId="1298"/>
    <cellStyle name="_BBSC Core ML mei '05_v1" xfId="152"/>
    <cellStyle name="_BBSC Core ML mei '05_v1 2" xfId="153"/>
    <cellStyle name="_BBSC Core ML mei '05_v1 3" xfId="1299"/>
    <cellStyle name="_BBSC Core ML mei '05_v1_ND5 squeeze model  whs-whs v2.21 DWDM ILL" xfId="1300"/>
    <cellStyle name="_BBSC DirectInternet 2003" xfId="154"/>
    <cellStyle name="_BBSC DirectInternet 2003 2" xfId="1301"/>
    <cellStyle name="_BBSC Operations 2006 feb" xfId="1302"/>
    <cellStyle name="_BBSC Operations 2006 jan" xfId="1303"/>
    <cellStyle name="_BBSC PfM 2005" xfId="1304"/>
    <cellStyle name="_BBSC Poelman 020304" xfId="1305"/>
    <cellStyle name="_BBSC Poelman 020304_090909 GTN - ZM master_update-GTN" xfId="1306"/>
    <cellStyle name="_BBSC Poelman 020304_Blad1" xfId="1307"/>
    <cellStyle name="_BBSC Poelman 020304_Blad1 2" xfId="1308"/>
    <cellStyle name="_BBSC Poelman 020304_Blad1_Blad2" xfId="1309"/>
    <cellStyle name="_BBSC Poelman 020304_Blad1_Blad2 2" xfId="1310"/>
    <cellStyle name="_BBSC Poelman 020304_Blad1_Blad2_JP2011" xfId="1311"/>
    <cellStyle name="_BBSC Poelman 020304_Blad1_JP2011" xfId="1312"/>
    <cellStyle name="_BBSC Poelman 020304_Blad1_Menucard_Staff_Master_2010-09-12" xfId="1313"/>
    <cellStyle name="_BBSC Poelman 020304_Blad1_Model Plan 2012" xfId="1314"/>
    <cellStyle name="_BBSC Poelman 020304_Menucard_Staff_Master_2010-09-12" xfId="1315"/>
    <cellStyle name="_BBSC TM 2005" xfId="1316"/>
    <cellStyle name="_BBSC TM 2005_090909 GTN - ZM master_update-GTN" xfId="1317"/>
    <cellStyle name="_BBSC TM 2005_Blad1" xfId="1318"/>
    <cellStyle name="_BBSC TM 2005_Blad1 2" xfId="1319"/>
    <cellStyle name="_BBSC TM 2005_Blad1_Blad2" xfId="1320"/>
    <cellStyle name="_BBSC TM 2005_Blad1_Blad2 2" xfId="1321"/>
    <cellStyle name="_BBSC TM 2005_Blad1_Blad2_JP2011" xfId="1322"/>
    <cellStyle name="_BBSC TM 2005_Blad1_JP2011" xfId="1323"/>
    <cellStyle name="_BBSC TM 2005_Blad1_Menucard_Staff_Master_2010-09-12" xfId="1324"/>
    <cellStyle name="_BBSC TM 2005_Blad1_Model Plan 2012" xfId="1325"/>
    <cellStyle name="_BBSC TM 2005_Menucard_Staff_Master_2010-09-12" xfId="1326"/>
    <cellStyle name="_BBSC UC 2005 concept 28 apr" xfId="1327"/>
    <cellStyle name="_bbscCC2_CableCom2003o1" xfId="1328"/>
    <cellStyle name="_bbscCC2_CableCom2003o1_090909 GTN - ZM master_update-GTN" xfId="1329"/>
    <cellStyle name="_bbscCC2_CableCom2003o1_Blad1" xfId="1330"/>
    <cellStyle name="_bbscCC2_CableCom2003o1_Blad1 2" xfId="1331"/>
    <cellStyle name="_bbscCC2_CableCom2003o1_Blad1_Blad2" xfId="1332"/>
    <cellStyle name="_bbscCC2_CableCom2003o1_Blad1_Blad2 2" xfId="1333"/>
    <cellStyle name="_bbscCC2_CableCom2003o1_Blad1_Blad2_JP2011" xfId="1334"/>
    <cellStyle name="_bbscCC2_CableCom2003o1_Blad1_JP2011" xfId="1335"/>
    <cellStyle name="_bbscCC2_CableCom2003o1_Blad1_Menucard_Staff_Master_2010-09-12" xfId="1336"/>
    <cellStyle name="_bbscCC2_CableCom2003o1_Blad1_Model Plan 2012" xfId="1337"/>
    <cellStyle name="_bbscCC2_CableCom2003o1_Menucard_Staff_Master_2010-09-12" xfId="1338"/>
    <cellStyle name="_bbscGZM1_BBSC GZM 2003 versie  21-1-20031" xfId="1339"/>
    <cellStyle name="_bbscGZM1_BBSC GZM 2003 versie  21-1-20031_090909 GTN - ZM master_update-GTN" xfId="1340"/>
    <cellStyle name="_bbscGZM1_BBSC GZM 2003 versie  21-1-20031_Blad1" xfId="1341"/>
    <cellStyle name="_bbscGZM1_BBSC GZM 2003 versie  21-1-20031_Blad1 2" xfId="1342"/>
    <cellStyle name="_bbscGZM1_BBSC GZM 2003 versie  21-1-20031_Blad1_Blad2" xfId="1343"/>
    <cellStyle name="_bbscGZM1_BBSC GZM 2003 versie  21-1-20031_Blad1_Blad2 2" xfId="1344"/>
    <cellStyle name="_bbscGZM1_BBSC GZM 2003 versie  21-1-20031_Blad1_Blad2_JP2011" xfId="1345"/>
    <cellStyle name="_bbscGZM1_BBSC GZM 2003 versie  21-1-20031_Blad1_JP2011" xfId="1346"/>
    <cellStyle name="_bbscGZM1_BBSC GZM 2003 versie  21-1-20031_Blad1_Menucard_Staff_Master_2010-09-12" xfId="1347"/>
    <cellStyle name="_bbscGZM1_BBSC GZM 2003 versie  21-1-20031_Blad1_Model Plan 2012" xfId="1348"/>
    <cellStyle name="_bbscGZM1_BBSC GZM 2003 versie  21-1-20031_Menucard_Staff_Master_2010-09-12" xfId="1349"/>
    <cellStyle name="_bbscKES1_BBSC KES 2003 v 220103" xfId="1350"/>
    <cellStyle name="_bbscKES1_BBSC KES 2003 v 220103_090909 GTN - ZM master_update-GTN" xfId="1351"/>
    <cellStyle name="_bbscKES1_BBSC KES 2003 v 220103_Blad1" xfId="1352"/>
    <cellStyle name="_bbscKES1_BBSC KES 2003 v 220103_Blad1 2" xfId="1353"/>
    <cellStyle name="_bbscKES1_BBSC KES 2003 v 220103_Blad1_Blad2" xfId="1354"/>
    <cellStyle name="_bbscKES1_BBSC KES 2003 v 220103_Blad1_Blad2 2" xfId="1355"/>
    <cellStyle name="_bbscKES1_BBSC KES 2003 v 220103_Blad1_Blad2_JP2011" xfId="1356"/>
    <cellStyle name="_bbscKES1_BBSC KES 2003 v 220103_Blad1_JP2011" xfId="1357"/>
    <cellStyle name="_bbscKES1_BBSC KES 2003 v 220103_Blad1_Menucard_Staff_Master_2010-09-12" xfId="1358"/>
    <cellStyle name="_bbscKES1_BBSC KES 2003 v 220103_Blad1_Model Plan 2012" xfId="1359"/>
    <cellStyle name="_bbscKES1_BBSC KES 2003 v 220103_Menucard_Staff_Master_2010-09-12" xfId="1360"/>
    <cellStyle name="_bbscMKB1_Balanced Scorecard BL VOICE MKB 2003" xfId="1361"/>
    <cellStyle name="_bbscMKB1_Balanced Scorecard BL VOICE MKB 2003_090909 GTN - ZM master_update-GTN" xfId="1362"/>
    <cellStyle name="_bbscMKB1_Balanced Scorecard BL VOICE MKB 2003_Blad1" xfId="1363"/>
    <cellStyle name="_bbscMKB1_Balanced Scorecard BL VOICE MKB 2003_Blad1 2" xfId="1364"/>
    <cellStyle name="_bbscMKB1_Balanced Scorecard BL VOICE MKB 2003_Blad1_Blad2" xfId="1365"/>
    <cellStyle name="_bbscMKB1_Balanced Scorecard BL VOICE MKB 2003_Blad1_Blad2 2" xfId="1366"/>
    <cellStyle name="_bbscMKB1_Balanced Scorecard BL VOICE MKB 2003_Blad1_Blad2_JP2011" xfId="1367"/>
    <cellStyle name="_bbscMKB1_Balanced Scorecard BL VOICE MKB 2003_Blad1_JP2011" xfId="1368"/>
    <cellStyle name="_bbscMKB1_Balanced Scorecard BL VOICE MKB 2003_Blad1_Menucard_Staff_Master_2010-09-12" xfId="1369"/>
    <cellStyle name="_bbscMKB1_Balanced Scorecard BL VOICE MKB 2003_Blad1_Model Plan 2012" xfId="1370"/>
    <cellStyle name="_bbscMKB1_Balanced Scorecard BL VOICE MKB 2003_Menucard_Staff_Master_2010-09-12" xfId="1371"/>
    <cellStyle name="_bbscSP2_ Specials 2003 versie  04-02-2003" xfId="1372"/>
    <cellStyle name="_bbscSP2_ Specials 2003 versie  04-02-2003_090909 GTN - ZM master_update-GTN" xfId="1373"/>
    <cellStyle name="_bbscSP2_ Specials 2003 versie  04-02-2003_Blad1" xfId="1374"/>
    <cellStyle name="_bbscSP2_ Specials 2003 versie  04-02-2003_Blad1 2" xfId="1375"/>
    <cellStyle name="_bbscSP2_ Specials 2003 versie  04-02-2003_Blad1_Blad2" xfId="1376"/>
    <cellStyle name="_bbscSP2_ Specials 2003 versie  04-02-2003_Blad1_Blad2 2" xfId="1377"/>
    <cellStyle name="_bbscSP2_ Specials 2003 versie  04-02-2003_Blad1_Blad2_JP2011" xfId="1378"/>
    <cellStyle name="_bbscSP2_ Specials 2003 versie  04-02-2003_Blad1_JP2011" xfId="1379"/>
    <cellStyle name="_bbscSP2_ Specials 2003 versie  04-02-2003_Blad1_Menucard_Staff_Master_2010-09-12" xfId="1380"/>
    <cellStyle name="_bbscSP2_ Specials 2003 versie  04-02-2003_Blad1_Model Plan 2012" xfId="1381"/>
    <cellStyle name="_bbscSP2_ Specials 2003 versie  04-02-2003_Menucard_Staff_Master_2010-09-12" xfId="1382"/>
    <cellStyle name="_bbscTM2" xfId="1383"/>
    <cellStyle name="_bbscTM2_090909 GTN - ZM master_update-GTN" xfId="1384"/>
    <cellStyle name="_bbscTM2_Blad1" xfId="1385"/>
    <cellStyle name="_bbscTM2_Blad1 2" xfId="1386"/>
    <cellStyle name="_bbscTM2_Blad1_Blad2" xfId="1387"/>
    <cellStyle name="_bbscTM2_Blad1_Blad2 2" xfId="1388"/>
    <cellStyle name="_bbscTM2_Blad1_Blad2_JP2011" xfId="1389"/>
    <cellStyle name="_bbscTM2_Blad1_JP2011" xfId="1390"/>
    <cellStyle name="_bbscTM2_Blad1_Menucard_Staff_Master_2010-09-12" xfId="1391"/>
    <cellStyle name="_bbscTM2_Blad1_Model Plan 2012" xfId="1392"/>
    <cellStyle name="_bbscTM2_Menucard_Staff_Master_2010-09-12" xfId="1393"/>
    <cellStyle name="_BC Format v2" xfId="1394"/>
    <cellStyle name="_BC tool ONE 3 44" xfId="155"/>
    <cellStyle name="_BC tool ONE 3 44 2" xfId="1395"/>
    <cellStyle name="_BC tool ONE 3 44 2 2" xfId="1396"/>
    <cellStyle name="_BC Wanadoo briefing Eelco Blok" xfId="156"/>
    <cellStyle name="_BC Wanadoo briefing Eelco Blok_EVPN Model_20102601_v0.1" xfId="157"/>
    <cellStyle name="_BC Wanadoo briefing Eelco Blok_ND5 squeeze model  whs-whs v2.21 DWDM ILL" xfId="1397"/>
    <cellStyle name="_BC Wanadoo briefing Eelco Blok_ZM IS Data Tarievenboek 2010-03-11" xfId="158"/>
    <cellStyle name="_BC-model koop versie 2 behorend bij ppt V3 6 obv bouwforecast" xfId="1398"/>
    <cellStyle name="_BEGIN_001" xfId="159"/>
    <cellStyle name="_BEGIN_001 2" xfId="160"/>
    <cellStyle name="_BEGIN_001 3" xfId="1399"/>
    <cellStyle name="_BEGIN_001_ND5 squeeze model  whs-whs v2.21 DWDM ILL" xfId="1400"/>
    <cellStyle name="_Bijlage 3-12" xfId="1401"/>
    <cellStyle name="_Bijlage 3-12_090909 GTN - ZM master_update-GTN" xfId="1402"/>
    <cellStyle name="_Bijlage 3-12_Blad1" xfId="1403"/>
    <cellStyle name="_Bijlage 3-12_Blad1 2" xfId="1404"/>
    <cellStyle name="_Bijlage 3-12_Blad1_Blad2" xfId="1405"/>
    <cellStyle name="_Bijlage 3-12_Blad1_Blad2 2" xfId="1406"/>
    <cellStyle name="_Bijlage 3-12_Blad1_Blad2_JP2011" xfId="1407"/>
    <cellStyle name="_Bijlage 3-12_Blad1_JP2011" xfId="1408"/>
    <cellStyle name="_Bijlage 3-12_Blad1_Menucard_Staff_Master_2010-09-12" xfId="1409"/>
    <cellStyle name="_Bijlage 3-12_Blad1_Model Plan 2012" xfId="1410"/>
    <cellStyle name="_Bijlage 3-12_Menucard_Staff_Master_2010-09-12" xfId="1411"/>
    <cellStyle name="_Bijlage 8 Informatieprofiel versie 0.21" xfId="1412"/>
    <cellStyle name="_Bijlage 8 Informatieprofiel versie 0.21 2" xfId="1413"/>
    <cellStyle name="_Bijlage 8 Informatieprofiel versie 0.21_FC categoraal" xfId="1414"/>
    <cellStyle name="_Bijlage 8 Informatieprofiel versie 0.21_GDC nieuwe pfc cc jan  2011 v4" xfId="1415"/>
    <cellStyle name="_Bijlage 8 Informatieprofiel versie 0.21_JP2011" xfId="1416"/>
    <cellStyle name="_Bijlage 8 Informatieprofiel versie 0.21_JP2011 2" xfId="1417"/>
    <cellStyle name="_Bijlage 8 Informatieprofiel versie 0.21_JP2011_1" xfId="1418"/>
    <cellStyle name="_Bijlage 8 Informatieprofiel versie 0.21_Preclosing" xfId="1419"/>
    <cellStyle name="_Bijlage 8 Informatieprofiel versie 0.21_Preclosing 2" xfId="1420"/>
    <cellStyle name="_Bijlage 8 Informatieprofiel versie 0.21_Preclosing jan11" xfId="1421"/>
    <cellStyle name="_Bijlage 8 Informatieprofiel versie 0.21_Preclosing_1" xfId="1422"/>
    <cellStyle name="_Bijlage 8 Informatieprofiel versie 0.21_Preclosing_2" xfId="1423"/>
    <cellStyle name="_Bijlage 8 Informatieprofiel versie 0.21_Preclosing_3" xfId="1424"/>
    <cellStyle name="_Bijlage 8 Informatieprofiel versie 0.21_Preclosing_FC categoraal" xfId="1425"/>
    <cellStyle name="_Bijlage 8 Informatieprofiel versie 0.21_Sheet1" xfId="1426"/>
    <cellStyle name="_Bijlage 8 Informatieprofiel versie 0.21_Sheet1_1" xfId="1427"/>
    <cellStyle name="_Bijlage 8 Informatieprofiel versie 0.21_Sheet1_1 2" xfId="1428"/>
    <cellStyle name="_Bijlage 8 Informatieprofiel versie 0.21_Sheet1_1_FC categoraal" xfId="1429"/>
    <cellStyle name="_Bijlage 8 Informatieprofiel versie 0.21_Sheet1_2" xfId="1430"/>
    <cellStyle name="_Bijlage 8 Informatieprofiel versie 0.21_Sheet1_2 2" xfId="1431"/>
    <cellStyle name="_Bijlage 8 Informatieprofiel versie 0.21_Sheet2" xfId="1432"/>
    <cellStyle name="_Bijlage 8a Informatieprofiel BU CS Q2 20041" xfId="1433"/>
    <cellStyle name="_Bijlage 8a Informatieprofiel BU CS Q2 20041_Book2" xfId="1434"/>
    <cellStyle name="_Bijlage 8a Informatieprofiel BU CS Q2 20041_Book3" xfId="1435"/>
    <cellStyle name="_Bijlage 8a Informatieprofiel BU CS Q2 20041_ICS KPI" xfId="1436"/>
    <cellStyle name="_Blad1" xfId="1437"/>
    <cellStyle name="_Boeing - 08 V1" xfId="1438"/>
    <cellStyle name="_Book1" xfId="1439"/>
    <cellStyle name="_Book2" xfId="161"/>
    <cellStyle name="_Book2 2" xfId="162"/>
    <cellStyle name="_Book2 3" xfId="1440"/>
    <cellStyle name="_Book2_ND5 squeeze model  whs-whs v2.21 DWDM ILL" xfId="1441"/>
    <cellStyle name="_BOOKER - 08 TEMPLATE (2)_PST_November6th" xfId="1442"/>
    <cellStyle name="_Bottom Up Maart" xfId="163"/>
    <cellStyle name="_Bottom Up Maart 2" xfId="164"/>
    <cellStyle name="_Bottom Up Maart 3" xfId="1443"/>
    <cellStyle name="_Bottom Up Maart_20080530 Consolidatie Businessplan v12" xfId="1444"/>
    <cellStyle name="_Bottom Up Maart_20080530 Consolidatie Businessplan v12 2" xfId="1445"/>
    <cellStyle name="_Bottom Up Maart_20080530 Consolidatie Businessplan v12_Blad2" xfId="1446"/>
    <cellStyle name="_Bottom Up Maart_20080530 Consolidatie Businessplan v12_Blad2 2" xfId="1447"/>
    <cellStyle name="_Bottom Up Maart_20080530 Consolidatie Businessplan v12_Blad2_JP2011" xfId="1448"/>
    <cellStyle name="_Bottom Up Maart_20080530 Consolidatie Businessplan v12_JP2011" xfId="1449"/>
    <cellStyle name="_Bottom Up Maart_20080530 Consolidatie Businessplan v12_Model Plan 2012" xfId="1450"/>
    <cellStyle name="_Bottom Up Maart_20080605 Consolidatie Businessplan v15" xfId="1451"/>
    <cellStyle name="_Bottom Up Maart_20080605 Consolidatie Businessplan v15 2" xfId="1452"/>
    <cellStyle name="_Bottom Up Maart_20080605 Consolidatie Businessplan v15_Blad2" xfId="1453"/>
    <cellStyle name="_Bottom Up Maart_20080605 Consolidatie Businessplan v15_Blad2 2" xfId="1454"/>
    <cellStyle name="_Bottom Up Maart_20080605 Consolidatie Businessplan v15_Blad2_JP2011" xfId="1455"/>
    <cellStyle name="_Bottom Up Maart_20080605 Consolidatie Businessplan v15_JP2011" xfId="1456"/>
    <cellStyle name="_Bottom Up Maart_20080605 Consolidatie Businessplan v15_Model Plan 2012" xfId="1457"/>
    <cellStyle name="_Bottom Up Maart_20080605 Consolidatie Businessplan v19" xfId="1458"/>
    <cellStyle name="_Bottom Up Maart_20080605 Consolidatie Businessplan v19 2" xfId="1459"/>
    <cellStyle name="_Bottom Up Maart_20080605 Consolidatie Businessplan v19_Blad2" xfId="1460"/>
    <cellStyle name="_Bottom Up Maart_20080605 Consolidatie Businessplan v19_Blad2 2" xfId="1461"/>
    <cellStyle name="_Bottom Up Maart_20080605 Consolidatie Businessplan v19_Blad2_JP2011" xfId="1462"/>
    <cellStyle name="_Bottom Up Maart_20080605 Consolidatie Businessplan v19_JP2011" xfId="1463"/>
    <cellStyle name="_Bottom Up Maart_20080605 Consolidatie Businessplan v19_Model Plan 2012" xfId="1464"/>
    <cellStyle name="_Bottom Up Maart_Blad2" xfId="1465"/>
    <cellStyle name="_Bottom Up Maart_Blad2 2" xfId="1466"/>
    <cellStyle name="_Bottom Up Maart_Blad2_JP2011" xfId="1467"/>
    <cellStyle name="_Bottom Up Maart_JP2011" xfId="1468"/>
    <cellStyle name="_Bottom Up Maart_Model Plan 2012" xfId="1469"/>
    <cellStyle name="_Bottom Up Maart_ND5 squeeze model  whs-whs v2.21 DWDM ILL" xfId="1470"/>
    <cellStyle name="_BP 2007-2009 FTE + kosten BS OP (vs 2)" xfId="165"/>
    <cellStyle name="_BP 2007-2009 FTE + kosten BS OP (vs 2) 2" xfId="166"/>
    <cellStyle name="_BP 2007-2009 FTE + kosten BS OP (vs 2) 3" xfId="1471"/>
    <cellStyle name="_BP 2007-2009 FTE + kosten BS OP (vs 2)_ND5 squeeze model  whs-whs v2.21 DWDM ILL" xfId="1472"/>
    <cellStyle name="_BP 2007-2009 ronde 3     Inputblad FTE" xfId="167"/>
    <cellStyle name="_BP 2007-2009 Totaal overzicht WSO en NS 11-10-2006" xfId="168"/>
    <cellStyle name="_BP 2007-2009 Totaal overzicht WSO en NS 11-10-2006 2" xfId="169"/>
    <cellStyle name="_BP 2007-2009 Totaal overzicht WSO en NS 11-10-2006 3" xfId="1473"/>
    <cellStyle name="_BP 2007-2009 Totaal overzicht WSO en NS 11-10-2006_ND5 squeeze model  whs-whs v2.21 DWDM ILL" xfId="1474"/>
    <cellStyle name="_BP 2008-2010 invoersheet RE004 Voice Services Joost" xfId="1475"/>
    <cellStyle name="_BP 2008-2010 invoersheet RE004 Voice Services Joost 2" xfId="1476"/>
    <cellStyle name="_BP 2008-2010 invoersheet RE004 Voice Services Joost_Blad2" xfId="1477"/>
    <cellStyle name="_BP 2008-2010 invoersheet RE004 Voice Services Joost_Blad2 2" xfId="1478"/>
    <cellStyle name="_BP 2008-2010 invoersheet RE004 Voice Services Joost_Blad2_JP2011" xfId="1479"/>
    <cellStyle name="_BP 2008-2010 invoersheet RE004 Voice Services Joost_JP2011" xfId="1480"/>
    <cellStyle name="_BP 2008-2010 invoersheet RE004 Voice Services Joost_Model Plan 2012" xfId="1481"/>
    <cellStyle name="_BP Con 2005 concept" xfId="170"/>
    <cellStyle name="_BP Con 2005 concept 2" xfId="171"/>
    <cellStyle name="_BP Con 2005 concept 3" xfId="1482"/>
    <cellStyle name="_BP Con 2005 concept_ND5 squeeze model  whs-whs v2.21 DWDM ILL" xfId="1483"/>
    <cellStyle name="_BP ILL 2005-2007_v3" xfId="172"/>
    <cellStyle name="_BP ILL 2005-2007_v3 2" xfId="173"/>
    <cellStyle name="_BP ILL 2005-2007_v3 3" xfId="1484"/>
    <cellStyle name="_BP ILL 2005-2007_v3_ND5 squeeze model  whs-whs v2.21 DWDM ILL" xfId="1485"/>
    <cellStyle name="_BP ILL forecast 07-08-09 V0 2" xfId="174"/>
    <cellStyle name="_BP ILL forecast 07-08-09 V0 2_LPM PL 20101014 Concept" xfId="1486"/>
    <cellStyle name="_BP ILL forecast 07-08-09 V0 2_LPM PL 20101028 obv LRIC inkoop" xfId="1487"/>
    <cellStyle name="_BP ILL forecast 07-08-09 V0 2_ND5 squeeze model  whs-whs v2.21 DWDM ILL" xfId="1488"/>
    <cellStyle name="_BP ILL forecast 07-08-09 V0 3 (concept)" xfId="175"/>
    <cellStyle name="_BP ILL forecast 07-08-09 V0 3 (concept)_LPM PL 20101014 Concept" xfId="1489"/>
    <cellStyle name="_BP ILL forecast 07-08-09 V0 3 (concept)_LPM PL 20101028 obv LRIC inkoop" xfId="1490"/>
    <cellStyle name="_BP ILL forecast 07-08-09 V0 3 (concept)_ND5 squeeze model  whs-whs v2.21 DWDM ILL" xfId="1491"/>
    <cellStyle name="_BP Update-PFM VOice services-1jun06" xfId="176"/>
    <cellStyle name="_BP Update-PFM VOice services-1jun06 2" xfId="177"/>
    <cellStyle name="_BP Update-PFM VOice services-1jun06 3" xfId="1492"/>
    <cellStyle name="_BP Update-PFM VOice services-1jun06_ND5 squeeze model  whs-whs v2.21 DWDM ILL" xfId="1493"/>
    <cellStyle name="_BP2009V02 2008_05 29" xfId="1494"/>
    <cellStyle name="_BP2009V02 2008_05 29 2" xfId="1495"/>
    <cellStyle name="_BP2009V02 2008_05 29_Blad2" xfId="1496"/>
    <cellStyle name="_BP2009V02 2008_05 29_Blad2 2" xfId="1497"/>
    <cellStyle name="_BP2009V02 2008_05 29_Blad2_JP2011" xfId="1498"/>
    <cellStyle name="_BP2009V02 2008_05 29_JP2011" xfId="1499"/>
    <cellStyle name="_BP2009V02 2008_05 29_Model Plan 2012" xfId="1500"/>
    <cellStyle name="_BPR_Entity_July08_v3" xfId="1501"/>
    <cellStyle name="_BPR_Entity_July08_v3_Blad2" xfId="1502"/>
    <cellStyle name="_BPR_Entity_July08_v3_Blad2 2" xfId="1503"/>
    <cellStyle name="_BPR_Entity_July08_v3_Blad2_JP2011" xfId="1504"/>
    <cellStyle name="_BPR_Entity_July08_v3_Book2" xfId="1505"/>
    <cellStyle name="_BPR_Entity_July08_v3_Book3" xfId="1506"/>
    <cellStyle name="_BPR_Entity_July08_v3_Direct (Projects)" xfId="1507"/>
    <cellStyle name="_BPR_Entity_July08_v3_Excel sheets updated of strategy sessions  Rmc" xfId="1508"/>
    <cellStyle name="_BPR_Entity_July08_v3_ICS KPI" xfId="1509"/>
    <cellStyle name="_BPR_Entity_July08_v3_JP2011" xfId="1510"/>
    <cellStyle name="_BPR_Entity_July08_v3_JP2011 2" xfId="1511"/>
    <cellStyle name="_BPR_Entity_July08_v3_Model Plan 2012" xfId="1512"/>
    <cellStyle name="_BPR_Entity_July08_v3_Sheet1" xfId="1513"/>
    <cellStyle name="_BPR_Entity_July08_v3_Sheet1_Book2" xfId="1514"/>
    <cellStyle name="_BPR_Entity_July08_v3_Sheet1_Book3" xfId="1515"/>
    <cellStyle name="_BPR_Entity_July08_v3_Sheet1_ICS KPI" xfId="1516"/>
    <cellStyle name="_Britania BS - 08 V1" xfId="1517"/>
    <cellStyle name="_Brugstaat OLS" xfId="1518"/>
    <cellStyle name="_Brugstaat OLS 2" xfId="1519"/>
    <cellStyle name="_Brugstaat OLS_JP2011" xfId="1520"/>
    <cellStyle name="_brugstaat plan opex" xfId="178"/>
    <cellStyle name="_brugstaat plan opex 2" xfId="179"/>
    <cellStyle name="_brugstaat plan opex 3" xfId="1521"/>
    <cellStyle name="_brugstaat plan opex_ND5 squeeze model  whs-whs v2.21 DWDM ILL" xfId="1522"/>
    <cellStyle name="_BS JP 2007" xfId="180"/>
    <cellStyle name="_BS MPM totaalsheet November (06122006)(Final)" xfId="181"/>
    <cellStyle name="_BS_126014_MI_P12" xfId="1523"/>
    <cellStyle name="_BS_126014_MI_P12 2" xfId="1524"/>
    <cellStyle name="_BS_126014_MI_P12 3" xfId="1525"/>
    <cellStyle name="_BS_130504_spec 310308" xfId="1526"/>
    <cellStyle name="_BS_130504_spec 310308 2" xfId="1527"/>
    <cellStyle name="_BS_130504_spec 310308 3" xfId="1528"/>
    <cellStyle name="_BS_130504_VA NSDM_P11_ 2007" xfId="1529"/>
    <cellStyle name="_BS_130504_VA%20NSDM_P12_%202007(1)" xfId="1530"/>
    <cellStyle name="_BS_130504_VA%20NSDM_P12_%202007(1) 2" xfId="1531"/>
    <cellStyle name="_BS_130504_VA%20NSDM_P12_%202007(1) 3" xfId="1532"/>
    <cellStyle name="_Budgeted Vs Actuals - SOUTHERN REGION  V1" xfId="1533"/>
    <cellStyle name="_Budgeted Vs Actuals - SOUTHERN REGION  V2" xfId="1534"/>
    <cellStyle name="_Budgetverdeling_BC_2007_LE_SME_definitief_4dec06" xfId="1535"/>
    <cellStyle name="_Budgetverdeling_BC_2007_LE_SME_definitief_4dec06 2" xfId="1536"/>
    <cellStyle name="_Budgetverdeling_BC_2007_LE_SME_definitief_4dec06_Blad2" xfId="1537"/>
    <cellStyle name="_Budgetverdeling_BC_2007_LE_SME_definitief_4dec06_Blad2 2" xfId="1538"/>
    <cellStyle name="_Budgetverdeling_BC_2007_LE_SME_definitief_4dec06_Blad2_JP2011" xfId="1539"/>
    <cellStyle name="_Budgetverdeling_BC_2007_LE_SME_definitief_4dec06_JP2011" xfId="1540"/>
    <cellStyle name="_Budgetverdeling_BC_2007_LE_SME_definitief_4dec06_Model Plan 2012" xfId="1541"/>
    <cellStyle name="_Business case" xfId="1542"/>
    <cellStyle name="_Business case - forecast V1 7" xfId="1543"/>
    <cellStyle name="_Business case - forecast V7 8 RvB v2" xfId="1544"/>
    <cellStyle name="_Business case - forecast V7 9" xfId="1545"/>
    <cellStyle name="_business case CC Haarlem v2 0 huur" xfId="1546"/>
    <cellStyle name="_Business case Hosting Almere v4" xfId="1547"/>
    <cellStyle name="_Business case Hosting Almere v4 2" xfId="1548"/>
    <cellStyle name="_Business model KPN TV '08 - '10 - v08 concept" xfId="1549"/>
    <cellStyle name="_BusinessBalanced Scorecard MNS draft 2007" xfId="1550"/>
    <cellStyle name="_BusinessPlan 2007-2009 DVB-T + IP-TV" xfId="1551"/>
    <cellStyle name="_BusinessPlan DVB-T v15 value for money op 795" xfId="1552"/>
    <cellStyle name="_Busplan BS 07 0107 aantallen+WBA omzet" xfId="182"/>
    <cellStyle name="_Busplan BS 07 0107 aantallen+WBA omzet 2" xfId="183"/>
    <cellStyle name="_Busplan BS 07 0107 aantallen+WBA omzet 3" xfId="1553"/>
    <cellStyle name="_Busplan BS 07 0107 aantallen+WBA omzet_ND5 squeeze model  whs-whs v2.21 DWDM ILL" xfId="1554"/>
    <cellStyle name="_Calculatieblad_Opgaaf_Sectorv0 1" xfId="1555"/>
    <cellStyle name="_CAPEX JP 2003- BP 2004 in flying bricks" xfId="184"/>
    <cellStyle name="_CAPEX-jev q2 draft" xfId="1556"/>
    <cellStyle name="_CBI - 08 MATT ARNOLD update" xfId="1557"/>
    <cellStyle name="_CCAL versie 7 (5000m2)" xfId="1558"/>
    <cellStyle name="_CCS_P en L totaalsheet v10 25-08-2006" xfId="1559"/>
    <cellStyle name="_CCS_P en L totaalsheet v10 25-08-2006 2" xfId="1560"/>
    <cellStyle name="_CCS_P en L totaalsheet v10 25-08-2006_Blad2" xfId="1561"/>
    <cellStyle name="_CCS_P en L totaalsheet v10 25-08-2006_Blad2 2" xfId="1562"/>
    <cellStyle name="_CCS_P en L totaalsheet v10 25-08-2006_Blad2_JP2011" xfId="1563"/>
    <cellStyle name="_CCS_P en L totaalsheet v10 25-08-2006_JP2011" xfId="1564"/>
    <cellStyle name="_CCS_P en L totaalsheet v10 25-08-2006_Model Plan 2012" xfId="1565"/>
    <cellStyle name="_Check" xfId="1566"/>
    <cellStyle name="_Check 13 weeks cash forecast" xfId="1567"/>
    <cellStyle name="_Check met output OLS" xfId="1568"/>
    <cellStyle name="_Check met output OLS 2" xfId="1569"/>
    <cellStyle name="_Check met output OLS_JP2011" xfId="1570"/>
    <cellStyle name="_Check_Sheet1" xfId="1571"/>
    <cellStyle name="_Churn 2004" xfId="185"/>
    <cellStyle name="_Churn 2004 2" xfId="186"/>
    <cellStyle name="_Churn 2004 3" xfId="1572"/>
    <cellStyle name="_Churn 2004_20080530 Consolidatie Businessplan v12" xfId="1573"/>
    <cellStyle name="_Churn 2004_20080530 Consolidatie Businessplan v12 2" xfId="1574"/>
    <cellStyle name="_Churn 2004_20080530 Consolidatie Businessplan v12_Blad2" xfId="1575"/>
    <cellStyle name="_Churn 2004_20080530 Consolidatie Businessplan v12_Blad2 2" xfId="1576"/>
    <cellStyle name="_Churn 2004_20080530 Consolidatie Businessplan v12_Blad2_JP2011" xfId="1577"/>
    <cellStyle name="_Churn 2004_20080530 Consolidatie Businessplan v12_JP2011" xfId="1578"/>
    <cellStyle name="_Churn 2004_20080530 Consolidatie Businessplan v12_Model Plan 2012" xfId="1579"/>
    <cellStyle name="_Churn 2004_20080605 Consolidatie Businessplan v15" xfId="1580"/>
    <cellStyle name="_Churn 2004_20080605 Consolidatie Businessplan v15 2" xfId="1581"/>
    <cellStyle name="_Churn 2004_20080605 Consolidatie Businessplan v15_Blad2" xfId="1582"/>
    <cellStyle name="_Churn 2004_20080605 Consolidatie Businessplan v15_Blad2 2" xfId="1583"/>
    <cellStyle name="_Churn 2004_20080605 Consolidatie Businessplan v15_Blad2_JP2011" xfId="1584"/>
    <cellStyle name="_Churn 2004_20080605 Consolidatie Businessplan v15_JP2011" xfId="1585"/>
    <cellStyle name="_Churn 2004_20080605 Consolidatie Businessplan v15_Model Plan 2012" xfId="1586"/>
    <cellStyle name="_Churn 2004_20080605 Consolidatie Businessplan v19" xfId="1587"/>
    <cellStyle name="_Churn 2004_20080605 Consolidatie Businessplan v19 2" xfId="1588"/>
    <cellStyle name="_Churn 2004_20080605 Consolidatie Businessplan v19_Blad2" xfId="1589"/>
    <cellStyle name="_Churn 2004_20080605 Consolidatie Businessplan v19_Blad2 2" xfId="1590"/>
    <cellStyle name="_Churn 2004_20080605 Consolidatie Businessplan v19_Blad2_JP2011" xfId="1591"/>
    <cellStyle name="_Churn 2004_20080605 Consolidatie Businessplan v19_JP2011" xfId="1592"/>
    <cellStyle name="_Churn 2004_20080605 Consolidatie Businessplan v19_Model Plan 2012" xfId="1593"/>
    <cellStyle name="_Churn 2004_Blad2" xfId="1594"/>
    <cellStyle name="_Churn 2004_Blad2 2" xfId="1595"/>
    <cellStyle name="_Churn 2004_Blad2_JP2011" xfId="1596"/>
    <cellStyle name="_Churn 2004_JP2011" xfId="1597"/>
    <cellStyle name="_Churn 2004_Model Plan 2012" xfId="1598"/>
    <cellStyle name="_Churn 2004_ND5 squeeze model  whs-whs v2.21 DWDM ILL" xfId="1599"/>
    <cellStyle name="_CLARKS - 08 TEMPLATE CK 7 Nov" xfId="1600"/>
    <cellStyle name="_COLT - 08 Chris Westwood" xfId="1601"/>
    <cellStyle name="_Complete" xfId="187"/>
    <cellStyle name="_Complete 2" xfId="188"/>
    <cellStyle name="_Complete 3" xfId="1602"/>
    <cellStyle name="_Complete_ND5 squeeze model  whs-whs v2.21 DWDM ILL" xfId="1603"/>
    <cellStyle name="_Consolidatie set Overig opbr+verkr BU VT JP2004 versie 8" xfId="189"/>
    <cellStyle name="_Consolidatie set Overig opbr+verkr BU VT JP2004 versie 8 2" xfId="190"/>
    <cellStyle name="_Consolidatie set Overig opbr+verkr BU VT JP2004 versie 8 3" xfId="1604"/>
    <cellStyle name="_Consolidatie set Overig opbr+verkr BU VT JP2004 versie 8_20080530 Consolidatie Businessplan v12" xfId="1605"/>
    <cellStyle name="_Consolidatie set Overig opbr+verkr BU VT JP2004 versie 8_20080530 Consolidatie Businessplan v12 2" xfId="1606"/>
    <cellStyle name="_Consolidatie set Overig opbr+verkr BU VT JP2004 versie 8_20080530 Consolidatie Businessplan v12_Blad2" xfId="1607"/>
    <cellStyle name="_Consolidatie set Overig opbr+verkr BU VT JP2004 versie 8_20080530 Consolidatie Businessplan v12_Blad2 2" xfId="1608"/>
    <cellStyle name="_Consolidatie set Overig opbr+verkr BU VT JP2004 versie 8_20080530 Consolidatie Businessplan v12_Blad2_JP2011" xfId="1609"/>
    <cellStyle name="_Consolidatie set Overig opbr+verkr BU VT JP2004 versie 8_20080530 Consolidatie Businessplan v12_JP2011" xfId="1610"/>
    <cellStyle name="_Consolidatie set Overig opbr+verkr BU VT JP2004 versie 8_20080530 Consolidatie Businessplan v12_Model Plan 2012" xfId="1611"/>
    <cellStyle name="_Consolidatie set Overig opbr+verkr BU VT JP2004 versie 8_20080605 Consolidatie Businessplan v15" xfId="1612"/>
    <cellStyle name="_Consolidatie set Overig opbr+verkr BU VT JP2004 versie 8_20080605 Consolidatie Businessplan v15 2" xfId="1613"/>
    <cellStyle name="_Consolidatie set Overig opbr+verkr BU VT JP2004 versie 8_20080605 Consolidatie Businessplan v15_Blad2" xfId="1614"/>
    <cellStyle name="_Consolidatie set Overig opbr+verkr BU VT JP2004 versie 8_20080605 Consolidatie Businessplan v15_Blad2 2" xfId="1615"/>
    <cellStyle name="_Consolidatie set Overig opbr+verkr BU VT JP2004 versie 8_20080605 Consolidatie Businessplan v15_Blad2_JP2011" xfId="1616"/>
    <cellStyle name="_Consolidatie set Overig opbr+verkr BU VT JP2004 versie 8_20080605 Consolidatie Businessplan v15_JP2011" xfId="1617"/>
    <cellStyle name="_Consolidatie set Overig opbr+verkr BU VT JP2004 versie 8_20080605 Consolidatie Businessplan v15_Model Plan 2012" xfId="1618"/>
    <cellStyle name="_Consolidatie set Overig opbr+verkr BU VT JP2004 versie 8_20080605 Consolidatie Businessplan v19" xfId="1619"/>
    <cellStyle name="_Consolidatie set Overig opbr+verkr BU VT JP2004 versie 8_20080605 Consolidatie Businessplan v19 2" xfId="1620"/>
    <cellStyle name="_Consolidatie set Overig opbr+verkr BU VT JP2004 versie 8_20080605 Consolidatie Businessplan v19_Blad2" xfId="1621"/>
    <cellStyle name="_Consolidatie set Overig opbr+verkr BU VT JP2004 versie 8_20080605 Consolidatie Businessplan v19_Blad2 2" xfId="1622"/>
    <cellStyle name="_Consolidatie set Overig opbr+verkr BU VT JP2004 versie 8_20080605 Consolidatie Businessplan v19_Blad2_JP2011" xfId="1623"/>
    <cellStyle name="_Consolidatie set Overig opbr+verkr BU VT JP2004 versie 8_20080605 Consolidatie Businessplan v19_JP2011" xfId="1624"/>
    <cellStyle name="_Consolidatie set Overig opbr+verkr BU VT JP2004 versie 8_20080605 Consolidatie Businessplan v19_Model Plan 2012" xfId="1625"/>
    <cellStyle name="_Consolidatie set Overig opbr+verkr BU VT JP2004 versie 8_Blad2" xfId="1626"/>
    <cellStyle name="_Consolidatie set Overig opbr+verkr BU VT JP2004 versie 8_Blad2 2" xfId="1627"/>
    <cellStyle name="_Consolidatie set Overig opbr+verkr BU VT JP2004 versie 8_Blad2_JP2011" xfId="1628"/>
    <cellStyle name="_Consolidatie set Overig opbr+verkr BU VT JP2004 versie 8_JP2011" xfId="1629"/>
    <cellStyle name="_Consolidatie set Overig opbr+verkr BU VT JP2004 versie 8_Model Plan 2012" xfId="1630"/>
    <cellStyle name="_Consolidatie set Overig opbr+verkr BU VT JP2004 versie 8_ND5 squeeze model  whs-whs v2.21 DWDM ILL" xfId="1631"/>
    <cellStyle name="_Consolidatie set Overig opbr+verkr BU VT JP2004 versie6" xfId="191"/>
    <cellStyle name="_Consolidatie set Overig opbr+verkr BU VT JP2004 versie6 2" xfId="192"/>
    <cellStyle name="_Consolidatie set Overig opbr+verkr BU VT JP2004 versie6 2 2" xfId="1632"/>
    <cellStyle name="_Consolidatie set Overig opbr+verkr BU VT JP2004 versie6 3" xfId="1633"/>
    <cellStyle name="_Consolidatie set Overig opbr+verkr BU VT JP2004 versie6_20080530 Consolidatie Businessplan v12" xfId="1634"/>
    <cellStyle name="_Consolidatie set Overig opbr+verkr BU VT JP2004 versie6_20080530 Consolidatie Businessplan v12 2" xfId="1635"/>
    <cellStyle name="_Consolidatie set Overig opbr+verkr BU VT JP2004 versie6_20080530 Consolidatie Businessplan v12_Blad2" xfId="1636"/>
    <cellStyle name="_Consolidatie set Overig opbr+verkr BU VT JP2004 versie6_20080530 Consolidatie Businessplan v12_Blad2 2" xfId="1637"/>
    <cellStyle name="_Consolidatie set Overig opbr+verkr BU VT JP2004 versie6_20080530 Consolidatie Businessplan v12_Blad2_JP2011" xfId="1638"/>
    <cellStyle name="_Consolidatie set Overig opbr+verkr BU VT JP2004 versie6_20080530 Consolidatie Businessplan v12_JP2011" xfId="1639"/>
    <cellStyle name="_Consolidatie set Overig opbr+verkr BU VT JP2004 versie6_20080530 Consolidatie Businessplan v12_Model Plan 2012" xfId="1640"/>
    <cellStyle name="_Consolidatie set Overig opbr+verkr BU VT JP2004 versie6_20080605 Consolidatie Businessplan v15" xfId="1641"/>
    <cellStyle name="_Consolidatie set Overig opbr+verkr BU VT JP2004 versie6_20080605 Consolidatie Businessplan v15 2" xfId="1642"/>
    <cellStyle name="_Consolidatie set Overig opbr+verkr BU VT JP2004 versie6_20080605 Consolidatie Businessplan v15_Blad2" xfId="1643"/>
    <cellStyle name="_Consolidatie set Overig opbr+verkr BU VT JP2004 versie6_20080605 Consolidatie Businessplan v15_Blad2 2" xfId="1644"/>
    <cellStyle name="_Consolidatie set Overig opbr+verkr BU VT JP2004 versie6_20080605 Consolidatie Businessplan v15_Blad2_JP2011" xfId="1645"/>
    <cellStyle name="_Consolidatie set Overig opbr+verkr BU VT JP2004 versie6_20080605 Consolidatie Businessplan v15_JP2011" xfId="1646"/>
    <cellStyle name="_Consolidatie set Overig opbr+verkr BU VT JP2004 versie6_20080605 Consolidatie Businessplan v15_Model Plan 2012" xfId="1647"/>
    <cellStyle name="_Consolidatie set Overig opbr+verkr BU VT JP2004 versie6_20080605 Consolidatie Businessplan v19" xfId="1648"/>
    <cellStyle name="_Consolidatie set Overig opbr+verkr BU VT JP2004 versie6_20080605 Consolidatie Businessplan v19 2" xfId="1649"/>
    <cellStyle name="_Consolidatie set Overig opbr+verkr BU VT JP2004 versie6_20080605 Consolidatie Businessplan v19_Blad2" xfId="1650"/>
    <cellStyle name="_Consolidatie set Overig opbr+verkr BU VT JP2004 versie6_20080605 Consolidatie Businessplan v19_Blad2 2" xfId="1651"/>
    <cellStyle name="_Consolidatie set Overig opbr+verkr BU VT JP2004 versie6_20080605 Consolidatie Businessplan v19_Blad2_JP2011" xfId="1652"/>
    <cellStyle name="_Consolidatie set Overig opbr+verkr BU VT JP2004 versie6_20080605 Consolidatie Businessplan v19_JP2011" xfId="1653"/>
    <cellStyle name="_Consolidatie set Overig opbr+verkr BU VT JP2004 versie6_20080605 Consolidatie Businessplan v19_Model Plan 2012" xfId="1654"/>
    <cellStyle name="_Consolidatie set Overig opbr+verkr BU VT JP2004 versie6_Blad2" xfId="1655"/>
    <cellStyle name="_Consolidatie set Overig opbr+verkr BU VT JP2004 versie6_Blad2 2" xfId="1656"/>
    <cellStyle name="_Consolidatie set Overig opbr+verkr BU VT JP2004 versie6_Blad2_JP2011" xfId="1657"/>
    <cellStyle name="_Consolidatie set Overig opbr+verkr BU VT JP2004 versie6_Copy of Org tabel menu kaart" xfId="1658"/>
    <cellStyle name="_Consolidatie set Overig opbr+verkr BU VT JP2004 versie6_Entity structuur 2011" xfId="1659"/>
    <cellStyle name="_Consolidatie set Overig opbr+verkr BU VT JP2004 versie6_EVPN Model_20102601_v0.1" xfId="193"/>
    <cellStyle name="_Consolidatie set Overig opbr+verkr BU VT JP2004 versie6_FC categoraal" xfId="1660"/>
    <cellStyle name="_Consolidatie set Overig opbr+verkr BU VT JP2004 versie6_GDC nieuwe pfc cc jan  2011 v4" xfId="1661"/>
    <cellStyle name="_Consolidatie set Overig opbr+verkr BU VT JP2004 versie6_JP2011" xfId="1662"/>
    <cellStyle name="_Consolidatie set Overig opbr+verkr BU VT JP2004 versie6_JP2011 2" xfId="1663"/>
    <cellStyle name="_Consolidatie set Overig opbr+verkr BU VT JP2004 versie6_JP2011_1" xfId="1664"/>
    <cellStyle name="_Consolidatie set Overig opbr+verkr BU VT JP2004 versie6_KWT IS Data 2010-10-07" xfId="1665"/>
    <cellStyle name="_Consolidatie set Overig opbr+verkr BU VT JP2004 versie6_Model Plan 2012" xfId="1666"/>
    <cellStyle name="_Consolidatie set Overig opbr+verkr BU VT JP2004 versie6_ND5 squeeze model  whs-whs v2.21 DWDM ILL" xfId="1667"/>
    <cellStyle name="_Consolidatie set Overig opbr+verkr BU VT JP2004 versie6_Preclosing" xfId="1668"/>
    <cellStyle name="_Consolidatie set Overig opbr+verkr BU VT JP2004 versie6_Preclosing 2" xfId="1669"/>
    <cellStyle name="_Consolidatie set Overig opbr+verkr BU VT JP2004 versie6_Preclosing jan11" xfId="1670"/>
    <cellStyle name="_Consolidatie set Overig opbr+verkr BU VT JP2004 versie6_Preclosing_1" xfId="1671"/>
    <cellStyle name="_Consolidatie set Overig opbr+verkr BU VT JP2004 versie6_Preclosing_2" xfId="1672"/>
    <cellStyle name="_Consolidatie set Overig opbr+verkr BU VT JP2004 versie6_Preclosing_3" xfId="1673"/>
    <cellStyle name="_Consolidatie set Overig opbr+verkr BU VT JP2004 versie6_Preclosing_FC categoraal" xfId="1674"/>
    <cellStyle name="_Consolidatie set Overig opbr+verkr BU VT JP2004 versie6_Sheet1" xfId="1675"/>
    <cellStyle name="_Consolidatie set Overig opbr+verkr BU VT JP2004 versie6_Sheet1_1" xfId="1676"/>
    <cellStyle name="_Consolidatie set Overig opbr+verkr BU VT JP2004 versie6_Sheet1_1 2" xfId="1677"/>
    <cellStyle name="_Consolidatie set Overig opbr+verkr BU VT JP2004 versie6_Sheet1_1_FC categoraal" xfId="1678"/>
    <cellStyle name="_Consolidatie set Overig opbr+verkr BU VT JP2004 versie6_Sheet1_2" xfId="1679"/>
    <cellStyle name="_Consolidatie set Overig opbr+verkr BU VT JP2004 versie6_Sheet1_2 2" xfId="1680"/>
    <cellStyle name="_Consolidatie set Overig opbr+verkr BU VT JP2004 versie6_Sheet2" xfId="1681"/>
    <cellStyle name="_Consolidatie set Overig opbr+verkr BU VT JP2004 versie6_ZM IS Data Tarievenboek 2010-03-11" xfId="194"/>
    <cellStyle name="_Consolidatie set P&amp;L omzet BU VT JP2004 versie6" xfId="195"/>
    <cellStyle name="_Consolidatie set P&amp;L omzet BU VT JP2004 versie6 2" xfId="196"/>
    <cellStyle name="_Consolidatie set P&amp;L omzet BU VT JP2004 versie6 2 2" xfId="1682"/>
    <cellStyle name="_Consolidatie set P&amp;L omzet BU VT JP2004 versie6 3" xfId="1683"/>
    <cellStyle name="_Consolidatie set P&amp;L omzet BU VT JP2004 versie6_20080530 Consolidatie Businessplan v12" xfId="1684"/>
    <cellStyle name="_Consolidatie set P&amp;L omzet BU VT JP2004 versie6_20080530 Consolidatie Businessplan v12 2" xfId="1685"/>
    <cellStyle name="_Consolidatie set P&amp;L omzet BU VT JP2004 versie6_20080530 Consolidatie Businessplan v12_Blad2" xfId="1686"/>
    <cellStyle name="_Consolidatie set P&amp;L omzet BU VT JP2004 versie6_20080530 Consolidatie Businessplan v12_Blad2 2" xfId="1687"/>
    <cellStyle name="_Consolidatie set P&amp;L omzet BU VT JP2004 versie6_20080530 Consolidatie Businessplan v12_Blad2_JP2011" xfId="1688"/>
    <cellStyle name="_Consolidatie set P&amp;L omzet BU VT JP2004 versie6_20080530 Consolidatie Businessplan v12_JP2011" xfId="1689"/>
    <cellStyle name="_Consolidatie set P&amp;L omzet BU VT JP2004 versie6_20080530 Consolidatie Businessplan v12_Model Plan 2012" xfId="1690"/>
    <cellStyle name="_Consolidatie set P&amp;L omzet BU VT JP2004 versie6_20080605 Consolidatie Businessplan v15" xfId="1691"/>
    <cellStyle name="_Consolidatie set P&amp;L omzet BU VT JP2004 versie6_20080605 Consolidatie Businessplan v15 2" xfId="1692"/>
    <cellStyle name="_Consolidatie set P&amp;L omzet BU VT JP2004 versie6_20080605 Consolidatie Businessplan v15_Blad2" xfId="1693"/>
    <cellStyle name="_Consolidatie set P&amp;L omzet BU VT JP2004 versie6_20080605 Consolidatie Businessplan v15_Blad2 2" xfId="1694"/>
    <cellStyle name="_Consolidatie set P&amp;L omzet BU VT JP2004 versie6_20080605 Consolidatie Businessplan v15_Blad2_JP2011" xfId="1695"/>
    <cellStyle name="_Consolidatie set P&amp;L omzet BU VT JP2004 versie6_20080605 Consolidatie Businessplan v15_JP2011" xfId="1696"/>
    <cellStyle name="_Consolidatie set P&amp;L omzet BU VT JP2004 versie6_20080605 Consolidatie Businessplan v15_Model Plan 2012" xfId="1697"/>
    <cellStyle name="_Consolidatie set P&amp;L omzet BU VT JP2004 versie6_20080605 Consolidatie Businessplan v19" xfId="1698"/>
    <cellStyle name="_Consolidatie set P&amp;L omzet BU VT JP2004 versie6_20080605 Consolidatie Businessplan v19 2" xfId="1699"/>
    <cellStyle name="_Consolidatie set P&amp;L omzet BU VT JP2004 versie6_20080605 Consolidatie Businessplan v19_Blad2" xfId="1700"/>
    <cellStyle name="_Consolidatie set P&amp;L omzet BU VT JP2004 versie6_20080605 Consolidatie Businessplan v19_Blad2 2" xfId="1701"/>
    <cellStyle name="_Consolidatie set P&amp;L omzet BU VT JP2004 versie6_20080605 Consolidatie Businessplan v19_Blad2_JP2011" xfId="1702"/>
    <cellStyle name="_Consolidatie set P&amp;L omzet BU VT JP2004 versie6_20080605 Consolidatie Businessplan v19_JP2011" xfId="1703"/>
    <cellStyle name="_Consolidatie set P&amp;L omzet BU VT JP2004 versie6_20080605 Consolidatie Businessplan v19_Model Plan 2012" xfId="1704"/>
    <cellStyle name="_Consolidatie set P&amp;L omzet BU VT JP2004 versie6_Blad2" xfId="1705"/>
    <cellStyle name="_Consolidatie set P&amp;L omzet BU VT JP2004 versie6_Blad2 2" xfId="1706"/>
    <cellStyle name="_Consolidatie set P&amp;L omzet BU VT JP2004 versie6_Blad2_JP2011" xfId="1707"/>
    <cellStyle name="_Consolidatie set P&amp;L omzet BU VT JP2004 versie6_Copy of Org tabel menu kaart" xfId="1708"/>
    <cellStyle name="_Consolidatie set P&amp;L omzet BU VT JP2004 versie6_Entity structuur 2011" xfId="1709"/>
    <cellStyle name="_Consolidatie set P&amp;L omzet BU VT JP2004 versie6_EVPN Model_20102601_v0.1" xfId="197"/>
    <cellStyle name="_Consolidatie set P&amp;L omzet BU VT JP2004 versie6_FC categoraal" xfId="1710"/>
    <cellStyle name="_Consolidatie set P&amp;L omzet BU VT JP2004 versie6_GDC nieuwe pfc cc jan  2011 v4" xfId="1711"/>
    <cellStyle name="_Consolidatie set P&amp;L omzet BU VT JP2004 versie6_JP2011" xfId="1712"/>
    <cellStyle name="_Consolidatie set P&amp;L omzet BU VT JP2004 versie6_JP2011 2" xfId="1713"/>
    <cellStyle name="_Consolidatie set P&amp;L omzet BU VT JP2004 versie6_JP2011_1" xfId="1714"/>
    <cellStyle name="_Consolidatie set P&amp;L omzet BU VT JP2004 versie6_KWT IS Data 2010-10-07" xfId="1715"/>
    <cellStyle name="_Consolidatie set P&amp;L omzet BU VT JP2004 versie6_Model Plan 2012" xfId="1716"/>
    <cellStyle name="_Consolidatie set P&amp;L omzet BU VT JP2004 versie6_ND5 squeeze model  whs-whs v2.21 DWDM ILL" xfId="1717"/>
    <cellStyle name="_Consolidatie set P&amp;L omzet BU VT JP2004 versie6_Preclosing" xfId="1718"/>
    <cellStyle name="_Consolidatie set P&amp;L omzet BU VT JP2004 versie6_Preclosing 2" xfId="1719"/>
    <cellStyle name="_Consolidatie set P&amp;L omzet BU VT JP2004 versie6_Preclosing jan11" xfId="1720"/>
    <cellStyle name="_Consolidatie set P&amp;L omzet BU VT JP2004 versie6_Preclosing_1" xfId="1721"/>
    <cellStyle name="_Consolidatie set P&amp;L omzet BU VT JP2004 versie6_Preclosing_2" xfId="1722"/>
    <cellStyle name="_Consolidatie set P&amp;L omzet BU VT JP2004 versie6_Preclosing_3" xfId="1723"/>
    <cellStyle name="_Consolidatie set P&amp;L omzet BU VT JP2004 versie6_Preclosing_FC categoraal" xfId="1724"/>
    <cellStyle name="_Consolidatie set P&amp;L omzet BU VT JP2004 versie6_Sheet1" xfId="1725"/>
    <cellStyle name="_Consolidatie set P&amp;L omzet BU VT JP2004 versie6_Sheet1_1" xfId="1726"/>
    <cellStyle name="_Consolidatie set P&amp;L omzet BU VT JP2004 versie6_Sheet1_1 2" xfId="1727"/>
    <cellStyle name="_Consolidatie set P&amp;L omzet BU VT JP2004 versie6_Sheet1_1_FC categoraal" xfId="1728"/>
    <cellStyle name="_Consolidatie set P&amp;L omzet BU VT JP2004 versie6_Sheet1_2" xfId="1729"/>
    <cellStyle name="_Consolidatie set P&amp;L omzet BU VT JP2004 versie6_Sheet1_2 2" xfId="1730"/>
    <cellStyle name="_Consolidatie set P&amp;L omzet BU VT JP2004 versie6_Sheet2" xfId="1731"/>
    <cellStyle name="_Consolidatie set P&amp;L omzet BU VT JP2004 versie6_ZM IS Data Tarievenboek 2010-03-11" xfId="198"/>
    <cellStyle name="_Conversie" xfId="1732"/>
    <cellStyle name="_Copy of PSN - 08 AN input 8 Nov" xfId="1733"/>
    <cellStyle name="_Corus - 08 V1" xfId="1734"/>
    <cellStyle name="_COVENTRY BS - 08 V1" xfId="1735"/>
    <cellStyle name="_CP COS Jan 08" xfId="1736"/>
    <cellStyle name="_CPS EDC schakelingen 2007-2011" xfId="199"/>
    <cellStyle name="_CS telefonie SOLL 1309 v5 obv aangepaste maandpercentages" xfId="1737"/>
    <cellStyle name="_CSLLS_2004HJ_45" xfId="200"/>
    <cellStyle name="_CSLLS_2004HJ_45 2" xfId="1738"/>
    <cellStyle name="_CSLLS_2004HJ_45 2 2" xfId="1739"/>
    <cellStyle name="_CSLLS_2004HJ_45_EVPN Model_20102601_v0.1" xfId="201"/>
    <cellStyle name="_CSLLS_2004HJ_45_KWT IS Data 2010-10-07" xfId="1740"/>
    <cellStyle name="_CSLLS_2004HJ_45_ND5 squeeze model  whs-whs v2.21 DWDM ILL" xfId="1741"/>
    <cellStyle name="_CSLLS_2004HJ_45_ZM IS Data Tarievenboek 2010-03-11" xfId="202"/>
    <cellStyle name="_CSLLS_JR2004_wk16 IFRS" xfId="203"/>
    <cellStyle name="_CSLLS_JR2004_wk16 IFRS 2" xfId="1742"/>
    <cellStyle name="_CSLLS_JR2004_wk16 IFRS 2 2" xfId="1743"/>
    <cellStyle name="_CSLLS_JR2004_wk16 IFRS_EVPN Model_20102601_v0.1" xfId="204"/>
    <cellStyle name="_CSLLS_JR2004_wk16 IFRS_KWT IS Data 2010-10-07" xfId="1744"/>
    <cellStyle name="_CSLLS_JR2004_wk16 IFRS_ND5 squeeze model  whs-whs v2.21 DWDM ILL" xfId="1745"/>
    <cellStyle name="_CSLLS_JR2004_wk16 IFRS_ZM IS Data Tarievenboek 2010-03-11" xfId="205"/>
    <cellStyle name="_cswvs_18_2003JR" xfId="206"/>
    <cellStyle name="_CSWVS_JR2004_wk10_vs2" xfId="207"/>
    <cellStyle name="_CSWVS_JR2004_wk12C" xfId="208"/>
    <cellStyle name="_CSWVS_JR2004_wk17A IFRS" xfId="209"/>
    <cellStyle name="_CUNNINGHAM LINDSAY - 08" xfId="1746"/>
    <cellStyle name="_DA'd Codes" xfId="210"/>
    <cellStyle name="_DA'd Codes 2" xfId="211"/>
    <cellStyle name="_DA'd Codes 3" xfId="1747"/>
    <cellStyle name="_DA'd Codes_ND5 squeeze model  whs-whs v2.21 DWDM ILL" xfId="1748"/>
    <cellStyle name="_DCF model 2009 FINAL (2)" xfId="1749"/>
    <cellStyle name="_DCF rekenschema BW Haaglanden nieuw" xfId="1750"/>
    <cellStyle name="_DCS Bridge actualv v Budget Feb 08" xfId="1751"/>
    <cellStyle name="_Dell MRP SEPT 2007 v1" xfId="1752"/>
    <cellStyle name="_Dell MRP SEPT 2007 v2" xfId="1753"/>
    <cellStyle name="_DERBYSHIRE - 08 LW v1" xfId="1754"/>
    <cellStyle name="_DEUTSCHE BANK - 08 (Nikolai Lakovic)" xfId="1755"/>
    <cellStyle name="_Diensten FC 2006 P11  MLO" xfId="1756"/>
    <cellStyle name="_Diensten FC 2006 P11  MLO_ICS plan 2010 origineel v9 10-09" xfId="1757"/>
    <cellStyle name="_Diensten FC 2006 P11  MLO_JP2011" xfId="1758"/>
    <cellStyle name="_Diensten FC 2006 P11  MLO_JP2011 2" xfId="1759"/>
    <cellStyle name="_Diensten FC 2006 P11  MLO_Maand Capex" xfId="1760"/>
    <cellStyle name="_Diensten FC 2006 P11  MLO_Maand Capex_JP2011" xfId="1761"/>
    <cellStyle name="_Diensten FC 2006 P11  MLO_Maand Capex_JP2011 2" xfId="1762"/>
    <cellStyle name="_Diensten FC 2006 P11  MLO_ML_Generic_1 1 input Capex incl maandplan_v2" xfId="1763"/>
    <cellStyle name="_Diensten FC 2006 P11  MLO_ML_Generic_1 1 input Capex incl maandplan_v2 2" xfId="1764"/>
    <cellStyle name="_Diensten FC 2006 P11  MLO_Model Plan 2012" xfId="1765"/>
    <cellStyle name="_DigiStream JP 2006 externe omzet_20051024" xfId="212"/>
    <cellStyle name="_DigiStream JP 2006 externe omzet_20051024 2" xfId="1766"/>
    <cellStyle name="_DigiStream JP 2006 externe omzet_20051024_Economy IPVPN - Centrale Aansluiting 20102601_v0.1 test EA" xfId="213"/>
    <cellStyle name="_DigiStream JP 2006 externe omzet_20051024_Epacity EVPN_20102601_v0.1 test EA" xfId="214"/>
    <cellStyle name="_DigiStream JP 2006 externe omzet_20051024_IP VPN Model 20100315_v1.0" xfId="215"/>
    <cellStyle name="_DigiStream JP 2006 externe omzet_20051024_KWT IS Data 2010-10-07" xfId="1767"/>
    <cellStyle name="_DigiStream JP 2006 externe omzet_20051024_LPM EVPN 20100126_v0.1 test PB" xfId="216"/>
    <cellStyle name="_DigiStream JP 2006 externe omzet_20051024_LPM EVPN 20101013 Concept" xfId="217"/>
    <cellStyle name="_DigiStream JP 2006 externe omzet_20051024_LPM EVPN 20101118 concept" xfId="218"/>
    <cellStyle name="_DigiStream JP 2006 externe omzet_20051024_LPM IP VPN + ONE  obv prijslijst 10.1 + 6.2 dd 20101015 Concept" xfId="219"/>
    <cellStyle name="_DigiStream JP 2006 externe omzet_20051024_LPM IP VPN + ONE 20110104" xfId="220"/>
    <cellStyle name="_DigiStream JP 2006 externe omzet_20051024_LPM IP VPN 20100614 obv prijslijst 10.1 Concept incl additionele asn" xfId="221"/>
    <cellStyle name="_DigiStream JP 2006 externe omzet_20051024_LPM PL 20101014 Concept" xfId="1768"/>
    <cellStyle name="_DigiStream JP 2006 externe omzet_20051024_LPM PL 20101028 obv LRIC inkoop" xfId="1769"/>
    <cellStyle name="_DigiStream JP 2006 externe omzet_20051024_LPM Zakelijk DSL 20100520 inclusief XS4ALL na 15 mei 2010 Concept" xfId="222"/>
    <cellStyle name="_DigiStream JP 2006 externe omzet_20051024_LPM Zakelijk Glas bedrijventerreinen_20100401_v1.0 test PB" xfId="223"/>
    <cellStyle name="_DigiStream JP 2006 externe omzet_20051024_LPM Zakelijk Glas Stedelijk 20100617 Concept" xfId="224"/>
    <cellStyle name="_DigiStream JP 2006 externe omzet_20051024_LPM Zakelijk Glas Stedelijk 20101013 Concept" xfId="225"/>
    <cellStyle name="_DigiStream JP 2006 externe omzet_20051024_Menucard_Staff_Master_2010-09-12" xfId="1770"/>
    <cellStyle name="_DigiStream JP 2006 externe omzet_20051024_ND5 squeeze model  whs-whs v2.21 DWDM ILL" xfId="1771"/>
    <cellStyle name="_DigiStream JP 2006 externe omzet_20051024_toets DSL 2010-11-18 obv LPM IP VPN + ONE 20101028" xfId="226"/>
    <cellStyle name="_DigiStream JP 2006 externe omzet_20051024_toets DSL 2010-11-22 obv LPM IP VPN + ONE 20101028" xfId="227"/>
    <cellStyle name="_DigiStream JP 2006 externe omzet_20051024_Zakelijk DSL Model 20100416_v1.1_inclusief XS4ALL" xfId="228"/>
    <cellStyle name="_DigiStream JP 2006 externe omzet_20051024_Zakelijk Glas Stedelijk_2010_v0.1 test PB" xfId="229"/>
    <cellStyle name="_DigiStream JP 2006 externe omzet_20051024_ZM IS Data Tarievenboek 2010-03-11" xfId="230"/>
    <cellStyle name="_Discussie maandverdeling" xfId="1772"/>
    <cellStyle name="_Discussie maandverdeling 2" xfId="1773"/>
    <cellStyle name="_Discussie maandverdeling_20080530 Consolidatie Businessplan v12" xfId="1774"/>
    <cellStyle name="_Discussie maandverdeling_20080530 Consolidatie Businessplan v12 2" xfId="1775"/>
    <cellStyle name="_Discussie maandverdeling_20080530 Consolidatie Businessplan v12_Blad2" xfId="1776"/>
    <cellStyle name="_Discussie maandverdeling_20080530 Consolidatie Businessplan v12_Blad2 2" xfId="1777"/>
    <cellStyle name="_Discussie maandverdeling_20080530 Consolidatie Businessplan v12_Blad2_JP2011" xfId="1778"/>
    <cellStyle name="_Discussie maandverdeling_20080530 Consolidatie Businessplan v12_JP2011" xfId="1779"/>
    <cellStyle name="_Discussie maandverdeling_20080530 Consolidatie Businessplan v12_Model Plan 2012" xfId="1780"/>
    <cellStyle name="_Discussie maandverdeling_20080605 Consolidatie Businessplan v15" xfId="1781"/>
    <cellStyle name="_Discussie maandverdeling_20080605 Consolidatie Businessplan v15 2" xfId="1782"/>
    <cellStyle name="_Discussie maandverdeling_20080605 Consolidatie Businessplan v15_Blad2" xfId="1783"/>
    <cellStyle name="_Discussie maandverdeling_20080605 Consolidatie Businessplan v15_Blad2 2" xfId="1784"/>
    <cellStyle name="_Discussie maandverdeling_20080605 Consolidatie Businessplan v15_Blad2_JP2011" xfId="1785"/>
    <cellStyle name="_Discussie maandverdeling_20080605 Consolidatie Businessplan v15_JP2011" xfId="1786"/>
    <cellStyle name="_Discussie maandverdeling_20080605 Consolidatie Businessplan v15_Model Plan 2012" xfId="1787"/>
    <cellStyle name="_Discussie maandverdeling_20080605 Consolidatie Businessplan v19" xfId="1788"/>
    <cellStyle name="_Discussie maandverdeling_20080605 Consolidatie Businessplan v19 2" xfId="1789"/>
    <cellStyle name="_Discussie maandverdeling_20080605 Consolidatie Businessplan v19_Blad2" xfId="1790"/>
    <cellStyle name="_Discussie maandverdeling_20080605 Consolidatie Businessplan v19_Blad2 2" xfId="1791"/>
    <cellStyle name="_Discussie maandverdeling_20080605 Consolidatie Businessplan v19_Blad2_JP2011" xfId="1792"/>
    <cellStyle name="_Discussie maandverdeling_20080605 Consolidatie Businessplan v19_JP2011" xfId="1793"/>
    <cellStyle name="_Discussie maandverdeling_20080605 Consolidatie Businessplan v19_Model Plan 2012" xfId="1794"/>
    <cellStyle name="_Discussie maandverdeling_Blad2" xfId="1795"/>
    <cellStyle name="_Discussie maandverdeling_Blad2 2" xfId="1796"/>
    <cellStyle name="_Discussie maandverdeling_Blad2_JP2011" xfId="1797"/>
    <cellStyle name="_Discussie maandverdeling_JP2011" xfId="1798"/>
    <cellStyle name="_Discussie maandverdeling_Model Plan 2012" xfId="1799"/>
    <cellStyle name="_divisieZM-2007-1" xfId="1800"/>
    <cellStyle name="_Doc-000" xfId="231"/>
    <cellStyle name="_Doc-101" xfId="232"/>
    <cellStyle name="_Doc-101 2" xfId="233"/>
    <cellStyle name="_Doc-101 3" xfId="1801"/>
    <cellStyle name="_Doc-101_ND5 squeeze model  whs-whs v2.21 DWDM ILL" xfId="1802"/>
    <cellStyle name="_Drivermodel ZM NLB 080624 presentatie" xfId="1803"/>
    <cellStyle name="_drivers" xfId="234"/>
    <cellStyle name="_drivers 2" xfId="235"/>
    <cellStyle name="_drivers 3" xfId="1804"/>
    <cellStyle name="_drivers_20080530 Consolidatie Businessplan v12" xfId="1805"/>
    <cellStyle name="_drivers_20080530 Consolidatie Businessplan v12 2" xfId="1806"/>
    <cellStyle name="_drivers_20080530 Consolidatie Businessplan v12_Blad2" xfId="1807"/>
    <cellStyle name="_drivers_20080530 Consolidatie Businessplan v12_Blad2 2" xfId="1808"/>
    <cellStyle name="_drivers_20080530 Consolidatie Businessplan v12_Blad2_JP2011" xfId="1809"/>
    <cellStyle name="_drivers_20080530 Consolidatie Businessplan v12_JP2011" xfId="1810"/>
    <cellStyle name="_drivers_20080530 Consolidatie Businessplan v12_Model Plan 2012" xfId="1811"/>
    <cellStyle name="_drivers_20080605 Consolidatie Businessplan v15" xfId="1812"/>
    <cellStyle name="_drivers_20080605 Consolidatie Businessplan v15 2" xfId="1813"/>
    <cellStyle name="_drivers_20080605 Consolidatie Businessplan v15_Blad2" xfId="1814"/>
    <cellStyle name="_drivers_20080605 Consolidatie Businessplan v15_Blad2 2" xfId="1815"/>
    <cellStyle name="_drivers_20080605 Consolidatie Businessplan v15_Blad2_JP2011" xfId="1816"/>
    <cellStyle name="_drivers_20080605 Consolidatie Businessplan v15_JP2011" xfId="1817"/>
    <cellStyle name="_drivers_20080605 Consolidatie Businessplan v15_Model Plan 2012" xfId="1818"/>
    <cellStyle name="_drivers_20080605 Consolidatie Businessplan v19" xfId="1819"/>
    <cellStyle name="_drivers_20080605 Consolidatie Businessplan v19 2" xfId="1820"/>
    <cellStyle name="_drivers_20080605 Consolidatie Businessplan v19_Blad2" xfId="1821"/>
    <cellStyle name="_drivers_20080605 Consolidatie Businessplan v19_Blad2 2" xfId="1822"/>
    <cellStyle name="_drivers_20080605 Consolidatie Businessplan v19_Blad2_JP2011" xfId="1823"/>
    <cellStyle name="_drivers_20080605 Consolidatie Businessplan v19_JP2011" xfId="1824"/>
    <cellStyle name="_drivers_20080605 Consolidatie Businessplan v19_Model Plan 2012" xfId="1825"/>
    <cellStyle name="_drivers_Blad2" xfId="1826"/>
    <cellStyle name="_drivers_Blad2 2" xfId="1827"/>
    <cellStyle name="_drivers_Blad2_JP2011" xfId="1828"/>
    <cellStyle name="_drivers_JP2011" xfId="1829"/>
    <cellStyle name="_drivers_Model Plan 2012" xfId="1830"/>
    <cellStyle name="_drivers_ND5 squeeze model  whs-whs v2.21 DWDM ILL" xfId="1831"/>
    <cellStyle name="_DSL weekrapp wk20 2005" xfId="236"/>
    <cellStyle name="_DSL weekrapp wk20 2005 2" xfId="237"/>
    <cellStyle name="_DSL weekrapp wk20 2005 3" xfId="1832"/>
    <cellStyle name="_DSL weekrapp wk20 2005_ND5 squeeze model  whs-whs v2.21 DWDM ILL" xfId="1833"/>
    <cellStyle name="_DSM - 08 MW 3 Nov" xfId="1834"/>
    <cellStyle name="_DSM pricingsheet per country 3 0" xfId="1835"/>
    <cellStyle name="_DSM pricingsheet per country 3 0_ManInput" xfId="1836"/>
    <cellStyle name="_DSM pricingsheet per country 3 0_ManInput_Sheet1" xfId="1837"/>
    <cellStyle name="_dsmp forecast 13 oct" xfId="1838"/>
    <cellStyle name="_DWDM ILL tarief update 28-3-2011" xfId="1839"/>
    <cellStyle name="_DWDM ILL tariefvoorstel 30-9-09" xfId="1840"/>
    <cellStyle name="_Economy IP-VPN" xfId="238"/>
    <cellStyle name="_Economy IP-VPN_ZM IS Data Tarievenboek 2010-03-11" xfId="239"/>
    <cellStyle name="_eliminaties_VT" xfId="240"/>
    <cellStyle name="_eliminaties_VT 2" xfId="1841"/>
    <cellStyle name="_eliminaties_VT 2 2" xfId="1842"/>
    <cellStyle name="_EMEA BC Model_Apr 01 - v1" xfId="241"/>
    <cellStyle name="_EMEA BC Model_Apr 01 - v1 2" xfId="242"/>
    <cellStyle name="_EMEA BC Model_Apr 01 - v1 3" xfId="1843"/>
    <cellStyle name="_EMEA BC Model_Apr 01 - v1_ND5 squeeze model  whs-whs v2.21 DWDM ILL" xfId="1844"/>
    <cellStyle name="_ENS Businessplan (short) 2008-2010 (20071105) - Ingeleverd" xfId="1845"/>
    <cellStyle name="_ENS Businessplan (short) 2008-2010 (20071105) - Ingeleverd 2" xfId="1846"/>
    <cellStyle name="_ENS Businessplan (short) 2008-2010 (20071105) - Ingeleverd_Blad2" xfId="1847"/>
    <cellStyle name="_ENS Businessplan (short) 2008-2010 (20071105) - Ingeleverd_Blad2 2" xfId="1848"/>
    <cellStyle name="_ENS Businessplan (short) 2008-2010 (20071105) - Ingeleverd_Blad2_JP2011" xfId="1849"/>
    <cellStyle name="_ENS Businessplan (short) 2008-2010 (20071105) - Ingeleverd_JP2011" xfId="1850"/>
    <cellStyle name="_ENS Businessplan (short) 2008-2010 (20071105) - Ingeleverd_Model Plan 2012" xfId="1851"/>
    <cellStyle name="_ENS VAS items_3" xfId="243"/>
    <cellStyle name="_ENS VAS items_3 2" xfId="1852"/>
    <cellStyle name="_ENS VAS items_3 2 2" xfId="1853"/>
    <cellStyle name="_Excel bijlage ML BD maart" xfId="1854"/>
    <cellStyle name="_excelopexversie1" xfId="244"/>
    <cellStyle name="_excelopexversie1 2" xfId="1855"/>
    <cellStyle name="_excelopexversie1 2 2" xfId="1856"/>
    <cellStyle name="_excelopexversie1_EVPN Model_20102601_v0.1" xfId="245"/>
    <cellStyle name="_excelopexversie1_KWT IS Data 2010-10-07" xfId="1857"/>
    <cellStyle name="_excelopexversie1_ND5 squeeze model  whs-whs v2.21 DWDM ILL" xfId="1858"/>
    <cellStyle name="_excelopexversie1_ZM IS Data Tarievenboek 2010-03-11" xfId="246"/>
    <cellStyle name="_Export" xfId="247"/>
    <cellStyle name="_Export 2" xfId="248"/>
    <cellStyle name="_Export 3" xfId="1859"/>
    <cellStyle name="_Export_ND5 squeeze model  whs-whs v2.21 DWDM ILL" xfId="1860"/>
    <cellStyle name="_Externe omzet&amp;kosten" xfId="249"/>
    <cellStyle name="_Externe omzet&amp;kosten 2" xfId="250"/>
    <cellStyle name="_Externe omzet&amp;kosten 3" xfId="1861"/>
    <cellStyle name="_Externe omzet&amp;kosten_ND5 squeeze model  whs-whs v2.21 DWDM ILL" xfId="1862"/>
    <cellStyle name="_flashformat2005" xfId="251"/>
    <cellStyle name="_flashformat2005 2" xfId="1863"/>
    <cellStyle name="_flashformat2005 2 2" xfId="1864"/>
    <cellStyle name="_flashformat2006" xfId="252"/>
    <cellStyle name="_flashformat2006 2" xfId="1865"/>
    <cellStyle name="_flashformat2006 2 2" xfId="1866"/>
    <cellStyle name="_Ford - 08 V1" xfId="1867"/>
    <cellStyle name="_Forecast IC JEV_v5" xfId="1868"/>
    <cellStyle name="_Forecast IC JEV_v5 2" xfId="1869"/>
    <cellStyle name="_Forecast IC JEV_v5_Blad2" xfId="1870"/>
    <cellStyle name="_Forecast IC JEV_v5_Blad2 2" xfId="1871"/>
    <cellStyle name="_Forecast IC JEV_v5_Blad2_JP2011" xfId="1872"/>
    <cellStyle name="_Forecast IC JEV_v5_JP2011" xfId="1873"/>
    <cellStyle name="_Forecast IC JEV_v5_Model Plan 2012" xfId="1874"/>
    <cellStyle name="_Forecast p1-2007" xfId="1875"/>
    <cellStyle name="_Format_BBSC Entercom 2003" xfId="1876"/>
    <cellStyle name="_Format_BBSC Entercom 2003_090909 GTN - ZM master_update-GTN" xfId="1877"/>
    <cellStyle name="_Format_BBSC Entercom 2003_Blad1" xfId="1878"/>
    <cellStyle name="_Format_BBSC Entercom 2003_Blad1 2" xfId="1879"/>
    <cellStyle name="_Format_BBSC Entercom 2003_Blad1_Blad2" xfId="1880"/>
    <cellStyle name="_Format_BBSC Entercom 2003_Blad1_Blad2 2" xfId="1881"/>
    <cellStyle name="_Format_BBSC Entercom 2003_Blad1_Blad2_JP2011" xfId="1882"/>
    <cellStyle name="_Format_BBSC Entercom 2003_Blad1_JP2011" xfId="1883"/>
    <cellStyle name="_Format_BBSC Entercom 2003_Blad1_Menucard_Staff_Master_2010-09-12" xfId="1884"/>
    <cellStyle name="_Format_BBSC Entercom 2003_Blad1_Model Plan 2012" xfId="1885"/>
    <cellStyle name="_Format_BBSC Entercom 2003_Menucard_Staff_Master_2010-09-12" xfId="1886"/>
    <cellStyle name="_FTE Targets ZM 2006 18-04" xfId="1887"/>
    <cellStyle name="_Fttc en FTTH berekening" xfId="253"/>
    <cellStyle name="_funnel OIT" xfId="254"/>
    <cellStyle name="_funnel OIT 2" xfId="255"/>
    <cellStyle name="_funnel OIT 2 2" xfId="1888"/>
    <cellStyle name="_funnel OIT 3" xfId="1889"/>
    <cellStyle name="_funnel OIT_Blad2" xfId="1890"/>
    <cellStyle name="_funnel OIT_Blad2 2" xfId="1891"/>
    <cellStyle name="_funnel OIT_Blad2_JP2011" xfId="1892"/>
    <cellStyle name="_funnel OIT_EVPN Model_20102601_v0.1" xfId="256"/>
    <cellStyle name="_funnel OIT_JP2011" xfId="1893"/>
    <cellStyle name="_funnel OIT_KWT IS Data 2010-10-07" xfId="1894"/>
    <cellStyle name="_funnel OIT_Model Plan 2012" xfId="1895"/>
    <cellStyle name="_funnel OIT_ND5 squeeze model  whs-whs v2.21 DWDM ILL" xfId="1896"/>
    <cellStyle name="_funnel OIT_ZM IS Data Tarievenboek 2010-03-11" xfId="257"/>
    <cellStyle name="_G4S - 08 TEMPLATE (2)" xfId="1897"/>
    <cellStyle name="_Getronics UK 2008 Revenue Forecast FC0 v2F" xfId="1898"/>
    <cellStyle name="_go to mkt view 092302" xfId="258"/>
    <cellStyle name="_go to mkt view 092302 2" xfId="259"/>
    <cellStyle name="_go to mkt view 092302 3" xfId="1899"/>
    <cellStyle name="_go to mkt view 092302_ND5 squeeze model  whs-whs v2.21 DWDM ILL" xfId="1900"/>
    <cellStyle name="_go-to-mkt fin file 092502" xfId="260"/>
    <cellStyle name="_go-to-mkt fin file 092502 2" xfId="261"/>
    <cellStyle name="_go-to-mkt fin file 092502 3" xfId="1901"/>
    <cellStyle name="_go-to-mkt fin file 092502_ND5 squeeze model  whs-whs v2.21 DWDM ILL" xfId="1902"/>
    <cellStyle name="_GPMO Management reporting Barclays May 07 v 0 1 SO" xfId="1903"/>
    <cellStyle name="_GUNS Number and Customer Name" xfId="1904"/>
    <cellStyle name="_HBOS - 08 V1" xfId="1905"/>
    <cellStyle name="_High level BP 2007 - 2010 Dummyversie 15 april 2008" xfId="1906"/>
    <cellStyle name="_hosting 2008" xfId="1907"/>
    <cellStyle name="_hosting 2008 aangepast in ex v2 (3)" xfId="1908"/>
    <cellStyle name="_IC rev-cost-deltas aug-07 JEV 24sept07" xfId="1909"/>
    <cellStyle name="_IC rev-cost-deltas aug-07 JEV 24sept07 2" xfId="1910"/>
    <cellStyle name="_IC rev-cost-deltas aug-07 JEV 24sept07_Blad2" xfId="1911"/>
    <cellStyle name="_IC rev-cost-deltas aug-07 JEV 24sept07_Blad2 2" xfId="1912"/>
    <cellStyle name="_IC rev-cost-deltas aug-07 JEV 24sept07_Blad2_JP2011" xfId="1913"/>
    <cellStyle name="_IC rev-cost-deltas aug-07 JEV 24sept07_JP2011" xfId="1914"/>
    <cellStyle name="_IC rev-cost-deltas aug-07 JEV 24sept07_Model Plan 2012" xfId="1915"/>
    <cellStyle name="_IC revenue-exp (2)" xfId="1916"/>
    <cellStyle name="_IC revenue-exp (2) 2" xfId="1917"/>
    <cellStyle name="_IC revenue-exp (2)_Blad2" xfId="1918"/>
    <cellStyle name="_IC revenue-exp (2)_Blad2 2" xfId="1919"/>
    <cellStyle name="_IC revenue-exp (2)_Blad2_JP2011" xfId="1920"/>
    <cellStyle name="_IC revenue-exp (2)_ICS plan 2010 origineel v9 10-09" xfId="1921"/>
    <cellStyle name="_IC revenue-exp (2)_JP2011" xfId="1922"/>
    <cellStyle name="_IC revenue-exp (2)_Maand Capex" xfId="1923"/>
    <cellStyle name="_IC revenue-exp (2)_Maand Capex 2" xfId="1924"/>
    <cellStyle name="_IC revenue-exp (2)_Maand Capex_Blad2" xfId="1925"/>
    <cellStyle name="_IC revenue-exp (2)_Maand Capex_Blad2 2" xfId="1926"/>
    <cellStyle name="_IC revenue-exp (2)_Maand Capex_Blad2_JP2011" xfId="1927"/>
    <cellStyle name="_IC revenue-exp (2)_Maand Capex_JP2011" xfId="1928"/>
    <cellStyle name="_IC revenue-exp (2)_ML_Generic_1 1 input Capex incl maandplan_v2" xfId="1929"/>
    <cellStyle name="_IC revenue-exp (2)_Model Plan 2012" xfId="1930"/>
    <cellStyle name="_ICELAND - 08 LW v1" xfId="1931"/>
    <cellStyle name="_IC's JP 2007 070104 RF - concept" xfId="1932"/>
    <cellStyle name="_IC's JP 2007 070104 RF - concept 2" xfId="1933"/>
    <cellStyle name="_IC's JP 2007 070104 RF - concept_Blad2" xfId="1934"/>
    <cellStyle name="_IC's JP 2007 070104 RF - concept_Blad2 2" xfId="1935"/>
    <cellStyle name="_IC's JP 2007 070104 RF - concept_Blad2_JP2011" xfId="1936"/>
    <cellStyle name="_IC's JP 2007 070104 RF - concept_JP2011" xfId="1937"/>
    <cellStyle name="_IC's JP 2007 070104 RF - concept_Model Plan 2012" xfId="1938"/>
    <cellStyle name="_ICT template (3)" xfId="1939"/>
    <cellStyle name="_ICT_Serv_BP2008-2010_versie uitvraag_AMS" xfId="1940"/>
    <cellStyle name="_ICT_Serv_BP2008-2010_versie uitvraag_AMS 2" xfId="1941"/>
    <cellStyle name="_ICT_Serv_BP2008-2010_versie uitvraag_AMS_Blad2" xfId="1942"/>
    <cellStyle name="_ICT_Serv_BP2008-2010_versie uitvraag_AMS_Blad2 2" xfId="1943"/>
    <cellStyle name="_ICT_Serv_BP2008-2010_versie uitvraag_AMS_Blad2_JP2011" xfId="1944"/>
    <cellStyle name="_ICT_Serv_BP2008-2010_versie uitvraag_AMS_JP2011" xfId="1945"/>
    <cellStyle name="_ICT_Serv_BP2008-2010_versie uitvraag_AMS_Model Plan 2012" xfId="1946"/>
    <cellStyle name="_IFRSre029" xfId="262"/>
    <cellStyle name="_ILL sales tool juni 08 V1.0 (juli08 tm dec08) met standaard digitaal" xfId="263"/>
    <cellStyle name="_INEOS - 08 TEMPLATE sdm UPDATES" xfId="1947"/>
    <cellStyle name="_Info profiel Q4" xfId="1948"/>
    <cellStyle name="_Info profiel Q4 2" xfId="1949"/>
    <cellStyle name="_Info profiel Q4_FC categoraal" xfId="1950"/>
    <cellStyle name="_Info profiel Q4_GDC nieuwe pfc cc jan  2011 v4" xfId="1951"/>
    <cellStyle name="_Info profiel Q4_JP2011" xfId="1952"/>
    <cellStyle name="_Info profiel Q4_JP2011 2" xfId="1953"/>
    <cellStyle name="_Info profiel Q4_JP2011_1" xfId="1954"/>
    <cellStyle name="_Info profiel Q4_Preclosing" xfId="1955"/>
    <cellStyle name="_Info profiel Q4_Preclosing 2" xfId="1956"/>
    <cellStyle name="_Info profiel Q4_Preclosing jan11" xfId="1957"/>
    <cellStyle name="_Info profiel Q4_Preclosing_1" xfId="1958"/>
    <cellStyle name="_Info profiel Q4_Preclosing_2" xfId="1959"/>
    <cellStyle name="_Info profiel Q4_Preclosing_3" xfId="1960"/>
    <cellStyle name="_Info profiel Q4_Preclosing_FC categoraal" xfId="1961"/>
    <cellStyle name="_Info profiel Q4_Sheet1" xfId="1962"/>
    <cellStyle name="_Info profiel Q4_Sheet1_1" xfId="1963"/>
    <cellStyle name="_Info profiel Q4_Sheet1_1 2" xfId="1964"/>
    <cellStyle name="_Info profiel Q4_Sheet1_1_FC categoraal" xfId="1965"/>
    <cellStyle name="_Info profiel Q4_Sheet1_2" xfId="1966"/>
    <cellStyle name="_Info profiel Q4_Sheet1_2 2" xfId="1967"/>
    <cellStyle name="_Info profiel Q4_Sheet2" xfId="1968"/>
    <cellStyle name="_info uitvraag BU CS mei  2005" xfId="1969"/>
    <cellStyle name="_info uitvraag BU CS mei  2005_Book2" xfId="1970"/>
    <cellStyle name="_info uitvraag BU CS mei  2005_Book3" xfId="1971"/>
    <cellStyle name="_info uitvraag BU CS mei  2005_ICS KPI" xfId="1972"/>
    <cellStyle name="_info uitvraag BU CS mei 2004" xfId="264"/>
    <cellStyle name="_info uitvraag BU CS mei 2004_LPM PL 20101014 Concept" xfId="1973"/>
    <cellStyle name="_info uitvraag BU CS mei 2004_LPM PL 20101028 obv LRIC inkoop" xfId="1974"/>
    <cellStyle name="_info uitvraag BU CS mei 2004_ND5 squeeze model  whs-whs v2.21 DWDM ILL" xfId="1975"/>
    <cellStyle name="_info uitvraag BU CS september 2004" xfId="1976"/>
    <cellStyle name="_info uitvraag BU CS september 2004_Book2" xfId="1977"/>
    <cellStyle name="_info uitvraag BU CS september 2004_Book3" xfId="1978"/>
    <cellStyle name="_info uitvraag BU CS september 2004_ICS KPI" xfId="1979"/>
    <cellStyle name="_informatie profiel extern omzet per kwartaal" xfId="1980"/>
    <cellStyle name="_informatie profiel extern omzet per kwartaal 2" xfId="1981"/>
    <cellStyle name="_informatie profiel extern omzet per kwartaal_FC categoraal" xfId="1982"/>
    <cellStyle name="_informatie profiel extern omzet per kwartaal_GDC nieuwe pfc cc jan  2011 v4" xfId="1983"/>
    <cellStyle name="_informatie profiel extern omzet per kwartaal_JP2011" xfId="1984"/>
    <cellStyle name="_informatie profiel extern omzet per kwartaal_JP2011 2" xfId="1985"/>
    <cellStyle name="_informatie profiel extern omzet per kwartaal_JP2011_1" xfId="1986"/>
    <cellStyle name="_informatie profiel extern omzet per kwartaal_Preclosing" xfId="1987"/>
    <cellStyle name="_informatie profiel extern omzet per kwartaal_Preclosing 2" xfId="1988"/>
    <cellStyle name="_informatie profiel extern omzet per kwartaal_Preclosing jan11" xfId="1989"/>
    <cellStyle name="_informatie profiel extern omzet per kwartaal_Preclosing_1" xfId="1990"/>
    <cellStyle name="_informatie profiel extern omzet per kwartaal_Preclosing_2" xfId="1991"/>
    <cellStyle name="_informatie profiel extern omzet per kwartaal_Preclosing_3" xfId="1992"/>
    <cellStyle name="_informatie profiel extern omzet per kwartaal_Preclosing_FC categoraal" xfId="1993"/>
    <cellStyle name="_informatie profiel extern omzet per kwartaal_Sheet1" xfId="1994"/>
    <cellStyle name="_informatie profiel extern omzet per kwartaal_Sheet1_1" xfId="1995"/>
    <cellStyle name="_informatie profiel extern omzet per kwartaal_Sheet1_1 2" xfId="1996"/>
    <cellStyle name="_informatie profiel extern omzet per kwartaal_Sheet1_1_FC categoraal" xfId="1997"/>
    <cellStyle name="_informatie profiel extern omzet per kwartaal_Sheet1_2" xfId="1998"/>
    <cellStyle name="_informatie profiel extern omzet per kwartaal_Sheet1_2 2" xfId="1999"/>
    <cellStyle name="_informatie profiel extern omzet per kwartaal_Sheet2" xfId="2000"/>
    <cellStyle name="_Informatieprofiel nieuw format" xfId="2001"/>
    <cellStyle name="_Informatieprofiel nieuw format 2" xfId="2002"/>
    <cellStyle name="_Informatieprofiel nieuw format_FC categoraal" xfId="2003"/>
    <cellStyle name="_Informatieprofiel nieuw format_GDC nieuwe pfc cc jan  2011 v4" xfId="2004"/>
    <cellStyle name="_Informatieprofiel nieuw format_JP2011" xfId="2005"/>
    <cellStyle name="_Informatieprofiel nieuw format_JP2011 2" xfId="2006"/>
    <cellStyle name="_Informatieprofiel nieuw format_JP2011_1" xfId="2007"/>
    <cellStyle name="_Informatieprofiel nieuw format_Preclosing" xfId="2008"/>
    <cellStyle name="_Informatieprofiel nieuw format_Preclosing 2" xfId="2009"/>
    <cellStyle name="_Informatieprofiel nieuw format_Preclosing jan11" xfId="2010"/>
    <cellStyle name="_Informatieprofiel nieuw format_Preclosing_1" xfId="2011"/>
    <cellStyle name="_Informatieprofiel nieuw format_Preclosing_2" xfId="2012"/>
    <cellStyle name="_Informatieprofiel nieuw format_Preclosing_3" xfId="2013"/>
    <cellStyle name="_Informatieprofiel nieuw format_Preclosing_FC categoraal" xfId="2014"/>
    <cellStyle name="_Informatieprofiel nieuw format_Sheet1" xfId="2015"/>
    <cellStyle name="_Informatieprofiel nieuw format_Sheet1_1" xfId="2016"/>
    <cellStyle name="_Informatieprofiel nieuw format_Sheet1_1 2" xfId="2017"/>
    <cellStyle name="_Informatieprofiel nieuw format_Sheet1_1_FC categoraal" xfId="2018"/>
    <cellStyle name="_Informatieprofiel nieuw format_Sheet1_2" xfId="2019"/>
    <cellStyle name="_Informatieprofiel nieuw format_Sheet1_2 2" xfId="2020"/>
    <cellStyle name="_Informatieprofiel nieuw format_Sheet2" xfId="2021"/>
    <cellStyle name="_informatieprofiel trend en kosten " xfId="2022"/>
    <cellStyle name="_informatieprofiel trend en kosten  2" xfId="2023"/>
    <cellStyle name="_informatieprofiel trend en kosten _FC categoraal" xfId="2024"/>
    <cellStyle name="_informatieprofiel trend en kosten _GDC nieuwe pfc cc jan  2011 v4" xfId="2025"/>
    <cellStyle name="_informatieprofiel trend en kosten _JP2011" xfId="2026"/>
    <cellStyle name="_informatieprofiel trend en kosten _JP2011 2" xfId="2027"/>
    <cellStyle name="_informatieprofiel trend en kosten _JP2011_1" xfId="2028"/>
    <cellStyle name="_informatieprofiel trend en kosten _Preclosing" xfId="2029"/>
    <cellStyle name="_informatieprofiel trend en kosten _Preclosing 2" xfId="2030"/>
    <cellStyle name="_informatieprofiel trend en kosten _Preclosing jan11" xfId="2031"/>
    <cellStyle name="_informatieprofiel trend en kosten _Preclosing_1" xfId="2032"/>
    <cellStyle name="_informatieprofiel trend en kosten _Preclosing_2" xfId="2033"/>
    <cellStyle name="_informatieprofiel trend en kosten _Preclosing_3" xfId="2034"/>
    <cellStyle name="_informatieprofiel trend en kosten _Preclosing_FC categoraal" xfId="2035"/>
    <cellStyle name="_informatieprofiel trend en kosten _Sheet1" xfId="2036"/>
    <cellStyle name="_informatieprofiel trend en kosten _Sheet1_1" xfId="2037"/>
    <cellStyle name="_informatieprofiel trend en kosten _Sheet1_1 2" xfId="2038"/>
    <cellStyle name="_informatieprofiel trend en kosten _Sheet1_1_FC categoraal" xfId="2039"/>
    <cellStyle name="_informatieprofiel trend en kosten _Sheet1_2" xfId="2040"/>
    <cellStyle name="_informatieprofiel trend en kosten _Sheet1_2 2" xfId="2041"/>
    <cellStyle name="_informatieprofiel trend en kosten _Sheet2" xfId="2042"/>
    <cellStyle name="_informatieprofielen PMG sept 2004" xfId="2043"/>
    <cellStyle name="_informatieprofielen PMG sept 2004 2" xfId="2044"/>
    <cellStyle name="_informatieprofielen PMG sept 2004_FC categoraal" xfId="2045"/>
    <cellStyle name="_informatieprofielen PMG sept 2004_GDC nieuwe pfc cc jan  2011 v4" xfId="2046"/>
    <cellStyle name="_informatieprofielen PMG sept 2004_JP2011" xfId="2047"/>
    <cellStyle name="_informatieprofielen PMG sept 2004_JP2011 2" xfId="2048"/>
    <cellStyle name="_informatieprofielen PMG sept 2004_JP2011_1" xfId="2049"/>
    <cellStyle name="_informatieprofielen PMG sept 2004_Preclosing" xfId="2050"/>
    <cellStyle name="_informatieprofielen PMG sept 2004_Preclosing 2" xfId="2051"/>
    <cellStyle name="_informatieprofielen PMG sept 2004_Preclosing jan11" xfId="2052"/>
    <cellStyle name="_informatieprofielen PMG sept 2004_Preclosing_1" xfId="2053"/>
    <cellStyle name="_informatieprofielen PMG sept 2004_Preclosing_2" xfId="2054"/>
    <cellStyle name="_informatieprofielen PMG sept 2004_Preclosing_3" xfId="2055"/>
    <cellStyle name="_informatieprofielen PMG sept 2004_Preclosing_FC categoraal" xfId="2056"/>
    <cellStyle name="_informatieprofielen PMG sept 2004_Sheet1" xfId="2057"/>
    <cellStyle name="_informatieprofielen PMG sept 2004_Sheet1_1" xfId="2058"/>
    <cellStyle name="_informatieprofielen PMG sept 2004_Sheet1_1 2" xfId="2059"/>
    <cellStyle name="_informatieprofielen PMG sept 2004_Sheet1_1_FC categoraal" xfId="2060"/>
    <cellStyle name="_informatieprofielen PMG sept 2004_Sheet1_2" xfId="2061"/>
    <cellStyle name="_informatieprofielen PMG sept 2004_Sheet1_2 2" xfId="2062"/>
    <cellStyle name="_informatieprofielen PMG sept 2004_Sheet2" xfId="2063"/>
    <cellStyle name="_informatieprofielen Q3-2004" xfId="2064"/>
    <cellStyle name="_informatieprofielen Q3-2004 2" xfId="2065"/>
    <cellStyle name="_informatieprofielen Q3-2004_FC categoraal" xfId="2066"/>
    <cellStyle name="_informatieprofielen Q3-2004_GDC nieuwe pfc cc jan  2011 v4" xfId="2067"/>
    <cellStyle name="_informatieprofielen Q3-2004_JP2011" xfId="2068"/>
    <cellStyle name="_informatieprofielen Q3-2004_JP2011 2" xfId="2069"/>
    <cellStyle name="_informatieprofielen Q3-2004_JP2011_1" xfId="2070"/>
    <cellStyle name="_informatieprofielen Q3-2004_Preclosing" xfId="2071"/>
    <cellStyle name="_informatieprofielen Q3-2004_Preclosing 2" xfId="2072"/>
    <cellStyle name="_informatieprofielen Q3-2004_Preclosing jan11" xfId="2073"/>
    <cellStyle name="_informatieprofielen Q3-2004_Preclosing_1" xfId="2074"/>
    <cellStyle name="_informatieprofielen Q3-2004_Preclosing_2" xfId="2075"/>
    <cellStyle name="_informatieprofielen Q3-2004_Preclosing_3" xfId="2076"/>
    <cellStyle name="_informatieprofielen Q3-2004_Preclosing_FC categoraal" xfId="2077"/>
    <cellStyle name="_informatieprofielen Q3-2004_Sheet1" xfId="2078"/>
    <cellStyle name="_informatieprofielen Q3-2004_Sheet1_1" xfId="2079"/>
    <cellStyle name="_informatieprofielen Q3-2004_Sheet1_1 2" xfId="2080"/>
    <cellStyle name="_informatieprofielen Q3-2004_Sheet1_1_FC categoraal" xfId="2081"/>
    <cellStyle name="_informatieprofielen Q3-2004_Sheet1_2" xfId="2082"/>
    <cellStyle name="_informatieprofielen Q3-2004_Sheet1_2 2" xfId="2083"/>
    <cellStyle name="_informatieprofielen Q3-2004_Sheet2" xfId="2084"/>
    <cellStyle name="_informatieprofielen vast nieuwe layout" xfId="2085"/>
    <cellStyle name="_informatieprofielen vast nieuwe layout 2" xfId="2086"/>
    <cellStyle name="_informatieprofielen vast nieuwe layout Bu BB" xfId="2087"/>
    <cellStyle name="_informatieprofielen vast nieuwe layout Bu BB 2" xfId="2088"/>
    <cellStyle name="_informatieprofielen vast nieuwe layout Bu BB_FC categoraal" xfId="2089"/>
    <cellStyle name="_informatieprofielen vast nieuwe layout Bu BB_GDC nieuwe pfc cc jan  2011 v4" xfId="2090"/>
    <cellStyle name="_informatieprofielen vast nieuwe layout Bu BB_JP2011" xfId="2091"/>
    <cellStyle name="_informatieprofielen vast nieuwe layout Bu BB_JP2011 2" xfId="2092"/>
    <cellStyle name="_informatieprofielen vast nieuwe layout Bu BB_JP2011_1" xfId="2093"/>
    <cellStyle name="_informatieprofielen vast nieuwe layout Bu BB_Preclosing" xfId="2094"/>
    <cellStyle name="_informatieprofielen vast nieuwe layout Bu BB_Preclosing 2" xfId="2095"/>
    <cellStyle name="_informatieprofielen vast nieuwe layout Bu BB_Preclosing jan11" xfId="2096"/>
    <cellStyle name="_informatieprofielen vast nieuwe layout Bu BB_Preclosing_1" xfId="2097"/>
    <cellStyle name="_informatieprofielen vast nieuwe layout Bu BB_Preclosing_2" xfId="2098"/>
    <cellStyle name="_informatieprofielen vast nieuwe layout Bu BB_Preclosing_3" xfId="2099"/>
    <cellStyle name="_informatieprofielen vast nieuwe layout Bu BB_Preclosing_FC categoraal" xfId="2100"/>
    <cellStyle name="_informatieprofielen vast nieuwe layout Bu BB_Sheet1" xfId="2101"/>
    <cellStyle name="_informatieprofielen vast nieuwe layout Bu BB_Sheet1_1" xfId="2102"/>
    <cellStyle name="_informatieprofielen vast nieuwe layout Bu BB_Sheet1_1 2" xfId="2103"/>
    <cellStyle name="_informatieprofielen vast nieuwe layout Bu BB_Sheet1_1_FC categoraal" xfId="2104"/>
    <cellStyle name="_informatieprofielen vast nieuwe layout Bu BB_Sheet1_2" xfId="2105"/>
    <cellStyle name="_informatieprofielen vast nieuwe layout Bu BB_Sheet1_2 2" xfId="2106"/>
    <cellStyle name="_informatieprofielen vast nieuwe layout Bu BB_Sheet2" xfId="2107"/>
    <cellStyle name="_informatieprofielen vast nieuwe layout_FC categoraal" xfId="2108"/>
    <cellStyle name="_informatieprofielen vast nieuwe layout_GDC nieuwe pfc cc jan  2011 v4" xfId="2109"/>
    <cellStyle name="_informatieprofielen vast nieuwe layout_JP2011" xfId="2110"/>
    <cellStyle name="_informatieprofielen vast nieuwe layout_JP2011 2" xfId="2111"/>
    <cellStyle name="_informatieprofielen vast nieuwe layout_JP2011_1" xfId="2112"/>
    <cellStyle name="_informatieprofielen vast nieuwe layout_Preclosing" xfId="2113"/>
    <cellStyle name="_informatieprofielen vast nieuwe layout_Preclosing 2" xfId="2114"/>
    <cellStyle name="_informatieprofielen vast nieuwe layout_Preclosing jan11" xfId="2115"/>
    <cellStyle name="_informatieprofielen vast nieuwe layout_Preclosing_1" xfId="2116"/>
    <cellStyle name="_informatieprofielen vast nieuwe layout_Preclosing_2" xfId="2117"/>
    <cellStyle name="_informatieprofielen vast nieuwe layout_Preclosing_3" xfId="2118"/>
    <cellStyle name="_informatieprofielen vast nieuwe layout_Preclosing_FC categoraal" xfId="2119"/>
    <cellStyle name="_informatieprofielen vast nieuwe layout_Sheet1" xfId="2120"/>
    <cellStyle name="_informatieprofielen vast nieuwe layout_Sheet1_1" xfId="2121"/>
    <cellStyle name="_informatieprofielen vast nieuwe layout_Sheet1_1 2" xfId="2122"/>
    <cellStyle name="_informatieprofielen vast nieuwe layout_Sheet1_1_FC categoraal" xfId="2123"/>
    <cellStyle name="_informatieprofielen vast nieuwe layout_Sheet1_2" xfId="2124"/>
    <cellStyle name="_informatieprofielen vast nieuwe layout_Sheet1_2 2" xfId="2125"/>
    <cellStyle name="_informatieprofielen vast nieuwe layout_Sheet2" xfId="2126"/>
    <cellStyle name="_INNOSPEC - 08 (Forecast)v2" xfId="2127"/>
    <cellStyle name="_Input IK 02-06-2006 II (2)" xfId="265"/>
    <cellStyle name="_Input IK 02-06-2006 II (2) 2" xfId="266"/>
    <cellStyle name="_Input IK 02-06-2006 II (2) 3" xfId="2128"/>
    <cellStyle name="_Input IK 02-06-2006 II (2)_ND5 squeeze model  whs-whs v2.21 DWDM ILL" xfId="2129"/>
    <cellStyle name="_INPUT ILL JP 2005 ILL_v1" xfId="267"/>
    <cellStyle name="_INPUT ILL JP 2005 ILL_v1_LPM PL 20101014 Concept" xfId="2130"/>
    <cellStyle name="_INPUT ILL JP 2005 ILL_v1_LPM PL 20101028 obv LRIC inkoop" xfId="2131"/>
    <cellStyle name="_INPUT ILL JP 2005 ILL_v1_ND5 squeeze model  whs-whs v2.21 DWDM ILL" xfId="2132"/>
    <cellStyle name="_Input omzet ACTIEF JP 2005" xfId="268"/>
    <cellStyle name="_Input omzet ACTIEF JP 2005 2" xfId="269"/>
    <cellStyle name="_Input omzet ACTIEF JP 2005 3" xfId="2133"/>
    <cellStyle name="_Input omzet ACTIEF JP 2005 versie 2" xfId="270"/>
    <cellStyle name="_Input omzet ACTIEF JP 2005 versie 2 2" xfId="271"/>
    <cellStyle name="_Input omzet ACTIEF JP 2005 versie 2 3" xfId="2134"/>
    <cellStyle name="_Input omzet ACTIEF JP 2005 versie 2_ND5 squeeze model  whs-whs v2.21 DWDM ILL" xfId="2135"/>
    <cellStyle name="_Input omzet ACTIEF JP 2005_ND5 squeeze model  whs-whs v2.21 DWDM ILL" xfId="2136"/>
    <cellStyle name="_Interne verrekening SLA2007 WO BO LEV BS - ZM NS CS versie 05-2007" xfId="272"/>
    <cellStyle name="_Interne verrekening SLA2007 WO BO LEV BS - ZM NS CS versie 05-2007 (2)" xfId="273"/>
    <cellStyle name="_Invul 1" xfId="2137"/>
    <cellStyle name="_IP TV 2006 v15 baseplan 3 incl jev 10 000" xfId="2138"/>
    <cellStyle name="_IP-Edge BP 2008-2011 v0.6" xfId="274"/>
    <cellStyle name="_IS Bridge actualv v Budget Feb08" xfId="2139"/>
    <cellStyle name="_IS intercompanies from GR BP 2008-2010 invoersheet RE004 Voice Services Joost" xfId="2140"/>
    <cellStyle name="_IS intercompanies from GR BP 2008-2010 invoersheet RE004 Voice Services Joost 2" xfId="2141"/>
    <cellStyle name="_IS intercompanies from GR BP 2008-2010 invoersheet RE004 Voice Services Joost_Blad2" xfId="2142"/>
    <cellStyle name="_IS intercompanies from GR BP 2008-2010 invoersheet RE004 Voice Services Joost_Blad2 2" xfId="2143"/>
    <cellStyle name="_IS intercompanies from GR BP 2008-2010 invoersheet RE004 Voice Services Joost_Blad2_JP2011" xfId="2144"/>
    <cellStyle name="_IS intercompanies from GR BP 2008-2010 invoersheet RE004 Voice Services Joost_JP2011" xfId="2145"/>
    <cellStyle name="_IS intercompanies from GR BP 2008-2010 invoersheet RE004 Voice Services Joost_Model Plan 2012" xfId="2146"/>
    <cellStyle name="_IS PLAN 2007 BU AMS V4" xfId="2147"/>
    <cellStyle name="_IS PLAN 2007 BU AMS V4_ICS plan 2010 origineel v9 10-09" xfId="2148"/>
    <cellStyle name="_IS PLAN 2007 BU AMS V4_JP2011" xfId="2149"/>
    <cellStyle name="_IS PLAN 2007 BU AMS V4_JP2011 2" xfId="2150"/>
    <cellStyle name="_IS PLAN 2007 BU AMS V4_Maand Capex" xfId="2151"/>
    <cellStyle name="_IS PLAN 2007 BU AMS V4_Maand Capex_JP2011" xfId="2152"/>
    <cellStyle name="_IS PLAN 2007 BU AMS V4_Maand Capex_JP2011 2" xfId="2153"/>
    <cellStyle name="_IS PLAN 2007 BU AMS V4_ML_Generic_1 1 input Capex incl maandplan_v2" xfId="2154"/>
    <cellStyle name="_IS PLAN 2007 BU AMS V4_ML_Generic_1 1 input Capex incl maandplan_v2 2" xfId="2155"/>
    <cellStyle name="_IS PLAN 2007 BU AMS V4_Model Plan 2012" xfId="2156"/>
    <cellStyle name="_IssuesBP2005-2008analoog" xfId="275"/>
    <cellStyle name="_Jaarplan 2003 nieuwe org. wvs 10022003" xfId="276"/>
    <cellStyle name="_Jaarplan 2003 nieuwe org. wvs 10022003 2" xfId="277"/>
    <cellStyle name="_Jaarplan 2003 nieuwe org. wvs 10022003 3" xfId="2157"/>
    <cellStyle name="_Jaarplan 2003 nieuwe org. wvs 10022003_ND5 squeeze model  whs-whs v2.21 DWDM ILL" xfId="2158"/>
    <cellStyle name="_jaarplan zm 2005 versie 10 (schoon)" xfId="278"/>
    <cellStyle name="_jaarplan zm 2005 versie 10 (schoon) 2" xfId="279"/>
    <cellStyle name="_jaarplan zm 2005 versie 10 (schoon) 3" xfId="2159"/>
    <cellStyle name="_jaarplan zm 2005 versie 10 (schoon)_Blad2" xfId="2160"/>
    <cellStyle name="_jaarplan zm 2005 versie 10 (schoon)_Blad2 2" xfId="2161"/>
    <cellStyle name="_jaarplan zm 2005 versie 10 (schoon)_Blad2_JP2011" xfId="2162"/>
    <cellStyle name="_jaarplan zm 2005 versie 10 (schoon)_JP2011" xfId="2163"/>
    <cellStyle name="_jaarplan zm 2005 versie 10 (schoon)_Model Plan 2012" xfId="2164"/>
    <cellStyle name="_jaarplan zm 2005 versie 10 (schoon)_ND5 squeeze model  whs-whs v2.21 DWDM ILL" xfId="2165"/>
    <cellStyle name="_jev 2004 augustus" xfId="280"/>
    <cellStyle name="_jev 2004 augustus 2" xfId="2166"/>
    <cellStyle name="_JEV 2006-01v5" xfId="281"/>
    <cellStyle name="_JEV 2006-01v5 2" xfId="282"/>
    <cellStyle name="_JEV 2006-01v5 3" xfId="2167"/>
    <cellStyle name="_JEV 2006-01v5_ND5 squeeze model  whs-whs v2.21 DWDM ILL" xfId="2168"/>
    <cellStyle name="_JEV 2007 Q3 CO" xfId="2169"/>
    <cellStyle name="_JEV 2007 totaal Cybercenters" xfId="2170"/>
    <cellStyle name="_JEV apr07" xfId="2171"/>
    <cellStyle name="_JEV apr07 2" xfId="2172"/>
    <cellStyle name="_JEV april" xfId="283"/>
    <cellStyle name="_JEV april 2" xfId="284"/>
    <cellStyle name="_JEV april 3" xfId="2173"/>
    <cellStyle name="_JEV april_20080530 Consolidatie Businessplan v12" xfId="2174"/>
    <cellStyle name="_JEV april_20080530 Consolidatie Businessplan v12 2" xfId="2175"/>
    <cellStyle name="_JEV april_20080530 Consolidatie Businessplan v12_Blad2" xfId="2176"/>
    <cellStyle name="_JEV april_20080530 Consolidatie Businessplan v12_Blad2 2" xfId="2177"/>
    <cellStyle name="_JEV april_20080530 Consolidatie Businessplan v12_Blad2_JP2011" xfId="2178"/>
    <cellStyle name="_JEV april_20080530 Consolidatie Businessplan v12_JP2011" xfId="2179"/>
    <cellStyle name="_JEV april_20080530 Consolidatie Businessplan v12_Model Plan 2012" xfId="2180"/>
    <cellStyle name="_JEV april_20080605 Consolidatie Businessplan v15" xfId="2181"/>
    <cellStyle name="_JEV april_20080605 Consolidatie Businessplan v15 2" xfId="2182"/>
    <cellStyle name="_JEV april_20080605 Consolidatie Businessplan v15_Blad2" xfId="2183"/>
    <cellStyle name="_JEV april_20080605 Consolidatie Businessplan v15_Blad2 2" xfId="2184"/>
    <cellStyle name="_JEV april_20080605 Consolidatie Businessplan v15_Blad2_JP2011" xfId="2185"/>
    <cellStyle name="_JEV april_20080605 Consolidatie Businessplan v15_JP2011" xfId="2186"/>
    <cellStyle name="_JEV april_20080605 Consolidatie Businessplan v15_Model Plan 2012" xfId="2187"/>
    <cellStyle name="_JEV april_20080605 Consolidatie Businessplan v19" xfId="2188"/>
    <cellStyle name="_JEV april_20080605 Consolidatie Businessplan v19 2" xfId="2189"/>
    <cellStyle name="_JEV april_20080605 Consolidatie Businessplan v19_Blad2" xfId="2190"/>
    <cellStyle name="_JEV april_20080605 Consolidatie Businessplan v19_Blad2 2" xfId="2191"/>
    <cellStyle name="_JEV april_20080605 Consolidatie Businessplan v19_Blad2_JP2011" xfId="2192"/>
    <cellStyle name="_JEV april_20080605 Consolidatie Businessplan v19_JP2011" xfId="2193"/>
    <cellStyle name="_JEV april_20080605 Consolidatie Businessplan v19_Model Plan 2012" xfId="2194"/>
    <cellStyle name="_JEV april_Blad2" xfId="2195"/>
    <cellStyle name="_JEV april_Blad2 2" xfId="2196"/>
    <cellStyle name="_JEV april_Blad2_JP2011" xfId="2197"/>
    <cellStyle name="_JEV april_JP2011" xfId="2198"/>
    <cellStyle name="_JEV april_Model Plan 2012" xfId="2199"/>
    <cellStyle name="_JEV april_ND5 squeeze model  whs-whs v2.21 DWDM ILL" xfId="2200"/>
    <cellStyle name="_JEV CM tbv Businessplan 2004" xfId="285"/>
    <cellStyle name="_JEV CM tbv Businessplan 2004 2" xfId="286"/>
    <cellStyle name="_JEV CM tbv Businessplan 2004 3" xfId="2201"/>
    <cellStyle name="_JEV CM tbv Businessplan 2004_ND5 squeeze model  whs-whs v2.21 DWDM ILL" xfId="2202"/>
    <cellStyle name="_JEV model 2005  versie 3" xfId="287"/>
    <cellStyle name="_JEV model 2005  versie 3 2" xfId="288"/>
    <cellStyle name="_JEV model 2005  versie 3 3" xfId="2203"/>
    <cellStyle name="_JEV model 2005  versie 3_Blad2" xfId="2204"/>
    <cellStyle name="_JEV model 2005  versie 3_Blad2 2" xfId="2205"/>
    <cellStyle name="_JEV model 2005  versie 3_Blad2_JP2011" xfId="2206"/>
    <cellStyle name="_JEV model 2005  versie 3_JP2011" xfId="2207"/>
    <cellStyle name="_JEV model 2005  versie 3_Model Plan 2012" xfId="2208"/>
    <cellStyle name="_JEV model 2005  versie 3_ND5 squeeze model  whs-whs v2.21 DWDM ILL" xfId="2209"/>
    <cellStyle name="_JEV Nov Portfoliomanagement versie 0.5" xfId="289"/>
    <cellStyle name="_JEV Nov Portfoliomanagement versie 0.5 2" xfId="290"/>
    <cellStyle name="_JEV Nov Portfoliomanagement versie 0.5 3" xfId="2210"/>
    <cellStyle name="_JEV Nov Portfoliomanagement versie 0.5_20080530 Consolidatie Businessplan v12" xfId="2211"/>
    <cellStyle name="_JEV Nov Portfoliomanagement versie 0.5_20080530 Consolidatie Businessplan v12 2" xfId="2212"/>
    <cellStyle name="_JEV Nov Portfoliomanagement versie 0.5_20080530 Consolidatie Businessplan v12_Blad2" xfId="2213"/>
    <cellStyle name="_JEV Nov Portfoliomanagement versie 0.5_20080530 Consolidatie Businessplan v12_Blad2 2" xfId="2214"/>
    <cellStyle name="_JEV Nov Portfoliomanagement versie 0.5_20080530 Consolidatie Businessplan v12_Blad2_JP2011" xfId="2215"/>
    <cellStyle name="_JEV Nov Portfoliomanagement versie 0.5_20080530 Consolidatie Businessplan v12_JP2011" xfId="2216"/>
    <cellStyle name="_JEV Nov Portfoliomanagement versie 0.5_20080530 Consolidatie Businessplan v12_Model Plan 2012" xfId="2217"/>
    <cellStyle name="_JEV Nov Portfoliomanagement versie 0.5_20080605 Consolidatie Businessplan v15" xfId="2218"/>
    <cellStyle name="_JEV Nov Portfoliomanagement versie 0.5_20080605 Consolidatie Businessplan v15 2" xfId="2219"/>
    <cellStyle name="_JEV Nov Portfoliomanagement versie 0.5_20080605 Consolidatie Businessplan v15_Blad2" xfId="2220"/>
    <cellStyle name="_JEV Nov Portfoliomanagement versie 0.5_20080605 Consolidatie Businessplan v15_Blad2 2" xfId="2221"/>
    <cellStyle name="_JEV Nov Portfoliomanagement versie 0.5_20080605 Consolidatie Businessplan v15_Blad2_JP2011" xfId="2222"/>
    <cellStyle name="_JEV Nov Portfoliomanagement versie 0.5_20080605 Consolidatie Businessplan v15_JP2011" xfId="2223"/>
    <cellStyle name="_JEV Nov Portfoliomanagement versie 0.5_20080605 Consolidatie Businessplan v15_Model Plan 2012" xfId="2224"/>
    <cellStyle name="_JEV Nov Portfoliomanagement versie 0.5_20080605 Consolidatie Businessplan v19" xfId="2225"/>
    <cellStyle name="_JEV Nov Portfoliomanagement versie 0.5_20080605 Consolidatie Businessplan v19 2" xfId="2226"/>
    <cellStyle name="_JEV Nov Portfoliomanagement versie 0.5_20080605 Consolidatie Businessplan v19_Blad2" xfId="2227"/>
    <cellStyle name="_JEV Nov Portfoliomanagement versie 0.5_20080605 Consolidatie Businessplan v19_Blad2 2" xfId="2228"/>
    <cellStyle name="_JEV Nov Portfoliomanagement versie 0.5_20080605 Consolidatie Businessplan v19_Blad2_JP2011" xfId="2229"/>
    <cellStyle name="_JEV Nov Portfoliomanagement versie 0.5_20080605 Consolidatie Businessplan v19_JP2011" xfId="2230"/>
    <cellStyle name="_JEV Nov Portfoliomanagement versie 0.5_20080605 Consolidatie Businessplan v19_Model Plan 2012" xfId="2231"/>
    <cellStyle name="_JEV Nov Portfoliomanagement versie 0.5_Blad2" xfId="2232"/>
    <cellStyle name="_JEV Nov Portfoliomanagement versie 0.5_Blad2 2" xfId="2233"/>
    <cellStyle name="_JEV Nov Portfoliomanagement versie 0.5_Blad2_JP2011" xfId="2234"/>
    <cellStyle name="_JEV Nov Portfoliomanagement versie 0.5_JP2011" xfId="2235"/>
    <cellStyle name="_JEV Nov Portfoliomanagement versie 0.5_Model Plan 2012" xfId="2236"/>
    <cellStyle name="_JEV Nov Portfoliomanagement versie 0.5_ND5 squeeze model  whs-whs v2.21 DWDM ILL" xfId="2237"/>
    <cellStyle name="_JEV SACSRC_extrapolatie aug cijfers" xfId="2238"/>
    <cellStyle name="_JEV SACSRC_extrapolatie aug cijfers 2" xfId="2239"/>
    <cellStyle name="_JEV SACSRC_extrapolatie aug cijfers_Blad2" xfId="2240"/>
    <cellStyle name="_JEV SACSRC_extrapolatie aug cijfers_Blad2 2" xfId="2241"/>
    <cellStyle name="_JEV SACSRC_extrapolatie aug cijfers_Blad2_JP2011" xfId="2242"/>
    <cellStyle name="_JEV SACSRC_extrapolatie aug cijfers_JP2011" xfId="2243"/>
    <cellStyle name="_JEV SACSRC_extrapolatie aug cijfers_Model Plan 2012" xfId="2244"/>
    <cellStyle name="_JEV2007-BP2008-2010 ambitie 19 sept bottom up" xfId="2245"/>
    <cellStyle name="_JEV2007-BP2008-2010 ambitie 19 sept bottom up 2" xfId="2246"/>
    <cellStyle name="_JEV2007-BP2008-2010 ambitie 19 sept bottom up_Blad2" xfId="2247"/>
    <cellStyle name="_JEV2007-BP2008-2010 ambitie 19 sept bottom up_Blad2 2" xfId="2248"/>
    <cellStyle name="_JEV2007-BP2008-2010 ambitie 19 sept bottom up_Blad2_JP2011" xfId="2249"/>
    <cellStyle name="_JEV2007-BP2008-2010 ambitie 19 sept bottom up_JP2011" xfId="2250"/>
    <cellStyle name="_JEV2007-BP2008-2010 ambitie 19 sept bottom up_Model Plan 2012" xfId="2251"/>
    <cellStyle name="_JEV-uitvraag Voice ZM feb06" xfId="291"/>
    <cellStyle name="_JEV-uitvraag Voice ZM feb06 2" xfId="292"/>
    <cellStyle name="_JEV-uitvraag Voice ZM feb06 3" xfId="2252"/>
    <cellStyle name="_JEV-uitvraag Voice ZM feb06_Blad2" xfId="2253"/>
    <cellStyle name="_JEV-uitvraag Voice ZM feb06_Blad2 2" xfId="2254"/>
    <cellStyle name="_JEV-uitvraag Voice ZM feb06_Blad2_JP2011" xfId="2255"/>
    <cellStyle name="_JEV-uitvraag Voice ZM feb06_JP2011" xfId="2256"/>
    <cellStyle name="_JEV-uitvraag Voice ZM feb06_Model Plan 2012" xfId="2257"/>
    <cellStyle name="_JEV-uitvraag Voice ZM feb06_ND5 squeeze model  whs-whs v2.21 DWDM ILL" xfId="2258"/>
    <cellStyle name="_Journal P02" xfId="2259"/>
    <cellStyle name="_Journal P02_GDC nieuwe pfc cc jan  2011 v4" xfId="2260"/>
    <cellStyle name="_Journal P03" xfId="2261"/>
    <cellStyle name="_Journal P03_1" xfId="2262"/>
    <cellStyle name="_Journal P03_1_GDC nieuwe pfc cc jan  2011 v4" xfId="2263"/>
    <cellStyle name="_Journal P03_1_kostenplaatsensluiten consulting" xfId="2264"/>
    <cellStyle name="_Journal P05" xfId="2265"/>
    <cellStyle name="_Journal P05_GDC nieuwe pfc cc jan  2011 v4" xfId="2266"/>
    <cellStyle name="_Journal P10" xfId="2267"/>
    <cellStyle name="_Journal P10_GDC nieuwe pfc cc jan  2011 v4" xfId="2268"/>
    <cellStyle name="_JP 2006 LLS versie 3" xfId="293"/>
    <cellStyle name="_JP 2006 LLS versie 3 2" xfId="294"/>
    <cellStyle name="_JP 2006 LLS versie 3 3" xfId="2269"/>
    <cellStyle name="_JP 2006 LLS versie 3_ND5 squeeze model  whs-whs v2.21 DWDM ILL" xfId="2270"/>
    <cellStyle name="_JP_Core_231105_NOR" xfId="295"/>
    <cellStyle name="_JP_Core_231105_NOR 2" xfId="296"/>
    <cellStyle name="_JP_Core_231105_NOR 3" xfId="2271"/>
    <cellStyle name="_JP_Core_231105_NOR_ND5 squeeze model  whs-whs v2.21 DWDM ILL" xfId="2272"/>
    <cellStyle name="_Keuzelijsten" xfId="2273"/>
    <cellStyle name="_KEV-JEV BU CS" xfId="297"/>
    <cellStyle name="_KEV-JEV BU CS vs 2" xfId="298"/>
    <cellStyle name="_KIB MTA en bijz. posten" xfId="2274"/>
    <cellStyle name="_KIB MTA en bijz. posten 2" xfId="2275"/>
    <cellStyle name="_KIB MTA en bijz. posten_FC categoraal" xfId="2276"/>
    <cellStyle name="_KIB MTA en bijz. posten_GDC nieuwe pfc cc jan  2011 v4" xfId="2277"/>
    <cellStyle name="_KIB MTA en bijz. posten_JP2011" xfId="2278"/>
    <cellStyle name="_KIB MTA en bijz. posten_JP2011 2" xfId="2279"/>
    <cellStyle name="_KIB MTA en bijz. posten_JP2011_1" xfId="2280"/>
    <cellStyle name="_KIB MTA en bijz. posten_Preclosing" xfId="2281"/>
    <cellStyle name="_KIB MTA en bijz. posten_Preclosing 2" xfId="2282"/>
    <cellStyle name="_KIB MTA en bijz. posten_Preclosing jan11" xfId="2283"/>
    <cellStyle name="_KIB MTA en bijz. posten_Preclosing_1" xfId="2284"/>
    <cellStyle name="_KIB MTA en bijz. posten_Preclosing_2" xfId="2285"/>
    <cellStyle name="_KIB MTA en bijz. posten_Preclosing_3" xfId="2286"/>
    <cellStyle name="_KIB MTA en bijz. posten_Preclosing_FC categoraal" xfId="2287"/>
    <cellStyle name="_KIB MTA en bijz. posten_Sheet1" xfId="2288"/>
    <cellStyle name="_KIB MTA en bijz. posten_Sheet1_1" xfId="2289"/>
    <cellStyle name="_KIB MTA en bijz. posten_Sheet1_1 2" xfId="2290"/>
    <cellStyle name="_KIB MTA en bijz. posten_Sheet1_1_FC categoraal" xfId="2291"/>
    <cellStyle name="_KIB MTA en bijz. posten_Sheet1_2" xfId="2292"/>
    <cellStyle name="_KIB MTA en bijz. posten_Sheet1_2 2" xfId="2293"/>
    <cellStyle name="_KIB MTA en bijz. posten_Sheet2" xfId="2294"/>
    <cellStyle name="_Klant P&amp;L" xfId="2295"/>
    <cellStyle name="_Klant P&amp;L 2" xfId="2296"/>
    <cellStyle name="_Klant P&amp;L_Blad2" xfId="2297"/>
    <cellStyle name="_Klant P&amp;L_Blad2 2" xfId="2298"/>
    <cellStyle name="_Klant P&amp;L_Blad2_JP2011" xfId="2299"/>
    <cellStyle name="_Klant P&amp;L_JP2011" xfId="2300"/>
    <cellStyle name="_Klant P&amp;L_Model Plan 2012" xfId="2301"/>
    <cellStyle name="_Klantcase INVULASSISTENT 2007-06-01_1 (2)" xfId="2302"/>
    <cellStyle name="_Klantcase INVULASSISTENT 2007-06-01_1 (2) 2" xfId="2303"/>
    <cellStyle name="_Klantcase INVULASSISTENT 2007-06-01_1 (2)_Blad2" xfId="2304"/>
    <cellStyle name="_Klantcase INVULASSISTENT 2007-06-01_1 (2)_Blad2 2" xfId="2305"/>
    <cellStyle name="_Klantcase INVULASSISTENT 2007-06-01_1 (2)_Blad2_JP2011" xfId="2306"/>
    <cellStyle name="_Klantcase INVULASSISTENT 2007-06-01_1 (2)_JP2011" xfId="2307"/>
    <cellStyle name="_Klantcase INVULASSISTENT 2007-06-01_1 (2)_Model Plan 2012" xfId="2308"/>
    <cellStyle name="_Klantcase INVULTOOL" xfId="299"/>
    <cellStyle name="_Klantcase INVULTOOL 2" xfId="2309"/>
    <cellStyle name="_Klantcase INVULTOOL 2 2" xfId="2310"/>
    <cellStyle name="_KOKOS-BP0709 met mngt fee" xfId="300"/>
    <cellStyle name="_KOKOS-BP0709 operations versie 26 9 06 excl MF VN" xfId="301"/>
    <cellStyle name="_Kopie van BP LLS 2005 v101  ronde 6" xfId="302"/>
    <cellStyle name="_Kopie van BP LLS 2005 v101  ronde 6 2" xfId="303"/>
    <cellStyle name="_Kopie van BP LLS 2005 v101  ronde 6 3" xfId="2311"/>
    <cellStyle name="_Kopie van BP LLS 2005 v101  ronde 6_ND5 squeeze model  whs-whs v2.21 DWDM ILL" xfId="2312"/>
    <cellStyle name="_Kopie van Kostenboom CCA 2007 DEF (excl gebouw)" xfId="2313"/>
    <cellStyle name="_Kopie van Uitkoppelsqueezing tov xDF_WBA CM ACTIE 20090629 (2)" xfId="304"/>
    <cellStyle name="_Kosten DWDM" xfId="305"/>
    <cellStyle name="_kosten model 2005" xfId="306"/>
    <cellStyle name="_kosten model 2005_LPM PL 20101014 Concept" xfId="2314"/>
    <cellStyle name="_kosten model 2005_LPM PL 20101028 obv LRIC inkoop" xfId="2315"/>
    <cellStyle name="_kosten model 2005_ND5 squeeze model  whs-whs v2.21 DWDM ILL" xfId="2316"/>
    <cellStyle name="_Kosten per applicatie v0 4 WSO 19-09-2006" xfId="307"/>
    <cellStyle name="_Kosten per applicatie v0 4 WSO 19-09-2006 2" xfId="308"/>
    <cellStyle name="_Kosten per applicatie v0 4 WSO 19-09-2006 3" xfId="2317"/>
    <cellStyle name="_Kosten per applicatie v0 4 WSO 19-09-2006_ND5 squeeze model  whs-whs v2.21 DWDM ILL" xfId="2318"/>
    <cellStyle name="_Kostenboom CCA 2007 DEF" xfId="2319"/>
    <cellStyle name="_Kostenverdeling ETN v03" xfId="309"/>
    <cellStyle name="_Kostenverdeling ETN v03 2" xfId="310"/>
    <cellStyle name="_Kostenverdeling ETN v03 3" xfId="2320"/>
    <cellStyle name="_Kostenverdeling ETN v03_ND5 squeeze model  whs-whs v2.21 DWDM ILL" xfId="2321"/>
    <cellStyle name="_kostprijs_Ethernet_08_08v1 Coen" xfId="311"/>
    <cellStyle name="_KPN Fixed" xfId="312"/>
    <cellStyle name="_KPN Fixed 2" xfId="2322"/>
    <cellStyle name="_KPN Fixed 2 2" xfId="2323"/>
    <cellStyle name="_KPN NG Ethernet MPLS Building Blocks-v6" xfId="313"/>
    <cellStyle name="_KPN NG Ethernet MPLS Building Blocks-v6_LPM PL 20101014 Concept" xfId="2324"/>
    <cellStyle name="_KPN NG Ethernet MPLS Building Blocks-v6_LPM PL 20101028 obv LRIC inkoop" xfId="2325"/>
    <cellStyle name="_KPN NG Ethernet MPLS Building Blocks-v6_ND5 squeeze model  whs-whs v2.21 DWDM ILL" xfId="2326"/>
    <cellStyle name="_KPN ONE Hardware 4v3" xfId="2327"/>
    <cellStyle name="_KPN ONE Hardware 4v3 2" xfId="2328"/>
    <cellStyle name="_KPN ONE Hardware 4v3 2 2" xfId="2329"/>
    <cellStyle name="_KvB_Full year ZM june 08" xfId="2330"/>
    <cellStyle name="_KWT IS Data 2011-01-07" xfId="2331"/>
    <cellStyle name="_Like-for-like res" xfId="2332"/>
    <cellStyle name="_Like-for-like res 2" xfId="2333"/>
    <cellStyle name="_Like-for-like res_JP2011" xfId="2334"/>
    <cellStyle name="_LOCAL LOOP afdelingen 2004" xfId="314"/>
    <cellStyle name="_LOCAL LOOP afdelingen 2004 2" xfId="315"/>
    <cellStyle name="_LOCAL LOOP afdelingen 2004 2 2" xfId="2335"/>
    <cellStyle name="_LOCAL LOOP afdelingen 2004 3" xfId="2336"/>
    <cellStyle name="_LOCAL LOOP afdelingen 2004_Blad2" xfId="2337"/>
    <cellStyle name="_LOCAL LOOP afdelingen 2004_Blad2 2" xfId="2338"/>
    <cellStyle name="_LOCAL LOOP afdelingen 2004_Blad2_JP2011" xfId="2339"/>
    <cellStyle name="_LOCAL LOOP afdelingen 2004_EVPN Model_20102601_v0.1" xfId="316"/>
    <cellStyle name="_LOCAL LOOP afdelingen 2004_JP2011" xfId="2340"/>
    <cellStyle name="_LOCAL LOOP afdelingen 2004_KWT IS Data 2010-10-07" xfId="2341"/>
    <cellStyle name="_LOCAL LOOP afdelingen 2004_Model Plan 2012" xfId="2342"/>
    <cellStyle name="_LOCAL LOOP afdelingen 2004_ND5 squeeze model  whs-whs v2.21 DWDM ILL" xfId="2343"/>
    <cellStyle name="_LOCAL LOOP afdelingen 2004_ZM IS Data Tarievenboek 2010-03-11" xfId="317"/>
    <cellStyle name="_LOCAL LOOP ILL 2004 versie4" xfId="318"/>
    <cellStyle name="_LOCAL LOOP ILL 2004 versie4 2" xfId="319"/>
    <cellStyle name="_LOCAL LOOP ILL 2004 versie4 3" xfId="2344"/>
    <cellStyle name="_LOCAL LOOP ILL 2004 versie4_ND5 squeeze model  whs-whs v2.21 DWDM ILL" xfId="2345"/>
    <cellStyle name="_Lws Portfolio -  Tss -Preliminary 1215" xfId="320"/>
    <cellStyle name="_Lws Portfolio -  Tss -Preliminary 1215 2" xfId="321"/>
    <cellStyle name="_Lws Portfolio -  Tss -Preliminary 1215 3" xfId="2346"/>
    <cellStyle name="_Lws Portfolio -  Tss -Preliminary 1215_ND5 squeeze model  whs-whs v2.21 DWDM ILL" xfId="2347"/>
    <cellStyle name="_LWS Portfolio Comcode Alignment - Preliminary" xfId="322"/>
    <cellStyle name="_LWS Portfolio Comcode Alignment - Preliminary 2" xfId="323"/>
    <cellStyle name="_LWS Portfolio Comcode Alignment - Preliminary 3" xfId="2348"/>
    <cellStyle name="_LWS Portfolio Comcode Alignment - Preliminary_ND5 squeeze model  whs-whs v2.21 DWDM ILL" xfId="2349"/>
    <cellStyle name="_LWS Portfolio Structure for FY 2003" xfId="324"/>
    <cellStyle name="_LWS Portfolio Structure for FY 2003 2" xfId="325"/>
    <cellStyle name="_LWS Portfolio Structure for FY 2003 3" xfId="2350"/>
    <cellStyle name="_LWS Portfolio Structure for FY 2003_ND5 squeeze model  whs-whs v2.21 DWDM ILL" xfId="2351"/>
    <cellStyle name="_LWS_FIN_SUM_KPN Ethernet NG v1.4" xfId="326"/>
    <cellStyle name="_LWS_FIN_SUM_KPN Ethernet NG v1.4 2" xfId="327"/>
    <cellStyle name="_LWS_FIN_SUM_KPN Ethernet NG v1.4 3" xfId="2352"/>
    <cellStyle name="_LWS_FIN_SUM_KPN Ethernet NG v1.4_ND5 squeeze model  whs-whs v2.21 DWDM ILL" xfId="2353"/>
    <cellStyle name="_LWS_FIN_SUM_KPN Ethernet NG v1.5" xfId="328"/>
    <cellStyle name="_LWS_FIN_SUM_KPN Ethernet NG v1.5 2" xfId="329"/>
    <cellStyle name="_LWS_FIN_SUM_KPN Ethernet NG v1.5 3" xfId="2354"/>
    <cellStyle name="_LWS_FIN_SUM_KPN Ethernet NG v1.5_ND5 squeeze model  whs-whs v2.21 DWDM ILL" xfId="2355"/>
    <cellStyle name="_LWS_FIN_SUM_KPN Ethernet NG v1.6" xfId="330"/>
    <cellStyle name="_LWS_FIN_SUM_KPN Ethernet NG v1.6 2" xfId="331"/>
    <cellStyle name="_LWS_FIN_SUM_KPN Ethernet NG v1.6 3" xfId="2356"/>
    <cellStyle name="_LWS_FIN_SUM_KPN Ethernet NG v1.6_ND5 squeeze model  whs-whs v2.21 DWDM ILL" xfId="2357"/>
    <cellStyle name="_M A S" xfId="332"/>
    <cellStyle name="_M A S 2" xfId="333"/>
    <cellStyle name="_M A S 2 2" xfId="2358"/>
    <cellStyle name="_M A S 3" xfId="2359"/>
    <cellStyle name="_M A S_Blad2" xfId="2360"/>
    <cellStyle name="_M A S_Blad2 2" xfId="2361"/>
    <cellStyle name="_M A S_Blad2_JP2011" xfId="2362"/>
    <cellStyle name="_M A S_EVPN Model_20102601_v0.1" xfId="334"/>
    <cellStyle name="_M A S_JP2011" xfId="2363"/>
    <cellStyle name="_M A S_KWT IS Data 2010-10-07" xfId="2364"/>
    <cellStyle name="_M A S_Model Plan 2012" xfId="2365"/>
    <cellStyle name="_M A S_ND5 squeeze model  whs-whs v2.21 DWDM ILL" xfId="2366"/>
    <cellStyle name="_M A S_ZM IS Data Tarievenboek 2010-03-11" xfId="335"/>
    <cellStyle name="_maandverdeling JP 06 versie 2 inkoop CS" xfId="336"/>
    <cellStyle name="_maandverdeling JP 06 versie 2 inkoop CS 2" xfId="337"/>
    <cellStyle name="_maandverdeling JP 06 versie 2 inkoop CS 3" xfId="2367"/>
    <cellStyle name="_maandverdeling JP 06 versie 2 inkoop CS_20080530 Consolidatie Businessplan v12" xfId="2368"/>
    <cellStyle name="_maandverdeling JP 06 versie 2 inkoop CS_20080530 Consolidatie Businessplan v12 2" xfId="2369"/>
    <cellStyle name="_maandverdeling JP 06 versie 2 inkoop CS_20080530 Consolidatie Businessplan v12_Blad2" xfId="2370"/>
    <cellStyle name="_maandverdeling JP 06 versie 2 inkoop CS_20080530 Consolidatie Businessplan v12_Blad2 2" xfId="2371"/>
    <cellStyle name="_maandverdeling JP 06 versie 2 inkoop CS_20080530 Consolidatie Businessplan v12_Blad2_JP2011" xfId="2372"/>
    <cellStyle name="_maandverdeling JP 06 versie 2 inkoop CS_20080530 Consolidatie Businessplan v12_JP2011" xfId="2373"/>
    <cellStyle name="_maandverdeling JP 06 versie 2 inkoop CS_20080530 Consolidatie Businessplan v12_Model Plan 2012" xfId="2374"/>
    <cellStyle name="_maandverdeling JP 06 versie 2 inkoop CS_20080605 Consolidatie Businessplan v15" xfId="2375"/>
    <cellStyle name="_maandverdeling JP 06 versie 2 inkoop CS_20080605 Consolidatie Businessplan v15 2" xfId="2376"/>
    <cellStyle name="_maandverdeling JP 06 versie 2 inkoop CS_20080605 Consolidatie Businessplan v15_Blad2" xfId="2377"/>
    <cellStyle name="_maandverdeling JP 06 versie 2 inkoop CS_20080605 Consolidatie Businessplan v15_Blad2 2" xfId="2378"/>
    <cellStyle name="_maandverdeling JP 06 versie 2 inkoop CS_20080605 Consolidatie Businessplan v15_Blad2_JP2011" xfId="2379"/>
    <cellStyle name="_maandverdeling JP 06 versie 2 inkoop CS_20080605 Consolidatie Businessplan v15_JP2011" xfId="2380"/>
    <cellStyle name="_maandverdeling JP 06 versie 2 inkoop CS_20080605 Consolidatie Businessplan v15_Model Plan 2012" xfId="2381"/>
    <cellStyle name="_maandverdeling JP 06 versie 2 inkoop CS_20080605 Consolidatie Businessplan v19" xfId="2382"/>
    <cellStyle name="_maandverdeling JP 06 versie 2 inkoop CS_20080605 Consolidatie Businessplan v19 2" xfId="2383"/>
    <cellStyle name="_maandverdeling JP 06 versie 2 inkoop CS_20080605 Consolidatie Businessplan v19_Blad2" xfId="2384"/>
    <cellStyle name="_maandverdeling JP 06 versie 2 inkoop CS_20080605 Consolidatie Businessplan v19_Blad2 2" xfId="2385"/>
    <cellStyle name="_maandverdeling JP 06 versie 2 inkoop CS_20080605 Consolidatie Businessplan v19_Blad2_JP2011" xfId="2386"/>
    <cellStyle name="_maandverdeling JP 06 versie 2 inkoop CS_20080605 Consolidatie Businessplan v19_JP2011" xfId="2387"/>
    <cellStyle name="_maandverdeling JP 06 versie 2 inkoop CS_20080605 Consolidatie Businessplan v19_Model Plan 2012" xfId="2388"/>
    <cellStyle name="_maandverdeling JP 06 versie 2 inkoop CS_Blad2" xfId="2389"/>
    <cellStyle name="_maandverdeling JP 06 versie 2 inkoop CS_Blad2 2" xfId="2390"/>
    <cellStyle name="_maandverdeling JP 06 versie 2 inkoop CS_Blad2_JP2011" xfId="2391"/>
    <cellStyle name="_maandverdeling JP 06 versie 2 inkoop CS_JP2011" xfId="2392"/>
    <cellStyle name="_maandverdeling JP 06 versie 2 inkoop CS_Model Plan 2012" xfId="2393"/>
    <cellStyle name="_maandverdeling JP 06 versie 2 inkoop CS_ND5 squeeze model  whs-whs v2.21 DWDM ILL" xfId="2394"/>
    <cellStyle name="_Managed Service  PL - FC_10 v FC_12" xfId="2395"/>
    <cellStyle name="_Map1" xfId="338"/>
    <cellStyle name="_Map1 (2)" xfId="339"/>
    <cellStyle name="_Map1 (2) 2" xfId="340"/>
    <cellStyle name="_Map1 (2) 3" xfId="2396"/>
    <cellStyle name="_Map1 (2)_ND5 squeeze model  whs-whs v2.21 DWDM ILL" xfId="2397"/>
    <cellStyle name="_Map1 2" xfId="341"/>
    <cellStyle name="_Map1 3" xfId="2398"/>
    <cellStyle name="_Map1_1" xfId="342"/>
    <cellStyle name="_Map1_FC categoraal" xfId="2399"/>
    <cellStyle name="_Map1_GDC nieuwe pfc cc jan  2011 v4" xfId="2400"/>
    <cellStyle name="_Map1_JP2011" xfId="2401"/>
    <cellStyle name="_Map1_JP2011 2" xfId="2402"/>
    <cellStyle name="_Map1_JP2011_1" xfId="2403"/>
    <cellStyle name="_Map1_ND5 squeeze model  whs-whs v2.21 DWDM ILL" xfId="2404"/>
    <cellStyle name="_Map1_Preclosing" xfId="2405"/>
    <cellStyle name="_Map1_Preclosing 2" xfId="2406"/>
    <cellStyle name="_Map1_Preclosing jan11" xfId="2407"/>
    <cellStyle name="_Map1_Preclosing_1" xfId="2408"/>
    <cellStyle name="_Map1_Preclosing_2" xfId="2409"/>
    <cellStyle name="_Map1_Preclosing_3" xfId="2410"/>
    <cellStyle name="_Map1_Preclosing_FC categoraal" xfId="2411"/>
    <cellStyle name="_Map1_Sheet1" xfId="2412"/>
    <cellStyle name="_Map1_Sheet1_1" xfId="2413"/>
    <cellStyle name="_Map1_Sheet1_1 2" xfId="2414"/>
    <cellStyle name="_Map1_Sheet1_1_FC categoraal" xfId="2415"/>
    <cellStyle name="_Map1_Sheet1_2" xfId="2416"/>
    <cellStyle name="_Map1_Sheet1_2 2" xfId="2417"/>
    <cellStyle name="_Map1_Sheet2" xfId="2418"/>
    <cellStyle name="_Map11" xfId="2419"/>
    <cellStyle name="_Map11 2" xfId="2420"/>
    <cellStyle name="_Map11_FC categoraal" xfId="2421"/>
    <cellStyle name="_Map11_GDC nieuwe pfc cc jan  2011 v4" xfId="2422"/>
    <cellStyle name="_Map11_JP2011" xfId="2423"/>
    <cellStyle name="_Map11_JP2011 2" xfId="2424"/>
    <cellStyle name="_Map11_JP2011_1" xfId="2425"/>
    <cellStyle name="_Map11_Preclosing" xfId="2426"/>
    <cellStyle name="_Map11_Preclosing 2" xfId="2427"/>
    <cellStyle name="_Map11_Preclosing jan11" xfId="2428"/>
    <cellStyle name="_Map11_Preclosing_1" xfId="2429"/>
    <cellStyle name="_Map11_Preclosing_2" xfId="2430"/>
    <cellStyle name="_Map11_Preclosing_3" xfId="2431"/>
    <cellStyle name="_Map11_Preclosing_FC categoraal" xfId="2432"/>
    <cellStyle name="_Map11_Sheet1" xfId="2433"/>
    <cellStyle name="_Map11_Sheet1_1" xfId="2434"/>
    <cellStyle name="_Map11_Sheet1_1 2" xfId="2435"/>
    <cellStyle name="_Map11_Sheet1_1_FC categoraal" xfId="2436"/>
    <cellStyle name="_Map11_Sheet1_2" xfId="2437"/>
    <cellStyle name="_Map11_Sheet1_2 2" xfId="2438"/>
    <cellStyle name="_Map11_Sheet2" xfId="2439"/>
    <cellStyle name="_Map2" xfId="343"/>
    <cellStyle name="_Map2 2" xfId="344"/>
    <cellStyle name="_Map2 3" xfId="2440"/>
    <cellStyle name="_Map2_BP07-v27" xfId="345"/>
    <cellStyle name="_Map2_BP07-v27 2" xfId="346"/>
    <cellStyle name="_Map2_BP07-v27 3" xfId="2441"/>
    <cellStyle name="_Map2_BP07-v27_ND5 squeeze model  whs-whs v2.21 DWDM ILL" xfId="2442"/>
    <cellStyle name="_Map2_Interne verrekening SLA2007 WO BO LEV BS - ZM NS CS versie 05-2007" xfId="347"/>
    <cellStyle name="_Map2_Interne verrekening SLA2007 WO BO LEV BS - ZM NS CS versie 05-2007 (2)" xfId="348"/>
    <cellStyle name="_Map2_Interne verrekening SLA2007 WO BO LEV BS - ZM NS CS versie 05-2007 (2) 2" xfId="349"/>
    <cellStyle name="_Map2_Interne verrekening SLA2007 WO BO LEV BS - ZM NS CS versie 05-2007 (2) 3" xfId="2443"/>
    <cellStyle name="_Map2_Interne verrekening SLA2007 WO BO LEV BS - ZM NS CS versie 05-2007 (2)_ND5 squeeze model  whs-whs v2.21 DWDM ILL" xfId="2444"/>
    <cellStyle name="_Map2_Interne verrekening SLA2007 WO BO LEV BS - ZM NS CS versie 05-2007 2" xfId="350"/>
    <cellStyle name="_Map2_Interne verrekening SLA2007 WO BO LEV BS - ZM NS CS versie 05-2007 3" xfId="2445"/>
    <cellStyle name="_Map2_Interne verrekening SLA2007 WO BO LEV BS - ZM NS CS versie 05-2007_ND5 squeeze model  whs-whs v2.21 DWDM ILL" xfId="2446"/>
    <cellStyle name="_Map2_JEVconcept2007 16 mei Marcel_Jeff" xfId="351"/>
    <cellStyle name="_Map2_JEVconcept2007 16 mei Marcel_Jeff 2" xfId="352"/>
    <cellStyle name="_Map2_JEVconcept2007 16 mei Marcel_Jeff 3" xfId="2447"/>
    <cellStyle name="_Map2_JEVconcept2007 16 mei Marcel_Jeff_ND5 squeeze model  whs-whs v2.21 DWDM ILL" xfId="2448"/>
    <cellStyle name="_Map2_ND5 squeeze model  whs-whs v2.21 DWDM ILL" xfId="2449"/>
    <cellStyle name="_Map2_Transferpricing2005 - 2007(restate 2006(definitief13-12-2006)" xfId="353"/>
    <cellStyle name="_Map2_Transferpricing2005 - 2007(restate 2006(definitief13-12-2006) 2" xfId="354"/>
    <cellStyle name="_Map2_Transferpricing2005 - 2007(restate 2006(definitief13-12-2006) 3" xfId="2450"/>
    <cellStyle name="_Map2_Transferpricing2005 - 2007(restate 2006(definitief13-12-2006)_ND5 squeeze model  whs-whs v2.21 DWDM ILL" xfId="2451"/>
    <cellStyle name="_Map2_verrekening producten 11b-12-2006 WSO + ZM evpn lrac 5jr" xfId="355"/>
    <cellStyle name="_Map2_verrekening producten 11b-12-2006 WSO + ZM evpn lrac 5jr 2" xfId="356"/>
    <cellStyle name="_Map2_verrekening producten 11b-12-2006 WSO + ZM evpn lrac 5jr 3" xfId="2452"/>
    <cellStyle name="_Map2_verrekening producten 11b-12-2006 WSO + ZM evpn lrac 5jr_ND5 squeeze model  whs-whs v2.21 DWDM ILL" xfId="2453"/>
    <cellStyle name="_Map2_verrekening producten 4-12-2006 WSO + ZM evpn lrac 5jr" xfId="357"/>
    <cellStyle name="_Map2_verrekening producten 4-12-2006 WSO + ZM evpn lrac 5jr 2" xfId="358"/>
    <cellStyle name="_Map2_verrekening producten 4-12-2006 WSO + ZM evpn lrac 5jr 3" xfId="2454"/>
    <cellStyle name="_Map2_verrekening producten 4-12-2006 WSO + ZM evpn lrac 5jr_ND5 squeeze model  whs-whs v2.21 DWDM ILL" xfId="2455"/>
    <cellStyle name="_Map2_verrekening producten 7-12-2006 WSO + ZM evpn lrac 5jr" xfId="359"/>
    <cellStyle name="_Map2_verrekening producten 7-12-2006 WSO + ZM evpn lrac 5jr 2" xfId="360"/>
    <cellStyle name="_Map2_verrekening producten 7-12-2006 WSO + ZM evpn lrac 5jr 3" xfId="2456"/>
    <cellStyle name="_Map2_verrekening producten 7-12-2006 WSO + ZM evpn lrac 5jr_ND5 squeeze model  whs-whs v2.21 DWDM ILL" xfId="2457"/>
    <cellStyle name="_Map3" xfId="361"/>
    <cellStyle name="_Map3 2" xfId="362"/>
    <cellStyle name="_Map3 3" xfId="2458"/>
    <cellStyle name="_Map3_Active PQ" xfId="363"/>
    <cellStyle name="_Map3_ND5 squeeze model  whs-whs v2.21 DWDM ILL" xfId="2459"/>
    <cellStyle name="_Map3_prijsmix willem KPN Internet berekening 03-2006" xfId="364"/>
    <cellStyle name="_Map3_Prijsmix willem kpn-i vorig jaar" xfId="365"/>
    <cellStyle name="_markt ASL aug05" xfId="2460"/>
    <cellStyle name="_markt ASL aug05 2" xfId="2461"/>
    <cellStyle name="_markt ASL aug05_20080530 Consolidatie Businessplan v12" xfId="2462"/>
    <cellStyle name="_markt ASL aug05_20080530 Consolidatie Businessplan v12 2" xfId="2463"/>
    <cellStyle name="_markt ASL aug05_20080530 Consolidatie Businessplan v12_Blad2" xfId="2464"/>
    <cellStyle name="_markt ASL aug05_20080530 Consolidatie Businessplan v12_Blad2 2" xfId="2465"/>
    <cellStyle name="_markt ASL aug05_20080530 Consolidatie Businessplan v12_Blad2_JP2011" xfId="2466"/>
    <cellStyle name="_markt ASL aug05_20080530 Consolidatie Businessplan v12_JP2011" xfId="2467"/>
    <cellStyle name="_markt ASL aug05_20080530 Consolidatie Businessplan v12_Model Plan 2012" xfId="2468"/>
    <cellStyle name="_markt ASL aug05_20080605 Consolidatie Businessplan v15" xfId="2469"/>
    <cellStyle name="_markt ASL aug05_20080605 Consolidatie Businessplan v15 2" xfId="2470"/>
    <cellStyle name="_markt ASL aug05_20080605 Consolidatie Businessplan v15_Blad2" xfId="2471"/>
    <cellStyle name="_markt ASL aug05_20080605 Consolidatie Businessplan v15_Blad2 2" xfId="2472"/>
    <cellStyle name="_markt ASL aug05_20080605 Consolidatie Businessplan v15_Blad2_JP2011" xfId="2473"/>
    <cellStyle name="_markt ASL aug05_20080605 Consolidatie Businessplan v15_JP2011" xfId="2474"/>
    <cellStyle name="_markt ASL aug05_20080605 Consolidatie Businessplan v15_Model Plan 2012" xfId="2475"/>
    <cellStyle name="_markt ASL aug05_20080605 Consolidatie Businessplan v19" xfId="2476"/>
    <cellStyle name="_markt ASL aug05_20080605 Consolidatie Businessplan v19 2" xfId="2477"/>
    <cellStyle name="_markt ASL aug05_20080605 Consolidatie Businessplan v19_Blad2" xfId="2478"/>
    <cellStyle name="_markt ASL aug05_20080605 Consolidatie Businessplan v19_Blad2 2" xfId="2479"/>
    <cellStyle name="_markt ASL aug05_20080605 Consolidatie Businessplan v19_Blad2_JP2011" xfId="2480"/>
    <cellStyle name="_markt ASL aug05_20080605 Consolidatie Businessplan v19_JP2011" xfId="2481"/>
    <cellStyle name="_markt ASL aug05_20080605 Consolidatie Businessplan v19_Model Plan 2012" xfId="2482"/>
    <cellStyle name="_markt ASL aug05_Blad2" xfId="2483"/>
    <cellStyle name="_markt ASL aug05_Blad2 2" xfId="2484"/>
    <cellStyle name="_markt ASL aug05_Blad2_JP2011" xfId="2485"/>
    <cellStyle name="_markt ASL aug05_JP2011" xfId="2486"/>
    <cellStyle name="_markt ASL aug05_Model Plan 2012" xfId="2487"/>
    <cellStyle name="_MC-overzicht" xfId="366"/>
    <cellStyle name="_MC-overzicht 2" xfId="367"/>
    <cellStyle name="_MC-overzicht 3" xfId="2488"/>
    <cellStyle name="_MC-overzicht_ND5 squeeze model  whs-whs v2.21 DWDM ILL" xfId="2489"/>
    <cellStyle name="_MCTN naar ILL migratie 19-3-2004" xfId="368"/>
    <cellStyle name="_MCTN naar ILL migratie 19-3-2004 2" xfId="369"/>
    <cellStyle name="_MCTN naar ILL migratie 19-3-2004 3" xfId="2490"/>
    <cellStyle name="_MCTN naar ILL migratie 19-3-2004_ND5 squeeze model  whs-whs v2.21 DWDM ILL" xfId="2491"/>
    <cellStyle name="_ML VT 2004-09_Bijlagen Modellen 2004" xfId="2492"/>
    <cellStyle name="_ML VT 2004-09_Bijlagen Modellen 2004 2" xfId="2493"/>
    <cellStyle name="_ML VT 2004-09_Bijlagen Modellen 2004_FC categoraal" xfId="2494"/>
    <cellStyle name="_ML VT 2004-09_Bijlagen Modellen 2004_GDC nieuwe pfc cc jan  2011 v4" xfId="2495"/>
    <cellStyle name="_ML VT 2004-09_Bijlagen Modellen 2004_JP2011" xfId="2496"/>
    <cellStyle name="_ML VT 2004-09_Bijlagen Modellen 2004_JP2011 2" xfId="2497"/>
    <cellStyle name="_ML VT 2004-09_Bijlagen Modellen 2004_JP2011_1" xfId="2498"/>
    <cellStyle name="_ML VT 2004-09_Bijlagen Modellen 2004_Preclosing" xfId="2499"/>
    <cellStyle name="_ML VT 2004-09_Bijlagen Modellen 2004_Preclosing 2" xfId="2500"/>
    <cellStyle name="_ML VT 2004-09_Bijlagen Modellen 2004_Preclosing jan11" xfId="2501"/>
    <cellStyle name="_ML VT 2004-09_Bijlagen Modellen 2004_Preclosing_1" xfId="2502"/>
    <cellStyle name="_ML VT 2004-09_Bijlagen Modellen 2004_Preclosing_2" xfId="2503"/>
    <cellStyle name="_ML VT 2004-09_Bijlagen Modellen 2004_Preclosing_3" xfId="2504"/>
    <cellStyle name="_ML VT 2004-09_Bijlagen Modellen 2004_Preclosing_FC categoraal" xfId="2505"/>
    <cellStyle name="_ML VT 2004-09_Bijlagen Modellen 2004_Sheet1" xfId="2506"/>
    <cellStyle name="_ML VT 2004-09_Bijlagen Modellen 2004_Sheet1_1" xfId="2507"/>
    <cellStyle name="_ML VT 2004-09_Bijlagen Modellen 2004_Sheet1_1 2" xfId="2508"/>
    <cellStyle name="_ML VT 2004-09_Bijlagen Modellen 2004_Sheet1_1_FC categoraal" xfId="2509"/>
    <cellStyle name="_ML VT 2004-09_Bijlagen Modellen 2004_Sheet1_2" xfId="2510"/>
    <cellStyle name="_ML VT 2004-09_Bijlagen Modellen 2004_Sheet1_2 2" xfId="2511"/>
    <cellStyle name="_ML VT 2004-09_Bijlagen Modellen 2004_Sheet2" xfId="2512"/>
    <cellStyle name="_Ml-Financials-2005-07-JEVv5" xfId="2513"/>
    <cellStyle name="_Ml-Financials-2005-07-JEVv5 2" xfId="2514"/>
    <cellStyle name="_Ml-Financials-2005-07-JEVv5_FC categoraal" xfId="2515"/>
    <cellStyle name="_Ml-Financials-2005-07-JEVv5_GDC nieuwe pfc cc jan  2011 v4" xfId="2516"/>
    <cellStyle name="_Ml-Financials-2005-07-JEVv5_JP2011" xfId="2517"/>
    <cellStyle name="_Ml-Financials-2005-07-JEVv5_JP2011 2" xfId="2518"/>
    <cellStyle name="_Ml-Financials-2005-07-JEVv5_JP2011_1" xfId="2519"/>
    <cellStyle name="_Ml-Financials-2005-07-JEVv5_Preclosing" xfId="2520"/>
    <cellStyle name="_Ml-Financials-2005-07-JEVv5_Preclosing 2" xfId="2521"/>
    <cellStyle name="_Ml-Financials-2005-07-JEVv5_Preclosing jan11" xfId="2522"/>
    <cellStyle name="_Ml-Financials-2005-07-JEVv5_Preclosing_1" xfId="2523"/>
    <cellStyle name="_Ml-Financials-2005-07-JEVv5_Preclosing_2" xfId="2524"/>
    <cellStyle name="_Ml-Financials-2005-07-JEVv5_Preclosing_3" xfId="2525"/>
    <cellStyle name="_Ml-Financials-2005-07-JEVv5_Preclosing_FC categoraal" xfId="2526"/>
    <cellStyle name="_Ml-Financials-2005-07-JEVv5_Sheet1" xfId="2527"/>
    <cellStyle name="_Ml-Financials-2005-07-JEVv5_Sheet1_1" xfId="2528"/>
    <cellStyle name="_Ml-Financials-2005-07-JEVv5_Sheet1_1 2" xfId="2529"/>
    <cellStyle name="_Ml-Financials-2005-07-JEVv5_Sheet1_1_FC categoraal" xfId="2530"/>
    <cellStyle name="_Ml-Financials-2005-07-JEVv5_Sheet1_2" xfId="2531"/>
    <cellStyle name="_Ml-Financials-2005-07-JEVv5_Sheet1_2 2" xfId="2532"/>
    <cellStyle name="_Ml-Financials-2005-07-JEVv5_Sheet2" xfId="2533"/>
    <cellStyle name="_ModellenIenMSTotaal2004" xfId="2534"/>
    <cellStyle name="_ModellenIenMSTotaal2004 2" xfId="2535"/>
    <cellStyle name="_ModellenIenMSTotaal2004_FC categoraal" xfId="2536"/>
    <cellStyle name="_ModellenIenMSTotaal2004_GDC nieuwe pfc cc jan  2011 v4" xfId="2537"/>
    <cellStyle name="_ModellenIenMSTotaal2004_JP2011" xfId="2538"/>
    <cellStyle name="_ModellenIenMSTotaal2004_JP2011 2" xfId="2539"/>
    <cellStyle name="_ModellenIenMSTotaal2004_JP2011_1" xfId="2540"/>
    <cellStyle name="_ModellenIenMSTotaal2004_Preclosing" xfId="2541"/>
    <cellStyle name="_ModellenIenMSTotaal2004_Preclosing 2" xfId="2542"/>
    <cellStyle name="_ModellenIenMSTotaal2004_Preclosing jan11" xfId="2543"/>
    <cellStyle name="_ModellenIenMSTotaal2004_Preclosing_1" xfId="2544"/>
    <cellStyle name="_ModellenIenMSTotaal2004_Preclosing_2" xfId="2545"/>
    <cellStyle name="_ModellenIenMSTotaal2004_Preclosing_3" xfId="2546"/>
    <cellStyle name="_ModellenIenMSTotaal2004_Preclosing_FC categoraal" xfId="2547"/>
    <cellStyle name="_ModellenIenMSTotaal2004_Sheet1" xfId="2548"/>
    <cellStyle name="_ModellenIenMSTotaal2004_Sheet1_1" xfId="2549"/>
    <cellStyle name="_ModellenIenMSTotaal2004_Sheet1_1 2" xfId="2550"/>
    <cellStyle name="_ModellenIenMSTotaal2004_Sheet1_1_FC categoraal" xfId="2551"/>
    <cellStyle name="_ModellenIenMSTotaal2004_Sheet1_2" xfId="2552"/>
    <cellStyle name="_ModellenIenMSTotaal2004_Sheet1_2 2" xfId="2553"/>
    <cellStyle name="_ModellenIenMSTotaal2004_Sheet2" xfId="2554"/>
    <cellStyle name="_MPLS Versatel berekeningen 9 feb" xfId="370"/>
    <cellStyle name="_MPLS Versatel berekeningen 9 feb 2" xfId="371"/>
    <cellStyle name="_MPLS Versatel berekeningen 9 feb 3" xfId="2555"/>
    <cellStyle name="_MPLS Versatel berekeningen 9 feb_ND5 squeeze model  whs-whs v2.21 DWDM ILL" xfId="2556"/>
    <cellStyle name="_NCV issues v014" xfId="2557"/>
    <cellStyle name="_Nieuw en traditioneel BP07-09" xfId="2558"/>
    <cellStyle name="_NP- SP epacity-IAS-M-core" xfId="372"/>
    <cellStyle name="_NP- SP epacity-IAS-M-core_LPM PL 20101014 Concept" xfId="2559"/>
    <cellStyle name="_NP- SP epacity-IAS-M-core_LPM PL 20101028 obv LRIC inkoop" xfId="2560"/>
    <cellStyle name="_NP- SP epacity-IAS-M-core_Menucard_Staff_Master_2010-09-12" xfId="2561"/>
    <cellStyle name="_NP- SP epacity-IAS-M-core_ND5 squeeze model  whs-whs v2.21 DWDM ILL" xfId="2562"/>
    <cellStyle name="_NS INS Business case 2007-07-12" xfId="373"/>
    <cellStyle name="_NS INS Business case 2007-07-12 2" xfId="2563"/>
    <cellStyle name="_NS INS Business case 2007-07-12 2 2" xfId="2564"/>
    <cellStyle name="_NS klanten 20070927" xfId="2565"/>
    <cellStyle name="_Off-net verkeer2" xfId="374"/>
    <cellStyle name="_Off-net verkeer2 2" xfId="2566"/>
    <cellStyle name="_Off-net verkeer2 2 2" xfId="2567"/>
    <cellStyle name="_omzetbreakdown jan 2004" xfId="375"/>
    <cellStyle name="_omzetbreakdown jan 2004 2" xfId="2568"/>
    <cellStyle name="_omzetbreakdown jan 2004 2 2" xfId="2569"/>
    <cellStyle name="_One Businessplan - short (20070705) - Ingeleverd" xfId="2570"/>
    <cellStyle name="_One Businessplan - short (20070705) - Ingeleverd 2" xfId="2571"/>
    <cellStyle name="_One Businessplan - short (20070705) - Ingeleverd_Blad2" xfId="2572"/>
    <cellStyle name="_One Businessplan - short (20070705) - Ingeleverd_Blad2 2" xfId="2573"/>
    <cellStyle name="_One Businessplan - short (20070705) - Ingeleverd_Blad2_JP2011" xfId="2574"/>
    <cellStyle name="_One Businessplan - short (20070705) - Ingeleverd_JP2011" xfId="2575"/>
    <cellStyle name="_One Businessplan - short (20070705) - Ingeleverd_Model Plan 2012" xfId="2576"/>
    <cellStyle name="_One klanten (doc v2.3)" xfId="2577"/>
    <cellStyle name="_One Release 5.0 Office Access Pricing (doc 1.1)" xfId="2578"/>
    <cellStyle name="_onp-012 inkoopkosten jwh mobiel en 0676 gegevens 2001" xfId="376"/>
    <cellStyle name="_onp-012 inkoopkosten jwh mobiel en 0676 gegevens 2001 2" xfId="2579"/>
    <cellStyle name="_onp-012 inkoopkosten jwh mobiel en 0676 gegevens 2001 2 2" xfId="2580"/>
    <cellStyle name="_OPEX LOCAL LOOP afdelingen 2004 versie 16" xfId="377"/>
    <cellStyle name="_OPEX LOCAL LOOP afdelingen 2004 versie 16 2" xfId="378"/>
    <cellStyle name="_OPEX LOCAL LOOP afdelingen 2004 versie 16 2 2" xfId="2581"/>
    <cellStyle name="_OPEX LOCAL LOOP afdelingen 2004 versie 16 3" xfId="2582"/>
    <cellStyle name="_OPEX LOCAL LOOP afdelingen 2004 versie 16_Blad2" xfId="2583"/>
    <cellStyle name="_OPEX LOCAL LOOP afdelingen 2004 versie 16_Blad2 2" xfId="2584"/>
    <cellStyle name="_OPEX LOCAL LOOP afdelingen 2004 versie 16_Blad2_JP2011" xfId="2585"/>
    <cellStyle name="_OPEX LOCAL LOOP afdelingen 2004 versie 16_EVPN Model_20102601_v0.1" xfId="379"/>
    <cellStyle name="_OPEX LOCAL LOOP afdelingen 2004 versie 16_JP2011" xfId="2586"/>
    <cellStyle name="_OPEX LOCAL LOOP afdelingen 2004 versie 16_KWT IS Data 2010-10-07" xfId="2587"/>
    <cellStyle name="_OPEX LOCAL LOOP afdelingen 2004 versie 16_Model Plan 2012" xfId="2588"/>
    <cellStyle name="_OPEX LOCAL LOOP afdelingen 2004 versie 16_ND5 squeeze model  whs-whs v2.21 DWDM ILL" xfId="2589"/>
    <cellStyle name="_OPEX LOCAL LOOP afdelingen 2004 versie 16_ZM IS Data Tarievenboek 2010-03-11" xfId="380"/>
    <cellStyle name="_OPTA rapportage CM090701tot" xfId="381"/>
    <cellStyle name="_OPTA rapportage CM091001tot" xfId="382"/>
    <cellStyle name="_OPTA rapportage CM091014tot" xfId="383"/>
    <cellStyle name="_Opzet Jaarplan 2005" xfId="384"/>
    <cellStyle name="_Opzet Jaarplan 2005_LPM PL 20101014 Concept" xfId="2590"/>
    <cellStyle name="_Opzet Jaarplan 2005_LPM PL 20101028 obv LRIC inkoop" xfId="2591"/>
    <cellStyle name="_Opzet Jaarplan 2005_ND5 squeeze model  whs-whs v2.21 DWDM ILL" xfId="2592"/>
    <cellStyle name="_Oud KPN_HetNet_Planetportfolio OPTA" xfId="385"/>
    <cellStyle name="_Oud Nieuw historie" xfId="2593"/>
    <cellStyle name="_Oud Nieuw historie 2" xfId="2594"/>
    <cellStyle name="_Oud Nieuw historie_Blad2" xfId="2595"/>
    <cellStyle name="_Oud Nieuw historie_Blad2 2" xfId="2596"/>
    <cellStyle name="_Oud Nieuw historie_Blad2_JP2011" xfId="2597"/>
    <cellStyle name="_Oud Nieuw historie_JP2011" xfId="2598"/>
    <cellStyle name="_Oud Nieuw historie_Model Plan 2012" xfId="2599"/>
    <cellStyle name="_Overall BP 06-07-08 Rolf (V0.51)1" xfId="386"/>
    <cellStyle name="_overig opbr intern BP 2005" xfId="387"/>
    <cellStyle name="_overig opbr intern BP 2005 2" xfId="2600"/>
    <cellStyle name="_Overige invoer" xfId="2601"/>
    <cellStyle name="_Overzicht FTE Targets_budget_19-02" xfId="2602"/>
    <cellStyle name="_Overzicht kosten CPS mutatietarief" xfId="388"/>
    <cellStyle name="_Paul Top down omzetmodel uitvr LME" xfId="2603"/>
    <cellStyle name="_PC_CC naam aanpassen" xfId="2604"/>
    <cellStyle name="_PC_CC naam aanpassen_GDC nieuwe pfc cc jan  2011 v4" xfId="2605"/>
    <cellStyle name="_Personeelsoverzichten Entercom" xfId="2606"/>
    <cellStyle name="_Personeelsoverzichten Entercom dd 07-10-05 " xfId="2607"/>
    <cellStyle name="_PHILIPS - 08 (09.11.07)" xfId="2608"/>
    <cellStyle name="_PL Model 20090706 def_bijgewerkt door Nebojsa" xfId="389"/>
    <cellStyle name="_PL PFM VS functioneel jul07" xfId="2609"/>
    <cellStyle name="_PL PFM VS functioneel jul07 2" xfId="2610"/>
    <cellStyle name="_Plancijfers 2007" xfId="2611"/>
    <cellStyle name="_Plancijfers 2007 2" xfId="2612"/>
    <cellStyle name="_Plancijfers 2007_Blad2" xfId="2613"/>
    <cellStyle name="_Plancijfers 2007_Blad2 2" xfId="2614"/>
    <cellStyle name="_Plancijfers 2007_Blad2_JP2011" xfId="2615"/>
    <cellStyle name="_Plancijfers 2007_JP2011" xfId="2616"/>
    <cellStyle name="_Plancijfers 2007_Model Plan 2012" xfId="2617"/>
    <cellStyle name="_PMG Forecast 05 V1" xfId="2618"/>
    <cellStyle name="_PMG Forecast 05 V2" xfId="2619"/>
    <cellStyle name="_Portfolio Structure svc products 090502 for Kathy" xfId="390"/>
    <cellStyle name="_Portfolio Structure svc products 090502 for Kathy 2" xfId="391"/>
    <cellStyle name="_Portfolio Structure svc products 090502 for Kathy 3" xfId="2620"/>
    <cellStyle name="_Portfolio Structure svc products 090502 for Kathy_ND5 squeeze model  whs-whs v2.21 DWDM ILL" xfId="2621"/>
    <cellStyle name="_Pricing WMP 5 + nieuwe TV prijzen WBA + ITV stream only" xfId="392"/>
    <cellStyle name="_Product forecast" xfId="2622"/>
    <cellStyle name="_Product info (2)" xfId="2623"/>
    <cellStyle name="_Product info (2) 2" xfId="2624"/>
    <cellStyle name="_Product info (2)_Blad2" xfId="2625"/>
    <cellStyle name="_Product info (2)_Blad2 2" xfId="2626"/>
    <cellStyle name="_Product info (2)_Blad2_JP2011" xfId="2627"/>
    <cellStyle name="_Product info (2)_JP2011" xfId="2628"/>
    <cellStyle name="_Product info (2)_Model Plan 2012" xfId="2629"/>
    <cellStyle name="_Productierapportage CM" xfId="393"/>
    <cellStyle name="_Productierapportage CM 2" xfId="394"/>
    <cellStyle name="_Productierapportage CM 3" xfId="2630"/>
    <cellStyle name="_Productierapportage CM_20080530 Consolidatie Businessplan v12" xfId="2631"/>
    <cellStyle name="_Productierapportage CM_20080530 Consolidatie Businessplan v12 2" xfId="2632"/>
    <cellStyle name="_Productierapportage CM_20080530 Consolidatie Businessplan v12_Blad2" xfId="2633"/>
    <cellStyle name="_Productierapportage CM_20080530 Consolidatie Businessplan v12_Blad2 2" xfId="2634"/>
    <cellStyle name="_Productierapportage CM_20080530 Consolidatie Businessplan v12_Blad2_JP2011" xfId="2635"/>
    <cellStyle name="_Productierapportage CM_20080530 Consolidatie Businessplan v12_JP2011" xfId="2636"/>
    <cellStyle name="_Productierapportage CM_20080530 Consolidatie Businessplan v12_Model Plan 2012" xfId="2637"/>
    <cellStyle name="_Productierapportage CM_20080605 Consolidatie Businessplan v15" xfId="2638"/>
    <cellStyle name="_Productierapportage CM_20080605 Consolidatie Businessplan v15 2" xfId="2639"/>
    <cellStyle name="_Productierapportage CM_20080605 Consolidatie Businessplan v15_Blad2" xfId="2640"/>
    <cellStyle name="_Productierapportage CM_20080605 Consolidatie Businessplan v15_Blad2 2" xfId="2641"/>
    <cellStyle name="_Productierapportage CM_20080605 Consolidatie Businessplan v15_Blad2_JP2011" xfId="2642"/>
    <cellStyle name="_Productierapportage CM_20080605 Consolidatie Businessplan v15_JP2011" xfId="2643"/>
    <cellStyle name="_Productierapportage CM_20080605 Consolidatie Businessplan v15_Model Plan 2012" xfId="2644"/>
    <cellStyle name="_Productierapportage CM_20080605 Consolidatie Businessplan v19" xfId="2645"/>
    <cellStyle name="_Productierapportage CM_20080605 Consolidatie Businessplan v19 2" xfId="2646"/>
    <cellStyle name="_Productierapportage CM_20080605 Consolidatie Businessplan v19_Blad2" xfId="2647"/>
    <cellStyle name="_Productierapportage CM_20080605 Consolidatie Businessplan v19_Blad2 2" xfId="2648"/>
    <cellStyle name="_Productierapportage CM_20080605 Consolidatie Businessplan v19_Blad2_JP2011" xfId="2649"/>
    <cellStyle name="_Productierapportage CM_20080605 Consolidatie Businessplan v19_JP2011" xfId="2650"/>
    <cellStyle name="_Productierapportage CM_20080605 Consolidatie Businessplan v19_Model Plan 2012" xfId="2651"/>
    <cellStyle name="_Productierapportage CM_Blad2" xfId="2652"/>
    <cellStyle name="_Productierapportage CM_Blad2 2" xfId="2653"/>
    <cellStyle name="_Productierapportage CM_Blad2_JP2011" xfId="2654"/>
    <cellStyle name="_Productierapportage CM_JP2011" xfId="2655"/>
    <cellStyle name="_Productierapportage CM_Model Plan 2012" xfId="2656"/>
    <cellStyle name="_Productierapportage CM_ND5 squeeze model  whs-whs v2.21 DWDM ILL" xfId="2657"/>
    <cellStyle name="_Products" xfId="2658"/>
    <cellStyle name="_Profit &amp; Loss" xfId="2659"/>
    <cellStyle name="_Prognoses 2007 Q2 v 0 3 (2)" xfId="395"/>
    <cellStyle name="_Prognoses Q4 2005 final.doc" xfId="396"/>
    <cellStyle name="_Projecten lls 3" xfId="397"/>
    <cellStyle name="_Projecten lls 3_LPM PL 20101014 Concept" xfId="2660"/>
    <cellStyle name="_Projecten lls 3_LPM PL 20101028 obv LRIC inkoop" xfId="2661"/>
    <cellStyle name="_Projecten lls 3_ND5 squeeze model  whs-whs v2.21 DWDM ILL" xfId="2662"/>
    <cellStyle name="_Proposal Org 2009 in OSE-CORP-NL hyp_v5" xfId="2663"/>
    <cellStyle name="_Proposal Org 2009 in OSE-CORP-NL hyp_v5 2" xfId="2664"/>
    <cellStyle name="_Proposal Org 2009 in OSE-CORP-NL hyp_v5_Blad2" xfId="2665"/>
    <cellStyle name="_Proposal Org 2009 in OSE-CORP-NL hyp_v5_Blad2 2" xfId="2666"/>
    <cellStyle name="_Proposal Org 2009 in OSE-CORP-NL hyp_v5_Blad2_JP2011" xfId="2667"/>
    <cellStyle name="_Proposal Org 2009 in OSE-CORP-NL hyp_v5_Copy of Org tabel menu kaart" xfId="2668"/>
    <cellStyle name="_Proposal Org 2009 in OSE-CORP-NL hyp_v5_Entity structuur 2011" xfId="2669"/>
    <cellStyle name="_Proposal Org 2009 in OSE-CORP-NL hyp_v5_GDC nieuwe pfc cc jan  2011 v4" xfId="2670"/>
    <cellStyle name="_Proposal Org 2009 in OSE-CORP-NL hyp_v5_JP2011" xfId="2671"/>
    <cellStyle name="_Proposal Org 2009 in OSE-CORP-NL hyp_v5_Model Plan 2012" xfId="2672"/>
    <cellStyle name="_PVO 41 IC YP MAS Staf naar Staven" xfId="2673"/>
    <cellStyle name="_pxq-ontwikkeling juli '04_v2" xfId="398"/>
    <cellStyle name="_pxq-ontwikkeling juli '04_v2 2" xfId="399"/>
    <cellStyle name="_pxq-ontwikkeling juli '04_v2 3" xfId="2674"/>
    <cellStyle name="_pxq-ontwikkeling juli '04_v2_ND5 squeeze model  whs-whs v2.21 DWDM ILL" xfId="2675"/>
    <cellStyle name="_Pyramid fixed forecast NL 4Q 06" xfId="2676"/>
    <cellStyle name="_Rapportage Tlf 0705" xfId="2677"/>
    <cellStyle name="_rapportage_Jos_Miranda" xfId="400"/>
    <cellStyle name="_rapportage_Jos_Miranda 2" xfId="2678"/>
    <cellStyle name="_rapportage_Jos_Miranda 2 2" xfId="2679"/>
    <cellStyle name="_Realisatie" xfId="401"/>
    <cellStyle name="_Realisatie 2" xfId="402"/>
    <cellStyle name="_Realisatie 3" xfId="2680"/>
    <cellStyle name="_Realisatie_ND5 squeeze model  whs-whs v2.21 DWDM ILL" xfId="2681"/>
    <cellStyle name="_recepten EVPN draft_v0.9_20090420" xfId="403"/>
    <cellStyle name="_Region 1 client list" xfId="2682"/>
    <cellStyle name="_Remote Serv+Client Serv Summary" xfId="2683"/>
    <cellStyle name="_Revenue Detail (12)" xfId="2684"/>
    <cellStyle name="_Routerkosten (kooprouters)" xfId="404"/>
    <cellStyle name="_Routerkosten (kooprouters) 2" xfId="2685"/>
    <cellStyle name="_Routerkosten (kooprouters) 2 2" xfId="2686"/>
    <cellStyle name="_Routerkosten (kooprouters)_EVPN Model_20102601_v0.1" xfId="405"/>
    <cellStyle name="_Routerkosten (kooprouters)_KWT IS Data 2010-10-07" xfId="2687"/>
    <cellStyle name="_Routerkosten (kooprouters)_ND5 squeeze model  whs-whs v2.21 DWDM ILL" xfId="2688"/>
    <cellStyle name="_Routerkosten (kooprouters)_ZM IS Data Tarievenboek 2010-03-11" xfId="406"/>
    <cellStyle name="_SAC rapportage april" xfId="2689"/>
    <cellStyle name="_SAC rapportage april 2" xfId="2690"/>
    <cellStyle name="_SAC rapportage april_Blad2" xfId="2691"/>
    <cellStyle name="_SAC rapportage april_Blad2 2" xfId="2692"/>
    <cellStyle name="_SAC rapportage april_Blad2_JP2011" xfId="2693"/>
    <cellStyle name="_SAC rapportage april_JP2011" xfId="2694"/>
    <cellStyle name="_SAC rapportage april_Model Plan 2012" xfId="2695"/>
    <cellStyle name="_SAC rapportage juli jev" xfId="2696"/>
    <cellStyle name="_SAC rapportage juli jev 2" xfId="2697"/>
    <cellStyle name="_SAC rapportage juli jev_Blad2" xfId="2698"/>
    <cellStyle name="_SAC rapportage juli jev_Blad2 2" xfId="2699"/>
    <cellStyle name="_SAC rapportage juli jev_Blad2_JP2011" xfId="2700"/>
    <cellStyle name="_SAC rapportage juli jev_JP2011" xfId="2701"/>
    <cellStyle name="_SAC rapportage juli jev_Model Plan 2012" xfId="2702"/>
    <cellStyle name="_SAC rapportage juni jev mv" xfId="2703"/>
    <cellStyle name="_SAC rapportage juni jev mv 2" xfId="2704"/>
    <cellStyle name="_SAC rapportage juni jev mv_Blad2" xfId="2705"/>
    <cellStyle name="_SAC rapportage juni jev mv_Blad2 2" xfId="2706"/>
    <cellStyle name="_SAC rapportage juni jev mv_Blad2_JP2011" xfId="2707"/>
    <cellStyle name="_SAC rapportage juni jev mv_JP2011" xfId="2708"/>
    <cellStyle name="_SAC rapportage juni jev mv_Model Plan 2012" xfId="2709"/>
    <cellStyle name="_SAcode digitale VV  tot en met 2048kbps VVIS" xfId="407"/>
    <cellStyle name="_SANOFI AVENTIS - 08 (DAWN LEWRY)" xfId="2710"/>
    <cellStyle name="_SAP-NL EC07 Boeking IES NL P03 (2)" xfId="2711"/>
    <cellStyle name="_SAP-NL EC07 Boeking IES NL P03 (2)_GDC nieuwe pfc cc jan  2011 v4" xfId="2712"/>
    <cellStyle name="_SAP-NL EC13 IES Achmea P02 YTD 600k" xfId="2713"/>
    <cellStyle name="_SAP-NL EC13 IES Achmea P02 YTD 600k_GDC nieuwe pfc cc jan  2011 v4" xfId="2714"/>
    <cellStyle name="_SAP-NL EC17 Commission IES Locals YTD P02" xfId="2715"/>
    <cellStyle name="_SAP-NL EC17 Commission IES Locals YTD P02_GDC nieuwe pfc cc jan  2011 v4" xfId="2716"/>
    <cellStyle name="_SB Voice ZM Rapportage categoraal maand januari 2006r" xfId="408"/>
    <cellStyle name="_SB Voice ZM Rapportage categoraal maand januari 2006r 2" xfId="409"/>
    <cellStyle name="_SB Voice ZM Rapportage categoraal maand januari 2006r 3" xfId="2717"/>
    <cellStyle name="_SB Voice ZM Rapportage categoraal maand januari 2006r_Blad2" xfId="2718"/>
    <cellStyle name="_SB Voice ZM Rapportage categoraal maand januari 2006r_Blad2 2" xfId="2719"/>
    <cellStyle name="_SB Voice ZM Rapportage categoraal maand januari 2006r_Blad2_JP2011" xfId="2720"/>
    <cellStyle name="_SB Voice ZM Rapportage categoraal maand januari 2006r_JP2011" xfId="2721"/>
    <cellStyle name="_SB Voice ZM Rapportage categoraal maand januari 2006r_Model Plan 2012" xfId="2722"/>
    <cellStyle name="_SB Voice ZM Rapportage categoraal maand januari 2006r_ND5 squeeze model  whs-whs v2.21 DWDM ILL" xfId="2723"/>
    <cellStyle name="_Schlumberger022305v3" xfId="2724"/>
    <cellStyle name="_SCOTTISH WIDOWS - 08 A.Haslam input" xfId="2725"/>
    <cellStyle name="_SDsummary(actuals) April 07" xfId="2726"/>
    <cellStyle name="_SDsummary(actuals) April 07_FC_06" xfId="2727"/>
    <cellStyle name="_SDsummary(actuals) April 07_Sheet1" xfId="2728"/>
    <cellStyle name="_Seats per country" xfId="2729"/>
    <cellStyle name="_Seats per country_ManInput" xfId="2730"/>
    <cellStyle name="_Seats per country_ManInput_Sheet1" xfId="2731"/>
    <cellStyle name="_september 2006" xfId="2732"/>
    <cellStyle name="_Service product listing 091102" xfId="410"/>
    <cellStyle name="_Service product listing 091102 2" xfId="411"/>
    <cellStyle name="_Service product listing 091102 3" xfId="2733"/>
    <cellStyle name="_Service product listing 091102_ND5 squeeze model  whs-whs v2.21 DWDM ILL" xfId="2734"/>
    <cellStyle name="_Sheet1" xfId="2735"/>
    <cellStyle name="_Sheet1 2" xfId="2736"/>
    <cellStyle name="_Sheet1_ManInput" xfId="2737"/>
    <cellStyle name="_Sheet1_Risks" xfId="2738"/>
    <cellStyle name="_Sheet1_Sheet1" xfId="2739"/>
    <cellStyle name="_Sheet2" xfId="2740"/>
    <cellStyle name="_Sheet2 2" xfId="2741"/>
    <cellStyle name="_Sheet2_JP2011" xfId="2742"/>
    <cellStyle name="_Sheet3" xfId="2743"/>
    <cellStyle name="_Sheet4" xfId="412"/>
    <cellStyle name="_Sheet4_ND5 squeeze model  whs-whs v2.21 DWDM ILL" xfId="2744"/>
    <cellStyle name="_SHELL - 08 PB 6 Nov" xfId="2745"/>
    <cellStyle name="_Site NS" xfId="2746"/>
    <cellStyle name="_SLA-bijlage BS-Conn 2006v03" xfId="413"/>
    <cellStyle name="_SLA-bijlage BS-Conn 2006v03 2" xfId="414"/>
    <cellStyle name="_SLA-bijlage BS-Conn 2006v03 3" xfId="2747"/>
    <cellStyle name="_SLA-bijlage BS-Conn 2006v03_ND5 squeeze model  whs-whs v2.21 DWDM ILL" xfId="2748"/>
    <cellStyle name="_Southern Region 2008 Coverage Customer Budget V 1.4" xfId="2749"/>
    <cellStyle name="_Southern Region 2008 Depth Customer Budget V1.7 values" xfId="2750"/>
    <cellStyle name="_Southern Region 2008 Depth Customer Budget V1.7 values_ManInput" xfId="2751"/>
    <cellStyle name="_Southern Region 2008 Depth Customer Budget V1.7 values_Risks" xfId="2752"/>
    <cellStyle name="_Southern Region 2008 Depth Customer Budget V1.7 values_Sheet1" xfId="2753"/>
    <cellStyle name="_Southern Region 2008 Depth Customer Budget V2.3" xfId="2754"/>
    <cellStyle name="_Southern Region Depth Customer Account Analysis V 1.0" xfId="2755"/>
    <cellStyle name="_Southern Region Management Overhead" xfId="2756"/>
    <cellStyle name="_Southern Region Management Overhead Reporting Pack V1.1" xfId="2757"/>
    <cellStyle name="_Stafafdelingen v2" xfId="415"/>
    <cellStyle name="_Stafafdelingen v2 2" xfId="416"/>
    <cellStyle name="_Stafafdelingen v2 3" xfId="2758"/>
    <cellStyle name="_Stafafdelingen v2_ND5 squeeze model  whs-whs v2.21 DWDM ILL" xfId="2759"/>
    <cellStyle name="_SUBSEA 7 - 08 MC v1" xfId="2760"/>
    <cellStyle name="_Succesvolle orders 2008" xfId="417"/>
    <cellStyle name="_Summary Business Plan 01-jun-2006" xfId="2761"/>
    <cellStyle name="_SUPERDRUG - 08 TEMPLATE PB 7 Nov" xfId="2762"/>
    <cellStyle name="_Tariefbepaling 2007_v21082006 voor Engelse presentatie (2)" xfId="418"/>
    <cellStyle name="_Tariefbepaling 2007_v21082006 voor Engelse presentatie (2) 2" xfId="419"/>
    <cellStyle name="_Tariefbepaling 2007_v21082006 voor Engelse presentatie (2) 3" xfId="2763"/>
    <cellStyle name="_Tariefbepaling 2007_v21082006 voor Engelse presentatie (2)_ND5 squeeze model  whs-whs v2.21 DWDM ILL" xfId="2764"/>
    <cellStyle name="_Tariefvoorstel ILL DWDM 240209 (2)" xfId="420"/>
    <cellStyle name="_Tariefvoorstel ILL DWDM 240209 (2)_LPM PL 20101014 Concept" xfId="2765"/>
    <cellStyle name="_Tariefvoorstel ILL DWDM 240209 (2)_LPM PL 20101028 obv LRIC inkoop" xfId="2766"/>
    <cellStyle name="_Tariefvoorstel ILL DWDM 240209 (2)_ND5 squeeze model  whs-whs v2.21 DWDM ILL" xfId="2767"/>
    <cellStyle name="_tarieven DWDM 20-5-2009-com" xfId="421"/>
    <cellStyle name="_tarieven DWDM 20-5-2009-com 2" xfId="422"/>
    <cellStyle name="_tarieven DWDM 20-5-2009-com 3" xfId="2768"/>
    <cellStyle name="_Tarieven DWDM ILL 3 juni 2011" xfId="2769"/>
    <cellStyle name="_tarieven ILL DWDM 11-5-2009" xfId="423"/>
    <cellStyle name="_tarieven ILL DWDM 11-5-2009 2" xfId="424"/>
    <cellStyle name="_tarieven ILL DWDM 11-5-2009 3" xfId="2770"/>
    <cellStyle name="_tarieven ILL DWDM 11-5-2009_ND5 squeeze model  whs-whs v2.21 DWDM ILL" xfId="2771"/>
    <cellStyle name="_tarieven ILL DWDM 27-10-2009" xfId="2772"/>
    <cellStyle name="_tarieven ILL DWDM 27-4-2009" xfId="425"/>
    <cellStyle name="_tarieven ILL DWDM 27-4-2009_ND5 squeeze model  whs-whs v2.21 DWDM ILL" xfId="2773"/>
    <cellStyle name="_tarieven ILL DWDM 29-10-2009" xfId="2774"/>
    <cellStyle name="_tarieven ILL SDH 30-1-2009" xfId="426"/>
    <cellStyle name="_tarieven ILL SDH 30-1-2009 2" xfId="427"/>
    <cellStyle name="_tarieven ILL SDH 30-1-2009 3" xfId="2775"/>
    <cellStyle name="_tarieven ILL SDH 30-1-2009_ND5 squeeze model  whs-whs v2.21 DWDM ILL" xfId="2776"/>
    <cellStyle name="_tarieven ILL SDH 6-2-2009" xfId="428"/>
    <cellStyle name="_tarieven ILL SDH 6-2-2009 2" xfId="429"/>
    <cellStyle name="_tarieven ILL SDH 6-2-2009 3" xfId="2777"/>
    <cellStyle name="_tarieven ILL SDH 6-2-2009_ND5 squeeze model  whs-whs v2.21 DWDM ILL" xfId="2778"/>
    <cellStyle name="_Tarieven ILL-breedband en DWDM 21-1-2009" xfId="430"/>
    <cellStyle name="_Tarieven ILL-breedband en DWDM 21-1-2009 2" xfId="431"/>
    <cellStyle name="_Tarieven ILL-breedband en DWDM 21-1-2009 3" xfId="2779"/>
    <cellStyle name="_Tarieven ILL-breedband en DWDM 21-1-2009_ND5 squeeze model  whs-whs v2.21 DWDM ILL" xfId="2780"/>
    <cellStyle name="_tarieven SDH 15-7-2009-com" xfId="432"/>
    <cellStyle name="_tarieven SDH 15-7-2009-com_ND5 squeeze model  whs-whs v2.21 DWDM ILL" xfId="2781"/>
    <cellStyle name="_tarieven SDH 20-5-2009-com" xfId="433"/>
    <cellStyle name="_tarieven SDH 20-5-2009-com 2" xfId="434"/>
    <cellStyle name="_tarieven SDH 20-5-2009-com 3" xfId="2782"/>
    <cellStyle name="_Telfort (oud) portfolio - toevoeging" xfId="435"/>
    <cellStyle name="_test1" xfId="436"/>
    <cellStyle name="_test1 2" xfId="437"/>
    <cellStyle name="_test1 3" xfId="2783"/>
    <cellStyle name="_test1_ND5 squeeze model  whs-whs v2.21 DWDM ILL" xfId="2784"/>
    <cellStyle name="_THOMAS COOK - 08 Forecast pmil v3.0" xfId="2785"/>
    <cellStyle name="_THRESHER - 08 TEMPLATE" xfId="2786"/>
    <cellStyle name="_T-MOBILE - 08 Fergal Donnelly" xfId="2787"/>
    <cellStyle name="_TOT_DSL_INV_2004" xfId="438"/>
    <cellStyle name="_Totaal ACTIEF Input JP 2005 " xfId="439"/>
    <cellStyle name="_Totaal ACTIEF Input JP 2005  2" xfId="440"/>
    <cellStyle name="_Totaal ACTIEF Input JP 2005  3" xfId="2788"/>
    <cellStyle name="_Totaal ACTIEF Input JP 2005 _ND5 squeeze model  whs-whs v2.21 DWDM ILL" xfId="2789"/>
    <cellStyle name="_Totaal effect besluit Steven 14-12-2006 verrekening 30-1-2007" xfId="441"/>
    <cellStyle name="_Totaal vast Q4 2004 v0 301104" xfId="2790"/>
    <cellStyle name="_Totaal vast Q4 2004 v0 301104_Book2" xfId="2791"/>
    <cellStyle name="_Totaal vast Q4 2004 v0 301104_Book3" xfId="2792"/>
    <cellStyle name="_Totaal vast Q4 2004 v0 301104_ICS KPI" xfId="2793"/>
    <cellStyle name="_TOTAALIFRS excl. kosten11" xfId="442"/>
    <cellStyle name="_Totaalsheet dec v10" xfId="2794"/>
    <cellStyle name="_Totaalsheet dec v10 2" xfId="2795"/>
    <cellStyle name="_Totaalsheet dec v10_FC categoraal" xfId="2796"/>
    <cellStyle name="_Totaalsheet dec v10_GDC nieuwe pfc cc jan  2011 v4" xfId="2797"/>
    <cellStyle name="_Totaalsheet dec v10_JP2011" xfId="2798"/>
    <cellStyle name="_Totaalsheet dec v10_JP2011 2" xfId="2799"/>
    <cellStyle name="_Totaalsheet dec v10_JP2011_1" xfId="2800"/>
    <cellStyle name="_Totaalsheet dec v10_Preclosing" xfId="2801"/>
    <cellStyle name="_Totaalsheet dec v10_Preclosing 2" xfId="2802"/>
    <cellStyle name="_Totaalsheet dec v10_Preclosing jan11" xfId="2803"/>
    <cellStyle name="_Totaalsheet dec v10_Preclosing_1" xfId="2804"/>
    <cellStyle name="_Totaalsheet dec v10_Preclosing_2" xfId="2805"/>
    <cellStyle name="_Totaalsheet dec v10_Preclosing_3" xfId="2806"/>
    <cellStyle name="_Totaalsheet dec v10_Preclosing_FC categoraal" xfId="2807"/>
    <cellStyle name="_Totaalsheet dec v10_Sheet1" xfId="2808"/>
    <cellStyle name="_Totaalsheet dec v10_Sheet1_1" xfId="2809"/>
    <cellStyle name="_Totaalsheet dec v10_Sheet1_1 2" xfId="2810"/>
    <cellStyle name="_Totaalsheet dec v10_Sheet1_1_FC categoraal" xfId="2811"/>
    <cellStyle name="_Totaalsheet dec v10_Sheet1_2" xfId="2812"/>
    <cellStyle name="_Totaalsheet dec v10_Sheet1_2 2" xfId="2813"/>
    <cellStyle name="_Totaalsheet dec v10_Sheet2" xfId="2814"/>
    <cellStyle name="_Totaalsheet nov v4" xfId="2815"/>
    <cellStyle name="_TotaalVerrekening  effect besluit Steven 14-12-2006 30-1-2007 (2)" xfId="443"/>
    <cellStyle name="_TR004OMONE sep (definitief)" xfId="2816"/>
    <cellStyle name="_TRADER MEDIA - 08 M.Twiggs" xfId="2817"/>
    <cellStyle name="_Tranferpricing input Zakelijk markt (MH07122006)" xfId="444"/>
    <cellStyle name="_Transitoria Totaal sept  2007 naar control (met correctie 01-10-2007)" xfId="2818"/>
    <cellStyle name="_Transitoria Totaal sept  2007 naar control (met correctie 01-10-2007) 2" xfId="2819"/>
    <cellStyle name="_Transitoria Totaal sept  2007 naar control (met correctie 01-10-2007)_Blad2" xfId="2820"/>
    <cellStyle name="_Transitoria Totaal sept  2007 naar control (met correctie 01-10-2007)_Blad2 2" xfId="2821"/>
    <cellStyle name="_Transitoria Totaal sept  2007 naar control (met correctie 01-10-2007)_Blad2_JP2011" xfId="2822"/>
    <cellStyle name="_Transitoria Totaal sept  2007 naar control (met correctie 01-10-2007)_JP2011" xfId="2823"/>
    <cellStyle name="_Transitoria Totaal sept  2007 naar control (met correctie 01-10-2007)_Model Plan 2012" xfId="2824"/>
    <cellStyle name="_TSS" xfId="445"/>
    <cellStyle name="_TSS 2" xfId="446"/>
    <cellStyle name="_TSS 3" xfId="2825"/>
    <cellStyle name="_tss Portfolio as of 102" xfId="447"/>
    <cellStyle name="_tss Portfolio as of 102 2" xfId="448"/>
    <cellStyle name="_tss Portfolio as of 102 3" xfId="2826"/>
    <cellStyle name="_tss Portfolio as of 102_ND5 squeeze model  whs-whs v2.21 DWDM ILL" xfId="2827"/>
    <cellStyle name="_TSS_ND5 squeeze model  whs-whs v2.21 DWDM ILL" xfId="2828"/>
    <cellStyle name="_Uitkoppelsqueezing tov xDF_WBA CM ACTIE 20090629" xfId="449"/>
    <cellStyle name="_Uitvraagmodel JP CO 2007 vs1 2 (VDAS)" xfId="2829"/>
    <cellStyle name="_UNISON - 2008 (Steve Newton)" xfId="2830"/>
    <cellStyle name="_Update BPv2" xfId="2831"/>
    <cellStyle name="_Update BPv2 2" xfId="2832"/>
    <cellStyle name="_Update BPv2_Blad2" xfId="2833"/>
    <cellStyle name="_Update BPv2_Blad2 2" xfId="2834"/>
    <cellStyle name="_Update BPv2_Blad2_JP2011" xfId="2835"/>
    <cellStyle name="_Update BPv2_JP2011" xfId="2836"/>
    <cellStyle name="_Update BPv2_Model Plan 2012" xfId="2837"/>
    <cellStyle name="_UPFST_IV funding O&amp;C-NS 09-2007" xfId="2838"/>
    <cellStyle name="_UPFST_IV funding O&amp;C-NS 09-2007 2" xfId="2839"/>
    <cellStyle name="_UPFST_IV funding O&amp;C-NS 09-2007_Blad2" xfId="2840"/>
    <cellStyle name="_UPFST_IV funding O&amp;C-NS 09-2007_Blad2 2" xfId="2841"/>
    <cellStyle name="_UPFST_IV funding O&amp;C-NS 09-2007_Blad2_JP2011" xfId="2842"/>
    <cellStyle name="_UPFST_IV funding O&amp;C-NS 09-2007_JP2011" xfId="2843"/>
    <cellStyle name="_UPFST_IV funding O&amp;C-NS 09-2007_Model Plan 2012" xfId="2844"/>
    <cellStyle name="_USS totaal v3_leontine NS" xfId="2845"/>
    <cellStyle name="_USS totaal v3_leontine NS 2" xfId="2846"/>
    <cellStyle name="_USS totaal v3_leontine NS_Blad2" xfId="2847"/>
    <cellStyle name="_USS totaal v3_leontine NS_Blad2 2" xfId="2848"/>
    <cellStyle name="_USS totaal v3_leontine NS_Blad2_JP2011" xfId="2849"/>
    <cellStyle name="_USS totaal v3_leontine NS_JP2011" xfId="2850"/>
    <cellStyle name="_USS totaal v3_leontine NS_Model Plan 2012" xfId="2851"/>
    <cellStyle name="_USS Zm (definitief v5) test set NS oud-nieuw" xfId="2852"/>
    <cellStyle name="_USS Zm (definitief v5) test set NS oud-nieuw 2" xfId="2853"/>
    <cellStyle name="_USS Zm (definitief v5) test set NS oud-nieuw_Blad2" xfId="2854"/>
    <cellStyle name="_USS Zm (definitief v5) test set NS oud-nieuw_Blad2 2" xfId="2855"/>
    <cellStyle name="_USS Zm (definitief v5) test set NS oud-nieuw_Blad2_JP2011" xfId="2856"/>
    <cellStyle name="_USS Zm (definitief v5) test set NS oud-nieuw_JP2011" xfId="2857"/>
    <cellStyle name="_USS Zm (definitief v5) test set NS oud-nieuw_Model Plan 2012" xfId="2858"/>
    <cellStyle name="_V&amp;W VT feb 04 versie Is_8mrt" xfId="450"/>
    <cellStyle name="_V&amp;W VT feb 04 versie Is_8mrt 2" xfId="451"/>
    <cellStyle name="_V&amp;W VT feb 04 versie Is_8mrt 3" xfId="2859"/>
    <cellStyle name="_V&amp;W VT feb 04 versie Is_8mrt_20080530 Consolidatie Businessplan v12" xfId="2860"/>
    <cellStyle name="_V&amp;W VT feb 04 versie Is_8mrt_20080530 Consolidatie Businessplan v12 2" xfId="2861"/>
    <cellStyle name="_V&amp;W VT feb 04 versie Is_8mrt_20080530 Consolidatie Businessplan v12_Blad2" xfId="2862"/>
    <cellStyle name="_V&amp;W VT feb 04 versie Is_8mrt_20080530 Consolidatie Businessplan v12_Blad2 2" xfId="2863"/>
    <cellStyle name="_V&amp;W VT feb 04 versie Is_8mrt_20080530 Consolidatie Businessplan v12_Blad2_JP2011" xfId="2864"/>
    <cellStyle name="_V&amp;W VT feb 04 versie Is_8mrt_20080530 Consolidatie Businessplan v12_JP2011" xfId="2865"/>
    <cellStyle name="_V&amp;W VT feb 04 versie Is_8mrt_20080530 Consolidatie Businessplan v12_Model Plan 2012" xfId="2866"/>
    <cellStyle name="_V&amp;W VT feb 04 versie Is_8mrt_20080605 Consolidatie Businessplan v15" xfId="2867"/>
    <cellStyle name="_V&amp;W VT feb 04 versie Is_8mrt_20080605 Consolidatie Businessplan v15 2" xfId="2868"/>
    <cellStyle name="_V&amp;W VT feb 04 versie Is_8mrt_20080605 Consolidatie Businessplan v15_Blad2" xfId="2869"/>
    <cellStyle name="_V&amp;W VT feb 04 versie Is_8mrt_20080605 Consolidatie Businessplan v15_Blad2 2" xfId="2870"/>
    <cellStyle name="_V&amp;W VT feb 04 versie Is_8mrt_20080605 Consolidatie Businessplan v15_Blad2_JP2011" xfId="2871"/>
    <cellStyle name="_V&amp;W VT feb 04 versie Is_8mrt_20080605 Consolidatie Businessplan v15_JP2011" xfId="2872"/>
    <cellStyle name="_V&amp;W VT feb 04 versie Is_8mrt_20080605 Consolidatie Businessplan v15_Model Plan 2012" xfId="2873"/>
    <cellStyle name="_V&amp;W VT feb 04 versie Is_8mrt_20080605 Consolidatie Businessplan v19" xfId="2874"/>
    <cellStyle name="_V&amp;W VT feb 04 versie Is_8mrt_20080605 Consolidatie Businessplan v19 2" xfId="2875"/>
    <cellStyle name="_V&amp;W VT feb 04 versie Is_8mrt_20080605 Consolidatie Businessplan v19_Blad2" xfId="2876"/>
    <cellStyle name="_V&amp;W VT feb 04 versie Is_8mrt_20080605 Consolidatie Businessplan v19_Blad2 2" xfId="2877"/>
    <cellStyle name="_V&amp;W VT feb 04 versie Is_8mrt_20080605 Consolidatie Businessplan v19_Blad2_JP2011" xfId="2878"/>
    <cellStyle name="_V&amp;W VT feb 04 versie Is_8mrt_20080605 Consolidatie Businessplan v19_JP2011" xfId="2879"/>
    <cellStyle name="_V&amp;W VT feb 04 versie Is_8mrt_20080605 Consolidatie Businessplan v19_Model Plan 2012" xfId="2880"/>
    <cellStyle name="_V&amp;W VT feb 04 versie Is_8mrt_Blad2" xfId="2881"/>
    <cellStyle name="_V&amp;W VT feb 04 versie Is_8mrt_Blad2 2" xfId="2882"/>
    <cellStyle name="_V&amp;W VT feb 04 versie Is_8mrt_Blad2_JP2011" xfId="2883"/>
    <cellStyle name="_V&amp;W VT feb 04 versie Is_8mrt_JP2011" xfId="2884"/>
    <cellStyle name="_V&amp;W VT feb 04 versie Is_8mrt_Model Plan 2012" xfId="2885"/>
    <cellStyle name="_V&amp;W VT feb 04 versie Is_8mrt_ND5 squeeze model  whs-whs v2.21 DWDM ILL" xfId="2886"/>
    <cellStyle name="_VAMO allocatie 6_RF_BVB" xfId="2887"/>
    <cellStyle name="_VAMO allocatie 6_RF_BVB 2" xfId="2888"/>
    <cellStyle name="_VAMO allocatie 6_RF_BVB_Blad2" xfId="2889"/>
    <cellStyle name="_VAMO allocatie 6_RF_BVB_Blad2 2" xfId="2890"/>
    <cellStyle name="_VAMO allocatie 6_RF_BVB_Blad2_JP2011" xfId="2891"/>
    <cellStyle name="_VAMO allocatie 6_RF_BVB_JP2011" xfId="2892"/>
    <cellStyle name="_VAMO allocatie 6_RF_BVB_Model Plan 2012" xfId="2893"/>
    <cellStyle name="_Verdeelsleutels CU P&amp;L 2007 v4" xfId="2894"/>
    <cellStyle name="_Verdeling BM BP2008 naar PFM v2" xfId="2895"/>
    <cellStyle name="_Verdienend Vermogen" xfId="2896"/>
    <cellStyle name="_Verkeerstarieven-v83 (15-07-2006)" xfId="452"/>
    <cellStyle name="_verrekening 24-12-2007 - update 15-1-08" xfId="2897"/>
    <cellStyle name="_Verrekening NS-CS (oud-IMS portfolio) maart 07" xfId="2898"/>
    <cellStyle name="_verrekening producten 11b-12-2006 WSO + ZM evpn lrac 5jr" xfId="453"/>
    <cellStyle name="_verrekening producten 4-12-2006 WSO + ZM evpn lrac 5jr" xfId="454"/>
    <cellStyle name="_verrekening producten 7-12-2006 WSO + ZM evpn lrac 5jr" xfId="455"/>
    <cellStyle name="_Verzoek aanpassen boekingssleutels IV VP 302 20070419" xfId="456"/>
    <cellStyle name="_vodsl verrekeningen  jul 2006" xfId="2899"/>
    <cellStyle name="_Volume table BU CS Q3 04" xfId="2900"/>
    <cellStyle name="_Volume table BU CS Q3 04 2" xfId="2901"/>
    <cellStyle name="_Volume table BU CS Q3 04_FC categoraal" xfId="2902"/>
    <cellStyle name="_Volume table BU CS Q3 04_GDC nieuwe pfc cc jan  2011 v4" xfId="2903"/>
    <cellStyle name="_Volume table BU CS Q3 04_JP2011" xfId="2904"/>
    <cellStyle name="_Volume table BU CS Q3 04_JP2011 2" xfId="2905"/>
    <cellStyle name="_Volume table BU CS Q3 04_JP2011_1" xfId="2906"/>
    <cellStyle name="_Volume table BU CS Q3 04_Preclosing" xfId="2907"/>
    <cellStyle name="_Volume table BU CS Q3 04_Preclosing 2" xfId="2908"/>
    <cellStyle name="_Volume table BU CS Q3 04_Preclosing jan11" xfId="2909"/>
    <cellStyle name="_Volume table BU CS Q3 04_Preclosing_1" xfId="2910"/>
    <cellStyle name="_Volume table BU CS Q3 04_Preclosing_2" xfId="2911"/>
    <cellStyle name="_Volume table BU CS Q3 04_Preclosing_3" xfId="2912"/>
    <cellStyle name="_Volume table BU CS Q3 04_Preclosing_FC categoraal" xfId="2913"/>
    <cellStyle name="_Volume table BU CS Q3 04_Sheet1" xfId="2914"/>
    <cellStyle name="_Volume table BU CS Q3 04_Sheet1_1" xfId="2915"/>
    <cellStyle name="_Volume table BU CS Q3 04_Sheet1_1 2" xfId="2916"/>
    <cellStyle name="_Volume table BU CS Q3 04_Sheet1_1_FC categoraal" xfId="2917"/>
    <cellStyle name="_Volume table BU CS Q3 04_Sheet1_2" xfId="2918"/>
    <cellStyle name="_Volume table BU CS Q3 04_Sheet1_2 2" xfId="2919"/>
    <cellStyle name="_Volume table BU CS Q3 04_Sheet2" xfId="2920"/>
    <cellStyle name="_voorstel 2004 dd 22-1-2004" xfId="457"/>
    <cellStyle name="_voorstel 2004 dd 22-1-2004 2" xfId="458"/>
    <cellStyle name="_voorstel 2004 dd 22-1-2004 3" xfId="2921"/>
    <cellStyle name="_voorstel 2004 dd 22-1-2004_ND5 squeeze model  whs-whs v2.21 DWDM ILL" xfId="2922"/>
    <cellStyle name="_VVV 2006 plan per Subsegment v6.5" xfId="459"/>
    <cellStyle name="_VVV 2006 plan per Subsegment v6.5 2" xfId="460"/>
    <cellStyle name="_VVV 2006 plan per Subsegment v6.5 3" xfId="2923"/>
    <cellStyle name="_VVV 2006 plan per Subsegment v6.5_Blad2" xfId="2924"/>
    <cellStyle name="_VVV 2006 plan per Subsegment v6.5_Blad2 2" xfId="2925"/>
    <cellStyle name="_VVV 2006 plan per Subsegment v6.5_Blad2_JP2011" xfId="2926"/>
    <cellStyle name="_VVV 2006 plan per Subsegment v6.5_JP2011" xfId="2927"/>
    <cellStyle name="_VVV 2006 plan per Subsegment v6.5_Model Plan 2012" xfId="2928"/>
    <cellStyle name="_VVV 2006 plan per Subsegment v6.5_ND5 squeeze model  whs-whs v2.21 DWDM ILL" xfId="2929"/>
    <cellStyle name="_W&amp;O Beheer - afgesloten orders januari 2007 werk (2)" xfId="2930"/>
    <cellStyle name="_WBA annex 4 CM v2.0a" xfId="461"/>
    <cellStyle name="_WBA annex 4 CM v2.0a_EVPN Model_20102601_v0.1" xfId="462"/>
    <cellStyle name="_WBA annex 4 CM v2.0a_ZM IS Data Tarievenboek 2010-03-11" xfId="463"/>
    <cellStyle name="_WBA annex 4 ZM ATM v2.0" xfId="464"/>
    <cellStyle name="_WBA annex 4 ZM ATM v2.0_EVPN Model_20102601_v0.1" xfId="465"/>
    <cellStyle name="_WBA annex 4 ZM ATM v2.0_ND5 squeeze model  whs-whs v2.21 DWDM ILL" xfId="2931"/>
    <cellStyle name="_WBA annex 4 ZM ATM v2.0_ZM IS Data Tarievenboek 2010-03-11" xfId="466"/>
    <cellStyle name="_WEAS pricing versie" xfId="2932"/>
    <cellStyle name="_WEAS pricing_v3" xfId="467"/>
    <cellStyle name="_Werkblad uit BO klantprojectmanagement business afstemming februari 2007" xfId="2933"/>
    <cellStyle name="_Wholesale installatieactiviteiten per pakket WMP 240707" xfId="468"/>
    <cellStyle name="_Wk16" xfId="469"/>
    <cellStyle name="_Wk16 2" xfId="470"/>
    <cellStyle name="_Wk16 3" xfId="2934"/>
    <cellStyle name="_Wk16_20080530 Consolidatie Businessplan v12" xfId="2935"/>
    <cellStyle name="_Wk16_20080530 Consolidatie Businessplan v12 2" xfId="2936"/>
    <cellStyle name="_Wk16_20080530 Consolidatie Businessplan v12_Blad2" xfId="2937"/>
    <cellStyle name="_Wk16_20080530 Consolidatie Businessplan v12_Blad2 2" xfId="2938"/>
    <cellStyle name="_Wk16_20080530 Consolidatie Businessplan v12_Blad2_JP2011" xfId="2939"/>
    <cellStyle name="_Wk16_20080530 Consolidatie Businessplan v12_JP2011" xfId="2940"/>
    <cellStyle name="_Wk16_20080530 Consolidatie Businessplan v12_Model Plan 2012" xfId="2941"/>
    <cellStyle name="_Wk16_20080605 Consolidatie Businessplan v15" xfId="2942"/>
    <cellStyle name="_Wk16_20080605 Consolidatie Businessplan v15 2" xfId="2943"/>
    <cellStyle name="_Wk16_20080605 Consolidatie Businessplan v15_Blad2" xfId="2944"/>
    <cellStyle name="_Wk16_20080605 Consolidatie Businessplan v15_Blad2 2" xfId="2945"/>
    <cellStyle name="_Wk16_20080605 Consolidatie Businessplan v15_Blad2_JP2011" xfId="2946"/>
    <cellStyle name="_Wk16_20080605 Consolidatie Businessplan v15_JP2011" xfId="2947"/>
    <cellStyle name="_Wk16_20080605 Consolidatie Businessplan v15_Model Plan 2012" xfId="2948"/>
    <cellStyle name="_Wk16_20080605 Consolidatie Businessplan v19" xfId="2949"/>
    <cellStyle name="_Wk16_20080605 Consolidatie Businessplan v19 2" xfId="2950"/>
    <cellStyle name="_Wk16_20080605 Consolidatie Businessplan v19_Blad2" xfId="2951"/>
    <cellStyle name="_Wk16_20080605 Consolidatie Businessplan v19_Blad2 2" xfId="2952"/>
    <cellStyle name="_Wk16_20080605 Consolidatie Businessplan v19_Blad2_JP2011" xfId="2953"/>
    <cellStyle name="_Wk16_20080605 Consolidatie Businessplan v19_JP2011" xfId="2954"/>
    <cellStyle name="_Wk16_20080605 Consolidatie Businessplan v19_Model Plan 2012" xfId="2955"/>
    <cellStyle name="_Wk16_Blad2" xfId="2956"/>
    <cellStyle name="_Wk16_Blad2 2" xfId="2957"/>
    <cellStyle name="_Wk16_Blad2_JP2011" xfId="2958"/>
    <cellStyle name="_Wk16_JP2011" xfId="2959"/>
    <cellStyle name="_Wk16_Model Plan 2012" xfId="2960"/>
    <cellStyle name="_Wk16_ND5 squeeze model  whs-whs v2.21 DWDM ILL" xfId="2961"/>
    <cellStyle name="_WMP LRIC kostenmodel v 0.1" xfId="471"/>
    <cellStyle name="_working capital" xfId="2962"/>
    <cellStyle name="_working capital 2" xfId="2963"/>
    <cellStyle name="_working capital_Blad2" xfId="2964"/>
    <cellStyle name="_working capital_Blad2 2" xfId="2965"/>
    <cellStyle name="_working capital_Blad2_JP2011" xfId="2966"/>
    <cellStyle name="_working capital_ICS plan 2010 origineel v9 10-09" xfId="2967"/>
    <cellStyle name="_working capital_JP2011" xfId="2968"/>
    <cellStyle name="_working capital_Maand Capex" xfId="2969"/>
    <cellStyle name="_working capital_Maand Capex 2" xfId="2970"/>
    <cellStyle name="_working capital_Maand Capex_Blad2" xfId="2971"/>
    <cellStyle name="_working capital_Maand Capex_Blad2 2" xfId="2972"/>
    <cellStyle name="_working capital_Maand Capex_Blad2_JP2011" xfId="2973"/>
    <cellStyle name="_working capital_Maand Capex_JP2011" xfId="2974"/>
    <cellStyle name="_working capital_ML_Generic_1 1 input Capex incl maandplan_v2" xfId="2975"/>
    <cellStyle name="_working capital_Model Plan 2012" xfId="2976"/>
    <cellStyle name="_WPC EDCS TOTAAL 090316_025_VVE" xfId="472"/>
    <cellStyle name="_WPC EDCS TOTAAL 090316_025_VVE 2" xfId="2977"/>
    <cellStyle name="_WPC EDCS TOTAAL 090316_025_VVE 2 2" xfId="2978"/>
    <cellStyle name="_WPC EDCS TOTAAL 090316_025_VVE_EVPN Model_20102601_v0.1" xfId="473"/>
    <cellStyle name="_WPC EDCS TOTAAL 090316_025_VVE_KWT IS Data 2010-10-07" xfId="2979"/>
    <cellStyle name="_WPC EDCS TOTAAL 090316_025_VVE_ND5 squeeze model  whs-whs v2.21 DWDM ILL" xfId="2980"/>
    <cellStyle name="_WPC EDCS TOTAAL 090316_025_VVE_ZM IS Data Tarievenboek 2010-03-11" xfId="474"/>
    <cellStyle name="_YEE-Template Carrier Services" xfId="475"/>
    <cellStyle name="_YEE-Template Carrier Services 2" xfId="476"/>
    <cellStyle name="_YEE-Template Carrier Services 3" xfId="2981"/>
    <cellStyle name="_YEE-Template Carrier Services_ND5 squeeze model  whs-whs v2.21 DWDM ILL" xfId="2982"/>
    <cellStyle name="_ZM maandverdeling YP_08 en RF_Q1" xfId="2983"/>
    <cellStyle name="_ZM_NS_ProductP&amp;L sep with epacity waterfall" xfId="2984"/>
    <cellStyle name="_ZM_NS_ProductP&amp;L sep with epacity waterfall 2" xfId="2985"/>
    <cellStyle name="_ZM_NS_ProductP&amp;L sep with epacity waterfall_Blad2" xfId="2986"/>
    <cellStyle name="_ZM_NS_ProductP&amp;L sep with epacity waterfall_Blad2 2" xfId="2987"/>
    <cellStyle name="_ZM_NS_ProductP&amp;L sep with epacity waterfall_Blad2_JP2011" xfId="2988"/>
    <cellStyle name="_ZM_NS_ProductP&amp;L sep with epacity waterfall_JP2011" xfId="2989"/>
    <cellStyle name="_ZM_NS_ProductP&amp;L sep with epacity waterfall_Model Plan 2012" xfId="2990"/>
    <cellStyle name="_ZM-verrekening voorb09" xfId="477"/>
    <cellStyle name="_ZM-verrekening voorb09 2" xfId="478"/>
    <cellStyle name="_ZM-verrekening voorb09 3" xfId="2991"/>
    <cellStyle name="_ZM-verrekening voorb09_ND5 squeeze model  whs-whs v2.21 DWDM ILL" xfId="2992"/>
    <cellStyle name="€/m²" xfId="2993"/>
    <cellStyle name="=C:\WINNT\SYSTEM32\COMMAND.COM" xfId="2994"/>
    <cellStyle name="=C:\WINNT\SYSTEM32\COMMAND.COM 2" xfId="2995"/>
    <cellStyle name="0,0_x000d__x000a_NA_x000d__x000a_" xfId="479"/>
    <cellStyle name="0000" xfId="2996"/>
    <cellStyle name="000000" xfId="2997"/>
    <cellStyle name="20% - Accent1 2" xfId="2998"/>
    <cellStyle name="20% - Accent2 2" xfId="2999"/>
    <cellStyle name="20% - Accent3 2" xfId="3000"/>
    <cellStyle name="20% - Accent4 2" xfId="3001"/>
    <cellStyle name="20% - Accent5 2" xfId="3002"/>
    <cellStyle name="20% - Accent6 2" xfId="3003"/>
    <cellStyle name="40% - Accent1 2" xfId="3004"/>
    <cellStyle name="40% - Accent1 2 2" xfId="3005"/>
    <cellStyle name="40% - Accent2 2" xfId="3006"/>
    <cellStyle name="40% - Accent3 2" xfId="3007"/>
    <cellStyle name="40% - Accent4 2" xfId="3008"/>
    <cellStyle name="40% - Accent4 2 2" xfId="3009"/>
    <cellStyle name="40% - Accent4 3" xfId="3010"/>
    <cellStyle name="40% - Accent5 2" xfId="3011"/>
    <cellStyle name="40% - Accent6 2" xfId="3012"/>
    <cellStyle name="40% - Accent6 2 2" xfId="3013"/>
    <cellStyle name="60% - Accent1 2" xfId="3014"/>
    <cellStyle name="6mal" xfId="480"/>
    <cellStyle name="Accent1 - 20%" xfId="3015"/>
    <cellStyle name="Accent1 - 20% 2" xfId="3016"/>
    <cellStyle name="Accent1 - 20%_2012 PL" xfId="3017"/>
    <cellStyle name="Accent1 - 40%" xfId="3018"/>
    <cellStyle name="Accent1 - 40% 2" xfId="3019"/>
    <cellStyle name="Accent1 - 40%_2012 PL" xfId="3020"/>
    <cellStyle name="Accent1 - 60%" xfId="3021"/>
    <cellStyle name="Accent1 - 60% 2" xfId="3022"/>
    <cellStyle name="Accent1 - 60%_2012 PL" xfId="3023"/>
    <cellStyle name="Accent1 10" xfId="3024"/>
    <cellStyle name="Accent1 11" xfId="3025"/>
    <cellStyle name="Accent1 12" xfId="3026"/>
    <cellStyle name="Accent1 2" xfId="3027"/>
    <cellStyle name="Accent1 3" xfId="3028"/>
    <cellStyle name="Accent1 4" xfId="3029"/>
    <cellStyle name="Accent1 5" xfId="3030"/>
    <cellStyle name="Accent1 6" xfId="3031"/>
    <cellStyle name="Accent1 7" xfId="3032"/>
    <cellStyle name="Accent1 8" xfId="3033"/>
    <cellStyle name="Accent1 9" xfId="3034"/>
    <cellStyle name="Accent2 - 20%" xfId="3035"/>
    <cellStyle name="Accent2 - 20% 2" xfId="3036"/>
    <cellStyle name="Accent2 - 20%_2012 PL" xfId="3037"/>
    <cellStyle name="Accent2 - 40%" xfId="3038"/>
    <cellStyle name="Accent2 - 40% 2" xfId="3039"/>
    <cellStyle name="Accent2 - 40%_2012 PL" xfId="3040"/>
    <cellStyle name="Accent2 - 60%" xfId="3041"/>
    <cellStyle name="Accent2 - 60% 2" xfId="3042"/>
    <cellStyle name="Accent2 - 60%_2012 PL" xfId="3043"/>
    <cellStyle name="Accent2 10" xfId="3044"/>
    <cellStyle name="Accent2 11" xfId="3045"/>
    <cellStyle name="Accent2 12" xfId="3046"/>
    <cellStyle name="Accent2 2" xfId="3047"/>
    <cellStyle name="Accent2 3" xfId="3048"/>
    <cellStyle name="Accent2 4" xfId="3049"/>
    <cellStyle name="Accent2 5" xfId="3050"/>
    <cellStyle name="Accent2 6" xfId="3051"/>
    <cellStyle name="Accent2 7" xfId="3052"/>
    <cellStyle name="Accent2 8" xfId="3053"/>
    <cellStyle name="Accent2 9" xfId="3054"/>
    <cellStyle name="Accent3 - 20%" xfId="3055"/>
    <cellStyle name="Accent3 - 20% 2" xfId="3056"/>
    <cellStyle name="Accent3 - 20%_2012 PL" xfId="3057"/>
    <cellStyle name="Accent3 - 40%" xfId="3058"/>
    <cellStyle name="Accent3 - 40% 2" xfId="3059"/>
    <cellStyle name="Accent3 - 40%_2012 PL" xfId="3060"/>
    <cellStyle name="Accent3 - 60%" xfId="3061"/>
    <cellStyle name="Accent3 - 60% 2" xfId="3062"/>
    <cellStyle name="Accent3 - 60%_2012 PL" xfId="3063"/>
    <cellStyle name="Accent3 10" xfId="3064"/>
    <cellStyle name="Accent3 11" xfId="3065"/>
    <cellStyle name="Accent3 12" xfId="3066"/>
    <cellStyle name="Accent3 2" xfId="3067"/>
    <cellStyle name="Accent3 3" xfId="3068"/>
    <cellStyle name="Accent3 4" xfId="3069"/>
    <cellStyle name="Accent3 5" xfId="3070"/>
    <cellStyle name="Accent3 6" xfId="3071"/>
    <cellStyle name="Accent3 7" xfId="3072"/>
    <cellStyle name="Accent3 8" xfId="3073"/>
    <cellStyle name="Accent3 9" xfId="3074"/>
    <cellStyle name="Accent4 - 20%" xfId="3075"/>
    <cellStyle name="Accent4 - 20% 2" xfId="3076"/>
    <cellStyle name="Accent4 - 20%_2012 PL" xfId="3077"/>
    <cellStyle name="Accent4 - 40%" xfId="3078"/>
    <cellStyle name="Accent4 - 40% 2" xfId="3079"/>
    <cellStyle name="Accent4 - 40%_2012 PL" xfId="3080"/>
    <cellStyle name="Accent4 - 60%" xfId="3081"/>
    <cellStyle name="Accent4 - 60% 2" xfId="3082"/>
    <cellStyle name="Accent4 - 60%_2012 PL" xfId="3083"/>
    <cellStyle name="Accent4 10" xfId="3084"/>
    <cellStyle name="Accent4 11" xfId="3085"/>
    <cellStyle name="Accent4 12" xfId="3086"/>
    <cellStyle name="Accent4 2" xfId="3087"/>
    <cellStyle name="Accent4 3" xfId="3088"/>
    <cellStyle name="Accent4 4" xfId="3089"/>
    <cellStyle name="Accent4 5" xfId="3090"/>
    <cellStyle name="Accent4 6" xfId="3091"/>
    <cellStyle name="Accent4 7" xfId="3092"/>
    <cellStyle name="Accent4 8" xfId="3093"/>
    <cellStyle name="Accent4 9" xfId="3094"/>
    <cellStyle name="Accent5 - 20%" xfId="3095"/>
    <cellStyle name="Accent5 - 20% 2" xfId="3096"/>
    <cellStyle name="Accent5 - 20%_2012 PL" xfId="3097"/>
    <cellStyle name="Accent5 - 40%" xfId="3098"/>
    <cellStyle name="Accent5 - 60%" xfId="3099"/>
    <cellStyle name="Accent5 - 60% 2" xfId="3100"/>
    <cellStyle name="Accent5 - 60%_2012 PL" xfId="3101"/>
    <cellStyle name="Accent5 10" xfId="3102"/>
    <cellStyle name="Accent5 11" xfId="3103"/>
    <cellStyle name="Accent5 12" xfId="3104"/>
    <cellStyle name="Accent5 2" xfId="3105"/>
    <cellStyle name="Accent5 3" xfId="3106"/>
    <cellStyle name="Accent5 4" xfId="3107"/>
    <cellStyle name="Accent5 5" xfId="3108"/>
    <cellStyle name="Accent5 6" xfId="3109"/>
    <cellStyle name="Accent5 7" xfId="3110"/>
    <cellStyle name="Accent5 8" xfId="3111"/>
    <cellStyle name="Accent5 9" xfId="3112"/>
    <cellStyle name="Accent6 - 20%" xfId="3113"/>
    <cellStyle name="Accent6 - 40%" xfId="3114"/>
    <cellStyle name="Accent6 - 40% 2" xfId="3115"/>
    <cellStyle name="Accent6 - 40%_2012 PL" xfId="3116"/>
    <cellStyle name="Accent6 - 60%" xfId="3117"/>
    <cellStyle name="Accent6 - 60% 2" xfId="3118"/>
    <cellStyle name="Accent6 - 60%_2012 PL" xfId="3119"/>
    <cellStyle name="Accent6 10" xfId="3120"/>
    <cellStyle name="Accent6 11" xfId="3121"/>
    <cellStyle name="Accent6 12" xfId="3122"/>
    <cellStyle name="Accent6 2" xfId="3123"/>
    <cellStyle name="Accent6 3" xfId="3124"/>
    <cellStyle name="Accent6 4" xfId="3125"/>
    <cellStyle name="Accent6 5" xfId="3126"/>
    <cellStyle name="Accent6 6" xfId="3127"/>
    <cellStyle name="Accent6 7" xfId="3128"/>
    <cellStyle name="Accent6 8" xfId="3129"/>
    <cellStyle name="Accent6 9" xfId="3130"/>
    <cellStyle name="active" xfId="3131"/>
    <cellStyle name="AFE" xfId="3132"/>
    <cellStyle name="Align at top" xfId="3133"/>
    <cellStyle name="Align at top 2" xfId="3134"/>
    <cellStyle name="args.style" xfId="481"/>
    <cellStyle name="arial11_bld_it" xfId="482"/>
    <cellStyle name="Availability" xfId="3135"/>
    <cellStyle name="Bad" xfId="763"/>
    <cellStyle name="Bad 2" xfId="3136"/>
    <cellStyle name="Bad 3" xfId="3137"/>
    <cellStyle name="Bar" xfId="3138"/>
    <cellStyle name="Bar (w border)" xfId="3139"/>
    <cellStyle name="Bar (w border) 2" xfId="3140"/>
    <cellStyle name="Bar 2" xfId="3141"/>
    <cellStyle name="Bar_JP2011" xfId="3142"/>
    <cellStyle name="basis" xfId="3143"/>
    <cellStyle name="blank" xfId="3144"/>
    <cellStyle name="Blz (xxx xxx xx)" xfId="3145"/>
    <cellStyle name="Blz (xxx xxx xx) 2" xfId="3146"/>
    <cellStyle name="Body_$Numeric" xfId="483"/>
    <cellStyle name="boek" xfId="484"/>
    <cellStyle name="border" xfId="3147"/>
    <cellStyle name="BvDAddIn_Currency" xfId="3148"/>
    <cellStyle name="Calc" xfId="3149"/>
    <cellStyle name="Calc - Blue" xfId="3150"/>
    <cellStyle name="Calc - Feed" xfId="3151"/>
    <cellStyle name="Calc - Green" xfId="3152"/>
    <cellStyle name="Calc - Grey" xfId="3153"/>
    <cellStyle name="Calc - White" xfId="3154"/>
    <cellStyle name="Calc Currency (0)" xfId="485"/>
    <cellStyle name="Calc Currency (2)" xfId="3155"/>
    <cellStyle name="Calc Percent (0)" xfId="3156"/>
    <cellStyle name="Calc Percent (1)" xfId="3157"/>
    <cellStyle name="Calc Percent (2)" xfId="3158"/>
    <cellStyle name="Calc Units (0)" xfId="3159"/>
    <cellStyle name="Calc Units (1)" xfId="3160"/>
    <cellStyle name="Calc Units (2)" xfId="3161"/>
    <cellStyle name="Calc_11" xfId="3162"/>
    <cellStyle name="Calculated" xfId="486"/>
    <cellStyle name="Calculation" xfId="764"/>
    <cellStyle name="Calculation 2" xfId="3163"/>
    <cellStyle name="Calculation 3" xfId="788"/>
    <cellStyle name="category" xfId="3164"/>
    <cellStyle name="Centrify gold" xfId="3165"/>
    <cellStyle name="Change" xfId="487"/>
    <cellStyle name="Change 2" xfId="3166"/>
    <cellStyle name="Change 3" xfId="3979"/>
    <cellStyle name="Change 4" xfId="3980"/>
    <cellStyle name="Change 5" xfId="3981"/>
    <cellStyle name="Change 6" xfId="3982"/>
    <cellStyle name="check" xfId="488"/>
    <cellStyle name="Check Cell" xfId="765"/>
    <cellStyle name="Check Cell 2" xfId="3167"/>
    <cellStyle name="CHF (CHF 0 )" xfId="3168"/>
    <cellStyle name="CHF (CHF 0 ) 2" xfId="3169"/>
    <cellStyle name="CHF Mio (CHF 0 Mio.)" xfId="3170"/>
    <cellStyle name="CHF Mio (CHF 0 Mio.) 2" xfId="3171"/>
    <cellStyle name="cm" xfId="3172"/>
    <cellStyle name="cm 2" xfId="3173"/>
    <cellStyle name="ColLevel_2" xfId="3174"/>
    <cellStyle name="Color (no color)" xfId="3175"/>
    <cellStyle name="Color (no color) 2" xfId="3176"/>
    <cellStyle name="Color 01" xfId="3177"/>
    <cellStyle name="Color 01 2" xfId="3178"/>
    <cellStyle name="Color 02" xfId="3179"/>
    <cellStyle name="Color 02 2" xfId="3180"/>
    <cellStyle name="Color 03" xfId="3181"/>
    <cellStyle name="Color 03 2" xfId="3182"/>
    <cellStyle name="Color 04" xfId="3183"/>
    <cellStyle name="Color 05" xfId="3184"/>
    <cellStyle name="Color 05 2" xfId="3185"/>
    <cellStyle name="Color 06" xfId="3186"/>
    <cellStyle name="Color 06 2" xfId="3187"/>
    <cellStyle name="Color 07" xfId="3188"/>
    <cellStyle name="Color 07 2" xfId="3189"/>
    <cellStyle name="Color 08" xfId="3190"/>
    <cellStyle name="Color 08 2" xfId="3191"/>
    <cellStyle name="Column Heading" xfId="3192"/>
    <cellStyle name="Column label" xfId="489"/>
    <cellStyle name="Column Title" xfId="3193"/>
    <cellStyle name="Column Title 2" xfId="3194"/>
    <cellStyle name="ColumnAttributeAbovePrompt" xfId="490"/>
    <cellStyle name="ColumnAttributePrompt" xfId="491"/>
    <cellStyle name="ColumnAttributeValue" xfId="492"/>
    <cellStyle name="ColumnHeading" xfId="3195"/>
    <cellStyle name="ColumnHeadingPrompt" xfId="493"/>
    <cellStyle name="ColumnHeadingValue" xfId="494"/>
    <cellStyle name="Comma" xfId="760" builtinId="3"/>
    <cellStyle name="Comma  - Style1" xfId="3196"/>
    <cellStyle name="Comma  - Style2" xfId="3197"/>
    <cellStyle name="Comma  - Style3" xfId="3198"/>
    <cellStyle name="Comma  - Style4" xfId="3199"/>
    <cellStyle name="Comma  - Style5" xfId="3200"/>
    <cellStyle name="Comma  - Style6" xfId="3201"/>
    <cellStyle name="Comma  - Style7" xfId="3202"/>
    <cellStyle name="Comma  - Style8" xfId="3203"/>
    <cellStyle name="Comma [00]" xfId="3204"/>
    <cellStyle name="Comma 0" xfId="495"/>
    <cellStyle name="Comma 0*" xfId="496"/>
    <cellStyle name="Comma 0_Board Presentation Back Up v3.3" xfId="497"/>
    <cellStyle name="Comma 10" xfId="3205"/>
    <cellStyle name="Comma 11" xfId="3206"/>
    <cellStyle name="Comma 12" xfId="3207"/>
    <cellStyle name="Comma 13" xfId="3208"/>
    <cellStyle name="Comma 14" xfId="3209"/>
    <cellStyle name="Comma 14 2" xfId="3210"/>
    <cellStyle name="Comma 15" xfId="3211"/>
    <cellStyle name="Comma 15 2" xfId="3212"/>
    <cellStyle name="Comma 16" xfId="3213"/>
    <cellStyle name="Comma 17" xfId="3214"/>
    <cellStyle name="Comma 18" xfId="3215"/>
    <cellStyle name="Comma 18 2" xfId="3216"/>
    <cellStyle name="Comma 18 3" xfId="3217"/>
    <cellStyle name="Comma 19" xfId="3218"/>
    <cellStyle name="Comma 2" xfId="498"/>
    <cellStyle name="Comma 2 10" xfId="3219"/>
    <cellStyle name="Comma 2 11" xfId="3220"/>
    <cellStyle name="Comma 2 2" xfId="3221"/>
    <cellStyle name="Comma 2 2 2" xfId="3222"/>
    <cellStyle name="Comma 2 2 3" xfId="3223"/>
    <cellStyle name="Comma 2 2_Coverage" xfId="3224"/>
    <cellStyle name="Comma 2 3" xfId="3225"/>
    <cellStyle name="Comma 2 4" xfId="3226"/>
    <cellStyle name="Comma 2 5" xfId="3227"/>
    <cellStyle name="Comma 2 6" xfId="3228"/>
    <cellStyle name="Comma 2 7" xfId="3229"/>
    <cellStyle name="Comma 2 8" xfId="3230"/>
    <cellStyle name="Comma 2 9" xfId="3231"/>
    <cellStyle name="Comma 2_2012 PL" xfId="3232"/>
    <cellStyle name="Comma 20" xfId="3233"/>
    <cellStyle name="Comma 21" xfId="3234"/>
    <cellStyle name="Comma 22" xfId="3235"/>
    <cellStyle name="Comma 3" xfId="499"/>
    <cellStyle name="Comma 3 2" xfId="3236"/>
    <cellStyle name="Comma 3 2 2" xfId="3237"/>
    <cellStyle name="Comma 3 2 2 2" xfId="3238"/>
    <cellStyle name="Comma 3 2 3" xfId="3239"/>
    <cellStyle name="Comma 3 2 3 2" xfId="3240"/>
    <cellStyle name="Comma 3 2 4" xfId="3241"/>
    <cellStyle name="Comma 3 2_Coverage" xfId="3242"/>
    <cellStyle name="Comma 3 3" xfId="3243"/>
    <cellStyle name="Comma 3 3 2" xfId="3244"/>
    <cellStyle name="Comma 3 4" xfId="3245"/>
    <cellStyle name="Comma 3 4 2" xfId="3246"/>
    <cellStyle name="Comma 3 5" xfId="3247"/>
    <cellStyle name="Comma 3 6" xfId="3248"/>
    <cellStyle name="Comma 3_2012 PL" xfId="3249"/>
    <cellStyle name="Comma 4" xfId="500"/>
    <cellStyle name="Comma 4 2" xfId="3250"/>
    <cellStyle name="Comma 4 2 2" xfId="3251"/>
    <cellStyle name="Comma 4 3" xfId="3252"/>
    <cellStyle name="Comma 4 3 2" xfId="3253"/>
    <cellStyle name="Comma 4 4" xfId="3254"/>
    <cellStyle name="Comma 4 5" xfId="3255"/>
    <cellStyle name="Comma 4_Copy of Org tabel menu kaart" xfId="3256"/>
    <cellStyle name="Comma 5" xfId="8"/>
    <cellStyle name="Comma 5 2" xfId="789"/>
    <cellStyle name="Comma 5 2 2" xfId="3257"/>
    <cellStyle name="Comma 5 3" xfId="3258"/>
    <cellStyle name="Comma 5 4" xfId="3983"/>
    <cellStyle name="Comma 5_Copy of Org tabel menu kaart" xfId="3259"/>
    <cellStyle name="Comma 6" xfId="501"/>
    <cellStyle name="Comma 6 2" xfId="3260"/>
    <cellStyle name="Comma 7" xfId="3261"/>
    <cellStyle name="Comma 7 2" xfId="3262"/>
    <cellStyle name="Comma 8" xfId="3263"/>
    <cellStyle name="Comma 9" xfId="3264"/>
    <cellStyle name="Comma 9 2" xfId="3265"/>
    <cellStyle name="Comma 99" xfId="761"/>
    <cellStyle name="Comma0" xfId="3266"/>
    <cellStyle name="Config Data Cells" xfId="502"/>
    <cellStyle name="Copied" xfId="503"/>
    <cellStyle name="ct" xfId="3267"/>
    <cellStyle name="Currency [00]" xfId="3268"/>
    <cellStyle name="Currency 0" xfId="504"/>
    <cellStyle name="Currency 2" xfId="505"/>
    <cellStyle name="Currency 2 2" xfId="3269"/>
    <cellStyle name="Currency 2 3" xfId="3270"/>
    <cellStyle name="Currency 3" xfId="506"/>
    <cellStyle name="Currency 3 2" xfId="3271"/>
    <cellStyle name="Currency 4" xfId="507"/>
    <cellStyle name="Currency 4 2" xfId="5"/>
    <cellStyle name="Currency 4 2 2" xfId="790"/>
    <cellStyle name="Currency 5" xfId="508"/>
    <cellStyle name="Currency 5 2" xfId="3272"/>
    <cellStyle name="Currency 6" xfId="509"/>
    <cellStyle name="Currency 6 2" xfId="3984"/>
    <cellStyle name="Currency 7" xfId="3273"/>
    <cellStyle name="Currency0" xfId="3274"/>
    <cellStyle name="dak" xfId="3275"/>
    <cellStyle name="Data" xfId="510"/>
    <cellStyle name="Data 2" xfId="3276"/>
    <cellStyle name="database" xfId="511"/>
    <cellStyle name="database 2" xfId="512"/>
    <cellStyle name="database 3" xfId="3277"/>
    <cellStyle name="Date" xfId="3278"/>
    <cellStyle name="Date (JJMMTT)" xfId="3279"/>
    <cellStyle name="Date (JJMMTT) 2" xfId="3280"/>
    <cellStyle name="Date (MM/JJJJ)" xfId="3281"/>
    <cellStyle name="Date (MM/JJJJ) 2" xfId="3282"/>
    <cellStyle name="Date (MMM TT, JJJJ)" xfId="3283"/>
    <cellStyle name="Date (MMM TT, JJJJ) 2" xfId="3284"/>
    <cellStyle name="Date (TT.MM.)" xfId="3285"/>
    <cellStyle name="Date (TT.MM.) 2" xfId="3286"/>
    <cellStyle name="Date (TT.MMM.JJJJ)" xfId="3287"/>
    <cellStyle name="Date (TT.MMM.JJJJ) 2" xfId="3288"/>
    <cellStyle name="Date Aligned" xfId="513"/>
    <cellStyle name="Date Short" xfId="3289"/>
    <cellStyle name="Date_01" xfId="3290"/>
    <cellStyle name="DateType" xfId="514"/>
    <cellStyle name="Datum" xfId="515"/>
    <cellStyle name="Dezimal [0]_ " xfId="3291"/>
    <cellStyle name="Dezimal +000" xfId="3292"/>
    <cellStyle name="Dezimal 00" xfId="3293"/>
    <cellStyle name="Dezimal 000" xfId="3294"/>
    <cellStyle name="Dezimal_ " xfId="3295"/>
    <cellStyle name="Discontinued" xfId="516"/>
    <cellStyle name="Diseño" xfId="3296"/>
    <cellStyle name="Dotted Line" xfId="517"/>
    <cellStyle name="DrKW Assumption" xfId="3297"/>
    <cellStyle name="DrKW Green Line" xfId="3298"/>
    <cellStyle name="DrKW Input" xfId="3299"/>
    <cellStyle name="DrKW Multiple" xfId="3300"/>
    <cellStyle name="DrKW Percent" xfId="3301"/>
    <cellStyle name="DrKW Percent 8pt" xfId="3302"/>
    <cellStyle name="DrKW Percent Assumption" xfId="3303"/>
    <cellStyle name="DrKW Percent Assumption 8pt" xfId="3304"/>
    <cellStyle name="DrKW Percent Input" xfId="3305"/>
    <cellStyle name="DrKW Percent_9738 Drive High-Low" xfId="3306"/>
    <cellStyle name="DrKW Standard format" xfId="3307"/>
    <cellStyle name="Emphasis 1 2" xfId="3308"/>
    <cellStyle name="Emphasis 2 2" xfId="3309"/>
    <cellStyle name="Emphasis 3 2" xfId="3310"/>
    <cellStyle name="Enter Currency (0)" xfId="3311"/>
    <cellStyle name="Enter Currency (2)" xfId="3312"/>
    <cellStyle name="Enter Units (0)" xfId="3313"/>
    <cellStyle name="Enter Units (1)" xfId="3314"/>
    <cellStyle name="Enter Units (2)" xfId="3315"/>
    <cellStyle name="Entered" xfId="518"/>
    <cellStyle name="Entry" xfId="3316"/>
    <cellStyle name="Entry Company" xfId="3317"/>
    <cellStyle name="Entry Text" xfId="3318"/>
    <cellStyle name="Entry_ICS plan 2010 origineel v9 10-09" xfId="3319"/>
    <cellStyle name="Euro" xfId="519"/>
    <cellStyle name="Euro (€ 0.00)" xfId="3320"/>
    <cellStyle name="Euro 10" xfId="3321"/>
    <cellStyle name="Euro 2" xfId="3322"/>
    <cellStyle name="Euro 2 2" xfId="3323"/>
    <cellStyle name="Euro 3" xfId="3324"/>
    <cellStyle name="Euro 4" xfId="3325"/>
    <cellStyle name="Euro 5" xfId="3326"/>
    <cellStyle name="Euro 6" xfId="3327"/>
    <cellStyle name="Euro 7" xfId="3328"/>
    <cellStyle name="Euro 8" xfId="3329"/>
    <cellStyle name="Euro 9" xfId="3330"/>
    <cellStyle name="Euro bn (€ 0 bn)" xfId="3331"/>
    <cellStyle name="Euro bn (€ 0 bn) 2" xfId="3332"/>
    <cellStyle name="Euro Mio. (€ 0 Mio)" xfId="3333"/>
    <cellStyle name="Euro_080619_OBU035_Oerlikon Solar_valuae creation from JV options_v1600" xfId="3334"/>
    <cellStyle name="Exception" xfId="3335"/>
    <cellStyle name="Explanation" xfId="3336"/>
    <cellStyle name="Explanatory Text" xfId="766"/>
    <cellStyle name="factor" xfId="3337"/>
    <cellStyle name="Factor (0.0x)" xfId="3338"/>
    <cellStyle name="factor 2" xfId="3339"/>
    <cellStyle name="factor_JP2011" xfId="3340"/>
    <cellStyle name="Feeder Field" xfId="3341"/>
    <cellStyle name="Feeder Field 2" xfId="3342"/>
    <cellStyle name="Feeder Field_2012 PL" xfId="3343"/>
    <cellStyle name="Finan?ní0" xfId="3344"/>
    <cellStyle name="Finan?ní0 2" xfId="3345"/>
    <cellStyle name="Finanční0" xfId="3346"/>
    <cellStyle name="Finanční0 2" xfId="3347"/>
    <cellStyle name="Fixed" xfId="3348"/>
    <cellStyle name="Followed Hyperlink" xfId="520"/>
    <cellStyle name="Footnote" xfId="521"/>
    <cellStyle name="Formula" xfId="3349"/>
    <cellStyle name="GBP (£ 0)" xfId="3350"/>
    <cellStyle name="GBP (£ 0) 2" xfId="3351"/>
    <cellStyle name="GBP Mio (£ 0 Mio.)" xfId="3352"/>
    <cellStyle name="GBP Mio (£ 0 Mio.) 2" xfId="3353"/>
    <cellStyle name="Getal" xfId="522"/>
    <cellStyle name="Good" xfId="767"/>
    <cellStyle name="Good 2" xfId="3354"/>
    <cellStyle name="Grey" xfId="523"/>
    <cellStyle name="Grey 2" xfId="3355"/>
    <cellStyle name="Greyed out" xfId="3356"/>
    <cellStyle name="GW" xfId="3357"/>
    <cellStyle name="GW 2" xfId="3358"/>
    <cellStyle name="GWh" xfId="3359"/>
    <cellStyle name="Hard Percent" xfId="524"/>
    <cellStyle name="Header" xfId="525"/>
    <cellStyle name="Header1" xfId="526"/>
    <cellStyle name="Header1 2" xfId="3360"/>
    <cellStyle name="Header2" xfId="527"/>
    <cellStyle name="Heading 1" xfId="768"/>
    <cellStyle name="Heading 1 2" xfId="3361"/>
    <cellStyle name="Heading 2" xfId="769"/>
    <cellStyle name="Heading 2 2" xfId="3362"/>
    <cellStyle name="Heading 3" xfId="770"/>
    <cellStyle name="Heading 3 2" xfId="3363"/>
    <cellStyle name="Heading 4" xfId="771"/>
    <cellStyle name="Heading 4 2" xfId="3364"/>
    <cellStyle name="HEADINGS" xfId="528"/>
    <cellStyle name="HEADINGSTOP" xfId="529"/>
    <cellStyle name="Headline" xfId="3365"/>
    <cellStyle name="Headline1" xfId="3366"/>
    <cellStyle name="hidden" xfId="530"/>
    <cellStyle name="Hyperlink 2" xfId="3367"/>
    <cellStyle name="Hyperlink 2 2" xfId="3368"/>
    <cellStyle name="Hyperlink 2 3" xfId="3369"/>
    <cellStyle name="Hyperlink 3" xfId="3370"/>
    <cellStyle name="Hyperlink 4" xfId="3371"/>
    <cellStyle name="input" xfId="531"/>
    <cellStyle name="Input %0" xfId="3372"/>
    <cellStyle name="Input (%)" xfId="3373"/>
    <cellStyle name="Input (Color 04)" xfId="3374"/>
    <cellStyle name="Input (Color 04) 2" xfId="3375"/>
    <cellStyle name="Input (Color 05)" xfId="3376"/>
    <cellStyle name="Input (Color 05) 2" xfId="3377"/>
    <cellStyle name="Input (font blue bold)" xfId="3378"/>
    <cellStyle name="Input (font blue italic)" xfId="3379"/>
    <cellStyle name="Input (font blue)" xfId="3380"/>
    <cellStyle name="Input (font blue) 2" xfId="3381"/>
    <cellStyle name="Input (No)" xfId="3382"/>
    <cellStyle name="Input [yellow]" xfId="532"/>
    <cellStyle name="Input [yellow] 2" xfId="3383"/>
    <cellStyle name="Input +000" xfId="3384"/>
    <cellStyle name="Input 00" xfId="3385"/>
    <cellStyle name="Input 000" xfId="3386"/>
    <cellStyle name="Input 1" xfId="3387"/>
    <cellStyle name="input 2" xfId="3388"/>
    <cellStyle name="Input 2 2" xfId="3389"/>
    <cellStyle name="Input 2_2012 PL" xfId="3390"/>
    <cellStyle name="input 3" xfId="3391"/>
    <cellStyle name="Input Cells" xfId="533"/>
    <cellStyle name="Input estimate" xfId="534"/>
    <cellStyle name="Input estimate 2" xfId="785"/>
    <cellStyle name="Input/mixed (red bold)" xfId="3392"/>
    <cellStyle name="Input/mixed (red italic)" xfId="3393"/>
    <cellStyle name="Input/mixed (red)" xfId="3394"/>
    <cellStyle name="Input/mixed (red) 2" xfId="3395"/>
    <cellStyle name="input_MPL Model 20090706 def" xfId="772"/>
    <cellStyle name="J.P.M. input" xfId="3396"/>
    <cellStyle name="Jun" xfId="535"/>
    <cellStyle name="Jun 2" xfId="3397"/>
    <cellStyle name="Jun 2 2" xfId="3398"/>
    <cellStyle name="Jun 3" xfId="3399"/>
    <cellStyle name="Jun_2012 PL" xfId="3400"/>
    <cellStyle name="Key driver (pink shading)" xfId="3401"/>
    <cellStyle name="km" xfId="3402"/>
    <cellStyle name="km 2" xfId="3403"/>
    <cellStyle name="Komma 2" xfId="536"/>
    <cellStyle name="Komma 2 2" xfId="537"/>
    <cellStyle name="Komma 2 3" xfId="3404"/>
    <cellStyle name="Komma 3" xfId="538"/>
    <cellStyle name="Komma 3 2" xfId="3405"/>
    <cellStyle name="Komma 3 3" xfId="3985"/>
    <cellStyle name="Komma 4" xfId="539"/>
    <cellStyle name="Komma 5" xfId="791"/>
    <cellStyle name="KPMG Heading 1" xfId="3406"/>
    <cellStyle name="KPMG Heading 2" xfId="3407"/>
    <cellStyle name="KPMG Heading 3" xfId="3408"/>
    <cellStyle name="KPMG Heading 4" xfId="3409"/>
    <cellStyle name="KPMG Normal" xfId="3410"/>
    <cellStyle name="KPMG Normal Text" xfId="3411"/>
    <cellStyle name="kW" xfId="3412"/>
    <cellStyle name="kW 2" xfId="3413"/>
    <cellStyle name="kWh" xfId="3414"/>
    <cellStyle name="left" xfId="3415"/>
    <cellStyle name="Legal 8½ x 14 in" xfId="540"/>
    <cellStyle name="Legal 8½ x 14 in 2" xfId="3416"/>
    <cellStyle name="Legal 8½ x 14 in 3" xfId="3417"/>
    <cellStyle name="LineItemPrompt" xfId="541"/>
    <cellStyle name="LineItemValue" xfId="542"/>
    <cellStyle name="Link (historical data)" xfId="3418"/>
    <cellStyle name="Link comment" xfId="3419"/>
    <cellStyle name="Link comment 2" xfId="3420"/>
    <cellStyle name="Link Currency (0)" xfId="3421"/>
    <cellStyle name="Link Currency (2)" xfId="3422"/>
    <cellStyle name="Link Units (0)" xfId="3423"/>
    <cellStyle name="Link Units (1)" xfId="3424"/>
    <cellStyle name="Link Units (2)" xfId="3425"/>
    <cellStyle name="linked" xfId="543"/>
    <cellStyle name="Linked (green bold)" xfId="3426"/>
    <cellStyle name="Linked (green italic)" xfId="3427"/>
    <cellStyle name="Linked (green)" xfId="3428"/>
    <cellStyle name="Linked (green) 2" xfId="3429"/>
    <cellStyle name="linked 2" xfId="3430"/>
    <cellStyle name="linked 2 2" xfId="3431"/>
    <cellStyle name="Linked Cell" xfId="773"/>
    <cellStyle name="Linked Cell 2" xfId="3432"/>
    <cellStyle name="Linked Cells" xfId="544"/>
    <cellStyle name="LN" xfId="545"/>
    <cellStyle name="LN 2" xfId="546"/>
    <cellStyle name="LN 2 2" xfId="3433"/>
    <cellStyle name="LN 3" xfId="3434"/>
    <cellStyle name="Lock" xfId="3435"/>
    <cellStyle name="Lock partiel" xfId="3436"/>
    <cellStyle name="LongDesc" xfId="547"/>
    <cellStyle name="m" xfId="3437"/>
    <cellStyle name="m 2" xfId="3438"/>
    <cellStyle name="m²" xfId="3439"/>
    <cellStyle name="m³" xfId="3440"/>
    <cellStyle name="MandatoryText" xfId="3441"/>
    <cellStyle name="Migliaia_IT_Budget06 2nd Round ppt" xfId="3442"/>
    <cellStyle name="Millares [0]_!!!GO" xfId="548"/>
    <cellStyle name="Millares_!!!GO" xfId="549"/>
    <cellStyle name="Milliers [0]_!!!GO" xfId="550"/>
    <cellStyle name="Milliers_!!!GO" xfId="551"/>
    <cellStyle name="Model" xfId="3443"/>
    <cellStyle name="Moneda [0]_!!!GO" xfId="552"/>
    <cellStyle name="Moneda_!!!GO" xfId="553"/>
    <cellStyle name="Monetaire [0]_!!!GO" xfId="554"/>
    <cellStyle name="Monétaire [0]_!!!GO" xfId="555"/>
    <cellStyle name="Monetaire [0]_!!!GO 2" xfId="556"/>
    <cellStyle name="Monétaire [0]_!!!GO 2" xfId="557"/>
    <cellStyle name="Monetaire [0]_!!!GO 3" xfId="3444"/>
    <cellStyle name="Monétaire [0]_!!!GO 3" xfId="3445"/>
    <cellStyle name="Monetaire [0]_!!!GO_1" xfId="558"/>
    <cellStyle name="Monétaire [0]_!!!GO_1" xfId="559"/>
    <cellStyle name="Monetaire [0]_!!!GO_1 2" xfId="560"/>
    <cellStyle name="Monétaire [0]_!!!GO_1 2" xfId="561"/>
    <cellStyle name="Monetaire [0]_!!!GO_1 3" xfId="3446"/>
    <cellStyle name="Monétaire [0]_!!!GO_1 3" xfId="3447"/>
    <cellStyle name="Monetaire [0]_CTC" xfId="562"/>
    <cellStyle name="Monétaire [0]_CTC" xfId="563"/>
    <cellStyle name="Monetaire [0]_CTC 2" xfId="564"/>
    <cellStyle name="Monétaire [0]_CTC 2" xfId="565"/>
    <cellStyle name="Monetaire [0]_CTC 3" xfId="3448"/>
    <cellStyle name="Monétaire [0]_CTC 3" xfId="3449"/>
    <cellStyle name="Monetaire [0]_CTC_!!!GO" xfId="566"/>
    <cellStyle name="Monétaire [0]_CTC_!!!GO" xfId="567"/>
    <cellStyle name="Monetaire [0]_CTC_!!!GO 2" xfId="568"/>
    <cellStyle name="Monétaire [0]_CTC_!!!GO 2" xfId="569"/>
    <cellStyle name="Monetaire [0]_CTC_!!!GO 3" xfId="3450"/>
    <cellStyle name="Monétaire [0]_CTC_!!!GO 3" xfId="3451"/>
    <cellStyle name="Monetaire [0]_DIRECTIONS" xfId="570"/>
    <cellStyle name="Monétaire [0]_DIRECTIONS" xfId="571"/>
    <cellStyle name="Monetaire [0]_DIRECTIONS 2" xfId="572"/>
    <cellStyle name="Monétaire [0]_DIRECTIONS 2" xfId="573"/>
    <cellStyle name="Monetaire [0]_DIRECTIONS 3" xfId="3452"/>
    <cellStyle name="Monétaire [0]_DIRECTIONS 3" xfId="3453"/>
    <cellStyle name="Monetaire [0]_DIRECTIONS_!!!GO" xfId="574"/>
    <cellStyle name="Monétaire [0]_DIRECTIONS_!!!GO" xfId="575"/>
    <cellStyle name="Monetaire [0]_DIRECTIONS_!!!GO 2" xfId="576"/>
    <cellStyle name="Monétaire [0]_DIRECTIONS_!!!GO 2" xfId="577"/>
    <cellStyle name="Monetaire [0]_DIRECTIONS_!!!GO 3" xfId="3454"/>
    <cellStyle name="Monétaire [0]_DIRECTIONS_!!!GO 3" xfId="3455"/>
    <cellStyle name="Monetaire [0]_laroux" xfId="578"/>
    <cellStyle name="Monétaire [0]_laroux" xfId="579"/>
    <cellStyle name="Monetaire [0]_laroux 2" xfId="580"/>
    <cellStyle name="Monétaire [0]_laroux 2" xfId="581"/>
    <cellStyle name="Monetaire [0]_laroux 3" xfId="3456"/>
    <cellStyle name="Monétaire [0]_laroux 3" xfId="3457"/>
    <cellStyle name="Monetaire [0]_laroux_1" xfId="582"/>
    <cellStyle name="Monétaire [0]_laroux_1" xfId="583"/>
    <cellStyle name="Monetaire [0]_laroux_1 2" xfId="584"/>
    <cellStyle name="Monétaire [0]_laroux_1 2" xfId="585"/>
    <cellStyle name="Monetaire [0]_laroux_1 3" xfId="3458"/>
    <cellStyle name="Monétaire [0]_laroux_1 3" xfId="3459"/>
    <cellStyle name="Monetaire [0]_liste principale 1998" xfId="586"/>
    <cellStyle name="Monétaire [0]_liste principale 1998" xfId="587"/>
    <cellStyle name="Monetaire [0]_liste principale 1998 2" xfId="588"/>
    <cellStyle name="Monétaire [0]_liste principale 1998 2" xfId="589"/>
    <cellStyle name="Monetaire [0]_liste principale 1998 3" xfId="3460"/>
    <cellStyle name="Monétaire [0]_liste principale 1998 3" xfId="3461"/>
    <cellStyle name="Monetaire [0]_liste principale 1998_!!!GO" xfId="590"/>
    <cellStyle name="Monétaire [0]_liste principale 1998_!!!GO" xfId="591"/>
    <cellStyle name="Monetaire [0]_liste principale 1998_!!!GO 2" xfId="592"/>
    <cellStyle name="Monétaire [0]_liste principale 1998_!!!GO 2" xfId="593"/>
    <cellStyle name="Monetaire [0]_liste principale 1998_!!!GO 3" xfId="3462"/>
    <cellStyle name="Monétaire [0]_liste principale 1998_!!!GO 3" xfId="3463"/>
    <cellStyle name="Monetaire [0]_pldt" xfId="594"/>
    <cellStyle name="Monétaire [0]_pldt" xfId="595"/>
    <cellStyle name="Monetaire [0]_pldt 2" xfId="596"/>
    <cellStyle name="Monétaire [0]_pldt 2" xfId="597"/>
    <cellStyle name="Monetaire [0]_pldt 3" xfId="3464"/>
    <cellStyle name="Monétaire [0]_pldt 3" xfId="3465"/>
    <cellStyle name="Monetaire [0]_pldt_1" xfId="598"/>
    <cellStyle name="Monétaire [0]_pldt_1" xfId="599"/>
    <cellStyle name="Monetaire [0]_pldt_1 2" xfId="600"/>
    <cellStyle name="Monétaire [0]_pldt_1 2" xfId="601"/>
    <cellStyle name="Monetaire [0]_pldt_1 3" xfId="3466"/>
    <cellStyle name="Monétaire [0]_pldt_1 3" xfId="3467"/>
    <cellStyle name="Monetaire_!!!GO" xfId="602"/>
    <cellStyle name="Monétaire_!!!GO" xfId="603"/>
    <cellStyle name="Monetaire_!!!GO 2" xfId="604"/>
    <cellStyle name="Monétaire_!!!GO 2" xfId="605"/>
    <cellStyle name="Monetaire_!!!GO 3" xfId="3468"/>
    <cellStyle name="Monétaire_!!!GO 3" xfId="3469"/>
    <cellStyle name="Monetaire_!!!GO_1" xfId="606"/>
    <cellStyle name="Monétaire_!!!GO_1" xfId="607"/>
    <cellStyle name="Monetaire_!!!GO_1 2" xfId="608"/>
    <cellStyle name="Monétaire_!!!GO_1 2" xfId="609"/>
    <cellStyle name="Monetaire_!!!GO_1 3" xfId="3470"/>
    <cellStyle name="Monétaire_!!!GO_1 3" xfId="3471"/>
    <cellStyle name="Monetaire_CTC" xfId="610"/>
    <cellStyle name="Monétaire_CTC" xfId="611"/>
    <cellStyle name="Monetaire_CTC 2" xfId="612"/>
    <cellStyle name="Monétaire_CTC 2" xfId="613"/>
    <cellStyle name="Monetaire_CTC 3" xfId="3472"/>
    <cellStyle name="Monétaire_CTC 3" xfId="3473"/>
    <cellStyle name="Monetaire_CTC_!!!GO" xfId="614"/>
    <cellStyle name="Monétaire_CTC_!!!GO" xfId="615"/>
    <cellStyle name="Monetaire_CTC_!!!GO 2" xfId="616"/>
    <cellStyle name="Monétaire_CTC_!!!GO 2" xfId="617"/>
    <cellStyle name="Monetaire_CTC_!!!GO 3" xfId="3474"/>
    <cellStyle name="Monétaire_CTC_!!!GO 3" xfId="3475"/>
    <cellStyle name="Monetaire_DIRECTIONS" xfId="618"/>
    <cellStyle name="Monétaire_DIRECTIONS" xfId="619"/>
    <cellStyle name="Monetaire_DIRECTIONS 2" xfId="620"/>
    <cellStyle name="Monétaire_DIRECTIONS 2" xfId="621"/>
    <cellStyle name="Monetaire_DIRECTIONS 3" xfId="3476"/>
    <cellStyle name="Monétaire_DIRECTIONS 3" xfId="3477"/>
    <cellStyle name="Monetaire_DIRECTIONS_!!!GO" xfId="622"/>
    <cellStyle name="Monétaire_DIRECTIONS_!!!GO" xfId="623"/>
    <cellStyle name="Monetaire_DIRECTIONS_!!!GO 2" xfId="624"/>
    <cellStyle name="Monétaire_DIRECTIONS_!!!GO 2" xfId="625"/>
    <cellStyle name="Monetaire_DIRECTIONS_!!!GO 3" xfId="3478"/>
    <cellStyle name="Monétaire_DIRECTIONS_!!!GO 3" xfId="3479"/>
    <cellStyle name="Monetaire_laroux" xfId="626"/>
    <cellStyle name="Monétaire_laroux" xfId="627"/>
    <cellStyle name="Monetaire_laroux 2" xfId="628"/>
    <cellStyle name="Monétaire_laroux 2" xfId="629"/>
    <cellStyle name="Monetaire_laroux 3" xfId="3480"/>
    <cellStyle name="Monétaire_laroux 3" xfId="3481"/>
    <cellStyle name="Monetaire_laroux_1" xfId="630"/>
    <cellStyle name="Monétaire_laroux_1" xfId="631"/>
    <cellStyle name="Monetaire_laroux_1 2" xfId="632"/>
    <cellStyle name="Monétaire_laroux_1 2" xfId="633"/>
    <cellStyle name="Monetaire_laroux_1 3" xfId="3482"/>
    <cellStyle name="Monétaire_laroux_1 3" xfId="3483"/>
    <cellStyle name="Monetaire_liste principale 1998" xfId="634"/>
    <cellStyle name="Monétaire_liste principale 1998" xfId="635"/>
    <cellStyle name="Monetaire_liste principale 1998 2" xfId="636"/>
    <cellStyle name="Monétaire_liste principale 1998 2" xfId="637"/>
    <cellStyle name="Monetaire_liste principale 1998 3" xfId="3484"/>
    <cellStyle name="Monétaire_liste principale 1998 3" xfId="3485"/>
    <cellStyle name="Monetaire_liste principale 1998_!!!GO" xfId="638"/>
    <cellStyle name="Monétaire_liste principale 1998_!!!GO" xfId="639"/>
    <cellStyle name="Monetaire_liste principale 1998_!!!GO 2" xfId="640"/>
    <cellStyle name="Monétaire_liste principale 1998_!!!GO 2" xfId="641"/>
    <cellStyle name="Monetaire_liste principale 1998_!!!GO 3" xfId="3486"/>
    <cellStyle name="Monétaire_liste principale 1998_!!!GO 3" xfId="3487"/>
    <cellStyle name="Monetaire_pldt" xfId="642"/>
    <cellStyle name="Monétaire_pldt" xfId="643"/>
    <cellStyle name="Monetaire_pldt 2" xfId="644"/>
    <cellStyle name="Monétaire_pldt 2" xfId="645"/>
    <cellStyle name="Monetaire_pldt 3" xfId="3488"/>
    <cellStyle name="Monétaire_pldt 3" xfId="3489"/>
    <cellStyle name="Monetaire_pldt_1" xfId="646"/>
    <cellStyle name="Monétaire_pldt_1" xfId="647"/>
    <cellStyle name="Monetaire_pldt_1 2" xfId="648"/>
    <cellStyle name="Monétaire_pldt_1 2" xfId="649"/>
    <cellStyle name="Monetaire_pldt_1 3" xfId="3490"/>
    <cellStyle name="Monétaire_pldt_1 3" xfId="3491"/>
    <cellStyle name="Multiple" xfId="650"/>
    <cellStyle name="MW" xfId="3492"/>
    <cellStyle name="MW 2" xfId="3493"/>
    <cellStyle name="MWh" xfId="3494"/>
    <cellStyle name="Name" xfId="651"/>
    <cellStyle name="Named Range" xfId="3495"/>
    <cellStyle name="Named Range Tag" xfId="3496"/>
    <cellStyle name="Named Range_11" xfId="3497"/>
    <cellStyle name="NetcareBorderCell" xfId="652"/>
    <cellStyle name="Neutral" xfId="774"/>
    <cellStyle name="Neutral 2" xfId="3498"/>
    <cellStyle name="New" xfId="653"/>
    <cellStyle name="no dec" xfId="654"/>
    <cellStyle name="Norm੎੎" xfId="3499"/>
    <cellStyle name="Normal" xfId="0" builtinId="0"/>
    <cellStyle name="Normal - Style1" xfId="655"/>
    <cellStyle name="Normal - Style1 2" xfId="656"/>
    <cellStyle name="Normal - Style1 3" xfId="3500"/>
    <cellStyle name="Normal (%)" xfId="3501"/>
    <cellStyle name="Normal ()" xfId="3502"/>
    <cellStyle name="Normal () 2" xfId="3503"/>
    <cellStyle name="Normal (£m)" xfId="3504"/>
    <cellStyle name="Normal (0.00)" xfId="3505"/>
    <cellStyle name="Normal (0.00) 2" xfId="3506"/>
    <cellStyle name="Normal 10" xfId="657"/>
    <cellStyle name="Normal 10 2" xfId="3507"/>
    <cellStyle name="Normal 10 3" xfId="3508"/>
    <cellStyle name="Normal 10_Copy of Org tabel menu kaart" xfId="3509"/>
    <cellStyle name="Normal 11" xfId="3510"/>
    <cellStyle name="Normal 11 2" xfId="3511"/>
    <cellStyle name="Normal 11_Sold" xfId="3512"/>
    <cellStyle name="Normal 12" xfId="3513"/>
    <cellStyle name="Normal 12 2" xfId="3514"/>
    <cellStyle name="Normal 12_Sold" xfId="3515"/>
    <cellStyle name="Normal 13" xfId="3516"/>
    <cellStyle name="Normal 13 2" xfId="3517"/>
    <cellStyle name="Normal 13_Sold" xfId="3518"/>
    <cellStyle name="Normal 14" xfId="3519"/>
    <cellStyle name="Normal 14 2" xfId="3520"/>
    <cellStyle name="Normal 14_Sold" xfId="3521"/>
    <cellStyle name="Normal 15" xfId="3522"/>
    <cellStyle name="Normal 15 2" xfId="3523"/>
    <cellStyle name="Normal 15_Model Plan 2012" xfId="3524"/>
    <cellStyle name="Normal 16" xfId="3525"/>
    <cellStyle name="Normal 17" xfId="3526"/>
    <cellStyle name="Normal 18" xfId="3527"/>
    <cellStyle name="Normal 19" xfId="3528"/>
    <cellStyle name="Normal 2" xfId="9"/>
    <cellStyle name="Normal 2 2" xfId="658"/>
    <cellStyle name="Normal 2 2 2" xfId="659"/>
    <cellStyle name="Normal 2 2 2 2" xfId="792"/>
    <cellStyle name="Normal 2 2 2 3" xfId="3529"/>
    <cellStyle name="Normal 2 2 3" xfId="3530"/>
    <cellStyle name="Normal 2 2 4" xfId="3531"/>
    <cellStyle name="Normal 2 2_2012 PL" xfId="3532"/>
    <cellStyle name="Normal 2 3" xfId="793"/>
    <cellStyle name="Normal 2 3 2" xfId="3533"/>
    <cellStyle name="Normal 2 3 3" xfId="3534"/>
    <cellStyle name="Normal 2 3 4" xfId="3535"/>
    <cellStyle name="Normal 2 3_Coverage" xfId="3536"/>
    <cellStyle name="Normal 2 4" xfId="3537"/>
    <cellStyle name="Normal 2 5" xfId="3538"/>
    <cellStyle name="Normal 2 6" xfId="3539"/>
    <cellStyle name="Normal 2 7" xfId="3540"/>
    <cellStyle name="Normal 2 8" xfId="3541"/>
    <cellStyle name="Normal 2 9" xfId="3542"/>
    <cellStyle name="Normal 2_2012 PL" xfId="3543"/>
    <cellStyle name="Normal 20" xfId="3544"/>
    <cellStyle name="Normal 21" xfId="3545"/>
    <cellStyle name="Normal 22" xfId="3546"/>
    <cellStyle name="Normal 23" xfId="3547"/>
    <cellStyle name="Normal 24" xfId="3548"/>
    <cellStyle name="Normal 28" xfId="3549"/>
    <cellStyle name="Normal 28 2" xfId="3550"/>
    <cellStyle name="Normal 3" xfId="660"/>
    <cellStyle name="Normal 3 2" xfId="3551"/>
    <cellStyle name="Normal 3 2 2" xfId="3552"/>
    <cellStyle name="Normal 3 2 2 2" xfId="3553"/>
    <cellStyle name="Normal 3 2 2_Sold" xfId="3554"/>
    <cellStyle name="Normal 3 2 3" xfId="3555"/>
    <cellStyle name="Normal 3 2 3 2" xfId="3556"/>
    <cellStyle name="Normal 3 2 3_Sold" xfId="3557"/>
    <cellStyle name="Normal 3 2 4" xfId="3558"/>
    <cellStyle name="Normal 3 2_Coverage" xfId="3559"/>
    <cellStyle name="Normal 3 3" xfId="3560"/>
    <cellStyle name="Normal 3 3 2" xfId="3561"/>
    <cellStyle name="Normal 3 3_Sold" xfId="3562"/>
    <cellStyle name="Normal 3 4" xfId="3563"/>
    <cellStyle name="Normal 3 4 2" xfId="3564"/>
    <cellStyle name="Normal 3 4_Sold" xfId="3565"/>
    <cellStyle name="Normal 3 5" xfId="3566"/>
    <cellStyle name="Normal 3_2012 PL" xfId="3567"/>
    <cellStyle name="Normal 4" xfId="661"/>
    <cellStyle name="Normal 4 2" xfId="3568"/>
    <cellStyle name="Normal 4 2 2" xfId="3569"/>
    <cellStyle name="Normal 4 2_Sold" xfId="3570"/>
    <cellStyle name="Normal 4 3" xfId="3571"/>
    <cellStyle name="Normal 4 3 2" xfId="3572"/>
    <cellStyle name="Normal 4 3_Sold" xfId="3573"/>
    <cellStyle name="Normal 4 4" xfId="3574"/>
    <cellStyle name="Normal 4 5" xfId="3575"/>
    <cellStyle name="Normal 4_Copy of Org tabel menu kaart" xfId="3576"/>
    <cellStyle name="Normal 5" xfId="662"/>
    <cellStyle name="Normal 5 2" xfId="3577"/>
    <cellStyle name="Normal 5 2 2" xfId="3578"/>
    <cellStyle name="Normal 5 2_Sold" xfId="3579"/>
    <cellStyle name="Normal 5 3" xfId="3580"/>
    <cellStyle name="Normal 5 4" xfId="3581"/>
    <cellStyle name="Normal 5_Copy of Org tabel menu kaart" xfId="3582"/>
    <cellStyle name="Normal 6" xfId="663"/>
    <cellStyle name="Normal 6 2" xfId="3583"/>
    <cellStyle name="Normal 6 2 2" xfId="3584"/>
    <cellStyle name="Normal 6 2 3" xfId="3585"/>
    <cellStyle name="Normal 6 2_Sold" xfId="3586"/>
    <cellStyle name="Normal 6 3" xfId="3587"/>
    <cellStyle name="Normal 6 4" xfId="3588"/>
    <cellStyle name="Normal 6_Coverage" xfId="3589"/>
    <cellStyle name="Normal 7" xfId="664"/>
    <cellStyle name="Normal 7 2" xfId="3590"/>
    <cellStyle name="Normal 7 2 2" xfId="3591"/>
    <cellStyle name="Normal 7 2 3" xfId="3592"/>
    <cellStyle name="Normal 7 2_Sold" xfId="3593"/>
    <cellStyle name="Normal 7 3" xfId="3594"/>
    <cellStyle name="Normal 7 4" xfId="3595"/>
    <cellStyle name="Normal 7_Coverage" xfId="3596"/>
    <cellStyle name="Normal 8" xfId="3597"/>
    <cellStyle name="Normal 8 2" xfId="3598"/>
    <cellStyle name="Normal 8 3" xfId="3599"/>
    <cellStyle name="Normal 8_Journal P05" xfId="3600"/>
    <cellStyle name="Normal 9" xfId="665"/>
    <cellStyle name="Normal 9 2" xfId="3601"/>
    <cellStyle name="Normal 9 3" xfId="3602"/>
    <cellStyle name="Normal 9_Copy of Org tabel menu kaart" xfId="3603"/>
    <cellStyle name="Normal_Incrementele kosten_20090507" xfId="7"/>
    <cellStyle name="Normal_Sheet1 2" xfId="3"/>
    <cellStyle name="Normale_pldt" xfId="3604"/>
    <cellStyle name="Normalny_56.Podstawowe dane o woj.(1)" xfId="3605"/>
    <cellStyle name="Note" xfId="775"/>
    <cellStyle name="Note 2" xfId="3606"/>
    <cellStyle name="Note 2 2" xfId="3607"/>
    <cellStyle name="Note 2_GDC nieuwe pfc cc jan  2011 v4" xfId="3608"/>
    <cellStyle name="Note 3" xfId="3609"/>
    <cellStyle name="Note 3 2" xfId="3610"/>
    <cellStyle name="Note 4" xfId="794"/>
    <cellStyle name="Notes" xfId="3611"/>
    <cellStyle name="Notes (w/o)" xfId="3612"/>
    <cellStyle name="Notes_080619_OBU035_Oerlikon Solar_valuae creation from JV options_v1600" xfId="3613"/>
    <cellStyle name="Notitie 2" xfId="666"/>
    <cellStyle name="Notitie 2 2" xfId="3614"/>
    <cellStyle name="Notitie 2_Sold" xfId="3615"/>
    <cellStyle name="Notitie 3" xfId="3616"/>
    <cellStyle name="Notitie 4" xfId="3617"/>
    <cellStyle name="Notitie 5" xfId="3618"/>
    <cellStyle name="Notitie 6" xfId="3619"/>
    <cellStyle name="Notitie 7" xfId="3620"/>
    <cellStyle name="Notitie 8" xfId="3621"/>
    <cellStyle name="Notitie 9" xfId="3622"/>
    <cellStyle name="Number" xfId="3623"/>
    <cellStyle name="ocultar" xfId="667"/>
    <cellStyle name="ocultar 2" xfId="3624"/>
    <cellStyle name="Œ…‹æØ‚è [0.00]_laroux" xfId="3625"/>
    <cellStyle name="Œ…‹æØ‚è_laroux" xfId="3626"/>
    <cellStyle name="Option" xfId="3627"/>
    <cellStyle name="Output" xfId="776"/>
    <cellStyle name="Output (orange shading)" xfId="3628"/>
    <cellStyle name="Output (orange shading) 2" xfId="3629"/>
    <cellStyle name="Output 2" xfId="3630"/>
    <cellStyle name="Output 3" xfId="3631"/>
    <cellStyle name="Output 4" xfId="3632"/>
    <cellStyle name="Output 5" xfId="3633"/>
    <cellStyle name="Output 6" xfId="3634"/>
    <cellStyle name="Output 7" xfId="795"/>
    <cellStyle name="Output Amounts" xfId="668"/>
    <cellStyle name="OUTPUT COLUMN HEADINGS" xfId="669"/>
    <cellStyle name="Output Line Items" xfId="670"/>
    <cellStyle name="OUTPUT REPORT HEADING" xfId="671"/>
    <cellStyle name="OUTPUT REPORT TITLE" xfId="672"/>
    <cellStyle name="page" xfId="673"/>
    <cellStyle name="Page Number" xfId="674"/>
    <cellStyle name="page_ND5 squeeze model  whs-whs v2.21 DWDM ILL" xfId="3635"/>
    <cellStyle name="per.style" xfId="675"/>
    <cellStyle name="Percent" xfId="1" builtinId="5"/>
    <cellStyle name="Percent ()" xfId="3636"/>
    <cellStyle name="Percent (0)" xfId="3637"/>
    <cellStyle name="Percent (0) 2" xfId="3638"/>
    <cellStyle name="Percent [0]" xfId="3639"/>
    <cellStyle name="Percent [00]" xfId="3640"/>
    <cellStyle name="Percent [2]" xfId="676"/>
    <cellStyle name="Percent [2] 2" xfId="677"/>
    <cellStyle name="Percent [2] 3" xfId="3641"/>
    <cellStyle name="Percent 10" xfId="3642"/>
    <cellStyle name="Percent 11" xfId="3643"/>
    <cellStyle name="Percent 12" xfId="3644"/>
    <cellStyle name="Percent 13" xfId="3645"/>
    <cellStyle name="Percent 19" xfId="3646"/>
    <cellStyle name="Percent 2" xfId="10"/>
    <cellStyle name="Percent 2 10" xfId="3647"/>
    <cellStyle name="Percent 2 11" xfId="3648"/>
    <cellStyle name="Percent 2 2" xfId="678"/>
    <cellStyle name="Percent 2 3" xfId="3649"/>
    <cellStyle name="Percent 2 4" xfId="3650"/>
    <cellStyle name="Percent 2 5" xfId="3651"/>
    <cellStyle name="Percent 2 6" xfId="3652"/>
    <cellStyle name="Percent 2 7" xfId="3653"/>
    <cellStyle name="Percent 2 8" xfId="3654"/>
    <cellStyle name="Percent 2 9" xfId="3655"/>
    <cellStyle name="Percent 3" xfId="679"/>
    <cellStyle name="Percent 3 2" xfId="3656"/>
    <cellStyle name="Percent 3 3" xfId="3657"/>
    <cellStyle name="Percent 4" xfId="680"/>
    <cellStyle name="Percent 4 2" xfId="3658"/>
    <cellStyle name="Percent 5" xfId="3659"/>
    <cellStyle name="Percent 5 2" xfId="3660"/>
    <cellStyle name="Percent 6" xfId="3661"/>
    <cellStyle name="Percent 7" xfId="3662"/>
    <cellStyle name="Percent 8" xfId="3663"/>
    <cellStyle name="Percent 9" xfId="3664"/>
    <cellStyle name="Percent Input" xfId="3665"/>
    <cellStyle name="Percentage (2dp)" xfId="681"/>
    <cellStyle name="Pourcentage_pldt" xfId="682"/>
    <cellStyle name="PrePop Currency (0)" xfId="3666"/>
    <cellStyle name="PrePop Currency (2)" xfId="3667"/>
    <cellStyle name="PrePop Units (0)" xfId="3668"/>
    <cellStyle name="PrePop Units (1)" xfId="3669"/>
    <cellStyle name="PrePop Units (2)" xfId="3670"/>
    <cellStyle name="PriceChange" xfId="683"/>
    <cellStyle name="Procent 2" xfId="684"/>
    <cellStyle name="Procent 2 2" xfId="685"/>
    <cellStyle name="Procent 2 3" xfId="796"/>
    <cellStyle name="Procent 2 4" xfId="3671"/>
    <cellStyle name="Procent 3" xfId="686"/>
    <cellStyle name="Procent 4" xfId="687"/>
    <cellStyle name="Procent 5" xfId="797"/>
    <cellStyle name="Procent 6" xfId="798"/>
    <cellStyle name="PropGenCurrencyFormat" xfId="688"/>
    <cellStyle name="PropGenCurrencyFormat 2" xfId="689"/>
    <cellStyle name="PropGenCurrencyFormat 3" xfId="3672"/>
    <cellStyle name="Protect (Hidden)" xfId="3673"/>
    <cellStyle name="Protect (Hidden) 2" xfId="3674"/>
    <cellStyle name="Protect (Locked)" xfId="3675"/>
    <cellStyle name="Protect (Locked) 2" xfId="3676"/>
    <cellStyle name="Protect (Locked; Hidden)" xfId="3677"/>
    <cellStyle name="Protect (Locked; Hidden) 2" xfId="3678"/>
    <cellStyle name="Protect (none)" xfId="3679"/>
    <cellStyle name="Protect (none) 2" xfId="3680"/>
    <cellStyle name="Prozent 0" xfId="3681"/>
    <cellStyle name="Prozent(o)" xfId="3682"/>
    <cellStyle name="Prozent_2001" xfId="3683"/>
    <cellStyle name="PSChar" xfId="3684"/>
    <cellStyle name="PSDate" xfId="3685"/>
    <cellStyle name="PSDec" xfId="3686"/>
    <cellStyle name="PSHeading" xfId="3687"/>
    <cellStyle name="PSInt" xfId="3688"/>
    <cellStyle name="PSSpacer" xfId="3689"/>
    <cellStyle name="Rack_kit" xfId="690"/>
    <cellStyle name="Ratio" xfId="3690"/>
    <cellStyle name="Ratio 2" xfId="3691"/>
    <cellStyle name="Ref Numbers" xfId="3692"/>
    <cellStyle name="regstoresfromspecstores" xfId="691"/>
    <cellStyle name="Released" xfId="692"/>
    <cellStyle name="Released-Short" xfId="693"/>
    <cellStyle name="ReportTitlePrompt" xfId="694"/>
    <cellStyle name="ReportTitleValue" xfId="695"/>
    <cellStyle name="RevList" xfId="696"/>
    <cellStyle name="Risico" xfId="3693"/>
    <cellStyle name="row number" xfId="3694"/>
    <cellStyle name="Row Title" xfId="3695"/>
    <cellStyle name="Row Title 2" xfId="3696"/>
    <cellStyle name="RowAcctAbovePrompt" xfId="697"/>
    <cellStyle name="RowAcctSOBAbovePrompt" xfId="698"/>
    <cellStyle name="RowAcctSOBValue" xfId="699"/>
    <cellStyle name="RowAcctValue" xfId="700"/>
    <cellStyle name="RowAttrAbovePrompt" xfId="701"/>
    <cellStyle name="RowAttrValue" xfId="702"/>
    <cellStyle name="RowColSetAbovePrompt" xfId="703"/>
    <cellStyle name="RowColSetLeftPrompt" xfId="704"/>
    <cellStyle name="RowColSetValue" xfId="705"/>
    <cellStyle name="RowLeftPrompt" xfId="706"/>
    <cellStyle name="s]_x000d__x000a_load=C:\MS\SMS\BIN\smsrun16.exe_x000d__x000a_;C:\WINDOWS\SYSTEM\MGACTRL.EXE_x000d__x000a_;C:\TC\BIN\TCSPOOL.EXE_x000d__x000a_run=_x000d__x000a_NullPort=None_x000d__x000a_Defau_DEC REV DETAIL (ACE) (2)" xfId="707"/>
    <cellStyle name="SampleUsingFormatMask" xfId="708"/>
    <cellStyle name="SampleWithNoFormatMask" xfId="709"/>
    <cellStyle name="SAPBEXaggData" xfId="3697"/>
    <cellStyle name="SAPBEXaggData 2" xfId="3698"/>
    <cellStyle name="SAPBEXaggData_2012 PL" xfId="3699"/>
    <cellStyle name="SAPBEXaggDataEmph" xfId="3700"/>
    <cellStyle name="SAPBEXaggDataEmph 2" xfId="3701"/>
    <cellStyle name="SAPBEXaggDataEmph_2012 PL" xfId="3702"/>
    <cellStyle name="SAPBEXaggItem" xfId="3703"/>
    <cellStyle name="SAPBEXaggItem 2" xfId="3704"/>
    <cellStyle name="SAPBEXaggItem_2012 PL" xfId="3705"/>
    <cellStyle name="SAPBEXaggItemX" xfId="3706"/>
    <cellStyle name="SAPBEXaggItemX 2" xfId="3707"/>
    <cellStyle name="SAPBEXaggItemX_2012 PL" xfId="3708"/>
    <cellStyle name="SAPBEXchaText" xfId="3709"/>
    <cellStyle name="SAPBEXchaText 2" xfId="3710"/>
    <cellStyle name="SAPBEXchaText 3" xfId="3711"/>
    <cellStyle name="SAPBEXchaText_2012 PL" xfId="3712"/>
    <cellStyle name="SAPBEXexcBad7" xfId="3713"/>
    <cellStyle name="SAPBEXexcBad7 2" xfId="3714"/>
    <cellStyle name="SAPBEXexcBad7_2012 PL" xfId="3715"/>
    <cellStyle name="SAPBEXexcBad8" xfId="3716"/>
    <cellStyle name="SAPBEXexcBad8 2" xfId="3717"/>
    <cellStyle name="SAPBEXexcBad8_2012 PL" xfId="3718"/>
    <cellStyle name="SAPBEXexcBad9" xfId="3719"/>
    <cellStyle name="SAPBEXexcBad9 2" xfId="3720"/>
    <cellStyle name="SAPBEXexcBad9_2012 PL" xfId="3721"/>
    <cellStyle name="SAPBEXexcCritical4" xfId="3722"/>
    <cellStyle name="SAPBEXexcCritical4 2" xfId="3723"/>
    <cellStyle name="SAPBEXexcCritical4_2012 PL" xfId="3724"/>
    <cellStyle name="SAPBEXexcCritical5" xfId="3725"/>
    <cellStyle name="SAPBEXexcCritical5 2" xfId="3726"/>
    <cellStyle name="SAPBEXexcCritical5_2012 PL" xfId="3727"/>
    <cellStyle name="SAPBEXexcCritical6" xfId="3728"/>
    <cellStyle name="SAPBEXexcCritical6 2" xfId="3729"/>
    <cellStyle name="SAPBEXexcCritical6_2012 PL" xfId="3730"/>
    <cellStyle name="SAPBEXexcGood1" xfId="3731"/>
    <cellStyle name="SAPBEXexcGood1 2" xfId="3732"/>
    <cellStyle name="SAPBEXexcGood1_2012 PL" xfId="3733"/>
    <cellStyle name="SAPBEXexcGood2" xfId="3734"/>
    <cellStyle name="SAPBEXexcGood2 2" xfId="3735"/>
    <cellStyle name="SAPBEXexcGood2_2012 PL" xfId="3736"/>
    <cellStyle name="SAPBEXexcGood3" xfId="3737"/>
    <cellStyle name="SAPBEXexcGood3 2" xfId="3738"/>
    <cellStyle name="SAPBEXexcGood3_2012 PL" xfId="3739"/>
    <cellStyle name="SAPBEXfilterDrill" xfId="3740"/>
    <cellStyle name="SAPBEXfilterDrill 2" xfId="3741"/>
    <cellStyle name="SAPBEXfilterDrill_2012 PL" xfId="3742"/>
    <cellStyle name="SAPBEXfilterItem" xfId="3743"/>
    <cellStyle name="SAPBEXfilterItem 2" xfId="3744"/>
    <cellStyle name="SAPBEXfilterItem_2012 PL" xfId="3745"/>
    <cellStyle name="SAPBEXfilterText" xfId="3746"/>
    <cellStyle name="SAPBEXfilterText 2" xfId="3747"/>
    <cellStyle name="SAPBEXfilterText_2012 PL" xfId="3748"/>
    <cellStyle name="SAPBEXformats" xfId="3749"/>
    <cellStyle name="SAPBEXformats 2" xfId="3750"/>
    <cellStyle name="SAPBEXformats_2012 PL" xfId="3751"/>
    <cellStyle name="SAPBEXheaderItem" xfId="3752"/>
    <cellStyle name="SAPBEXheaderItem 2" xfId="3753"/>
    <cellStyle name="SAPBEXheaderItem_2012 PL" xfId="3754"/>
    <cellStyle name="SAPBEXheaderText" xfId="3755"/>
    <cellStyle name="SAPBEXheaderText 2" xfId="3756"/>
    <cellStyle name="SAPBEXheaderText_2012 PL" xfId="3757"/>
    <cellStyle name="SAPBEXHLevel0" xfId="3758"/>
    <cellStyle name="SAPBEXHLevel0 2" xfId="3759"/>
    <cellStyle name="SAPBEXHLevel0_2012 PL" xfId="3760"/>
    <cellStyle name="SAPBEXHLevel0X" xfId="3761"/>
    <cellStyle name="SAPBEXHLevel0X 2" xfId="3762"/>
    <cellStyle name="SAPBEXHLevel0X_2012 PL" xfId="3763"/>
    <cellStyle name="SAPBEXHLevel1" xfId="3764"/>
    <cellStyle name="SAPBEXHLevel1 2" xfId="3765"/>
    <cellStyle name="SAPBEXHLevel1_2012 PL" xfId="3766"/>
    <cellStyle name="SAPBEXHLevel1X" xfId="3767"/>
    <cellStyle name="SAPBEXHLevel1X 2" xfId="3768"/>
    <cellStyle name="SAPBEXHLevel1X_2012 PL" xfId="3769"/>
    <cellStyle name="SAPBEXHLevel2" xfId="3770"/>
    <cellStyle name="SAPBEXHLevel2 2" xfId="3771"/>
    <cellStyle name="SAPBEXHLevel2_2012 PL" xfId="3772"/>
    <cellStyle name="SAPBEXHLevel2X" xfId="3773"/>
    <cellStyle name="SAPBEXHLevel2X 2" xfId="3774"/>
    <cellStyle name="SAPBEXHLevel2X_2012 PL" xfId="3775"/>
    <cellStyle name="SAPBEXHLevel3" xfId="3776"/>
    <cellStyle name="SAPBEXHLevel3 2" xfId="3777"/>
    <cellStyle name="SAPBEXHLevel3 3" xfId="3778"/>
    <cellStyle name="SAPBEXHLevel3 4" xfId="3779"/>
    <cellStyle name="SAPBEXHLevel3 5" xfId="3780"/>
    <cellStyle name="SAPBEXHLevel3_2012 PL" xfId="3781"/>
    <cellStyle name="SAPBEXHLevel3X" xfId="3782"/>
    <cellStyle name="SAPBEXHLevel3X 2" xfId="3783"/>
    <cellStyle name="SAPBEXHLevel3X_2012 PL" xfId="3784"/>
    <cellStyle name="SAPBEXinputData" xfId="3785"/>
    <cellStyle name="SAPBEXinputData 2" xfId="3786"/>
    <cellStyle name="SAPBEXinputData_2012 PL" xfId="3787"/>
    <cellStyle name="SAPBEXItemHeader" xfId="3788"/>
    <cellStyle name="SAPBEXresData" xfId="3789"/>
    <cellStyle name="SAPBEXresData 2" xfId="3790"/>
    <cellStyle name="SAPBEXresData_2012 PL" xfId="3791"/>
    <cellStyle name="SAPBEXresDataEmph" xfId="3792"/>
    <cellStyle name="SAPBEXresDataEmph 2" xfId="3793"/>
    <cellStyle name="SAPBEXresDataEmph_2012 PL" xfId="3794"/>
    <cellStyle name="SAPBEXresItem" xfId="3795"/>
    <cellStyle name="SAPBEXresItem 2" xfId="3796"/>
    <cellStyle name="SAPBEXresItem_2012 PL" xfId="3797"/>
    <cellStyle name="SAPBEXresItemX" xfId="3798"/>
    <cellStyle name="SAPBEXresItemX 2" xfId="3799"/>
    <cellStyle name="SAPBEXresItemX_2012 PL" xfId="3800"/>
    <cellStyle name="SAPBEXstdData" xfId="3801"/>
    <cellStyle name="SAPBEXstdData 2" xfId="3802"/>
    <cellStyle name="SAPBEXstdData_2012 PL" xfId="3803"/>
    <cellStyle name="SAPBEXstdDataEmph" xfId="3804"/>
    <cellStyle name="SAPBEXstdDataEmph 2" xfId="3805"/>
    <cellStyle name="SAPBEXstdDataEmph_2012 PL" xfId="3806"/>
    <cellStyle name="SAPBEXstdItem" xfId="3807"/>
    <cellStyle name="SAPBEXstdItem 2" xfId="3808"/>
    <cellStyle name="SAPBEXstdItem 3" xfId="3809"/>
    <cellStyle name="SAPBEXstdItem 4" xfId="3810"/>
    <cellStyle name="SAPBEXstdItem_2012 PL" xfId="3811"/>
    <cellStyle name="SAPBEXstdItemX" xfId="3812"/>
    <cellStyle name="SAPBEXstdItemX 2" xfId="3813"/>
    <cellStyle name="SAPBEXstdItemX_2012 PL" xfId="3814"/>
    <cellStyle name="SAPBEXtitle" xfId="3815"/>
    <cellStyle name="SAPBEXtitle 2" xfId="3816"/>
    <cellStyle name="SAPBEXtitle_2012 PL" xfId="3817"/>
    <cellStyle name="SAPBEXunassignedItem" xfId="3818"/>
    <cellStyle name="SAPBEXunassignedItem 2" xfId="3819"/>
    <cellStyle name="SAPBEXundefined" xfId="3820"/>
    <cellStyle name="SAPBEXundefined 2" xfId="3821"/>
    <cellStyle name="SAPBEXundefined_2012 PL" xfId="3822"/>
    <cellStyle name="SectionSubTitle" xfId="710"/>
    <cellStyle name="SectionTitle" xfId="711"/>
    <cellStyle name="SHADEDSTORES" xfId="712"/>
    <cellStyle name="Sheet Title" xfId="3823"/>
    <cellStyle name="Source Line" xfId="713"/>
    <cellStyle name="Source Line 2" xfId="3824"/>
    <cellStyle name="specstores" xfId="714"/>
    <cellStyle name="SPOl" xfId="715"/>
    <cellStyle name="SPOl 2" xfId="3825"/>
    <cellStyle name="Standaard 10" xfId="3826"/>
    <cellStyle name="Standaard 2" xfId="11"/>
    <cellStyle name="Standaard 2 2" xfId="716"/>
    <cellStyle name="Standaard 2 3" xfId="717"/>
    <cellStyle name="Standaard 2 4" xfId="799"/>
    <cellStyle name="Standaard 3" xfId="718"/>
    <cellStyle name="Standaard 3 2" xfId="3827"/>
    <cellStyle name="Standaard 3 3" xfId="3828"/>
    <cellStyle name="Standaard 4" xfId="719"/>
    <cellStyle name="Standaard 4 2" xfId="805"/>
    <cellStyle name="Standaard 4 3" xfId="3829"/>
    <cellStyle name="Standaard 5" xfId="783"/>
    <cellStyle name="Standaard 5 2" xfId="784"/>
    <cellStyle name="Standaard 5 3" xfId="786"/>
    <cellStyle name="Standaard 6" xfId="2"/>
    <cellStyle name="Standaard 6 2" xfId="800"/>
    <cellStyle name="Standaard 6 3" xfId="3830"/>
    <cellStyle name="Standaard 7" xfId="801"/>
    <cellStyle name="Standaard 8" xfId="802"/>
    <cellStyle name="Standaard 9" xfId="3831"/>
    <cellStyle name="Standaard_Tarieven Bitstream v25" xfId="6"/>
    <cellStyle name="Standaard_WEAS pricing_v3" xfId="762"/>
    <cellStyle name="Standard format" xfId="3832"/>
    <cellStyle name="Standard format 2" xfId="3833"/>
    <cellStyle name="Standard_ " xfId="3834"/>
    <cellStyle name="std" xfId="720"/>
    <cellStyle name="std 2" xfId="3835"/>
    <cellStyle name="std 2 2" xfId="3836"/>
    <cellStyle name="std 3" xfId="3837"/>
    <cellStyle name="std_Preclosing" xfId="3838"/>
    <cellStyle name="Stijl 1" xfId="721"/>
    <cellStyle name="Stijl 1 2" xfId="777"/>
    <cellStyle name="Stijl 1 2 2" xfId="3839"/>
    <cellStyle name="Style 1" xfId="722"/>
    <cellStyle name="Style 1 2" xfId="3840"/>
    <cellStyle name="Style 1 2 2" xfId="3841"/>
    <cellStyle name="Style 1 3" xfId="3842"/>
    <cellStyle name="Style 1_2012 PL" xfId="3843"/>
    <cellStyle name="Sub Title" xfId="723"/>
    <cellStyle name="subcalc" xfId="724"/>
    <cellStyle name="subhead" xfId="3844"/>
    <cellStyle name="Subtotal" xfId="725"/>
    <cellStyle name="Sum 1 (bold)" xfId="3845"/>
    <cellStyle name="Sum 1 (bold) 2" xfId="3846"/>
    <cellStyle name="Sum 2 (bold, upper line)" xfId="3847"/>
    <cellStyle name="Sum 2 (bold, upper line) 2" xfId="3848"/>
    <cellStyle name="Sum 3 (bold, lines)" xfId="3849"/>
    <cellStyle name="Sum 3 (bold, lines) 2" xfId="3850"/>
    <cellStyle name="Sum 4 (bold, double line)" xfId="3851"/>
    <cellStyle name="Sum 4 (bold, double line) 2" xfId="3852"/>
    <cellStyle name="summe1" xfId="3853"/>
    <cellStyle name="summe1 2" xfId="3854"/>
    <cellStyle name="Table Head" xfId="726"/>
    <cellStyle name="Table Head Aligned" xfId="727"/>
    <cellStyle name="Table Head Aligned 2" xfId="3855"/>
    <cellStyle name="Table Head Blue" xfId="728"/>
    <cellStyle name="Table Head Green" xfId="729"/>
    <cellStyle name="Table Head Green 2" xfId="3856"/>
    <cellStyle name="Table Heading" xfId="730"/>
    <cellStyle name="Table Title" xfId="731"/>
    <cellStyle name="Table Units" xfId="732"/>
    <cellStyle name="Table Units 2" xfId="3857"/>
    <cellStyle name="Table Units 3" xfId="3986"/>
    <cellStyle name="Table Units 4" xfId="3987"/>
    <cellStyle name="Table Units 5" xfId="3988"/>
    <cellStyle name="Table Units 6" xfId="3989"/>
    <cellStyle name="taples Plaza" xfId="3858"/>
    <cellStyle name="taples Plaza 2" xfId="3859"/>
    <cellStyle name="Text 1" xfId="3860"/>
    <cellStyle name="Text 2" xfId="3861"/>
    <cellStyle name="Text 3" xfId="3862"/>
    <cellStyle name="Text 4" xfId="3863"/>
    <cellStyle name="Text Indent A" xfId="3864"/>
    <cellStyle name="Text Indent B" xfId="3865"/>
    <cellStyle name="Text Indent C" xfId="3866"/>
    <cellStyle name="þ­_x000c_™_x0009_qý)_x000d_8ýß_x0007_—_x001c_ˆ)_x0007__x0001__x0001_" xfId="733"/>
    <cellStyle name="þ­_x000c_™_x0009_qý)_x000d_8ýß_x0007_—_x001c_ˆ)_x0007__x0001__x0001_ 2" xfId="3867"/>
    <cellStyle name="þ­_x000c_™_x0009_qý)_x000d_8ýß_x0007_—_x001c_ˆ)_x0007__x0001__x0001_ 2 2" xfId="3868"/>
    <cellStyle name="þ­_x000c_™_x0009_qý)_x000d_8ýß_x0007_—_x001c_)_x0007__x0001__x0001_" xfId="734"/>
    <cellStyle name="þ­_x000c_™_x0009_qý)_x000d_8ýß_x0007_—_x001c_)_x0007__x0001__x0001_ 2" xfId="735"/>
    <cellStyle name="þ­_x000c_™_x0009_qý)_x000d_8ýß_x0007_—_x001c_)_x0007__x0001__x0001_ 2 2" xfId="3869"/>
    <cellStyle name="þ­_x000c_™_x0009_qý)_x000d_8ýß_x0007_—_x001c_)_x0007__x0001__x0001_ 3" xfId="3870"/>
    <cellStyle name="þ­_x000c_™_x0009_qý)_x000d_8ýß_x0007_—_x001c_Œ)_x0007__x0001__x0001_" xfId="736"/>
    <cellStyle name="þ­_x000c_™_x0009_qý)_x000d_8ýß_x0007_—_x001c_Œ)_x0007__x0001__x0001_ 2" xfId="737"/>
    <cellStyle name="þ­_x000c_™_x0009_qý)_x000d_8ýß_x0007_—_x001c_Œ)_x0007__x0001__x0001_ 2 2" xfId="3871"/>
    <cellStyle name="þ­_x000c_™_x0009_qý)_x000d_8ýß_x0007_—_x001c_Œ)_x0007__x0001__x0001_ 3" xfId="3872"/>
    <cellStyle name="þáÊ¹_x0009_oý)_x000d_8ýß_x0007_ËÚ‡_x0011__x0007__x0001__x0001_" xfId="738"/>
    <cellStyle name="þáÊ¹_x0009_oý)_x000d_8ýß_x0007_ËÚ‡_x0011__x0007__x0001__x0001_ 2" xfId="739"/>
    <cellStyle name="þáÊ¹_x0009_oý)_x000d_8ýß_x0007_ËÚ‡_x0011__x0007__x0001__x0001_ 2 2" xfId="3873"/>
    <cellStyle name="þáÊ¹_x0009_oý)_x000d_8ýß_x0007_ËÚ‡_x0011__x0007__x0001__x0001_ 3" xfId="3874"/>
    <cellStyle name="þ_x001d_ðE&amp;lüµ&amp;eüG_x0008_&gt;_x0010__x001d__x0011__x0007__x0001__x0001_" xfId="740"/>
    <cellStyle name="þ_x001d_ðE&amp;lüµ&amp;eüG_x0008_&gt;_x0010__x001d__x0011__x0007__x0001__x0001_ 2" xfId="3875"/>
    <cellStyle name="þ_x001d_ðE&amp;lüµ&amp;eüG_x0008_&gt;_x0010__x001d__x0011__x0007__x0001__x0001_ 2 2" xfId="3876"/>
    <cellStyle name="þÐþ•_x0009_7þ%_x000d_þýß_x0007_º_x000e_ª_x001b__x0007__x0001__x0001_" xfId="741"/>
    <cellStyle name="þÐþ•_x0009_7þ%_x000d_þýß_x0007_º_x000e_ª_x001b__x0007__x0001__x0001_ 2" xfId="742"/>
    <cellStyle name="þÐþ•_x0009_7þ%_x000d_þýß_x0007_º_x000e_ª_x001b__x0007__x0001__x0001_ 2 2" xfId="3877"/>
    <cellStyle name="þÐþ•_x0009_7þ%_x000d_þýß_x0007_º_x000e_ª_x001b__x0007__x0001__x0001_ 3" xfId="3878"/>
    <cellStyle name="þúÍ•_x0009_7þ%_x000d_þýß_x0007_äÝ†_x0011__x0007__x0001__x0001_" xfId="743"/>
    <cellStyle name="þúÍ•_x0009_7þ%_x000d_þýß_x0007_äÝ†_x0011__x0007__x0001__x0001_ 2" xfId="744"/>
    <cellStyle name="þúÍ•_x0009_7þ%_x000d_þýß_x0007_äÝ†_x0011__x0007__x0001__x0001_ 2 2" xfId="3879"/>
    <cellStyle name="þúÍ•_x0009_7þ%_x000d_þýß_x0007_äÝ†_x0011__x0007__x0001__x0001_ 3" xfId="3880"/>
    <cellStyle name="þúÍ•_x0009_7þ%_x000d_þýß_x0007_äÝ‡_x0011__x0007__x0001__x0001_" xfId="745"/>
    <cellStyle name="þúÍ•_x0009_7þ%_x000d_þýß_x0007_äÝ‡_x0011__x0007__x0001__x0001_ 2" xfId="746"/>
    <cellStyle name="þúÍ•_x0009_7þ%_x000d_þýß_x0007_äÝ‡_x0011__x0007__x0001__x0001_ 2 2" xfId="3881"/>
    <cellStyle name="þúÍ•_x0009_7þ%_x000d_þýß_x0007_äÝ‡_x0011__x0007__x0001__x0001_ 3" xfId="3882"/>
    <cellStyle name="þúÍ•_x0009_7þ%_x000d_þýß_x0007_äÝŠ_x0011__x0007__x0001__x0001_" xfId="747"/>
    <cellStyle name="þúÍ•_x0009_7þ%_x000d_þýß_x0007_äÝŠ_x0011__x000f__x0001__x0001_" xfId="748"/>
    <cellStyle name="þúÍ•_x0009_7þ%_x000d_þýß_x0007_äÝŠ_x0011__x0007__x0001__x0001_ 2" xfId="749"/>
    <cellStyle name="þúÍ•_x0009_7þ%_x000d_þýß_x0007_äÝŠ_x0011__x000f__x0001__x0001_ 2" xfId="3883"/>
    <cellStyle name="þúÍ•_x0009_7þ%_x000d_þýß_x0007_äÝŠ_x0011__x0007__x0001__x0001_ 2 10" xfId="3884"/>
    <cellStyle name="þúÍ•_x0009_7þ%_x000d_þýß_x0007_äÝŠ_x0011__x000f__x0001__x0001_ 2 10" xfId="3885"/>
    <cellStyle name="þúÍ•_x0009_7þ%_x000d_þýß_x0007_äÝŠ_x0011__x0007__x0001__x0001_ 2 2" xfId="3886"/>
    <cellStyle name="þúÍ•_x0009_7þ%_x000d_þýß_x0007_äÝŠ_x0011__x000f__x0001__x0001_ 2 2" xfId="3887"/>
    <cellStyle name="þúÍ•_x0009_7þ%_x000d_þýß_x0007_äÝŠ_x0011__x0007__x0001__x0001_ 2 3" xfId="3888"/>
    <cellStyle name="þúÍ•_x0009_7þ%_x000d_þýß_x0007_äÝŠ_x0011__x000f__x0001__x0001_ 2 3" xfId="3889"/>
    <cellStyle name="þúÍ•_x0009_7þ%_x000d_þýß_x0007_äÝŠ_x0011__x0007__x0001__x0001_ 2 4" xfId="3890"/>
    <cellStyle name="þúÍ•_x0009_7þ%_x000d_þýß_x0007_äÝŠ_x0011__x000f__x0001__x0001_ 2 4" xfId="3891"/>
    <cellStyle name="þúÍ•_x0009_7þ%_x000d_þýß_x0007_äÝŠ_x0011__x0007__x0001__x0001_ 2 5" xfId="3892"/>
    <cellStyle name="þúÍ•_x0009_7þ%_x000d_þýß_x0007_äÝŠ_x0011__x000f__x0001__x0001_ 2 5" xfId="3893"/>
    <cellStyle name="þúÍ•_x0009_7þ%_x000d_þýß_x0007_äÝŠ_x0011__x0007__x0001__x0001_ 2 6" xfId="3894"/>
    <cellStyle name="þúÍ•_x0009_7þ%_x000d_þýß_x0007_äÝŠ_x0011__x000f__x0001__x0001_ 2 6" xfId="3895"/>
    <cellStyle name="þúÍ•_x0009_7þ%_x000d_þýß_x0007_äÝŠ_x0011__x0007__x0001__x0001_ 2 7" xfId="3896"/>
    <cellStyle name="þúÍ•_x0009_7þ%_x000d_þýß_x0007_äÝŠ_x0011__x000f__x0001__x0001_ 2 7" xfId="3897"/>
    <cellStyle name="þúÍ•_x0009_7þ%_x000d_þýß_x0007_äÝŠ_x0011__x0007__x0001__x0001_ 2 8" xfId="3898"/>
    <cellStyle name="þúÍ•_x0009_7þ%_x000d_þýß_x0007_äÝŠ_x0011__x000f__x0001__x0001_ 2 8" xfId="3899"/>
    <cellStyle name="þúÍ•_x0009_7þ%_x000d_þýß_x0007_äÝŠ_x0011__x0007__x0001__x0001_ 2 9" xfId="3900"/>
    <cellStyle name="þúÍ•_x0009_7þ%_x000d_þýß_x0007_äÝŠ_x0011__x000f__x0001__x0001_ 2 9" xfId="3901"/>
    <cellStyle name="þúÍ•_x0009_7þ%_x000d_þýß_x0007_äÝŠ_x0011__x0007__x0001__x0001_ 3" xfId="3902"/>
    <cellStyle name="þúÍ•_x0009_7þ%_x000d_þýß_x0007_äÝŠ_x0011__x000f__x0001__x0001_ 3" xfId="3903"/>
    <cellStyle name="þúÍ•_x0009_7þ%_x000d_þýß_x0007_äÝŠ_x0011__x0007__x0001__x0001_ 3 10" xfId="3904"/>
    <cellStyle name="þúÍ•_x0009_7þ%_x000d_þýß_x0007_äÝŠ_x0011__x000f__x0001__x0001_ 3 10" xfId="3905"/>
    <cellStyle name="þúÍ•_x0009_7þ%_x000d_þýß_x0007_äÝŠ_x0011__x0007__x0001__x0001_ 3 2" xfId="3906"/>
    <cellStyle name="þúÍ•_x0009_7þ%_x000d_þýß_x0007_äÝŠ_x0011__x000f__x0001__x0001_ 3 2" xfId="3907"/>
    <cellStyle name="þúÍ•_x0009_7þ%_x000d_þýß_x0007_äÝŠ_x0011__x0007__x0001__x0001_ 3 3" xfId="3908"/>
    <cellStyle name="þúÍ•_x0009_7þ%_x000d_þýß_x0007_äÝŠ_x0011__x000f__x0001__x0001_ 3 3" xfId="3909"/>
    <cellStyle name="þúÍ•_x0009_7þ%_x000d_þýß_x0007_äÝŠ_x0011__x0007__x0001__x0001_ 3 4" xfId="3910"/>
    <cellStyle name="þúÍ•_x0009_7þ%_x000d_þýß_x0007_äÝŠ_x0011__x000f__x0001__x0001_ 3 4" xfId="3911"/>
    <cellStyle name="þúÍ•_x0009_7þ%_x000d_þýß_x0007_äÝŠ_x0011__x0007__x0001__x0001_ 3 5" xfId="3912"/>
    <cellStyle name="þúÍ•_x0009_7þ%_x000d_þýß_x0007_äÝŠ_x0011__x000f__x0001__x0001_ 3 5" xfId="3913"/>
    <cellStyle name="þúÍ•_x0009_7þ%_x000d_þýß_x0007_äÝŠ_x0011__x0007__x0001__x0001_ 3 6" xfId="3914"/>
    <cellStyle name="þúÍ•_x0009_7þ%_x000d_þýß_x0007_äÝŠ_x0011__x000f__x0001__x0001_ 3 6" xfId="3915"/>
    <cellStyle name="þúÍ•_x0009_7þ%_x000d_þýß_x0007_äÝŠ_x0011__x0007__x0001__x0001_ 3 7" xfId="3916"/>
    <cellStyle name="þúÍ•_x0009_7þ%_x000d_þýß_x0007_äÝŠ_x0011__x000f__x0001__x0001_ 3 7" xfId="3917"/>
    <cellStyle name="þúÍ•_x0009_7þ%_x000d_þýß_x0007_äÝŠ_x0011__x0007__x0001__x0001_ 3 8" xfId="3918"/>
    <cellStyle name="þúÍ•_x0009_7þ%_x000d_þýß_x0007_äÝŠ_x0011__x000f__x0001__x0001_ 3 8" xfId="3919"/>
    <cellStyle name="þúÍ•_x0009_7þ%_x000d_þýß_x0007_äÝŠ_x0011__x0007__x0001__x0001_ 3 9" xfId="3920"/>
    <cellStyle name="þúÍ•_x0009_7þ%_x000d_þýß_x0007_äÝŠ_x0011__x000f__x0001__x0001_ 3 9" xfId="3921"/>
    <cellStyle name="þúÍ•_x0009_7þ%_x000d_þýß_x0007_äÝŠ_x0011__x0007__x0001__x0001__ND5 squeeze model  whs-whs v2.21 DWDM ILL" xfId="3922"/>
    <cellStyle name="þúÍ•_x0009_7þ%_x000d_þýß_x0007_äÝŠ_x0011__x000f__x0001__x0001__ND5 squeeze model  whs-whs v2.21 DWDM ILL" xfId="3923"/>
    <cellStyle name="þŽø™_x0009_Nÿ)_x000d__x0015_ÿß_x0007_x_x0008_t_x0015__x0007__x0001__x0001_" xfId="750"/>
    <cellStyle name="þŽø™_x0009_Nÿ)_x000d__x0015_ÿß_x0007_x_x0008_t_x0015__x0007__x0001__x0001_ 2" xfId="751"/>
    <cellStyle name="þŽø™_x0009_Nÿ)_x000d__x0015_ÿß_x0007_x_x0008_t_x0015__x0007__x0001__x0001_ 2 2" xfId="3924"/>
    <cellStyle name="þŽø™_x0009_Nÿ)_x000d__x0015_ÿß_x0007_x_x0008_t_x0015__x0007__x0001__x0001_ 3" xfId="3925"/>
    <cellStyle name="Tijd" xfId="752"/>
    <cellStyle name="Time (hh:mm Uhr)" xfId="3926"/>
    <cellStyle name="Time (hh:mm Uhr) 2" xfId="3927"/>
    <cellStyle name="Title" xfId="778"/>
    <cellStyle name="Title 1" xfId="3928"/>
    <cellStyle name="Title 2" xfId="3929"/>
    <cellStyle name="Title 3" xfId="3930"/>
    <cellStyle name="Title 4" xfId="3931"/>
    <cellStyle name="Title Line" xfId="753"/>
    <cellStyle name="Title_BP2008-2011_v2_kosten" xfId="779"/>
    <cellStyle name="Titre1" xfId="754"/>
    <cellStyle name="Titre1 2" xfId="3932"/>
    <cellStyle name="Titre1 3" xfId="3933"/>
    <cellStyle name="Top Row" xfId="755"/>
    <cellStyle name="Total" xfId="780"/>
    <cellStyle name="Total 2" xfId="3934"/>
    <cellStyle name="Total 3" xfId="803"/>
    <cellStyle name="Total Row" xfId="3935"/>
    <cellStyle name="TT.MM.JJ" xfId="3936"/>
    <cellStyle name="TWh" xfId="3937"/>
    <cellStyle name="TWh 2" xfId="3938"/>
    <cellStyle name="Überschrift1" xfId="3939"/>
    <cellStyle name="Überschrift2" xfId="3940"/>
    <cellStyle name="Überschrift3" xfId="3941"/>
    <cellStyle name="Überschrift4" xfId="3942"/>
    <cellStyle name="Unit" xfId="3943"/>
    <cellStyle name="UploadThisRowValue" xfId="756"/>
    <cellStyle name="US$ ($ 0.00)" xfId="3944"/>
    <cellStyle name="US$ Mio. ($ 0 Mio)" xfId="3945"/>
    <cellStyle name="Valuta (0)_pldt" xfId="3946"/>
    <cellStyle name="Valuta 2" xfId="12"/>
    <cellStyle name="Valuta 2 2" xfId="3947"/>
    <cellStyle name="Valuta 2 3" xfId="3948"/>
    <cellStyle name="Valuta 2 4" xfId="3949"/>
    <cellStyle name="Valuta 3" xfId="4"/>
    <cellStyle name="Valuta 3 2" xfId="804"/>
    <cellStyle name="Valuta 3 3" xfId="3950"/>
    <cellStyle name="Valuta 4" xfId="757"/>
    <cellStyle name="Valuta 5" xfId="781"/>
    <cellStyle name="vic1" xfId="3951"/>
    <cellStyle name="vic1 2" xfId="3952"/>
    <cellStyle name="vic1 3" xfId="3953"/>
    <cellStyle name="vic1_GDC nieuwe pfc cc jan  2011 v4" xfId="3954"/>
    <cellStyle name="Währung [0]_ " xfId="3955"/>
    <cellStyle name="Währung_ " xfId="3956"/>
    <cellStyle name="Warning Text" xfId="782"/>
    <cellStyle name="Warning Text 2" xfId="3957"/>
    <cellStyle name="wrap" xfId="3958"/>
    <cellStyle name="Wrap text" xfId="3959"/>
    <cellStyle name="Wrap text 2" xfId="3960"/>
    <cellStyle name="year" xfId="758"/>
    <cellStyle name="Year (actual)" xfId="3961"/>
    <cellStyle name="Year (actual) 2" xfId="3962"/>
    <cellStyle name="Year (expected)" xfId="3963"/>
    <cellStyle name="Year (expected) 2" xfId="3964"/>
    <cellStyle name="year 2" xfId="3965"/>
    <cellStyle name="year 3" xfId="3966"/>
    <cellStyle name="year 4" xfId="3967"/>
    <cellStyle name="year 5" xfId="3968"/>
    <cellStyle name="Year 6" xfId="3969"/>
    <cellStyle name="Year_080619_OBU035_Oerlikon Solar_valuae creation from JV options_v1600" xfId="3970"/>
    <cellStyle name="Yen (¥ 0 )" xfId="3971"/>
    <cellStyle name="Yen (¥ 0 ) 2" xfId="3972"/>
    <cellStyle name="Yen Mio (¥ 0 Mio.)" xfId="3973"/>
    <cellStyle name="Yen Mio (¥ 0 Mio.) 2" xfId="3974"/>
    <cellStyle name="zichtbaar" xfId="759"/>
    <cellStyle name="zichtbaar 2" xfId="3975"/>
    <cellStyle name="zichtbaar 2 2" xfId="3976"/>
    <cellStyle name="桁区切り_ytd_dec_actual" xfId="3977"/>
    <cellStyle name="標準_Infra_Plofile" xfId="3978"/>
  </cellStyles>
  <dxfs count="50"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ont>
        <condense val="0"/>
        <extend val="0"/>
        <color indexed="8"/>
      </font>
      <border>
        <left/>
        <right/>
        <top/>
        <bottom/>
      </border>
    </dxf>
    <dxf>
      <font>
        <condense val="0"/>
        <extend val="0"/>
        <color indexed="8"/>
      </font>
      <border>
        <left/>
        <right/>
        <top/>
        <bottom/>
      </border>
    </dxf>
    <dxf>
      <font>
        <condense val="0"/>
        <extend val="0"/>
        <color indexed="8"/>
      </font>
      <border>
        <left/>
        <right/>
        <top/>
        <bottom/>
      </border>
    </dxf>
    <dxf>
      <font>
        <condense val="0"/>
        <extend val="0"/>
        <color indexed="8"/>
      </font>
      <border>
        <left/>
        <right/>
        <top/>
        <bottom/>
      </border>
    </dxf>
    <dxf>
      <font>
        <condense val="0"/>
        <extend val="0"/>
        <color indexed="8"/>
      </font>
      <border>
        <left/>
        <right/>
        <top/>
        <bottom/>
      </border>
    </dxf>
    <dxf>
      <font>
        <condense val="0"/>
        <extend val="0"/>
        <color indexed="8"/>
      </font>
      <border>
        <left/>
        <right/>
        <top/>
        <bottom/>
      </border>
    </dxf>
    <dxf>
      <font>
        <condense val="0"/>
        <extend val="0"/>
        <color indexed="8"/>
      </font>
      <border>
        <left/>
        <right/>
        <top/>
        <bottom/>
      </border>
    </dxf>
    <dxf>
      <font>
        <condense val="0"/>
        <extend val="0"/>
        <color indexed="8"/>
      </font>
      <border>
        <left/>
        <right/>
        <top/>
        <bottom/>
      </border>
    </dxf>
    <dxf>
      <font>
        <condense val="0"/>
        <extend val="0"/>
        <color indexed="8"/>
      </font>
      <border>
        <left/>
        <right/>
        <top/>
        <bottom/>
      </border>
    </dxf>
    <dxf>
      <font>
        <condense val="0"/>
        <extend val="0"/>
        <color indexed="8"/>
      </font>
      <border>
        <left/>
        <right/>
        <top/>
        <bottom/>
      </border>
    </dxf>
    <dxf>
      <font>
        <condense val="0"/>
        <extend val="0"/>
        <color indexed="8"/>
      </font>
      <border>
        <left/>
        <right/>
        <top/>
        <bottom/>
      </border>
    </dxf>
    <dxf>
      <font>
        <condense val="0"/>
        <extend val="0"/>
        <color indexed="8"/>
      </font>
      <border>
        <left/>
        <right/>
        <top/>
        <bottom/>
      </border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</dxfs>
  <tableStyles count="0" defaultTableStyle="TableStyleMedium2" defaultPivotStyle="PivotStyleLight16"/>
  <colors>
    <mruColors>
      <color rgb="FFFFFF99"/>
      <color rgb="FF0000FF"/>
      <color rgb="FF00CC00"/>
      <color rgb="FF0066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anen001\AppData\Local\Temp\Temp1_aanpassingen%202014%20Q3%20-%20alleen%20markeringen.zip\20141101%20LPM%20EVPN%20-%20openbaar%20met%20offnet%20er%20nog%20in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oorblad"/>
      <sheetName val="Parameters"/>
      <sheetName val="Mapping"/>
      <sheetName val="ZM tariefblad (EVPN)"/>
      <sheetName val="ZM tariefblad PLAT (EVPN)"/>
      <sheetName val="WO tariefblad (WEAS)"/>
      <sheetName val="WO tariefblad PLAT (WEAS)"/>
      <sheetName val="EDC en LRIC"/>
      <sheetName val="ACCESS"/>
      <sheetName val="VPN"/>
      <sheetName val="2de VPN"/>
    </sheetNames>
    <sheetDataSet>
      <sheetData sheetId="0" refreshError="1"/>
      <sheetData sheetId="1">
        <row r="2">
          <cell r="B2">
            <v>0.01</v>
          </cell>
        </row>
        <row r="6">
          <cell r="B6" t="str">
            <v>Ja</v>
          </cell>
        </row>
        <row r="23">
          <cell r="B23">
            <v>0</v>
          </cell>
        </row>
        <row r="24">
          <cell r="B24">
            <v>0</v>
          </cell>
        </row>
        <row r="25">
          <cell r="B25">
            <v>0</v>
          </cell>
        </row>
        <row r="26">
          <cell r="B26">
            <v>0</v>
          </cell>
        </row>
        <row r="37">
          <cell r="B37">
            <v>0</v>
          </cell>
        </row>
        <row r="38">
          <cell r="B38">
            <v>0</v>
          </cell>
        </row>
        <row r="41">
          <cell r="B41">
            <v>0</v>
          </cell>
        </row>
        <row r="42">
          <cell r="B42">
            <v>0</v>
          </cell>
        </row>
        <row r="43">
          <cell r="B43">
            <v>0</v>
          </cell>
        </row>
        <row r="61">
          <cell r="B61">
            <v>1</v>
          </cell>
        </row>
        <row r="62">
          <cell r="B62">
            <v>1</v>
          </cell>
        </row>
        <row r="63">
          <cell r="B63">
            <v>1</v>
          </cell>
        </row>
        <row r="64">
          <cell r="B64">
            <v>0</v>
          </cell>
        </row>
        <row r="65">
          <cell r="B65">
            <v>0</v>
          </cell>
        </row>
        <row r="66">
          <cell r="B66">
            <v>1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11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comments" Target="../comments3.xml"/><Relationship Id="rId1" Type="http://schemas.openxmlformats.org/officeDocument/2006/relationships/vmlDrawing" Target="../drawings/vmlDrawing3.v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6"/>
  <sheetViews>
    <sheetView tabSelected="1" workbookViewId="0">
      <selection activeCell="H11" sqref="H11"/>
    </sheetView>
  </sheetViews>
  <sheetFormatPr defaultRowHeight="15"/>
  <cols>
    <col min="1" max="2" width="4.28515625" customWidth="1"/>
    <col min="3" max="3" width="30.7109375" customWidth="1"/>
  </cols>
  <sheetData>
    <row r="1" spans="1:10" s="471" customFormat="1" ht="12.75">
      <c r="B1" s="472"/>
    </row>
    <row r="2" spans="1:10" s="471" customFormat="1" ht="12.75">
      <c r="B2" s="473"/>
      <c r="C2" s="473" t="str">
        <f ca="1">UPPER(MID(CELL("filename",A1),FIND("[",CELL("filename",A1))+1,FIND("]",CELL("filename",A1))-FIND("[",CELL("filename",A1))-5))</f>
        <v>LPM MB15 - EVPN 20170201 OPENBAAR.</v>
      </c>
    </row>
    <row r="3" spans="1:10" s="471" customFormat="1" ht="12.75">
      <c r="B3" s="472"/>
      <c r="C3" s="471" t="str">
        <f ca="1">UPPER(MID(CELL("filename",A2),FIND("]",CELL("filename",A2))+1,LEN(CELL("filename",A2))))</f>
        <v>VOORBLAD</v>
      </c>
    </row>
    <row r="4" spans="1:10" s="471" customFormat="1" ht="12.75">
      <c r="A4" s="474"/>
      <c r="B4" s="475"/>
      <c r="C4" s="474"/>
      <c r="D4" s="474"/>
      <c r="E4" s="474"/>
      <c r="F4" s="474"/>
      <c r="G4" s="474"/>
      <c r="H4" s="474"/>
      <c r="I4" s="474"/>
      <c r="J4" s="474"/>
    </row>
    <row r="5" spans="1:10" s="51" customFormat="1" ht="12.75">
      <c r="B5" s="476"/>
      <c r="C5" s="477"/>
    </row>
    <row r="6" spans="1:10" s="51" customFormat="1" ht="12.75">
      <c r="B6" s="476"/>
    </row>
    <row r="7" spans="1:10" s="51" customFormat="1" ht="12.75">
      <c r="B7" s="476"/>
    </row>
    <row r="8" spans="1:10" s="478" customFormat="1" ht="12.75">
      <c r="B8" s="479" t="s">
        <v>3193</v>
      </c>
      <c r="C8" s="480" t="s">
        <v>3436</v>
      </c>
    </row>
    <row r="9" spans="1:10" s="51" customFormat="1" ht="12.75">
      <c r="B9" s="476"/>
      <c r="C9" s="477"/>
    </row>
    <row r="10" spans="1:10" s="51" customFormat="1">
      <c r="B10" s="476"/>
      <c r="C10" s="481" t="s">
        <v>3437</v>
      </c>
    </row>
    <row r="11" spans="1:10" s="51" customFormat="1">
      <c r="B11" s="476"/>
      <c r="C11" s="481" t="s">
        <v>3438</v>
      </c>
    </row>
    <row r="12" spans="1:10" s="51" customFormat="1">
      <c r="B12" s="476"/>
      <c r="C12" s="166"/>
    </row>
    <row r="13" spans="1:10" s="478" customFormat="1" ht="12.75">
      <c r="B13" s="479" t="s">
        <v>3254</v>
      </c>
      <c r="C13" s="480" t="s">
        <v>3439</v>
      </c>
    </row>
    <row r="14" spans="1:10" ht="15.75">
      <c r="B14" s="482"/>
      <c r="C14" s="477"/>
      <c r="D14" s="51"/>
      <c r="E14" s="483"/>
    </row>
    <row r="15" spans="1:10" ht="15.75">
      <c r="B15" s="482"/>
      <c r="C15" s="484" t="s">
        <v>3440</v>
      </c>
      <c r="D15" s="485"/>
      <c r="E15" s="486"/>
    </row>
    <row r="16" spans="1:10" ht="15.75">
      <c r="B16" s="482"/>
      <c r="C16" s="487" t="s">
        <v>3441</v>
      </c>
      <c r="D16" s="488"/>
      <c r="E16" s="489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  <pageSetUpPr fitToPage="1"/>
  </sheetPr>
  <dimension ref="A1:W722"/>
  <sheetViews>
    <sheetView topLeftCell="A13" workbookViewId="0">
      <selection activeCell="E36" sqref="E36:E58"/>
    </sheetView>
  </sheetViews>
  <sheetFormatPr defaultColWidth="0" defaultRowHeight="12.75" zeroHeight="1"/>
  <cols>
    <col min="1" max="1" width="2.7109375" style="253" customWidth="1"/>
    <col min="2" max="2" width="3.28515625" style="253" customWidth="1"/>
    <col min="3" max="3" width="2.42578125" style="253" customWidth="1"/>
    <col min="4" max="4" width="54.42578125" style="253" customWidth="1"/>
    <col min="5" max="5" width="17.42578125" style="253" customWidth="1"/>
    <col min="6" max="7" width="19" style="253" bestFit="1" customWidth="1"/>
    <col min="8" max="8" width="17.28515625" style="253" bestFit="1" customWidth="1"/>
    <col min="9" max="9" width="23.42578125" style="253" customWidth="1"/>
    <col min="10" max="10" width="19.5703125" style="253" customWidth="1"/>
    <col min="11" max="11" width="25" style="253" bestFit="1" customWidth="1"/>
    <col min="12" max="12" width="16.7109375" style="253" customWidth="1"/>
    <col min="13" max="13" width="19" style="253" bestFit="1" customWidth="1"/>
    <col min="14" max="14" width="25" style="253" hidden="1" customWidth="1"/>
    <col min="15" max="15" width="13.42578125" style="253" hidden="1" customWidth="1"/>
    <col min="16" max="16" width="16" style="253" hidden="1" customWidth="1"/>
    <col min="17" max="18" width="19" style="253" hidden="1" customWidth="1"/>
    <col min="19" max="19" width="16.5703125" style="253" hidden="1" customWidth="1"/>
    <col min="20" max="23" width="10" style="253" hidden="1" customWidth="1"/>
    <col min="24" max="16384" width="10" style="253" hidden="1"/>
  </cols>
  <sheetData>
    <row r="1" spans="2:23">
      <c r="D1" s="254"/>
    </row>
    <row r="2" spans="2:23">
      <c r="D2" s="255"/>
      <c r="E2" s="255" t="str">
        <f ca="1">UPPER(MID(CELL("filename",A1),FIND("[",CELL("filename",A1))+1,FIND("]",CELL("filename",A1))-FIND("[",CELL("filename",A1))-5))</f>
        <v>LPM MB15 - EVPN 20170201 OPENBAAR.</v>
      </c>
    </row>
    <row r="3" spans="2:23">
      <c r="D3" s="254"/>
      <c r="E3" s="253" t="str">
        <f ca="1">UPPER(MID(CELL("filename",A2),FIND("]",CELL("filename",A2))+1,LEN(CELL("filename",A2))))</f>
        <v>PARAMETERS ULL</v>
      </c>
    </row>
    <row r="4" spans="2:23" s="256" customFormat="1">
      <c r="D4" s="257"/>
    </row>
    <row r="5" spans="2:23"/>
    <row r="6" spans="2:23">
      <c r="D6" s="255"/>
    </row>
    <row r="7" spans="2:23" s="349" customFormat="1">
      <c r="B7" s="351" t="s">
        <v>3193</v>
      </c>
      <c r="C7" s="350" t="s">
        <v>3194</v>
      </c>
      <c r="N7" s="253"/>
      <c r="O7" s="253"/>
      <c r="P7" s="253"/>
      <c r="Q7" s="253"/>
      <c r="R7" s="253"/>
      <c r="S7" s="253"/>
      <c r="T7" s="253"/>
      <c r="U7" s="253"/>
      <c r="V7" s="253"/>
      <c r="W7" s="253"/>
    </row>
    <row r="8" spans="2:23" s="260" customFormat="1">
      <c r="B8" s="258"/>
      <c r="C8" s="259"/>
      <c r="N8" s="253"/>
      <c r="O8" s="253"/>
      <c r="P8" s="253"/>
      <c r="Q8" s="253"/>
      <c r="R8" s="253"/>
      <c r="S8" s="253"/>
      <c r="T8" s="253"/>
      <c r="U8" s="253"/>
      <c r="V8" s="253"/>
      <c r="W8" s="253"/>
    </row>
    <row r="9" spans="2:23">
      <c r="D9" s="255" t="s">
        <v>3195</v>
      </c>
      <c r="E9" s="261"/>
      <c r="F9" s="261"/>
      <c r="G9" s="261"/>
      <c r="H9" s="261"/>
      <c r="I9" s="261"/>
      <c r="J9" s="261"/>
      <c r="K9" s="259"/>
      <c r="L9" s="259"/>
      <c r="M9" s="259"/>
    </row>
    <row r="10" spans="2:23">
      <c r="D10" s="354" t="s">
        <v>3196</v>
      </c>
      <c r="E10" s="353">
        <v>36</v>
      </c>
      <c r="F10" s="262"/>
      <c r="G10" s="262"/>
      <c r="H10" s="262"/>
      <c r="I10" s="262"/>
      <c r="J10" s="262"/>
      <c r="K10" s="262"/>
      <c r="L10" s="262"/>
      <c r="M10" s="262"/>
    </row>
    <row r="11" spans="2:23">
      <c r="D11" s="260"/>
      <c r="E11" s="262"/>
      <c r="F11" s="262"/>
      <c r="G11" s="262"/>
      <c r="H11" s="262"/>
      <c r="I11" s="262"/>
      <c r="J11" s="262"/>
      <c r="K11" s="262"/>
      <c r="L11" s="262"/>
      <c r="M11" s="262"/>
    </row>
    <row r="12" spans="2:23"/>
    <row r="13" spans="2:23" s="349" customFormat="1">
      <c r="B13" s="351" t="s">
        <v>3197</v>
      </c>
      <c r="C13" s="350" t="s">
        <v>3198</v>
      </c>
      <c r="N13" s="253"/>
      <c r="O13" s="253"/>
      <c r="P13" s="253"/>
      <c r="Q13" s="253"/>
      <c r="R13" s="253"/>
      <c r="S13" s="253"/>
      <c r="T13" s="253"/>
      <c r="U13" s="253"/>
      <c r="V13" s="253"/>
      <c r="W13" s="253"/>
    </row>
    <row r="14" spans="2:23">
      <c r="D14" s="263"/>
      <c r="E14" s="264"/>
      <c r="F14" s="264"/>
      <c r="G14" s="265"/>
      <c r="H14" s="265"/>
      <c r="I14" s="266"/>
      <c r="J14" s="266"/>
      <c r="K14" s="266"/>
      <c r="L14" s="267"/>
      <c r="N14" s="260"/>
      <c r="O14" s="260"/>
      <c r="P14" s="260"/>
    </row>
    <row r="15" spans="2:23">
      <c r="B15" s="253" t="s">
        <v>3199</v>
      </c>
      <c r="D15" s="263"/>
      <c r="E15" s="264"/>
      <c r="G15" s="264"/>
      <c r="H15" s="268"/>
      <c r="I15" s="266"/>
      <c r="J15" s="266"/>
      <c r="K15" s="266"/>
      <c r="L15" s="267"/>
      <c r="N15" s="260"/>
      <c r="O15" s="260"/>
      <c r="P15" s="260"/>
    </row>
    <row r="16" spans="2:23">
      <c r="D16" s="263"/>
      <c r="E16" s="264"/>
      <c r="F16" s="264"/>
      <c r="G16" s="264"/>
      <c r="H16" s="269"/>
      <c r="I16" s="266"/>
      <c r="J16" s="266"/>
      <c r="K16" s="266"/>
      <c r="L16" s="267"/>
      <c r="N16" s="260"/>
      <c r="O16" s="260"/>
      <c r="P16" s="260"/>
    </row>
    <row r="17" spans="2:23">
      <c r="D17" s="490" t="s">
        <v>3442</v>
      </c>
      <c r="E17" s="491">
        <v>100</v>
      </c>
      <c r="F17" s="264" t="s">
        <v>3200</v>
      </c>
      <c r="G17" s="264"/>
      <c r="I17" s="266"/>
      <c r="J17" s="266"/>
      <c r="K17" s="266"/>
      <c r="L17" s="267"/>
      <c r="N17" s="260"/>
      <c r="O17" s="260"/>
      <c r="P17" s="260"/>
    </row>
    <row r="18" spans="2:23">
      <c r="D18" s="263"/>
      <c r="E18" s="262"/>
      <c r="F18" s="264"/>
      <c r="G18" s="264"/>
      <c r="I18" s="266"/>
      <c r="J18" s="266"/>
      <c r="K18" s="266"/>
      <c r="L18" s="267"/>
      <c r="N18" s="260"/>
      <c r="O18" s="260"/>
      <c r="P18" s="260"/>
    </row>
    <row r="19" spans="2:23">
      <c r="D19" s="263"/>
      <c r="E19" s="270"/>
      <c r="F19" s="264"/>
      <c r="G19" s="265"/>
      <c r="H19" s="265"/>
      <c r="I19" s="266"/>
      <c r="J19" s="266"/>
      <c r="K19" s="266"/>
      <c r="L19" s="267"/>
      <c r="N19" s="260"/>
      <c r="O19" s="260"/>
      <c r="P19" s="260"/>
    </row>
    <row r="20" spans="2:23" s="349" customFormat="1">
      <c r="B20" s="351" t="s">
        <v>3201</v>
      </c>
      <c r="C20" s="350" t="s">
        <v>3202</v>
      </c>
      <c r="N20" s="253"/>
      <c r="O20" s="253"/>
      <c r="P20" s="253"/>
      <c r="Q20" s="253"/>
      <c r="R20" s="253"/>
      <c r="S20" s="253"/>
      <c r="T20" s="253"/>
      <c r="U20" s="253"/>
      <c r="V20" s="253"/>
      <c r="W20" s="253"/>
    </row>
    <row r="21" spans="2:23">
      <c r="D21" s="263"/>
      <c r="E21" s="270"/>
      <c r="F21" s="264"/>
      <c r="G21" s="265"/>
      <c r="H21" s="265"/>
      <c r="I21" s="266"/>
      <c r="J21" s="266"/>
      <c r="K21" s="266"/>
      <c r="L21" s="267"/>
      <c r="N21" s="260"/>
      <c r="O21" s="260"/>
      <c r="P21" s="260"/>
    </row>
    <row r="22" spans="2:23">
      <c r="D22" s="263"/>
      <c r="E22" s="270"/>
      <c r="F22" s="264"/>
      <c r="G22" s="265"/>
      <c r="H22" s="265"/>
      <c r="I22" s="266"/>
      <c r="J22" s="266"/>
      <c r="K22" s="266"/>
      <c r="L22" s="267"/>
      <c r="N22" s="260"/>
      <c r="O22" s="260"/>
      <c r="P22" s="260"/>
    </row>
    <row r="23" spans="2:23">
      <c r="D23" s="263"/>
      <c r="E23" s="358" t="s">
        <v>3089</v>
      </c>
      <c r="F23" s="358" t="s">
        <v>3090</v>
      </c>
      <c r="G23" s="358" t="s">
        <v>3091</v>
      </c>
      <c r="H23" s="357" t="s">
        <v>3092</v>
      </c>
      <c r="I23" s="266"/>
      <c r="J23" s="266"/>
      <c r="K23" s="266"/>
      <c r="L23" s="267"/>
      <c r="N23" s="260"/>
      <c r="O23" s="260"/>
      <c r="P23" s="260"/>
    </row>
    <row r="24" spans="2:23">
      <c r="D24" s="352" t="s">
        <v>3203</v>
      </c>
      <c r="E24" s="492">
        <v>1</v>
      </c>
      <c r="F24" s="492">
        <v>0</v>
      </c>
      <c r="G24" s="492">
        <v>0</v>
      </c>
      <c r="H24" s="492">
        <v>0</v>
      </c>
      <c r="I24" s="266"/>
      <c r="J24" s="266"/>
      <c r="K24" s="266"/>
      <c r="L24" s="267"/>
      <c r="N24" s="260"/>
      <c r="O24" s="260"/>
      <c r="P24" s="260"/>
    </row>
    <row r="25" spans="2:23">
      <c r="D25" s="263"/>
      <c r="E25" s="270"/>
      <c r="F25" s="264"/>
      <c r="G25" s="265"/>
      <c r="H25" s="265"/>
      <c r="I25" s="266"/>
      <c r="J25" s="266"/>
      <c r="K25" s="266"/>
      <c r="L25" s="267"/>
      <c r="N25" s="260"/>
      <c r="O25" s="260"/>
      <c r="P25" s="260"/>
    </row>
    <row r="26" spans="2:23">
      <c r="D26" s="352" t="s">
        <v>3204</v>
      </c>
      <c r="E26" s="493">
        <v>100</v>
      </c>
      <c r="F26" s="271" t="s">
        <v>3205</v>
      </c>
      <c r="G26" s="265"/>
      <c r="H26" s="265"/>
      <c r="I26" s="266"/>
      <c r="J26" s="266"/>
      <c r="K26" s="266"/>
      <c r="L26" s="267"/>
      <c r="N26" s="260"/>
      <c r="O26" s="260"/>
      <c r="P26" s="260"/>
    </row>
    <row r="27" spans="2:23">
      <c r="D27" s="263"/>
      <c r="E27" s="270"/>
      <c r="F27" s="264"/>
      <c r="G27" s="265"/>
      <c r="H27" s="265"/>
      <c r="I27" s="266"/>
      <c r="J27" s="266"/>
      <c r="K27" s="266"/>
      <c r="L27" s="267"/>
      <c r="N27" s="260"/>
      <c r="O27" s="260"/>
      <c r="P27" s="260"/>
    </row>
    <row r="28" spans="2:23">
      <c r="D28" s="352" t="s">
        <v>3206</v>
      </c>
      <c r="E28" s="356">
        <f>'Parameters ULL'!$E$24*'Inkoop tarief elementen'!$E$13+'Parameters ULL'!$F$24*'Inkoop tarief elementen'!$E$15+'Parameters ULL'!$G$24*'Inkoop tarief elementen'!$E$16+'Parameters ULL'!$H$24*($E$26+'Inkoop tarief elementen'!$E$13)</f>
        <v>70.790000000000006</v>
      </c>
      <c r="F28" s="264"/>
      <c r="G28" s="265"/>
      <c r="H28" s="265"/>
      <c r="I28" s="266"/>
      <c r="J28" s="266"/>
      <c r="K28" s="266"/>
      <c r="L28" s="267"/>
      <c r="N28" s="260"/>
      <c r="O28" s="260"/>
      <c r="P28" s="260"/>
    </row>
    <row r="29" spans="2:23">
      <c r="D29" s="352" t="s">
        <v>3207</v>
      </c>
      <c r="E29" s="356">
        <f>'Parameters ULL'!$E$24*'Inkoop tarief elementen'!$F$13+'Parameters ULL'!$F$24*'Inkoop tarief elementen'!$F$17+'Parameters ULL'!$G$24*'Inkoop tarief elementen'!$F$17+'Parameters ULL'!$H$24*($E$26+'Inkoop tarief elementen'!$F$13)</f>
        <v>166.88</v>
      </c>
      <c r="F29" s="264"/>
      <c r="G29" s="265"/>
      <c r="H29" s="265"/>
      <c r="I29" s="266"/>
      <c r="J29" s="266"/>
      <c r="K29" s="266"/>
      <c r="L29" s="267"/>
      <c r="N29" s="260"/>
      <c r="O29" s="260"/>
      <c r="P29" s="260"/>
    </row>
    <row r="30" spans="2:23">
      <c r="D30" s="352"/>
      <c r="E30" s="356"/>
      <c r="F30" s="264"/>
      <c r="G30" s="265"/>
      <c r="H30" s="265"/>
      <c r="I30" s="266"/>
      <c r="J30" s="266"/>
      <c r="K30" s="266"/>
      <c r="L30" s="267"/>
      <c r="N30" s="260"/>
      <c r="O30" s="260"/>
      <c r="P30" s="260"/>
    </row>
    <row r="31" spans="2:23">
      <c r="D31" s="352"/>
      <c r="E31" s="356"/>
      <c r="F31" s="264"/>
      <c r="G31" s="265"/>
      <c r="H31" s="265"/>
      <c r="I31" s="266"/>
      <c r="J31" s="266"/>
      <c r="K31" s="266"/>
      <c r="L31" s="267"/>
      <c r="N31" s="260"/>
      <c r="O31" s="260"/>
      <c r="P31" s="260"/>
    </row>
    <row r="32" spans="2:23">
      <c r="D32" s="263"/>
      <c r="E32" s="264"/>
      <c r="F32" s="264"/>
      <c r="G32" s="265"/>
      <c r="H32" s="265"/>
      <c r="I32" s="266"/>
      <c r="J32" s="266"/>
      <c r="K32" s="266"/>
      <c r="L32" s="267"/>
      <c r="N32" s="260"/>
      <c r="O32" s="260"/>
      <c r="P32" s="260"/>
    </row>
    <row r="33" spans="2:23" s="349" customFormat="1">
      <c r="B33" s="351" t="s">
        <v>3208</v>
      </c>
      <c r="C33" s="350" t="s">
        <v>3209</v>
      </c>
      <c r="N33" s="253"/>
      <c r="O33" s="253"/>
      <c r="P33" s="253"/>
      <c r="Q33" s="253"/>
      <c r="R33" s="253"/>
      <c r="S33" s="253"/>
      <c r="T33" s="253"/>
      <c r="U33" s="253"/>
      <c r="V33" s="253"/>
      <c r="W33" s="253"/>
    </row>
    <row r="34" spans="2:23">
      <c r="E34" s="264"/>
      <c r="F34" s="264"/>
      <c r="G34" s="265"/>
      <c r="H34" s="265"/>
      <c r="I34" s="266"/>
      <c r="J34" s="266"/>
      <c r="K34" s="266"/>
      <c r="L34" s="267"/>
      <c r="N34" s="260"/>
      <c r="O34" s="260"/>
      <c r="P34" s="260"/>
    </row>
    <row r="35" spans="2:23">
      <c r="E35" s="264"/>
      <c r="F35" s="264"/>
      <c r="G35" s="265"/>
      <c r="H35" s="265"/>
      <c r="I35" s="266"/>
      <c r="J35" s="266"/>
      <c r="K35" s="266"/>
      <c r="L35" s="267"/>
      <c r="N35" s="260"/>
      <c r="O35" s="260"/>
      <c r="P35" s="260"/>
    </row>
    <row r="36" spans="2:23">
      <c r="D36" s="352" t="s">
        <v>3210</v>
      </c>
      <c r="E36" s="494">
        <v>1</v>
      </c>
      <c r="F36" s="264"/>
      <c r="G36" s="265"/>
      <c r="H36" s="265"/>
      <c r="I36" s="266"/>
      <c r="J36" s="266"/>
      <c r="K36" s="266"/>
      <c r="L36" s="267"/>
      <c r="N36" s="260"/>
      <c r="O36" s="260"/>
      <c r="P36" s="260"/>
    </row>
    <row r="37" spans="2:23">
      <c r="D37" s="352" t="s">
        <v>3211</v>
      </c>
      <c r="E37" s="495">
        <v>1</v>
      </c>
      <c r="F37" s="264"/>
      <c r="G37" s="265"/>
      <c r="H37" s="265"/>
      <c r="I37" s="266"/>
      <c r="J37" s="266"/>
      <c r="K37" s="266"/>
      <c r="L37" s="267"/>
      <c r="N37" s="260"/>
      <c r="O37" s="260"/>
      <c r="P37" s="260"/>
    </row>
    <row r="38" spans="2:23">
      <c r="D38" s="352" t="s">
        <v>3212</v>
      </c>
      <c r="E38" s="491">
        <v>1</v>
      </c>
      <c r="F38" s="264"/>
      <c r="G38" s="265"/>
      <c r="H38" s="265"/>
      <c r="I38" s="266"/>
      <c r="J38" s="266"/>
      <c r="K38" s="266"/>
      <c r="L38" s="267"/>
      <c r="N38" s="260"/>
      <c r="O38" s="260"/>
      <c r="P38" s="260"/>
    </row>
    <row r="39" spans="2:23">
      <c r="D39" s="352" t="s">
        <v>3213</v>
      </c>
      <c r="E39" s="491">
        <v>50</v>
      </c>
      <c r="F39" s="264" t="s">
        <v>3214</v>
      </c>
      <c r="G39" s="265"/>
      <c r="H39" s="265"/>
      <c r="I39" s="266"/>
      <c r="J39" s="266"/>
      <c r="K39" s="266"/>
      <c r="L39" s="267"/>
      <c r="N39" s="260"/>
      <c r="O39" s="260"/>
      <c r="P39" s="260"/>
    </row>
    <row r="40" spans="2:23">
      <c r="D40" s="352" t="s">
        <v>3215</v>
      </c>
      <c r="E40" s="491">
        <v>50</v>
      </c>
      <c r="F40" s="264" t="s">
        <v>3214</v>
      </c>
      <c r="G40" s="265"/>
      <c r="H40" s="265"/>
      <c r="I40" s="266"/>
      <c r="J40" s="266"/>
      <c r="K40" s="266"/>
      <c r="L40" s="267"/>
      <c r="N40" s="260"/>
      <c r="O40" s="260"/>
      <c r="P40" s="260"/>
    </row>
    <row r="41" spans="2:23">
      <c r="D41" s="352" t="s">
        <v>3216</v>
      </c>
      <c r="E41" s="491">
        <v>100000</v>
      </c>
      <c r="F41" s="264"/>
      <c r="G41" s="265"/>
      <c r="H41" s="265"/>
      <c r="I41" s="266"/>
      <c r="J41" s="266"/>
      <c r="K41" s="266"/>
      <c r="L41" s="267"/>
      <c r="N41" s="260"/>
      <c r="O41" s="260"/>
      <c r="P41" s="260"/>
    </row>
    <row r="42" spans="2:23">
      <c r="E42" s="264"/>
      <c r="F42" s="264"/>
      <c r="G42" s="265"/>
      <c r="H42" s="265"/>
      <c r="I42" s="266"/>
      <c r="J42" s="266"/>
      <c r="K42" s="266"/>
      <c r="L42" s="267"/>
      <c r="N42" s="260"/>
      <c r="O42" s="260"/>
      <c r="P42" s="260"/>
    </row>
    <row r="43" spans="2:23">
      <c r="E43" s="264"/>
      <c r="F43" s="264"/>
      <c r="G43" s="265"/>
      <c r="H43" s="265"/>
      <c r="I43" s="266"/>
      <c r="J43" s="266"/>
      <c r="K43" s="266"/>
      <c r="L43" s="267"/>
      <c r="N43" s="260"/>
      <c r="O43" s="260"/>
      <c r="P43" s="260"/>
    </row>
    <row r="44" spans="2:23" s="349" customFormat="1" ht="13.5" customHeight="1">
      <c r="B44" s="351" t="s">
        <v>3217</v>
      </c>
      <c r="C44" s="350" t="s">
        <v>3218</v>
      </c>
      <c r="N44" s="253"/>
      <c r="O44" s="253"/>
      <c r="P44" s="253"/>
      <c r="Q44" s="253"/>
      <c r="R44" s="253"/>
      <c r="S44" s="253"/>
      <c r="T44" s="253"/>
      <c r="U44" s="253"/>
      <c r="V44" s="253"/>
      <c r="W44" s="253"/>
    </row>
    <row r="45" spans="2:23">
      <c r="E45" s="264"/>
      <c r="F45" s="264"/>
      <c r="G45" s="265"/>
      <c r="H45" s="265"/>
      <c r="I45" s="266"/>
      <c r="J45" s="266"/>
      <c r="K45" s="266"/>
      <c r="L45" s="267"/>
      <c r="N45" s="260"/>
      <c r="O45" s="260"/>
      <c r="P45" s="260"/>
    </row>
    <row r="46" spans="2:23">
      <c r="D46" s="255" t="s">
        <v>9</v>
      </c>
      <c r="E46" s="269" t="s">
        <v>3219</v>
      </c>
      <c r="F46" s="264"/>
      <c r="G46" s="265"/>
      <c r="H46" s="265"/>
      <c r="I46" s="266"/>
      <c r="J46" s="266"/>
      <c r="K46" s="266"/>
      <c r="L46" s="267"/>
      <c r="N46" s="260"/>
      <c r="O46" s="260"/>
      <c r="P46" s="260"/>
    </row>
    <row r="47" spans="2:23">
      <c r="D47" s="355" t="s">
        <v>3132</v>
      </c>
      <c r="E47" s="587">
        <v>1</v>
      </c>
      <c r="F47" s="264"/>
      <c r="G47" s="265"/>
      <c r="H47" s="265"/>
      <c r="I47" s="266"/>
      <c r="J47" s="266"/>
      <c r="K47" s="266"/>
      <c r="L47" s="267"/>
      <c r="N47" s="260"/>
      <c r="O47" s="260"/>
      <c r="P47" s="260"/>
    </row>
    <row r="48" spans="2:23">
      <c r="D48" s="355" t="s">
        <v>3133</v>
      </c>
      <c r="E48" s="587">
        <v>1</v>
      </c>
      <c r="F48" s="264"/>
      <c r="G48" s="265"/>
      <c r="H48" s="265"/>
      <c r="I48" s="266"/>
      <c r="J48" s="266"/>
      <c r="K48" s="266"/>
      <c r="L48" s="267"/>
      <c r="N48" s="260"/>
      <c r="O48" s="260"/>
      <c r="P48" s="260"/>
    </row>
    <row r="49" spans="2:23">
      <c r="D49" s="355" t="s">
        <v>3134</v>
      </c>
      <c r="E49" s="587">
        <v>1</v>
      </c>
      <c r="F49" s="264"/>
      <c r="G49" s="265"/>
      <c r="H49" s="265"/>
      <c r="I49" s="266"/>
      <c r="J49" s="266"/>
      <c r="K49" s="266"/>
      <c r="L49" s="267"/>
      <c r="N49" s="260"/>
      <c r="O49" s="260"/>
      <c r="P49" s="260"/>
    </row>
    <row r="50" spans="2:23">
      <c r="D50" s="355" t="s">
        <v>3135</v>
      </c>
      <c r="E50" s="587">
        <v>1</v>
      </c>
      <c r="F50" s="264"/>
      <c r="G50" s="265"/>
      <c r="H50" s="265"/>
      <c r="I50" s="266"/>
      <c r="J50" s="266"/>
      <c r="K50" s="266"/>
      <c r="L50" s="267"/>
      <c r="N50" s="260"/>
      <c r="O50" s="260"/>
      <c r="P50" s="260"/>
    </row>
    <row r="51" spans="2:23">
      <c r="D51" s="355" t="s">
        <v>3136</v>
      </c>
      <c r="E51" s="587">
        <v>1</v>
      </c>
      <c r="F51" s="264"/>
      <c r="G51" s="265"/>
      <c r="H51" s="265"/>
      <c r="I51" s="266"/>
      <c r="J51" s="266"/>
      <c r="K51" s="266"/>
      <c r="L51" s="267"/>
      <c r="N51" s="260"/>
      <c r="O51" s="260"/>
      <c r="P51" s="260"/>
    </row>
    <row r="52" spans="2:23">
      <c r="D52" s="355" t="s">
        <v>3137</v>
      </c>
      <c r="E52" s="587">
        <v>1</v>
      </c>
      <c r="F52" s="264"/>
      <c r="G52" s="265"/>
      <c r="H52" s="265"/>
      <c r="I52" s="266"/>
      <c r="J52" s="266"/>
      <c r="K52" s="266"/>
      <c r="L52" s="267"/>
      <c r="N52" s="260"/>
      <c r="O52" s="260"/>
      <c r="P52" s="260"/>
    </row>
    <row r="53" spans="2:23">
      <c r="E53" s="264"/>
      <c r="F53" s="264"/>
      <c r="G53" s="265"/>
      <c r="H53" s="265"/>
      <c r="I53" s="266"/>
      <c r="J53" s="266"/>
      <c r="K53" s="266"/>
      <c r="L53" s="267"/>
      <c r="N53" s="260"/>
      <c r="O53" s="260"/>
      <c r="P53" s="260"/>
    </row>
    <row r="54" spans="2:23" s="349" customFormat="1" ht="13.5" customHeight="1">
      <c r="B54" s="351" t="s">
        <v>3220</v>
      </c>
      <c r="C54" s="350" t="s">
        <v>3221</v>
      </c>
      <c r="N54" s="253"/>
      <c r="O54" s="253"/>
      <c r="P54" s="253"/>
      <c r="Q54" s="253"/>
      <c r="R54" s="253"/>
      <c r="S54" s="253"/>
      <c r="T54" s="253"/>
      <c r="U54" s="253"/>
      <c r="V54" s="253"/>
      <c r="W54" s="253"/>
    </row>
    <row r="55" spans="2:23">
      <c r="D55" s="263"/>
      <c r="E55" s="264"/>
      <c r="F55" s="264"/>
      <c r="G55" s="265"/>
      <c r="H55" s="265"/>
      <c r="I55" s="266"/>
      <c r="J55" s="266"/>
      <c r="K55" s="266"/>
      <c r="L55" s="267"/>
      <c r="N55" s="260"/>
      <c r="O55" s="260"/>
      <c r="P55" s="260"/>
    </row>
    <row r="56" spans="2:23">
      <c r="D56" s="354" t="s">
        <v>3196</v>
      </c>
      <c r="E56" s="353">
        <f>7*12</f>
        <v>84</v>
      </c>
      <c r="F56" s="264"/>
      <c r="G56" s="265"/>
      <c r="H56" s="265"/>
      <c r="I56" s="266"/>
      <c r="J56" s="266"/>
      <c r="K56" s="266"/>
      <c r="L56" s="267"/>
      <c r="N56" s="260"/>
      <c r="O56" s="260"/>
      <c r="P56" s="260"/>
    </row>
    <row r="57" spans="2:23">
      <c r="D57" s="263"/>
      <c r="E57" s="264"/>
      <c r="F57" s="264"/>
      <c r="G57" s="265"/>
      <c r="H57" s="265"/>
      <c r="I57" s="266"/>
      <c r="J57" s="266"/>
      <c r="K57" s="266"/>
      <c r="L57" s="267"/>
      <c r="N57" s="260"/>
      <c r="O57" s="260"/>
      <c r="P57" s="260"/>
    </row>
    <row r="58" spans="2:23">
      <c r="D58" s="352" t="s">
        <v>3222</v>
      </c>
      <c r="E58" s="496">
        <v>10000000</v>
      </c>
      <c r="F58" s="264"/>
      <c r="G58" s="265"/>
      <c r="H58" s="265"/>
      <c r="I58" s="266"/>
      <c r="J58" s="266"/>
      <c r="K58" s="266"/>
      <c r="L58" s="267"/>
      <c r="N58" s="260"/>
      <c r="O58" s="260"/>
      <c r="P58" s="260"/>
    </row>
    <row r="59" spans="2:23">
      <c r="D59" s="263"/>
      <c r="E59" s="264"/>
      <c r="F59" s="264"/>
      <c r="G59" s="265"/>
      <c r="H59" s="265"/>
      <c r="I59" s="266"/>
      <c r="J59" s="266"/>
      <c r="K59" s="266"/>
      <c r="L59" s="267"/>
      <c r="N59" s="260"/>
      <c r="O59" s="260"/>
      <c r="P59" s="260"/>
    </row>
    <row r="60" spans="2:23">
      <c r="D60" s="263"/>
      <c r="E60" s="264"/>
      <c r="F60" s="264"/>
      <c r="G60" s="265"/>
      <c r="H60" s="265"/>
      <c r="I60" s="266"/>
      <c r="J60" s="266"/>
      <c r="K60" s="266"/>
      <c r="L60" s="267"/>
      <c r="N60" s="260"/>
      <c r="O60" s="260"/>
      <c r="P60" s="260"/>
    </row>
    <row r="61" spans="2:23">
      <c r="D61" s="263"/>
      <c r="E61" s="264"/>
      <c r="F61" s="264"/>
      <c r="G61" s="265"/>
      <c r="H61" s="265"/>
      <c r="I61" s="266"/>
      <c r="J61" s="266"/>
      <c r="K61" s="266"/>
      <c r="L61" s="267"/>
      <c r="N61" s="260"/>
      <c r="O61" s="260"/>
      <c r="P61" s="260"/>
    </row>
    <row r="62" spans="2:23" s="349" customFormat="1">
      <c r="B62" s="351" t="s">
        <v>3223</v>
      </c>
      <c r="C62" s="350"/>
    </row>
    <row r="63" spans="2:23"/>
    <row r="64" spans="2:23"/>
    <row r="65"/>
    <row r="66"/>
    <row r="67"/>
    <row r="68"/>
    <row r="69"/>
    <row r="70"/>
    <row r="71"/>
    <row r="72"/>
    <row r="73"/>
    <row r="74"/>
    <row r="75"/>
    <row r="76"/>
    <row r="77"/>
    <row r="78"/>
    <row r="79"/>
    <row r="80"/>
    <row r="81"/>
    <row r="82"/>
    <row r="83"/>
    <row r="84"/>
    <row r="85"/>
    <row r="86"/>
    <row r="87"/>
    <row r="88"/>
    <row r="89"/>
    <row r="90"/>
    <row r="91"/>
    <row r="92"/>
    <row r="93"/>
    <row r="94"/>
    <row r="95"/>
    <row r="96"/>
    <row r="97"/>
    <row r="98"/>
    <row r="99"/>
    <row r="100"/>
    <row r="101"/>
    <row r="102"/>
    <row r="103"/>
    <row r="104"/>
    <row r="105"/>
    <row r="106"/>
    <row r="107"/>
    <row r="108"/>
    <row r="109"/>
    <row r="110"/>
    <row r="111"/>
    <row r="112"/>
    <row r="113"/>
    <row r="114"/>
    <row r="115"/>
    <row r="116"/>
    <row r="117"/>
    <row r="118"/>
    <row r="119"/>
    <row r="120"/>
    <row r="121"/>
    <row r="122"/>
    <row r="123"/>
    <row r="124"/>
    <row r="125"/>
    <row r="126"/>
    <row r="127"/>
    <row r="128"/>
    <row r="129"/>
    <row r="130"/>
    <row r="131"/>
    <row r="132"/>
    <row r="133"/>
    <row r="134"/>
    <row r="135"/>
    <row r="136"/>
    <row r="137"/>
    <row r="138"/>
    <row r="139"/>
    <row r="140"/>
    <row r="141"/>
    <row r="142"/>
    <row r="143"/>
    <row r="144"/>
    <row r="145"/>
    <row r="146"/>
    <row r="147"/>
    <row r="148"/>
    <row r="149"/>
    <row r="150"/>
    <row r="151"/>
    <row r="152"/>
    <row r="153"/>
    <row r="154"/>
    <row r="155"/>
    <row r="156"/>
    <row r="157"/>
    <row r="158"/>
    <row r="159"/>
    <row r="160"/>
    <row r="161"/>
    <row r="162"/>
    <row r="163"/>
    <row r="164"/>
    <row r="165"/>
    <row r="166"/>
    <row r="167"/>
    <row r="168"/>
    <row r="169"/>
    <row r="170"/>
    <row r="171"/>
    <row r="172"/>
    <row r="173"/>
    <row r="174"/>
    <row r="175"/>
    <row r="176"/>
    <row r="177"/>
    <row r="178"/>
    <row r="179"/>
    <row r="180"/>
    <row r="181"/>
    <row r="182"/>
    <row r="183"/>
    <row r="184"/>
    <row r="185"/>
    <row r="186"/>
    <row r="187"/>
    <row r="188"/>
    <row r="189"/>
    <row r="190"/>
    <row r="191"/>
    <row r="192"/>
    <row r="193"/>
    <row r="194"/>
    <row r="195"/>
    <row r="196"/>
    <row r="197"/>
    <row r="198"/>
    <row r="199"/>
    <row r="200"/>
    <row r="201"/>
    <row r="202"/>
    <row r="203"/>
    <row r="204"/>
    <row r="205"/>
    <row r="206"/>
    <row r="207"/>
    <row r="208"/>
    <row r="209"/>
    <row r="210"/>
    <row r="211"/>
    <row r="212"/>
    <row r="213"/>
    <row r="214"/>
    <row r="215"/>
    <row r="216"/>
    <row r="217"/>
    <row r="218"/>
    <row r="219"/>
    <row r="220"/>
    <row r="221"/>
    <row r="222"/>
    <row r="223"/>
    <row r="224"/>
    <row r="225"/>
    <row r="226"/>
    <row r="227"/>
    <row r="228"/>
    <row r="229"/>
    <row r="230"/>
    <row r="231"/>
    <row r="232"/>
    <row r="233"/>
    <row r="234"/>
    <row r="235"/>
    <row r="236"/>
    <row r="237"/>
    <row r="238"/>
    <row r="239"/>
    <row r="240"/>
    <row r="241"/>
    <row r="242"/>
    <row r="243"/>
    <row r="244"/>
    <row r="245"/>
    <row r="246"/>
    <row r="247"/>
    <row r="248"/>
    <row r="249"/>
    <row r="250"/>
    <row r="251"/>
    <row r="252"/>
    <row r="253"/>
    <row r="254"/>
    <row r="255"/>
    <row r="256"/>
    <row r="257"/>
    <row r="258"/>
    <row r="259"/>
    <row r="260"/>
    <row r="261"/>
    <row r="262"/>
    <row r="263"/>
    <row r="264"/>
    <row r="265"/>
    <row r="266"/>
    <row r="267"/>
    <row r="268"/>
    <row r="269"/>
    <row r="270"/>
    <row r="271"/>
    <row r="272"/>
    <row r="273"/>
    <row r="274"/>
    <row r="275"/>
    <row r="276"/>
    <row r="277"/>
    <row r="278"/>
    <row r="279"/>
    <row r="280"/>
    <row r="281"/>
    <row r="282"/>
    <row r="283"/>
    <row r="284"/>
    <row r="285"/>
    <row r="286"/>
    <row r="287"/>
    <row r="288"/>
    <row r="289"/>
    <row r="290"/>
    <row r="291"/>
    <row r="292"/>
    <row r="293"/>
    <row r="294"/>
    <row r="295"/>
    <row r="296"/>
    <row r="297"/>
    <row r="298"/>
    <row r="299"/>
    <row r="300"/>
    <row r="301"/>
    <row r="302"/>
    <row r="303"/>
    <row r="304"/>
    <row r="305"/>
    <row r="306"/>
    <row r="307"/>
    <row r="308"/>
    <row r="309"/>
    <row r="310"/>
    <row r="311"/>
    <row r="312"/>
    <row r="313"/>
    <row r="314"/>
    <row r="315"/>
    <row r="316"/>
    <row r="317"/>
    <row r="318"/>
    <row r="319"/>
    <row r="320"/>
    <row r="321"/>
    <row r="322"/>
    <row r="323"/>
    <row r="324"/>
    <row r="325"/>
    <row r="326"/>
    <row r="327"/>
    <row r="328"/>
    <row r="329"/>
    <row r="330"/>
    <row r="331"/>
    <row r="332"/>
    <row r="333"/>
    <row r="334"/>
    <row r="335"/>
    <row r="336"/>
    <row r="337"/>
    <row r="338"/>
    <row r="339"/>
    <row r="340"/>
    <row r="341"/>
    <row r="342"/>
    <row r="343"/>
    <row r="344"/>
    <row r="345"/>
    <row r="346"/>
    <row r="347"/>
    <row r="348"/>
    <row r="349"/>
    <row r="350"/>
    <row r="351"/>
    <row r="352"/>
    <row r="353"/>
    <row r="354"/>
    <row r="355"/>
    <row r="356"/>
    <row r="357"/>
    <row r="358"/>
    <row r="359"/>
    <row r="360"/>
    <row r="361"/>
    <row r="362"/>
    <row r="363"/>
    <row r="364"/>
    <row r="365"/>
    <row r="366"/>
    <row r="367"/>
    <row r="368"/>
    <row r="369"/>
    <row r="370"/>
    <row r="371"/>
    <row r="372"/>
    <row r="373"/>
    <row r="374"/>
    <row r="375"/>
    <row r="376"/>
    <row r="377"/>
    <row r="378"/>
    <row r="379"/>
    <row r="380"/>
    <row r="381"/>
    <row r="382"/>
    <row r="383"/>
    <row r="384"/>
    <row r="385"/>
    <row r="386"/>
    <row r="387"/>
    <row r="388"/>
    <row r="389"/>
    <row r="390"/>
    <row r="391"/>
    <row r="392"/>
    <row r="393"/>
    <row r="394"/>
    <row r="395"/>
    <row r="396"/>
    <row r="397"/>
    <row r="398"/>
    <row r="399"/>
    <row r="400"/>
    <row r="401"/>
    <row r="402"/>
    <row r="403"/>
    <row r="404"/>
    <row r="405"/>
    <row r="406"/>
    <row r="407"/>
    <row r="408"/>
    <row r="409"/>
    <row r="410"/>
    <row r="411"/>
    <row r="412"/>
    <row r="413"/>
    <row r="414"/>
    <row r="415"/>
    <row r="416"/>
    <row r="417"/>
    <row r="418"/>
    <row r="419"/>
    <row r="420"/>
    <row r="421"/>
    <row r="422"/>
    <row r="423"/>
    <row r="424"/>
    <row r="425"/>
    <row r="426"/>
    <row r="427"/>
    <row r="428"/>
    <row r="429"/>
    <row r="430"/>
    <row r="431"/>
    <row r="432"/>
    <row r="433"/>
    <row r="434"/>
    <row r="435"/>
    <row r="436"/>
    <row r="437"/>
    <row r="438"/>
    <row r="439"/>
    <row r="440"/>
    <row r="441"/>
    <row r="442"/>
    <row r="443"/>
    <row r="444"/>
    <row r="445"/>
    <row r="446"/>
    <row r="447"/>
    <row r="448"/>
    <row r="449"/>
    <row r="450"/>
    <row r="451"/>
    <row r="452"/>
    <row r="453"/>
    <row r="454"/>
    <row r="455"/>
    <row r="456"/>
    <row r="457"/>
    <row r="458"/>
    <row r="459"/>
    <row r="460"/>
    <row r="461"/>
    <row r="462"/>
    <row r="463"/>
    <row r="464"/>
    <row r="465"/>
    <row r="466"/>
    <row r="467"/>
    <row r="468"/>
    <row r="469"/>
    <row r="470"/>
    <row r="471"/>
    <row r="472"/>
    <row r="473"/>
    <row r="474"/>
    <row r="475"/>
    <row r="476"/>
    <row r="477"/>
    <row r="478"/>
    <row r="479"/>
    <row r="480"/>
    <row r="481"/>
    <row r="482"/>
    <row r="483"/>
    <row r="484"/>
    <row r="485"/>
    <row r="486"/>
    <row r="487"/>
    <row r="488"/>
    <row r="489"/>
    <row r="490"/>
    <row r="491"/>
    <row r="492"/>
    <row r="493"/>
    <row r="494"/>
    <row r="495"/>
    <row r="496"/>
    <row r="497"/>
    <row r="498"/>
    <row r="499"/>
    <row r="500"/>
    <row r="501"/>
    <row r="502"/>
    <row r="503"/>
    <row r="504"/>
    <row r="505"/>
    <row r="506"/>
    <row r="507"/>
    <row r="508"/>
    <row r="509"/>
    <row r="510"/>
    <row r="511"/>
    <row r="512"/>
    <row r="513"/>
    <row r="514"/>
    <row r="515"/>
    <row r="516"/>
    <row r="517"/>
    <row r="518"/>
    <row r="519"/>
    <row r="520"/>
    <row r="521"/>
    <row r="522"/>
    <row r="523"/>
    <row r="524"/>
    <row r="525"/>
    <row r="526"/>
    <row r="527"/>
    <row r="528"/>
    <row r="529"/>
    <row r="530"/>
    <row r="531"/>
    <row r="532"/>
    <row r="533"/>
    <row r="534"/>
    <row r="535"/>
    <row r="536"/>
    <row r="537"/>
    <row r="538"/>
    <row r="539"/>
    <row r="540"/>
    <row r="541"/>
    <row r="542"/>
    <row r="543"/>
    <row r="544"/>
    <row r="545"/>
    <row r="546"/>
    <row r="547"/>
    <row r="548"/>
    <row r="549"/>
    <row r="550"/>
    <row r="551"/>
    <row r="552"/>
    <row r="553"/>
    <row r="554"/>
    <row r="555"/>
    <row r="556"/>
    <row r="557"/>
    <row r="558"/>
    <row r="559"/>
    <row r="560"/>
    <row r="561"/>
    <row r="562"/>
    <row r="563"/>
    <row r="564"/>
    <row r="565"/>
    <row r="566"/>
    <row r="567"/>
    <row r="568"/>
    <row r="569"/>
    <row r="570"/>
    <row r="571"/>
    <row r="572"/>
    <row r="573"/>
    <row r="574"/>
    <row r="575"/>
    <row r="576"/>
    <row r="577"/>
    <row r="578"/>
    <row r="579"/>
    <row r="580"/>
    <row r="581"/>
    <row r="582"/>
    <row r="583"/>
    <row r="584"/>
    <row r="585"/>
    <row r="586"/>
    <row r="587"/>
    <row r="588"/>
    <row r="589"/>
    <row r="590"/>
    <row r="591"/>
    <row r="592"/>
    <row r="593"/>
    <row r="594"/>
    <row r="595"/>
    <row r="596"/>
    <row r="597"/>
    <row r="598"/>
    <row r="599"/>
    <row r="600"/>
    <row r="601"/>
    <row r="602"/>
    <row r="603"/>
    <row r="604"/>
    <row r="605"/>
    <row r="606"/>
    <row r="607"/>
    <row r="608"/>
    <row r="609"/>
    <row r="610"/>
    <row r="611"/>
    <row r="612"/>
    <row r="613"/>
    <row r="614"/>
    <row r="615"/>
    <row r="616"/>
    <row r="617"/>
    <row r="618"/>
    <row r="619"/>
    <row r="620"/>
    <row r="621"/>
    <row r="622"/>
    <row r="623"/>
    <row r="624"/>
    <row r="625"/>
    <row r="626"/>
    <row r="627"/>
    <row r="628"/>
    <row r="629"/>
    <row r="630"/>
    <row r="631"/>
    <row r="632"/>
    <row r="633"/>
    <row r="634"/>
    <row r="635"/>
    <row r="636"/>
    <row r="637"/>
    <row r="638"/>
    <row r="639"/>
    <row r="640"/>
    <row r="641"/>
    <row r="642"/>
    <row r="643"/>
    <row r="644"/>
    <row r="645"/>
    <row r="646"/>
    <row r="647"/>
    <row r="648"/>
    <row r="649"/>
    <row r="650"/>
    <row r="651"/>
    <row r="652"/>
    <row r="653"/>
    <row r="654"/>
    <row r="655"/>
    <row r="656"/>
    <row r="657"/>
    <row r="658"/>
    <row r="659"/>
    <row r="660"/>
    <row r="661"/>
    <row r="662"/>
    <row r="663"/>
    <row r="664"/>
    <row r="665"/>
    <row r="666"/>
    <row r="667"/>
    <row r="668"/>
    <row r="669"/>
    <row r="670"/>
    <row r="671"/>
    <row r="672"/>
    <row r="673"/>
    <row r="674"/>
    <row r="675"/>
    <row r="676"/>
    <row r="677"/>
    <row r="678"/>
    <row r="679"/>
    <row r="680"/>
    <row r="681"/>
    <row r="682"/>
    <row r="683"/>
    <row r="684"/>
    <row r="685"/>
    <row r="686"/>
    <row r="687"/>
    <row r="688"/>
    <row r="689"/>
    <row r="690"/>
    <row r="691"/>
    <row r="692"/>
    <row r="693"/>
    <row r="694"/>
    <row r="695"/>
    <row r="696"/>
    <row r="697"/>
    <row r="698"/>
    <row r="699"/>
    <row r="700"/>
    <row r="701"/>
    <row r="702"/>
    <row r="703"/>
    <row r="704"/>
    <row r="705"/>
    <row r="706"/>
    <row r="707"/>
    <row r="708"/>
    <row r="709"/>
    <row r="710"/>
    <row r="711"/>
    <row r="712"/>
    <row r="713"/>
    <row r="714"/>
    <row r="715"/>
    <row r="716"/>
    <row r="717"/>
    <row r="718"/>
    <row r="719"/>
    <row r="720"/>
    <row r="721"/>
    <row r="722"/>
  </sheetData>
  <pageMargins left="0.75" right="0.75" top="1" bottom="1" header="0.5" footer="0.5"/>
  <pageSetup paperSize="9" scale="28" orientation="portrait" horizontalDpi="300" verticalDpi="30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</sheetPr>
  <dimension ref="A1:X820"/>
  <sheetViews>
    <sheetView zoomScale="85" zoomScaleNormal="85" workbookViewId="0">
      <selection activeCell="D23" sqref="D23"/>
    </sheetView>
  </sheetViews>
  <sheetFormatPr defaultColWidth="0" defaultRowHeight="14.25" zeroHeight="1"/>
  <cols>
    <col min="1" max="1" width="2.7109375" style="272" customWidth="1"/>
    <col min="2" max="2" width="3.28515625" style="272" customWidth="1"/>
    <col min="3" max="3" width="2.42578125" style="272" customWidth="1"/>
    <col min="4" max="4" width="81.28515625" style="272" customWidth="1"/>
    <col min="5" max="5" width="17.42578125" style="272" customWidth="1"/>
    <col min="6" max="7" width="19" style="272" bestFit="1" customWidth="1"/>
    <col min="8" max="8" width="19" style="272" customWidth="1"/>
    <col min="9" max="9" width="17.28515625" style="272" bestFit="1" customWidth="1"/>
    <col min="10" max="10" width="23.42578125" style="272" customWidth="1"/>
    <col min="11" max="11" width="28.5703125" style="272" customWidth="1"/>
    <col min="12" max="12" width="25" style="272" bestFit="1" customWidth="1"/>
    <col min="13" max="13" width="16.7109375" style="272" customWidth="1"/>
    <col min="14" max="14" width="19" style="272" bestFit="1" customWidth="1"/>
    <col min="15" max="15" width="25" style="272" hidden="1" customWidth="1"/>
    <col min="16" max="16" width="13.42578125" style="272" hidden="1" customWidth="1"/>
    <col min="17" max="17" width="16" style="272" hidden="1" customWidth="1"/>
    <col min="18" max="19" width="19" style="272" hidden="1" customWidth="1"/>
    <col min="20" max="20" width="16.5703125" style="272" hidden="1" customWidth="1"/>
    <col min="21" max="24" width="10" style="272" hidden="1" customWidth="1"/>
    <col min="25" max="16384" width="10" style="272" hidden="1"/>
  </cols>
  <sheetData>
    <row r="1" spans="2:24">
      <c r="D1" s="273"/>
    </row>
    <row r="2" spans="2:24" ht="15">
      <c r="D2" s="274"/>
      <c r="E2" s="274" t="str">
        <f ca="1">UPPER(MID(CELL("filename",A1),FIND("[",CELL("filename",A1))+1,FIND("]",CELL("filename",A1))-FIND("[",CELL("filename",A1))-5))</f>
        <v>LPM MB15 - EVPN 20170201 OPENBAAR.</v>
      </c>
    </row>
    <row r="3" spans="2:24">
      <c r="D3" s="273"/>
      <c r="E3" s="272" t="str">
        <f ca="1">UPPER(MID(CELL("filename",A2),FIND("]",CELL("filename",A2))+1,LEN(CELL("filename",A2))))</f>
        <v>COLLOCATIE</v>
      </c>
    </row>
    <row r="4" spans="2:24" s="275" customFormat="1">
      <c r="D4" s="276"/>
    </row>
    <row r="5" spans="2:24"/>
    <row r="6" spans="2:24" ht="15">
      <c r="D6" s="274"/>
    </row>
    <row r="7" spans="2:24" s="360" customFormat="1" ht="15">
      <c r="B7" s="385" t="s">
        <v>3193</v>
      </c>
      <c r="C7" s="379" t="s">
        <v>3224</v>
      </c>
      <c r="O7" s="272"/>
      <c r="P7" s="272"/>
      <c r="Q7" s="272"/>
      <c r="R7" s="272"/>
      <c r="S7" s="272"/>
      <c r="T7" s="272"/>
      <c r="U7" s="272"/>
      <c r="V7" s="272"/>
      <c r="W7" s="272"/>
      <c r="X7" s="272"/>
    </row>
    <row r="8" spans="2:24" s="279" customFormat="1" ht="15">
      <c r="B8" s="277"/>
      <c r="C8" s="278"/>
      <c r="O8" s="272"/>
      <c r="P8" s="272"/>
      <c r="Q8" s="272"/>
      <c r="R8" s="272"/>
      <c r="S8" s="272"/>
      <c r="T8" s="272"/>
      <c r="U8" s="272"/>
      <c r="V8" s="272"/>
      <c r="W8" s="272"/>
      <c r="X8" s="272"/>
    </row>
    <row r="9" spans="2:24" s="279" customFormat="1" ht="15">
      <c r="B9" s="277"/>
      <c r="C9" s="278"/>
      <c r="D9" s="381" t="s">
        <v>3225</v>
      </c>
      <c r="E9" s="360"/>
      <c r="F9" s="359"/>
      <c r="O9" s="272"/>
      <c r="P9" s="272"/>
      <c r="Q9" s="272"/>
      <c r="R9" s="272"/>
      <c r="S9" s="272"/>
      <c r="T9" s="272"/>
      <c r="U9" s="272"/>
      <c r="V9" s="272"/>
      <c r="W9" s="272"/>
      <c r="X9" s="272"/>
    </row>
    <row r="10" spans="2:24">
      <c r="D10" s="388" t="s">
        <v>3226</v>
      </c>
      <c r="E10" s="389">
        <v>5794.92</v>
      </c>
      <c r="F10" s="387" t="s">
        <v>105</v>
      </c>
      <c r="G10" s="280"/>
      <c r="H10" s="280"/>
      <c r="I10" s="280"/>
      <c r="J10" s="280"/>
      <c r="K10" s="280"/>
      <c r="L10" s="280"/>
    </row>
    <row r="11" spans="2:24">
      <c r="D11" s="281" t="s">
        <v>3226</v>
      </c>
      <c r="E11" s="389">
        <v>963.15</v>
      </c>
      <c r="F11" s="282" t="s">
        <v>3227</v>
      </c>
      <c r="G11" s="280"/>
      <c r="H11" s="280"/>
      <c r="I11" s="280"/>
      <c r="J11" s="280"/>
      <c r="K11" s="280"/>
      <c r="L11" s="280"/>
    </row>
    <row r="12" spans="2:24">
      <c r="D12" s="281" t="s">
        <v>3228</v>
      </c>
      <c r="E12" s="389">
        <v>5880.22</v>
      </c>
      <c r="F12" s="282" t="s">
        <v>105</v>
      </c>
      <c r="G12" s="280"/>
      <c r="H12" s="280"/>
      <c r="I12" s="280"/>
      <c r="J12" s="280"/>
      <c r="K12" s="280"/>
      <c r="L12" s="280"/>
    </row>
    <row r="13" spans="2:24">
      <c r="D13" s="281" t="s">
        <v>3229</v>
      </c>
      <c r="E13" s="389">
        <v>2565.9299999999998</v>
      </c>
      <c r="F13" s="282" t="s">
        <v>105</v>
      </c>
      <c r="G13" s="280"/>
      <c r="H13" s="280"/>
      <c r="I13" s="280"/>
      <c r="J13" s="280"/>
      <c r="K13" s="280"/>
      <c r="L13" s="280"/>
    </row>
    <row r="14" spans="2:24">
      <c r="D14" s="281" t="s">
        <v>3230</v>
      </c>
      <c r="E14" s="389">
        <v>2212.0300000000002</v>
      </c>
      <c r="F14" s="282" t="s">
        <v>105</v>
      </c>
      <c r="G14" s="280"/>
      <c r="H14" s="280"/>
      <c r="I14" s="280"/>
      <c r="J14" s="280"/>
      <c r="K14" s="280"/>
      <c r="L14" s="280"/>
    </row>
    <row r="15" spans="2:24">
      <c r="D15" s="281" t="s">
        <v>3231</v>
      </c>
      <c r="E15" s="389">
        <v>7427.13</v>
      </c>
      <c r="F15" s="282" t="s">
        <v>105</v>
      </c>
      <c r="G15" s="280"/>
      <c r="H15" s="280"/>
      <c r="I15" s="280"/>
      <c r="J15" s="280"/>
      <c r="K15" s="280"/>
      <c r="L15" s="280"/>
    </row>
    <row r="16" spans="2:24">
      <c r="D16" s="281" t="s">
        <v>3232</v>
      </c>
      <c r="E16" s="389">
        <v>6583.11</v>
      </c>
      <c r="F16" s="282" t="s">
        <v>105</v>
      </c>
      <c r="G16" s="280"/>
      <c r="H16" s="280"/>
      <c r="I16" s="280"/>
      <c r="J16" s="280"/>
      <c r="K16" s="280"/>
      <c r="L16" s="280"/>
    </row>
    <row r="17" spans="4:12">
      <c r="D17" s="281" t="s">
        <v>3231</v>
      </c>
      <c r="E17" s="389">
        <v>0.13</v>
      </c>
      <c r="F17" s="282" t="s">
        <v>3233</v>
      </c>
      <c r="G17" s="280"/>
      <c r="H17" s="280"/>
      <c r="I17" s="280"/>
      <c r="J17" s="280"/>
      <c r="K17" s="280"/>
      <c r="L17" s="280"/>
    </row>
    <row r="18" spans="4:12">
      <c r="D18" s="281" t="s">
        <v>3234</v>
      </c>
      <c r="E18" s="389">
        <v>3.06</v>
      </c>
      <c r="F18" s="282" t="s">
        <v>3235</v>
      </c>
      <c r="G18" s="280"/>
      <c r="H18" s="280"/>
      <c r="I18" s="280"/>
      <c r="J18" s="280"/>
      <c r="K18" s="280"/>
      <c r="L18" s="280"/>
    </row>
    <row r="19" spans="4:12">
      <c r="D19" s="283" t="s">
        <v>3236</v>
      </c>
      <c r="E19" s="389">
        <v>2.97</v>
      </c>
      <c r="F19" s="284" t="s">
        <v>3235</v>
      </c>
      <c r="G19" s="280"/>
      <c r="H19" s="280"/>
      <c r="I19" s="280"/>
      <c r="J19" s="280"/>
      <c r="K19" s="280"/>
      <c r="L19" s="280"/>
    </row>
    <row r="20" spans="4:12">
      <c r="D20" s="280"/>
      <c r="E20" s="280"/>
      <c r="F20" s="280"/>
      <c r="G20" s="280"/>
      <c r="H20" s="280"/>
      <c r="I20" s="280"/>
      <c r="J20" s="280"/>
      <c r="K20" s="280"/>
      <c r="L20" s="280"/>
    </row>
    <row r="21" spans="4:12" ht="15">
      <c r="D21" s="392" t="s">
        <v>3237</v>
      </c>
      <c r="E21" s="391"/>
      <c r="F21" s="390"/>
      <c r="G21" s="280"/>
      <c r="H21" s="280"/>
      <c r="I21" s="280"/>
      <c r="J21" s="280"/>
      <c r="K21" s="280"/>
      <c r="L21" s="280"/>
    </row>
    <row r="22" spans="4:12">
      <c r="D22" s="388" t="s">
        <v>3226</v>
      </c>
      <c r="E22" s="389">
        <v>5795.27</v>
      </c>
      <c r="F22" s="387" t="s">
        <v>105</v>
      </c>
      <c r="G22" s="280"/>
      <c r="H22" s="280"/>
      <c r="I22" s="280"/>
      <c r="J22" s="280"/>
      <c r="K22" s="280"/>
      <c r="L22" s="280"/>
    </row>
    <row r="23" spans="4:12">
      <c r="D23" s="281" t="s">
        <v>3226</v>
      </c>
      <c r="E23" s="389">
        <v>963.15</v>
      </c>
      <c r="F23" s="282" t="s">
        <v>3227</v>
      </c>
      <c r="G23" s="280"/>
      <c r="H23" s="280"/>
      <c r="I23" s="280"/>
      <c r="J23" s="280"/>
      <c r="K23" s="280"/>
      <c r="L23" s="280"/>
    </row>
    <row r="24" spans="4:12">
      <c r="D24" s="281" t="s">
        <v>3230</v>
      </c>
      <c r="E24" s="389">
        <v>2212.19</v>
      </c>
      <c r="F24" s="282" t="s">
        <v>105</v>
      </c>
      <c r="G24" s="280"/>
      <c r="H24" s="280"/>
      <c r="I24" s="280"/>
      <c r="J24" s="280"/>
      <c r="K24" s="280"/>
      <c r="L24" s="280"/>
    </row>
    <row r="25" spans="4:12">
      <c r="D25" s="281" t="s">
        <v>3231</v>
      </c>
      <c r="E25" s="389">
        <v>7426.79</v>
      </c>
      <c r="F25" s="282" t="s">
        <v>105</v>
      </c>
      <c r="G25" s="280"/>
      <c r="H25" s="280"/>
      <c r="I25" s="280"/>
      <c r="J25" s="280"/>
      <c r="K25" s="280"/>
      <c r="L25" s="280"/>
    </row>
    <row r="26" spans="4:12">
      <c r="D26" s="281" t="s">
        <v>3238</v>
      </c>
      <c r="E26" s="389">
        <v>4027.69</v>
      </c>
      <c r="F26" s="282" t="s">
        <v>105</v>
      </c>
      <c r="G26" s="280"/>
      <c r="H26" s="280"/>
      <c r="I26" s="280"/>
      <c r="J26" s="280"/>
      <c r="K26" s="280"/>
      <c r="L26" s="280"/>
    </row>
    <row r="27" spans="4:12">
      <c r="D27" s="281" t="s">
        <v>3239</v>
      </c>
      <c r="E27" s="389">
        <v>224</v>
      </c>
      <c r="F27" s="282" t="s">
        <v>105</v>
      </c>
      <c r="G27" s="280"/>
      <c r="H27" s="280"/>
      <c r="I27" s="280"/>
      <c r="J27" s="280"/>
      <c r="K27" s="280"/>
      <c r="L27" s="280"/>
    </row>
    <row r="28" spans="4:12">
      <c r="D28" s="281" t="s">
        <v>3239</v>
      </c>
      <c r="E28" s="389">
        <v>33.229999999999997</v>
      </c>
      <c r="F28" s="282" t="s">
        <v>3240</v>
      </c>
      <c r="G28" s="280"/>
      <c r="H28" s="280"/>
      <c r="I28" s="280"/>
      <c r="J28" s="280"/>
      <c r="K28" s="280"/>
      <c r="L28" s="280"/>
    </row>
    <row r="29" spans="4:12">
      <c r="D29" s="281" t="s">
        <v>3231</v>
      </c>
      <c r="E29" s="389">
        <v>0.13</v>
      </c>
      <c r="F29" s="282" t="s">
        <v>3233</v>
      </c>
      <c r="G29" s="280"/>
      <c r="H29" s="280"/>
      <c r="I29" s="280"/>
      <c r="J29" s="280"/>
      <c r="K29" s="280"/>
      <c r="L29" s="280"/>
    </row>
    <row r="30" spans="4:12">
      <c r="D30" s="283" t="s">
        <v>3241</v>
      </c>
      <c r="E30" s="389">
        <v>0.09</v>
      </c>
      <c r="F30" s="284" t="s">
        <v>3233</v>
      </c>
      <c r="G30" s="280"/>
      <c r="H30" s="280"/>
      <c r="I30" s="280"/>
      <c r="J30" s="280"/>
      <c r="K30" s="280"/>
      <c r="L30" s="280"/>
    </row>
    <row r="31" spans="4:12">
      <c r="D31" s="280"/>
      <c r="E31" s="280"/>
      <c r="F31" s="280"/>
      <c r="G31" s="280"/>
      <c r="H31" s="280"/>
      <c r="I31" s="280"/>
      <c r="J31" s="280"/>
      <c r="K31" s="280"/>
      <c r="L31" s="280"/>
    </row>
    <row r="32" spans="4:12" ht="15">
      <c r="D32" s="392" t="s">
        <v>3242</v>
      </c>
      <c r="E32" s="391"/>
      <c r="F32" s="390"/>
      <c r="G32" s="280"/>
      <c r="H32" s="280"/>
      <c r="I32" s="280"/>
      <c r="J32" s="280"/>
      <c r="K32" s="280"/>
      <c r="L32" s="280"/>
    </row>
    <row r="33" spans="4:12">
      <c r="D33" s="388" t="s">
        <v>3243</v>
      </c>
      <c r="E33" s="588">
        <v>1</v>
      </c>
      <c r="F33" s="387"/>
      <c r="G33" s="280"/>
      <c r="H33" s="280"/>
      <c r="I33" s="280"/>
      <c r="J33" s="280"/>
      <c r="K33" s="280"/>
      <c r="L33" s="280"/>
    </row>
    <row r="34" spans="4:12">
      <c r="D34" s="281" t="s">
        <v>3226</v>
      </c>
      <c r="E34" s="586">
        <f>$E$33*'EDC minus lijst ULL'!$I$114/2</f>
        <v>0.5</v>
      </c>
      <c r="F34" s="282"/>
      <c r="G34" s="280"/>
      <c r="H34" s="280"/>
      <c r="I34" s="280"/>
      <c r="J34" s="280"/>
      <c r="K34" s="280"/>
      <c r="L34" s="280"/>
    </row>
    <row r="35" spans="4:12">
      <c r="D35" s="281" t="s">
        <v>3230</v>
      </c>
      <c r="E35" s="586">
        <f>$E$33*'EDC minus lijst ULL'!$I$114/2</f>
        <v>0.5</v>
      </c>
      <c r="F35" s="282"/>
      <c r="G35" s="280"/>
      <c r="H35" s="280"/>
      <c r="I35" s="280"/>
      <c r="J35" s="280"/>
      <c r="K35" s="280"/>
      <c r="L35" s="280"/>
    </row>
    <row r="36" spans="4:12">
      <c r="D36" s="281" t="s">
        <v>3231</v>
      </c>
      <c r="E36" s="586">
        <f>$E$33*'EDC minus lijst ULL'!$I$114/2</f>
        <v>0.5</v>
      </c>
      <c r="F36" s="282"/>
      <c r="G36" s="280"/>
      <c r="H36" s="280"/>
      <c r="I36" s="280"/>
      <c r="J36" s="280"/>
      <c r="K36" s="280"/>
      <c r="L36" s="280"/>
    </row>
    <row r="37" spans="4:12">
      <c r="D37" s="281" t="s">
        <v>3238</v>
      </c>
      <c r="E37" s="589">
        <v>1</v>
      </c>
      <c r="F37" s="282"/>
      <c r="G37" s="280"/>
      <c r="H37" s="280"/>
      <c r="I37" s="280"/>
      <c r="J37" s="280"/>
      <c r="K37" s="280"/>
      <c r="L37" s="280"/>
    </row>
    <row r="38" spans="4:12">
      <c r="D38" s="281" t="s">
        <v>3239</v>
      </c>
      <c r="E38" s="586">
        <f>$E$33*'EDC minus lijst ULL'!$I$114/2</f>
        <v>0.5</v>
      </c>
      <c r="F38" s="282"/>
      <c r="G38" s="280"/>
      <c r="H38" s="280"/>
      <c r="I38" s="280"/>
      <c r="J38" s="280"/>
      <c r="K38" s="280"/>
      <c r="L38" s="280"/>
    </row>
    <row r="39" spans="4:12">
      <c r="D39" s="283" t="s">
        <v>3244</v>
      </c>
      <c r="E39" s="386">
        <f>$E$33*'EDC minus lijst ULL'!$J$114</f>
        <v>1</v>
      </c>
      <c r="F39" s="284"/>
      <c r="G39" s="280"/>
      <c r="H39" s="280"/>
      <c r="I39" s="280"/>
      <c r="J39" s="280"/>
      <c r="K39" s="280"/>
      <c r="L39" s="280"/>
    </row>
    <row r="40" spans="4:12">
      <c r="D40" s="280"/>
      <c r="E40" s="280"/>
      <c r="F40" s="280"/>
      <c r="G40" s="280"/>
      <c r="H40" s="280"/>
      <c r="I40" s="280"/>
      <c r="J40" s="280"/>
      <c r="K40" s="280"/>
      <c r="L40" s="280"/>
    </row>
    <row r="41" spans="4:12">
      <c r="D41" s="388" t="s">
        <v>3245</v>
      </c>
      <c r="E41" s="585">
        <v>50</v>
      </c>
      <c r="F41" s="387" t="s">
        <v>3214</v>
      </c>
      <c r="G41" s="280"/>
      <c r="H41" s="280"/>
      <c r="I41" s="280"/>
      <c r="J41" s="280"/>
      <c r="K41" s="280"/>
      <c r="L41" s="280"/>
    </row>
    <row r="42" spans="4:12">
      <c r="D42" s="283" t="s">
        <v>3246</v>
      </c>
      <c r="E42" s="585">
        <v>50</v>
      </c>
      <c r="F42" s="284" t="s">
        <v>3214</v>
      </c>
      <c r="G42" s="280"/>
      <c r="H42" s="280"/>
      <c r="I42" s="280"/>
      <c r="J42" s="280"/>
      <c r="K42" s="280"/>
      <c r="L42" s="280"/>
    </row>
    <row r="43" spans="4:12">
      <c r="D43" s="280"/>
      <c r="E43" s="280"/>
      <c r="F43" s="280"/>
      <c r="G43" s="280"/>
      <c r="H43" s="280"/>
      <c r="I43" s="280"/>
      <c r="J43" s="280"/>
      <c r="K43" s="280"/>
      <c r="L43" s="280"/>
    </row>
    <row r="44" spans="4:12">
      <c r="D44" s="388" t="s">
        <v>3247</v>
      </c>
      <c r="E44" s="584">
        <v>1</v>
      </c>
      <c r="F44" s="387"/>
      <c r="G44" s="280"/>
      <c r="H44" s="280"/>
      <c r="I44" s="280"/>
      <c r="J44" s="280"/>
      <c r="K44" s="280"/>
      <c r="L44" s="280"/>
    </row>
    <row r="45" spans="4:12">
      <c r="D45" s="283" t="s">
        <v>3248</v>
      </c>
      <c r="E45" s="584">
        <v>1</v>
      </c>
      <c r="F45" s="284"/>
      <c r="G45" s="280"/>
      <c r="H45" s="280"/>
      <c r="I45" s="280"/>
      <c r="J45" s="280"/>
      <c r="K45" s="280"/>
      <c r="L45" s="280"/>
    </row>
    <row r="46" spans="4:12">
      <c r="D46" s="280"/>
      <c r="E46" s="280"/>
      <c r="F46" s="280"/>
      <c r="G46" s="280"/>
      <c r="H46" s="280"/>
      <c r="I46" s="280"/>
      <c r="J46" s="280"/>
      <c r="K46" s="280"/>
      <c r="L46" s="280"/>
    </row>
    <row r="47" spans="4:12">
      <c r="D47" s="388" t="s">
        <v>3249</v>
      </c>
      <c r="E47" s="585">
        <v>10000</v>
      </c>
      <c r="F47" s="387"/>
      <c r="G47" s="280"/>
      <c r="H47" s="280"/>
      <c r="I47" s="280"/>
      <c r="J47" s="280"/>
      <c r="K47" s="280"/>
      <c r="L47" s="280"/>
    </row>
    <row r="48" spans="4:12">
      <c r="D48" s="281" t="s">
        <v>3250</v>
      </c>
      <c r="E48" s="585">
        <v>1000</v>
      </c>
      <c r="F48" s="282"/>
      <c r="G48" s="280"/>
      <c r="H48" s="280"/>
      <c r="I48" s="280"/>
      <c r="J48" s="280"/>
      <c r="K48" s="280"/>
      <c r="L48" s="280"/>
    </row>
    <row r="49" spans="2:24">
      <c r="D49" s="281" t="s">
        <v>3251</v>
      </c>
      <c r="E49" s="386">
        <f>'Parameters ULL'!$E$58</f>
        <v>10000000</v>
      </c>
      <c r="F49" s="282"/>
      <c r="G49" s="280"/>
      <c r="H49" s="280"/>
      <c r="I49" s="280"/>
      <c r="J49" s="280"/>
      <c r="K49" s="280"/>
      <c r="L49" s="280"/>
    </row>
    <row r="50" spans="2:24">
      <c r="D50" s="283" t="s">
        <v>3252</v>
      </c>
      <c r="E50" s="585">
        <v>10000000</v>
      </c>
      <c r="F50" s="284" t="s">
        <v>3253</v>
      </c>
      <c r="G50" s="280"/>
      <c r="H50" s="280"/>
      <c r="I50" s="280"/>
      <c r="J50" s="280"/>
      <c r="K50" s="280"/>
      <c r="L50" s="280"/>
    </row>
    <row r="51" spans="2:24">
      <c r="D51" s="280"/>
      <c r="E51" s="280"/>
      <c r="F51" s="280"/>
      <c r="G51" s="280"/>
      <c r="H51" s="280"/>
      <c r="I51" s="280"/>
      <c r="J51" s="280"/>
      <c r="K51" s="280"/>
      <c r="L51" s="280"/>
    </row>
    <row r="52" spans="2:24"/>
    <row r="53" spans="2:24" s="360" customFormat="1" ht="15">
      <c r="B53" s="385" t="s">
        <v>3254</v>
      </c>
      <c r="C53" s="379" t="s">
        <v>3255</v>
      </c>
      <c r="O53" s="272"/>
      <c r="P53" s="272"/>
      <c r="Q53" s="272"/>
      <c r="R53" s="272"/>
      <c r="S53" s="272"/>
      <c r="T53" s="272"/>
      <c r="U53" s="272"/>
      <c r="V53" s="272"/>
      <c r="W53" s="272"/>
      <c r="X53" s="272"/>
    </row>
    <row r="54" spans="2:24"/>
    <row r="55" spans="2:24" ht="15.75">
      <c r="D55" s="285" t="s">
        <v>3256</v>
      </c>
    </row>
    <row r="56" spans="2:24"/>
    <row r="57" spans="2:24">
      <c r="E57" s="371" t="s">
        <v>3257</v>
      </c>
      <c r="F57" s="371" t="s">
        <v>188</v>
      </c>
      <c r="G57" s="371" t="s">
        <v>3258</v>
      </c>
      <c r="H57" s="371" t="s">
        <v>3259</v>
      </c>
      <c r="I57" s="371" t="s">
        <v>3260</v>
      </c>
      <c r="J57" s="371" t="s">
        <v>3261</v>
      </c>
    </row>
    <row r="58" spans="2:24">
      <c r="D58" s="371" t="s">
        <v>3226</v>
      </c>
      <c r="E58" s="375">
        <f>'EDC minus lijst ULL'!$I$3/2</f>
        <v>5.0000000000000001E-3</v>
      </c>
      <c r="F58" s="366">
        <f>$E$10</f>
        <v>5794.92</v>
      </c>
      <c r="G58" s="373">
        <f>$E$11</f>
        <v>963.15</v>
      </c>
      <c r="H58" s="373"/>
      <c r="I58" s="372">
        <f>$E$41</f>
        <v>50</v>
      </c>
      <c r="J58" s="363">
        <f>E58*(F58/(12*I58)+G58/12)</f>
        <v>0.44960350000000004</v>
      </c>
    </row>
    <row r="59" spans="2:24">
      <c r="D59" s="371" t="s">
        <v>3244</v>
      </c>
      <c r="E59" s="374">
        <v>1</v>
      </c>
      <c r="F59" s="366"/>
      <c r="G59" s="373">
        <f>$E$18</f>
        <v>3.06</v>
      </c>
      <c r="H59" s="373"/>
      <c r="I59" s="372"/>
      <c r="J59" s="363">
        <f>E59*G59/12</f>
        <v>0.255</v>
      </c>
    </row>
    <row r="60" spans="2:24">
      <c r="D60" s="371" t="s">
        <v>3262</v>
      </c>
      <c r="E60" s="374">
        <v>1</v>
      </c>
      <c r="F60" s="366"/>
      <c r="G60" s="373">
        <f>$E$19</f>
        <v>2.97</v>
      </c>
      <c r="H60" s="373"/>
      <c r="I60" s="372"/>
      <c r="J60" s="363">
        <f>E60*G60/12</f>
        <v>0.24750000000000003</v>
      </c>
    </row>
    <row r="61" spans="2:24">
      <c r="D61" s="371" t="s">
        <v>3263</v>
      </c>
      <c r="E61" s="370">
        <f>1/(600*$E$44)</f>
        <v>1.6666666666666668E-3</v>
      </c>
      <c r="F61" s="366">
        <f>$E$12</f>
        <v>5880.22</v>
      </c>
      <c r="G61" s="373"/>
      <c r="H61" s="373"/>
      <c r="I61" s="372">
        <f>$E$41</f>
        <v>50</v>
      </c>
      <c r="J61" s="363">
        <f>E61*(F61/(12*I61)+G61/12)</f>
        <v>1.6333944444444446E-2</v>
      </c>
    </row>
    <row r="62" spans="2:24">
      <c r="D62" s="371" t="s">
        <v>3229</v>
      </c>
      <c r="E62" s="370">
        <f>1/(1000*$E$45)</f>
        <v>1E-3</v>
      </c>
      <c r="F62" s="366">
        <f>$E$13</f>
        <v>2565.9299999999998</v>
      </c>
      <c r="G62" s="369"/>
      <c r="H62" s="369"/>
      <c r="I62" s="364">
        <f>$E$41</f>
        <v>50</v>
      </c>
      <c r="J62" s="363">
        <f>E62*(F62/(12*I62)+G62/12)</f>
        <v>4.2765499999999996E-3</v>
      </c>
    </row>
    <row r="63" spans="2:24">
      <c r="D63" s="371" t="s">
        <v>3230</v>
      </c>
      <c r="E63" s="370">
        <f>$E$47/$E$50</f>
        <v>1E-3</v>
      </c>
      <c r="F63" s="366">
        <f>$E$14</f>
        <v>2212.0300000000002</v>
      </c>
      <c r="G63" s="369"/>
      <c r="H63" s="369"/>
      <c r="I63" s="364">
        <f>$E$42</f>
        <v>50</v>
      </c>
      <c r="J63" s="363">
        <f>E63*(F63/(12*I63)+G63/12)</f>
        <v>3.6867166666666668E-3</v>
      </c>
    </row>
    <row r="64" spans="2:24">
      <c r="D64" s="371" t="s">
        <v>3231</v>
      </c>
      <c r="E64" s="370">
        <f>$E$47/$E$50</f>
        <v>1E-3</v>
      </c>
      <c r="F64" s="366">
        <f>$E$15</f>
        <v>7427.13</v>
      </c>
      <c r="G64" s="369"/>
      <c r="H64" s="369"/>
      <c r="I64" s="364">
        <f>$E$42</f>
        <v>50</v>
      </c>
      <c r="J64" s="363">
        <f>E64*(F64/(12*I64)+G64/12)</f>
        <v>1.237855E-2</v>
      </c>
    </row>
    <row r="65" spans="4:11">
      <c r="D65" s="368" t="s">
        <v>3232</v>
      </c>
      <c r="E65" s="367">
        <f>$E$47/$E$50</f>
        <v>1E-3</v>
      </c>
      <c r="F65" s="366">
        <f>$E$16</f>
        <v>6583.11</v>
      </c>
      <c r="G65" s="365"/>
      <c r="H65" s="365"/>
      <c r="I65" s="364">
        <f>$E$42</f>
        <v>50</v>
      </c>
      <c r="J65" s="363">
        <f>E65*(F65/(12*I65)+G65/12)</f>
        <v>1.097185E-2</v>
      </c>
    </row>
    <row r="66" spans="4:11">
      <c r="D66" s="362"/>
      <c r="E66" s="361"/>
      <c r="F66" s="360"/>
      <c r="G66" s="360"/>
      <c r="H66" s="360"/>
      <c r="I66" s="360"/>
      <c r="J66" s="359"/>
    </row>
    <row r="67" spans="4:11" ht="15">
      <c r="D67" s="286" t="s">
        <v>3264</v>
      </c>
      <c r="E67" s="287"/>
      <c r="F67" s="288"/>
      <c r="G67" s="289"/>
      <c r="H67" s="289"/>
      <c r="I67" s="290"/>
      <c r="J67" s="291">
        <f>SUM(J58:J66)</f>
        <v>0.99975111111111126</v>
      </c>
    </row>
    <row r="68" spans="4:11"/>
    <row r="69" spans="4:11"/>
    <row r="70" spans="4:11" ht="15.75">
      <c r="D70" s="285" t="s">
        <v>3265</v>
      </c>
    </row>
    <row r="71" spans="4:11"/>
    <row r="72" spans="4:11">
      <c r="E72" s="371" t="s">
        <v>3257</v>
      </c>
      <c r="F72" s="371" t="s">
        <v>188</v>
      </c>
      <c r="G72" s="371" t="s">
        <v>3258</v>
      </c>
      <c r="H72" s="371" t="s">
        <v>3259</v>
      </c>
      <c r="I72" s="371" t="s">
        <v>3260</v>
      </c>
      <c r="J72" s="371" t="s">
        <v>3261</v>
      </c>
    </row>
    <row r="73" spans="4:11">
      <c r="D73" s="371" t="s">
        <v>3226</v>
      </c>
      <c r="E73" s="375">
        <f>'EDC minus lijst ULL'!$I$6/2</f>
        <v>5.0000000000000001E-3</v>
      </c>
      <c r="F73" s="366">
        <f>$E$10</f>
        <v>5794.92</v>
      </c>
      <c r="G73" s="373">
        <f>$E$11</f>
        <v>963.15</v>
      </c>
      <c r="H73" s="373"/>
      <c r="I73" s="372">
        <f>$E$41</f>
        <v>50</v>
      </c>
      <c r="J73" s="363">
        <f>E73*(F73/(12*I73)+G73/12)</f>
        <v>0.44960350000000004</v>
      </c>
    </row>
    <row r="74" spans="4:11">
      <c r="D74" s="371" t="s">
        <v>3244</v>
      </c>
      <c r="E74" s="374">
        <v>1</v>
      </c>
      <c r="F74" s="366"/>
      <c r="G74" s="373">
        <f>$E$18</f>
        <v>3.06</v>
      </c>
      <c r="H74" s="373"/>
      <c r="I74" s="372"/>
      <c r="J74" s="363">
        <f>E74*G74/12</f>
        <v>0.255</v>
      </c>
      <c r="K74" s="292"/>
    </row>
    <row r="75" spans="4:11">
      <c r="D75" s="371" t="s">
        <v>3262</v>
      </c>
      <c r="E75" s="374">
        <v>1</v>
      </c>
      <c r="F75" s="366"/>
      <c r="G75" s="373">
        <f>$E$19</f>
        <v>2.97</v>
      </c>
      <c r="H75" s="373"/>
      <c r="I75" s="372"/>
      <c r="J75" s="363">
        <f>E75*G75/12</f>
        <v>0.24750000000000003</v>
      </c>
      <c r="K75" s="292"/>
    </row>
    <row r="76" spans="4:11">
      <c r="D76" s="371" t="s">
        <v>3263</v>
      </c>
      <c r="E76" s="370">
        <f>1/(600*$E$44)</f>
        <v>1.6666666666666668E-3</v>
      </c>
      <c r="F76" s="366">
        <f>$E$12</f>
        <v>5880.22</v>
      </c>
      <c r="G76" s="373"/>
      <c r="H76" s="373"/>
      <c r="I76" s="372">
        <f>$E$41</f>
        <v>50</v>
      </c>
      <c r="J76" s="363">
        <f>E76*(F76/(12*I76)+G76/12)</f>
        <v>1.6333944444444446E-2</v>
      </c>
    </row>
    <row r="77" spans="4:11">
      <c r="D77" s="371" t="s">
        <v>3229</v>
      </c>
      <c r="E77" s="370">
        <f>1/(1000*$E$45)</f>
        <v>1E-3</v>
      </c>
      <c r="F77" s="366">
        <f>$E$13</f>
        <v>2565.9299999999998</v>
      </c>
      <c r="G77" s="369"/>
      <c r="H77" s="369"/>
      <c r="I77" s="364">
        <f>$E$41</f>
        <v>50</v>
      </c>
      <c r="J77" s="363">
        <f>E77*(F77/(12*I77)+G77/12)</f>
        <v>4.2765499999999996E-3</v>
      </c>
    </row>
    <row r="78" spans="4:11">
      <c r="D78" s="371" t="s">
        <v>3230</v>
      </c>
      <c r="E78" s="370">
        <f>$E$47/$E$50</f>
        <v>1E-3</v>
      </c>
      <c r="F78" s="366">
        <f>$E$14</f>
        <v>2212.0300000000002</v>
      </c>
      <c r="G78" s="369"/>
      <c r="H78" s="369"/>
      <c r="I78" s="364">
        <f>$E$42</f>
        <v>50</v>
      </c>
      <c r="J78" s="363">
        <f>E78*(F78/(12*I78)+G78/12)</f>
        <v>3.6867166666666668E-3</v>
      </c>
    </row>
    <row r="79" spans="4:11">
      <c r="D79" s="371" t="s">
        <v>3231</v>
      </c>
      <c r="E79" s="370">
        <f>$E$47/$E$50</f>
        <v>1E-3</v>
      </c>
      <c r="F79" s="366">
        <f>$E$15</f>
        <v>7427.13</v>
      </c>
      <c r="G79" s="369"/>
      <c r="H79" s="369"/>
      <c r="I79" s="364">
        <f>$E$42</f>
        <v>50</v>
      </c>
      <c r="J79" s="363">
        <f>E79*(F79/(12*I79)+G79/12)</f>
        <v>1.237855E-2</v>
      </c>
    </row>
    <row r="80" spans="4:11">
      <c r="D80" s="368" t="s">
        <v>3232</v>
      </c>
      <c r="E80" s="367">
        <f>$E$47/$E$50</f>
        <v>1E-3</v>
      </c>
      <c r="F80" s="366">
        <f>$E$16</f>
        <v>6583.11</v>
      </c>
      <c r="G80" s="365"/>
      <c r="H80" s="365"/>
      <c r="I80" s="364">
        <f>$E$42</f>
        <v>50</v>
      </c>
      <c r="J80" s="363">
        <f>E80*(F80/(12*I80)+G80/12)</f>
        <v>1.097185E-2</v>
      </c>
    </row>
    <row r="81" spans="4:10">
      <c r="D81" s="362"/>
      <c r="E81" s="361"/>
      <c r="F81" s="360"/>
      <c r="G81" s="360"/>
      <c r="H81" s="360"/>
      <c r="I81" s="360"/>
      <c r="J81" s="359"/>
    </row>
    <row r="82" spans="4:10" ht="15">
      <c r="D82" s="286" t="s">
        <v>3264</v>
      </c>
      <c r="E82" s="287"/>
      <c r="F82" s="288"/>
      <c r="G82" s="289"/>
      <c r="H82" s="289"/>
      <c r="I82" s="290"/>
      <c r="J82" s="291">
        <f>SUM(J73:J81)</f>
        <v>0.99975111111111126</v>
      </c>
    </row>
    <row r="83" spans="4:10"/>
    <row r="84" spans="4:10"/>
    <row r="85" spans="4:10" ht="15.75">
      <c r="D85" s="285" t="s">
        <v>3266</v>
      </c>
    </row>
    <row r="86" spans="4:10" ht="15.75">
      <c r="D86" s="285"/>
    </row>
    <row r="87" spans="4:10">
      <c r="E87" s="371" t="s">
        <v>3257</v>
      </c>
      <c r="F87" s="371" t="s">
        <v>188</v>
      </c>
      <c r="G87" s="371" t="s">
        <v>3258</v>
      </c>
      <c r="H87" s="371" t="s">
        <v>3259</v>
      </c>
      <c r="I87" s="371" t="s">
        <v>3260</v>
      </c>
      <c r="J87" s="371" t="s">
        <v>3261</v>
      </c>
    </row>
    <row r="88" spans="4:10">
      <c r="D88" s="371" t="s">
        <v>3226</v>
      </c>
      <c r="E88" s="375">
        <f>'EDC minus lijst ULL'!$I$9/2</f>
        <v>5.0000000000000001E-3</v>
      </c>
      <c r="F88" s="366">
        <f>$E$10</f>
        <v>5794.92</v>
      </c>
      <c r="G88" s="373">
        <f>$E$11</f>
        <v>963.15</v>
      </c>
      <c r="H88" s="373"/>
      <c r="I88" s="372">
        <f>$E$41</f>
        <v>50</v>
      </c>
      <c r="J88" s="363">
        <f>E88*(F88/(12*I88)+G88/12)</f>
        <v>0.44960350000000004</v>
      </c>
    </row>
    <row r="89" spans="4:10">
      <c r="D89" s="371" t="s">
        <v>3244</v>
      </c>
      <c r="E89" s="374">
        <v>2</v>
      </c>
      <c r="F89" s="366"/>
      <c r="G89" s="373">
        <f>$E$18</f>
        <v>3.06</v>
      </c>
      <c r="H89" s="373"/>
      <c r="I89" s="372"/>
      <c r="J89" s="363">
        <f>E89*G89/12</f>
        <v>0.51</v>
      </c>
    </row>
    <row r="90" spans="4:10">
      <c r="D90" s="371" t="s">
        <v>3262</v>
      </c>
      <c r="E90" s="374">
        <v>2</v>
      </c>
      <c r="F90" s="366"/>
      <c r="G90" s="373">
        <f>$E$19</f>
        <v>2.97</v>
      </c>
      <c r="H90" s="373"/>
      <c r="I90" s="372"/>
      <c r="J90" s="363">
        <f>E90*G90/12</f>
        <v>0.49500000000000005</v>
      </c>
    </row>
    <row r="91" spans="4:10">
      <c r="D91" s="371" t="s">
        <v>3267</v>
      </c>
      <c r="E91" s="370">
        <f>2/(600*$E$44)</f>
        <v>3.3333333333333335E-3</v>
      </c>
      <c r="F91" s="366">
        <f>$E$12</f>
        <v>5880.22</v>
      </c>
      <c r="G91" s="373"/>
      <c r="H91" s="373"/>
      <c r="I91" s="372">
        <f>$E$41</f>
        <v>50</v>
      </c>
      <c r="J91" s="363">
        <f>E91*(F91/(12*I91)+G91/12)</f>
        <v>3.2667888888888892E-2</v>
      </c>
    </row>
    <row r="92" spans="4:10">
      <c r="D92" s="371" t="s">
        <v>3229</v>
      </c>
      <c r="E92" s="370">
        <f>2/(1000*$E$45)</f>
        <v>2E-3</v>
      </c>
      <c r="F92" s="366">
        <f>$E$13</f>
        <v>2565.9299999999998</v>
      </c>
      <c r="G92" s="369"/>
      <c r="H92" s="369"/>
      <c r="I92" s="364">
        <f>$E$41</f>
        <v>50</v>
      </c>
      <c r="J92" s="363">
        <f>E92*(F92/(12*I92)+G92/12)</f>
        <v>8.5530999999999992E-3</v>
      </c>
    </row>
    <row r="93" spans="4:10">
      <c r="D93" s="371" t="s">
        <v>3230</v>
      </c>
      <c r="E93" s="370">
        <f>$E$47/$E$50</f>
        <v>1E-3</v>
      </c>
      <c r="F93" s="366">
        <f>$E$14</f>
        <v>2212.0300000000002</v>
      </c>
      <c r="G93" s="369"/>
      <c r="H93" s="369"/>
      <c r="I93" s="364">
        <f>$E$42</f>
        <v>50</v>
      </c>
      <c r="J93" s="363">
        <f>E93*(F93/(12*I93)+G93/12)</f>
        <v>3.6867166666666668E-3</v>
      </c>
    </row>
    <row r="94" spans="4:10">
      <c r="D94" s="371" t="s">
        <v>3231</v>
      </c>
      <c r="E94" s="370">
        <f>$E$47/$E$50</f>
        <v>1E-3</v>
      </c>
      <c r="F94" s="366">
        <f>$E$15</f>
        <v>7427.13</v>
      </c>
      <c r="G94" s="369"/>
      <c r="H94" s="369"/>
      <c r="I94" s="364">
        <f>$E$42</f>
        <v>50</v>
      </c>
      <c r="J94" s="363">
        <f>E94*(F94/(12*I94)+G94/12)</f>
        <v>1.237855E-2</v>
      </c>
    </row>
    <row r="95" spans="4:10">
      <c r="D95" s="371" t="s">
        <v>3232</v>
      </c>
      <c r="E95" s="370">
        <f>$E$47/$E$50</f>
        <v>1E-3</v>
      </c>
      <c r="F95" s="366">
        <f>$E$16</f>
        <v>6583.11</v>
      </c>
      <c r="G95" s="365"/>
      <c r="H95" s="365"/>
      <c r="I95" s="364">
        <f>$E$42</f>
        <v>50</v>
      </c>
      <c r="J95" s="363">
        <f>E95*(F95/(12*I95)+G95/12)</f>
        <v>1.097185E-2</v>
      </c>
    </row>
    <row r="96" spans="4:10">
      <c r="D96" s="362"/>
      <c r="E96" s="361"/>
      <c r="F96" s="360"/>
      <c r="G96" s="360"/>
      <c r="H96" s="360"/>
      <c r="I96" s="360"/>
      <c r="J96" s="359"/>
    </row>
    <row r="97" spans="4:10" ht="15">
      <c r="D97" s="381" t="s">
        <v>3264</v>
      </c>
      <c r="E97" s="380"/>
      <c r="F97" s="379"/>
      <c r="G97" s="378"/>
      <c r="H97" s="378"/>
      <c r="I97" s="377"/>
      <c r="J97" s="376">
        <f>SUM(J88:J96)</f>
        <v>1.5228616055555559</v>
      </c>
    </row>
    <row r="98" spans="4:10">
      <c r="D98" s="279"/>
      <c r="E98" s="293"/>
    </row>
    <row r="99" spans="4:10"/>
    <row r="100" spans="4:10" ht="15.75">
      <c r="D100" s="285" t="s">
        <v>3268</v>
      </c>
    </row>
    <row r="101" spans="4:10"/>
    <row r="102" spans="4:10">
      <c r="E102" s="371" t="s">
        <v>3257</v>
      </c>
      <c r="F102" s="371" t="s">
        <v>188</v>
      </c>
      <c r="G102" s="371" t="s">
        <v>3258</v>
      </c>
      <c r="H102" s="371" t="s">
        <v>3259</v>
      </c>
      <c r="I102" s="371" t="s">
        <v>3260</v>
      </c>
      <c r="J102" s="371" t="s">
        <v>3261</v>
      </c>
    </row>
    <row r="103" spans="4:10">
      <c r="D103" s="371" t="s">
        <v>3226</v>
      </c>
      <c r="E103" s="384">
        <f>$E$34*$E$48/$E$49</f>
        <v>5.0000000000000002E-5</v>
      </c>
      <c r="F103" s="366">
        <f>$E$22</f>
        <v>5795.27</v>
      </c>
      <c r="G103" s="373">
        <f>$E$23</f>
        <v>963.15</v>
      </c>
      <c r="H103" s="373"/>
      <c r="I103" s="372">
        <f>$E$41</f>
        <v>50</v>
      </c>
      <c r="J103" s="383">
        <f>E103*(F103/(12*I103)+G103/12)</f>
        <v>4.4960641666666667E-3</v>
      </c>
    </row>
    <row r="104" spans="4:10">
      <c r="D104" s="371" t="s">
        <v>3230</v>
      </c>
      <c r="E104" s="384">
        <f>$E$35*$E$48/$E$49</f>
        <v>5.0000000000000002E-5</v>
      </c>
      <c r="F104" s="366">
        <f>$E$24</f>
        <v>2212.19</v>
      </c>
      <c r="G104" s="373"/>
      <c r="H104" s="373"/>
      <c r="I104" s="372">
        <f t="shared" ref="I104:I109" si="0">$E$42</f>
        <v>50</v>
      </c>
      <c r="J104" s="383">
        <f>E104*(F104/(12*I104)+G104/12)</f>
        <v>1.8434916666666668E-4</v>
      </c>
    </row>
    <row r="105" spans="4:10">
      <c r="D105" s="371" t="s">
        <v>3231</v>
      </c>
      <c r="E105" s="384">
        <f>$E$36*$E$48/$E$49</f>
        <v>5.0000000000000002E-5</v>
      </c>
      <c r="F105" s="366">
        <f>$E$25</f>
        <v>7426.79</v>
      </c>
      <c r="G105" s="373"/>
      <c r="H105" s="373"/>
      <c r="I105" s="372">
        <f t="shared" si="0"/>
        <v>50</v>
      </c>
      <c r="J105" s="383">
        <f>E105*(F105/(12*I105)+G105/12)</f>
        <v>6.188991666666667E-4</v>
      </c>
    </row>
    <row r="106" spans="4:10">
      <c r="D106" s="371" t="s">
        <v>3238</v>
      </c>
      <c r="E106" s="384">
        <f>$E$37*$E$48/$E$49</f>
        <v>1E-4</v>
      </c>
      <c r="F106" s="366">
        <f>$E$26</f>
        <v>4027.69</v>
      </c>
      <c r="G106" s="373"/>
      <c r="H106" s="373"/>
      <c r="I106" s="372">
        <f t="shared" si="0"/>
        <v>50</v>
      </c>
      <c r="J106" s="383">
        <f>E106*(F106/(12*I106)+G106/12)</f>
        <v>6.7128166666666667E-4</v>
      </c>
    </row>
    <row r="107" spans="4:10">
      <c r="D107" s="371" t="s">
        <v>3239</v>
      </c>
      <c r="E107" s="384">
        <f>$E$38*$E$48/$E$49</f>
        <v>5.0000000000000002E-5</v>
      </c>
      <c r="F107" s="366">
        <f>$E$27</f>
        <v>224</v>
      </c>
      <c r="G107" s="369">
        <f>$E$28*12</f>
        <v>398.76</v>
      </c>
      <c r="H107" s="369"/>
      <c r="I107" s="372">
        <f t="shared" si="0"/>
        <v>50</v>
      </c>
      <c r="J107" s="383">
        <f>E107*(F107/(12*I107)+G107/12)</f>
        <v>1.6801666666666666E-3</v>
      </c>
    </row>
    <row r="108" spans="4:10">
      <c r="D108" s="371" t="s">
        <v>3269</v>
      </c>
      <c r="E108" s="384">
        <f>$E$39*$E$48/$E$49</f>
        <v>1E-4</v>
      </c>
      <c r="F108" s="366"/>
      <c r="G108" s="369"/>
      <c r="H108" s="369">
        <f>$E$29</f>
        <v>0.13</v>
      </c>
      <c r="I108" s="364">
        <f t="shared" si="0"/>
        <v>50</v>
      </c>
      <c r="J108" s="383">
        <f>E108*H108</f>
        <v>1.3000000000000001E-5</v>
      </c>
    </row>
    <row r="109" spans="4:10">
      <c r="D109" s="371" t="s">
        <v>3270</v>
      </c>
      <c r="E109" s="384">
        <f>$E$39*$E$48/$E$49</f>
        <v>1E-4</v>
      </c>
      <c r="F109" s="366"/>
      <c r="G109" s="365"/>
      <c r="H109" s="365">
        <f>$E$30</f>
        <v>0.09</v>
      </c>
      <c r="I109" s="364">
        <f t="shared" si="0"/>
        <v>50</v>
      </c>
      <c r="J109" s="383">
        <f>E109*H109</f>
        <v>9.0000000000000002E-6</v>
      </c>
    </row>
    <row r="110" spans="4:10">
      <c r="D110" s="362"/>
      <c r="E110" s="361"/>
      <c r="F110" s="360"/>
      <c r="G110" s="360"/>
      <c r="H110" s="360"/>
      <c r="I110" s="360"/>
      <c r="J110" s="359"/>
    </row>
    <row r="111" spans="4:10" ht="15">
      <c r="D111" s="381" t="s">
        <v>3264</v>
      </c>
      <c r="E111" s="380"/>
      <c r="F111" s="379"/>
      <c r="G111" s="378"/>
      <c r="H111" s="378"/>
      <c r="I111" s="377"/>
      <c r="J111" s="382">
        <f>SUM(J103:J110)</f>
        <v>7.6727608333333336E-3</v>
      </c>
    </row>
    <row r="112" spans="4:10"/>
    <row r="113" spans="4:10"/>
    <row r="114" spans="4:10" ht="15.75">
      <c r="D114" s="413" t="s">
        <v>303</v>
      </c>
    </row>
    <row r="115" spans="4:10" ht="15.75">
      <c r="D115" s="285"/>
    </row>
    <row r="116" spans="4:10">
      <c r="D116" s="272" t="s">
        <v>3271</v>
      </c>
      <c r="E116" s="371" t="s">
        <v>3257</v>
      </c>
      <c r="F116" s="371" t="s">
        <v>188</v>
      </c>
      <c r="G116" s="371" t="s">
        <v>3258</v>
      </c>
      <c r="H116" s="371" t="s">
        <v>3259</v>
      </c>
      <c r="I116" s="371" t="s">
        <v>3260</v>
      </c>
      <c r="J116" s="371" t="s">
        <v>3261</v>
      </c>
    </row>
    <row r="117" spans="4:10" ht="15">
      <c r="D117" s="371" t="s">
        <v>3226</v>
      </c>
      <c r="E117" s="375">
        <f>'EDC minus lijst ULL'!$I$12/2</f>
        <v>5.0000000000000001E-3</v>
      </c>
      <c r="F117" s="366">
        <f>$E$10</f>
        <v>5794.92</v>
      </c>
      <c r="G117" s="373">
        <f>$E$11</f>
        <v>963.15</v>
      </c>
      <c r="H117" s="373"/>
      <c r="I117" s="372">
        <f>$E$41</f>
        <v>50</v>
      </c>
      <c r="J117" s="376">
        <f>E117*(F117/(12*I117)+G117/12)</f>
        <v>0.44960350000000004</v>
      </c>
    </row>
    <row r="118" spans="4:10"/>
    <row r="119" spans="4:10"/>
    <row r="120" spans="4:10" ht="15.75">
      <c r="D120" s="285" t="s">
        <v>3266</v>
      </c>
    </row>
    <row r="121" spans="4:10"/>
    <row r="122" spans="4:10">
      <c r="D122" s="272" t="s">
        <v>3272</v>
      </c>
      <c r="E122" s="371" t="s">
        <v>3257</v>
      </c>
      <c r="F122" s="371" t="s">
        <v>188</v>
      </c>
      <c r="G122" s="371" t="s">
        <v>3258</v>
      </c>
      <c r="H122" s="371" t="s">
        <v>3259</v>
      </c>
      <c r="I122" s="371" t="s">
        <v>3260</v>
      </c>
      <c r="J122" s="371" t="s">
        <v>3261</v>
      </c>
    </row>
    <row r="123" spans="4:10">
      <c r="D123" s="371" t="s">
        <v>3244</v>
      </c>
      <c r="E123" s="374">
        <v>1</v>
      </c>
      <c r="F123" s="366"/>
      <c r="G123" s="373">
        <f>$E$18</f>
        <v>3.06</v>
      </c>
      <c r="H123" s="373"/>
      <c r="I123" s="372"/>
      <c r="J123" s="363">
        <f>E123*G123/12</f>
        <v>0.255</v>
      </c>
    </row>
    <row r="124" spans="4:10">
      <c r="D124" s="371" t="s">
        <v>3262</v>
      </c>
      <c r="E124" s="374">
        <v>1</v>
      </c>
      <c r="F124" s="366"/>
      <c r="G124" s="373">
        <f>$E$19</f>
        <v>2.97</v>
      </c>
      <c r="H124" s="373"/>
      <c r="I124" s="372"/>
      <c r="J124" s="363">
        <f>E124*G124/12</f>
        <v>0.24750000000000003</v>
      </c>
    </row>
    <row r="125" spans="4:10">
      <c r="D125" s="371" t="s">
        <v>3263</v>
      </c>
      <c r="E125" s="370">
        <f>1/(600*$E$44)</f>
        <v>1.6666666666666668E-3</v>
      </c>
      <c r="F125" s="366">
        <f>$E$12</f>
        <v>5880.22</v>
      </c>
      <c r="G125" s="373"/>
      <c r="H125" s="373"/>
      <c r="I125" s="372">
        <f>$E$41</f>
        <v>50</v>
      </c>
      <c r="J125" s="363">
        <f>E125*(F125/(12*I125)+G125/12)</f>
        <v>1.6333944444444446E-2</v>
      </c>
    </row>
    <row r="126" spans="4:10">
      <c r="D126" s="371" t="s">
        <v>3229</v>
      </c>
      <c r="E126" s="370">
        <f>1/(1000*$E$45)</f>
        <v>1E-3</v>
      </c>
      <c r="F126" s="366">
        <f>$E$13</f>
        <v>2565.9299999999998</v>
      </c>
      <c r="G126" s="369"/>
      <c r="H126" s="369"/>
      <c r="I126" s="364">
        <f>$E$41</f>
        <v>50</v>
      </c>
      <c r="J126" s="363">
        <f>E126*(F126/(12*I126)+G126/12)</f>
        <v>4.2765499999999996E-3</v>
      </c>
    </row>
    <row r="127" spans="4:10">
      <c r="D127" s="371" t="s">
        <v>3230</v>
      </c>
      <c r="E127" s="370">
        <f>$E$47/$E$50</f>
        <v>1E-3</v>
      </c>
      <c r="F127" s="366">
        <f>$E$14</f>
        <v>2212.0300000000002</v>
      </c>
      <c r="G127" s="369"/>
      <c r="H127" s="369"/>
      <c r="I127" s="364">
        <f>$E$42</f>
        <v>50</v>
      </c>
      <c r="J127" s="363">
        <f>E127*(F127/(12*I127)+G127/12)</f>
        <v>3.6867166666666668E-3</v>
      </c>
    </row>
    <row r="128" spans="4:10">
      <c r="D128" s="371" t="s">
        <v>3231</v>
      </c>
      <c r="E128" s="370">
        <f>$E$47/$E$50</f>
        <v>1E-3</v>
      </c>
      <c r="F128" s="366">
        <f>$E$15</f>
        <v>7427.13</v>
      </c>
      <c r="G128" s="369"/>
      <c r="H128" s="369"/>
      <c r="I128" s="364">
        <f>$E$42</f>
        <v>50</v>
      </c>
      <c r="J128" s="363">
        <f>E128*(F128/(12*I128)+G128/12)</f>
        <v>1.237855E-2</v>
      </c>
    </row>
    <row r="129" spans="4:10">
      <c r="D129" s="368" t="s">
        <v>3232</v>
      </c>
      <c r="E129" s="367">
        <f>$E$47/$E$50</f>
        <v>1E-3</v>
      </c>
      <c r="F129" s="366">
        <f>$E$16</f>
        <v>6583.11</v>
      </c>
      <c r="G129" s="365"/>
      <c r="H129" s="365"/>
      <c r="I129" s="364">
        <f>$E$42</f>
        <v>50</v>
      </c>
      <c r="J129" s="363">
        <f>E129*(F129/(12*I129)+G129/12)</f>
        <v>1.097185E-2</v>
      </c>
    </row>
    <row r="130" spans="4:10">
      <c r="D130" s="362"/>
      <c r="E130" s="361"/>
      <c r="F130" s="360"/>
      <c r="G130" s="360"/>
      <c r="H130" s="360"/>
      <c r="I130" s="360"/>
      <c r="J130" s="359"/>
    </row>
    <row r="131" spans="4:10" ht="15">
      <c r="D131" s="286" t="s">
        <v>3264</v>
      </c>
      <c r="E131" s="287"/>
      <c r="F131" s="288"/>
      <c r="G131" s="289"/>
      <c r="H131" s="289"/>
      <c r="I131" s="290"/>
      <c r="J131" s="291">
        <f>SUM(J122:J130)</f>
        <v>0.55014761111111121</v>
      </c>
    </row>
    <row r="132" spans="4:10"/>
    <row r="133" spans="4:10"/>
    <row r="134" spans="4:10" ht="15.75">
      <c r="D134" s="285" t="s">
        <v>3273</v>
      </c>
    </row>
    <row r="135" spans="4:10" ht="15.75">
      <c r="D135" s="285"/>
    </row>
    <row r="136" spans="4:10">
      <c r="E136" s="371" t="s">
        <v>3257</v>
      </c>
      <c r="F136" s="371" t="s">
        <v>188</v>
      </c>
      <c r="G136" s="371" t="s">
        <v>3258</v>
      </c>
      <c r="H136" s="371" t="s">
        <v>3259</v>
      </c>
      <c r="I136" s="371" t="s">
        <v>3260</v>
      </c>
      <c r="J136" s="371" t="s">
        <v>3261</v>
      </c>
    </row>
    <row r="137" spans="4:10">
      <c r="D137" s="371" t="s">
        <v>3226</v>
      </c>
      <c r="E137" s="375">
        <f>'EDC minus lijst ULL'!$I$60</f>
        <v>0</v>
      </c>
      <c r="F137" s="366">
        <f>$E$10</f>
        <v>5794.92</v>
      </c>
      <c r="G137" s="373">
        <f>$E$11</f>
        <v>963.15</v>
      </c>
      <c r="H137" s="373"/>
      <c r="I137" s="372">
        <f>$E$41</f>
        <v>50</v>
      </c>
      <c r="J137" s="363">
        <f>E137*(F137/(12*I137)+G137/12)</f>
        <v>0</v>
      </c>
    </row>
    <row r="138" spans="4:10">
      <c r="D138" s="371" t="s">
        <v>3244</v>
      </c>
      <c r="E138" s="374">
        <v>2</v>
      </c>
      <c r="F138" s="366"/>
      <c r="G138" s="373">
        <f>$E$18</f>
        <v>3.06</v>
      </c>
      <c r="H138" s="373"/>
      <c r="I138" s="372"/>
      <c r="J138" s="363">
        <f>E138*G138/12</f>
        <v>0.51</v>
      </c>
    </row>
    <row r="139" spans="4:10">
      <c r="D139" s="371" t="s">
        <v>3262</v>
      </c>
      <c r="E139" s="374">
        <v>2</v>
      </c>
      <c r="F139" s="366"/>
      <c r="G139" s="373">
        <f>$E$19</f>
        <v>2.97</v>
      </c>
      <c r="H139" s="373"/>
      <c r="I139" s="372"/>
      <c r="J139" s="363">
        <f>E139*G139/12</f>
        <v>0.49500000000000005</v>
      </c>
    </row>
    <row r="140" spans="4:10">
      <c r="D140" s="371" t="s">
        <v>3267</v>
      </c>
      <c r="E140" s="370">
        <f>2/(600*$E$44)</f>
        <v>3.3333333333333335E-3</v>
      </c>
      <c r="F140" s="366">
        <f>$E$12</f>
        <v>5880.22</v>
      </c>
      <c r="G140" s="373"/>
      <c r="H140" s="373"/>
      <c r="I140" s="372">
        <f>$E$41</f>
        <v>50</v>
      </c>
      <c r="J140" s="363">
        <f>E140*(F140/(12*I140)+G140/12)</f>
        <v>3.2667888888888892E-2</v>
      </c>
    </row>
    <row r="141" spans="4:10">
      <c r="D141" s="371" t="s">
        <v>3229</v>
      </c>
      <c r="E141" s="370">
        <f>2/(1000*$E$45)</f>
        <v>2E-3</v>
      </c>
      <c r="F141" s="366">
        <f>$E$13</f>
        <v>2565.9299999999998</v>
      </c>
      <c r="G141" s="369"/>
      <c r="H141" s="369"/>
      <c r="I141" s="364">
        <f>$E$41</f>
        <v>50</v>
      </c>
      <c r="J141" s="363">
        <f>E141*(F141/(12*I141)+G141/12)</f>
        <v>8.5530999999999992E-3</v>
      </c>
    </row>
    <row r="142" spans="4:10">
      <c r="D142" s="371" t="s">
        <v>3230</v>
      </c>
      <c r="E142" s="370">
        <f>$E$47/$E$50</f>
        <v>1E-3</v>
      </c>
      <c r="F142" s="366">
        <f>$E$14</f>
        <v>2212.0300000000002</v>
      </c>
      <c r="G142" s="369"/>
      <c r="H142" s="369"/>
      <c r="I142" s="364">
        <f>$E$42</f>
        <v>50</v>
      </c>
      <c r="J142" s="363">
        <f>E142*(F142/(12*I142)+G142/12)</f>
        <v>3.6867166666666668E-3</v>
      </c>
    </row>
    <row r="143" spans="4:10">
      <c r="D143" s="371" t="s">
        <v>3231</v>
      </c>
      <c r="E143" s="370">
        <f>$E$47/$E$50</f>
        <v>1E-3</v>
      </c>
      <c r="F143" s="366">
        <f>$E$15</f>
        <v>7427.13</v>
      </c>
      <c r="G143" s="369"/>
      <c r="H143" s="369"/>
      <c r="I143" s="364">
        <f>$E$42</f>
        <v>50</v>
      </c>
      <c r="J143" s="363">
        <f>E143*(F143/(12*I143)+G143/12)</f>
        <v>1.237855E-2</v>
      </c>
    </row>
    <row r="144" spans="4:10">
      <c r="D144" s="371" t="s">
        <v>3232</v>
      </c>
      <c r="E144" s="370">
        <f>$E$47/$E$50</f>
        <v>1E-3</v>
      </c>
      <c r="F144" s="366">
        <f>$E$16</f>
        <v>6583.11</v>
      </c>
      <c r="G144" s="365"/>
      <c r="H144" s="365"/>
      <c r="I144" s="364">
        <f>$E$42</f>
        <v>50</v>
      </c>
      <c r="J144" s="363">
        <f>E144*(F144/(12*I144)+G144/12)</f>
        <v>1.097185E-2</v>
      </c>
    </row>
    <row r="145" spans="4:11">
      <c r="D145" s="362"/>
      <c r="E145" s="361"/>
      <c r="F145" s="360"/>
      <c r="G145" s="360"/>
      <c r="H145" s="360"/>
      <c r="I145" s="360"/>
      <c r="J145" s="359"/>
    </row>
    <row r="146" spans="4:11" ht="15">
      <c r="D146" s="381" t="s">
        <v>3264</v>
      </c>
      <c r="E146" s="380"/>
      <c r="F146" s="379"/>
      <c r="G146" s="378"/>
      <c r="H146" s="378"/>
      <c r="I146" s="377"/>
      <c r="J146" s="376">
        <f>SUM(J137:J145)</f>
        <v>1.0732581055555559</v>
      </c>
    </row>
    <row r="147" spans="4:11">
      <c r="D147" s="279"/>
      <c r="E147" s="293"/>
    </row>
    <row r="148" spans="4:11"/>
    <row r="149" spans="4:11" ht="15.75">
      <c r="D149" s="285" t="s">
        <v>3274</v>
      </c>
    </row>
    <row r="150" spans="4:11"/>
    <row r="151" spans="4:11">
      <c r="E151" s="371" t="s">
        <v>3257</v>
      </c>
      <c r="F151" s="371" t="s">
        <v>188</v>
      </c>
      <c r="G151" s="371" t="s">
        <v>3258</v>
      </c>
      <c r="H151" s="371" t="s">
        <v>3259</v>
      </c>
      <c r="I151" s="371" t="s">
        <v>3260</v>
      </c>
      <c r="J151" s="371" t="s">
        <v>3261</v>
      </c>
    </row>
    <row r="152" spans="4:11">
      <c r="D152" s="371" t="s">
        <v>3226</v>
      </c>
      <c r="E152" s="375">
        <f>'EDC minus lijst ULL'!$I$36/2</f>
        <v>5.0000000000000001E-3</v>
      </c>
      <c r="F152" s="366">
        <f>$E$10</f>
        <v>5794.92</v>
      </c>
      <c r="G152" s="373">
        <f>$E$11</f>
        <v>963.15</v>
      </c>
      <c r="H152" s="373"/>
      <c r="I152" s="372">
        <f>$E$41</f>
        <v>50</v>
      </c>
      <c r="J152" s="363">
        <f>E152*(F152/(12*I152)+G152/12)</f>
        <v>0.44960350000000004</v>
      </c>
    </row>
    <row r="153" spans="4:11">
      <c r="D153" s="371" t="s">
        <v>3244</v>
      </c>
      <c r="E153" s="374">
        <v>1</v>
      </c>
      <c r="F153" s="366"/>
      <c r="G153" s="373">
        <f>$E$18</f>
        <v>3.06</v>
      </c>
      <c r="H153" s="373"/>
      <c r="I153" s="372"/>
      <c r="J153" s="363">
        <f>E153*G153/12</f>
        <v>0.255</v>
      </c>
      <c r="K153" s="292"/>
    </row>
    <row r="154" spans="4:11">
      <c r="D154" s="371" t="s">
        <v>3262</v>
      </c>
      <c r="E154" s="374">
        <v>1</v>
      </c>
      <c r="F154" s="366"/>
      <c r="G154" s="373">
        <f>$E$19</f>
        <v>2.97</v>
      </c>
      <c r="H154" s="373"/>
      <c r="I154" s="372"/>
      <c r="J154" s="363">
        <f>E154*G154/12</f>
        <v>0.24750000000000003</v>
      </c>
      <c r="K154" s="292"/>
    </row>
    <row r="155" spans="4:11">
      <c r="D155" s="371" t="s">
        <v>3263</v>
      </c>
      <c r="E155" s="370">
        <f>1/(600*$E$44)</f>
        <v>1.6666666666666668E-3</v>
      </c>
      <c r="F155" s="366">
        <f>$E$12</f>
        <v>5880.22</v>
      </c>
      <c r="G155" s="373"/>
      <c r="H155" s="373"/>
      <c r="I155" s="372">
        <f>$E$41</f>
        <v>50</v>
      </c>
      <c r="J155" s="363">
        <f>E155*(F155/(12*I155)+G155/12)</f>
        <v>1.6333944444444446E-2</v>
      </c>
    </row>
    <row r="156" spans="4:11">
      <c r="D156" s="371" t="s">
        <v>3229</v>
      </c>
      <c r="E156" s="370">
        <f>1/(1000*$E$45)</f>
        <v>1E-3</v>
      </c>
      <c r="F156" s="366">
        <f>$E$13</f>
        <v>2565.9299999999998</v>
      </c>
      <c r="G156" s="369"/>
      <c r="H156" s="369"/>
      <c r="I156" s="364">
        <f>$E$41</f>
        <v>50</v>
      </c>
      <c r="J156" s="363">
        <f>E156*(F156/(12*I156)+G156/12)</f>
        <v>4.2765499999999996E-3</v>
      </c>
    </row>
    <row r="157" spans="4:11">
      <c r="D157" s="371" t="s">
        <v>3230</v>
      </c>
      <c r="E157" s="370">
        <f>$E$47/$E$50</f>
        <v>1E-3</v>
      </c>
      <c r="F157" s="366">
        <f>$E$14</f>
        <v>2212.0300000000002</v>
      </c>
      <c r="G157" s="369"/>
      <c r="H157" s="369"/>
      <c r="I157" s="364">
        <f>$E$42</f>
        <v>50</v>
      </c>
      <c r="J157" s="363">
        <f>E157*(F157/(12*I157)+G157/12)</f>
        <v>3.6867166666666668E-3</v>
      </c>
    </row>
    <row r="158" spans="4:11">
      <c r="D158" s="371" t="s">
        <v>3231</v>
      </c>
      <c r="E158" s="370">
        <f>$E$47/$E$50</f>
        <v>1E-3</v>
      </c>
      <c r="F158" s="366">
        <f>$E$15</f>
        <v>7427.13</v>
      </c>
      <c r="G158" s="369"/>
      <c r="H158" s="369"/>
      <c r="I158" s="364">
        <f>$E$42</f>
        <v>50</v>
      </c>
      <c r="J158" s="363">
        <f>E158*(F158/(12*I158)+G158/12)</f>
        <v>1.237855E-2</v>
      </c>
    </row>
    <row r="159" spans="4:11">
      <c r="D159" s="368" t="s">
        <v>3232</v>
      </c>
      <c r="E159" s="367">
        <f>$E$47/$E$50</f>
        <v>1E-3</v>
      </c>
      <c r="F159" s="366">
        <f>$E$16</f>
        <v>6583.11</v>
      </c>
      <c r="G159" s="365"/>
      <c r="H159" s="365"/>
      <c r="I159" s="364">
        <f>$E$42</f>
        <v>50</v>
      </c>
      <c r="J159" s="363">
        <f>E159*(F159/(12*I159)+G159/12)</f>
        <v>1.097185E-2</v>
      </c>
    </row>
    <row r="160" spans="4:11">
      <c r="D160" s="362"/>
      <c r="E160" s="361"/>
      <c r="F160" s="360"/>
      <c r="G160" s="360"/>
      <c r="H160" s="360"/>
      <c r="I160" s="360"/>
      <c r="J160" s="359"/>
    </row>
    <row r="161" spans="4:10" ht="15">
      <c r="D161" s="286" t="s">
        <v>3264</v>
      </c>
      <c r="E161" s="287"/>
      <c r="F161" s="288"/>
      <c r="G161" s="289"/>
      <c r="H161" s="289"/>
      <c r="I161" s="290"/>
      <c r="J161" s="291">
        <f>SUM(J152:J160)</f>
        <v>0.99975111111111126</v>
      </c>
    </row>
    <row r="162" spans="4:10"/>
    <row r="163" spans="4:10"/>
    <row r="164" spans="4:10" ht="15.75">
      <c r="D164" s="285" t="s">
        <v>3275</v>
      </c>
    </row>
    <row r="165" spans="4:10"/>
    <row r="166" spans="4:10">
      <c r="E166" s="371" t="s">
        <v>3257</v>
      </c>
      <c r="F166" s="371" t="s">
        <v>188</v>
      </c>
      <c r="G166" s="371" t="s">
        <v>3258</v>
      </c>
      <c r="H166" s="371" t="s">
        <v>3259</v>
      </c>
      <c r="I166" s="371" t="s">
        <v>3260</v>
      </c>
      <c r="J166" s="371" t="s">
        <v>3261</v>
      </c>
    </row>
    <row r="167" spans="4:10">
      <c r="D167" s="371" t="s">
        <v>3226</v>
      </c>
      <c r="E167" s="375">
        <f>'EDC minus lijst ULL'!$I$34/2</f>
        <v>5.0000000000000001E-3</v>
      </c>
      <c r="F167" s="366">
        <f>$E$10</f>
        <v>5794.92</v>
      </c>
      <c r="G167" s="373">
        <f>$E$11</f>
        <v>963.15</v>
      </c>
      <c r="H167" s="373"/>
      <c r="I167" s="372">
        <f>$E$41</f>
        <v>50</v>
      </c>
      <c r="J167" s="363">
        <f>E167*(F167/(12*I167)+G167/12)</f>
        <v>0.44960350000000004</v>
      </c>
    </row>
    <row r="168" spans="4:10">
      <c r="D168" s="371" t="s">
        <v>3244</v>
      </c>
      <c r="E168" s="374">
        <v>1</v>
      </c>
      <c r="F168" s="366"/>
      <c r="G168" s="373">
        <f>$E$18</f>
        <v>3.06</v>
      </c>
      <c r="H168" s="373"/>
      <c r="I168" s="372"/>
      <c r="J168" s="363">
        <f>E168*G168/12</f>
        <v>0.255</v>
      </c>
    </row>
    <row r="169" spans="4:10">
      <c r="D169" s="371" t="s">
        <v>3262</v>
      </c>
      <c r="E169" s="374">
        <v>1</v>
      </c>
      <c r="F169" s="366"/>
      <c r="G169" s="373">
        <f>$E$19</f>
        <v>2.97</v>
      </c>
      <c r="H169" s="373"/>
      <c r="I169" s="372"/>
      <c r="J169" s="363">
        <f>E169*G169/12</f>
        <v>0.24750000000000003</v>
      </c>
    </row>
    <row r="170" spans="4:10">
      <c r="D170" s="371" t="s">
        <v>3263</v>
      </c>
      <c r="E170" s="370">
        <f>1/(600*$E$44)</f>
        <v>1.6666666666666668E-3</v>
      </c>
      <c r="F170" s="366">
        <f>$E$12</f>
        <v>5880.22</v>
      </c>
      <c r="G170" s="373"/>
      <c r="H170" s="373"/>
      <c r="I170" s="372">
        <f>$E$41</f>
        <v>50</v>
      </c>
      <c r="J170" s="363">
        <f>E170*(F170/(12*I170)+G170/12)</f>
        <v>1.6333944444444446E-2</v>
      </c>
    </row>
    <row r="171" spans="4:10">
      <c r="D171" s="371" t="s">
        <v>3229</v>
      </c>
      <c r="E171" s="370">
        <f>1/(1000*$E$45)</f>
        <v>1E-3</v>
      </c>
      <c r="F171" s="366">
        <f>$E$13</f>
        <v>2565.9299999999998</v>
      </c>
      <c r="G171" s="369"/>
      <c r="H171" s="369"/>
      <c r="I171" s="364">
        <f>$E$41</f>
        <v>50</v>
      </c>
      <c r="J171" s="363">
        <f>E171*(F171/(12*I171)+G171/12)</f>
        <v>4.2765499999999996E-3</v>
      </c>
    </row>
    <row r="172" spans="4:10">
      <c r="D172" s="371" t="s">
        <v>3230</v>
      </c>
      <c r="E172" s="370">
        <f>$E$47/$E$50</f>
        <v>1E-3</v>
      </c>
      <c r="F172" s="366">
        <f>$E$14</f>
        <v>2212.0300000000002</v>
      </c>
      <c r="G172" s="369"/>
      <c r="H172" s="369"/>
      <c r="I172" s="364">
        <f>$E$42</f>
        <v>50</v>
      </c>
      <c r="J172" s="363">
        <f>E172*(F172/(12*I172)+G172/12)</f>
        <v>3.6867166666666668E-3</v>
      </c>
    </row>
    <row r="173" spans="4:10">
      <c r="D173" s="371" t="s">
        <v>3231</v>
      </c>
      <c r="E173" s="370">
        <f>$E$47/$E$50</f>
        <v>1E-3</v>
      </c>
      <c r="F173" s="366">
        <f>$E$15</f>
        <v>7427.13</v>
      </c>
      <c r="G173" s="369"/>
      <c r="H173" s="369"/>
      <c r="I173" s="364">
        <f>$E$42</f>
        <v>50</v>
      </c>
      <c r="J173" s="363">
        <f>E173*(F173/(12*I173)+G173/12)</f>
        <v>1.237855E-2</v>
      </c>
    </row>
    <row r="174" spans="4:10">
      <c r="D174" s="368" t="s">
        <v>3232</v>
      </c>
      <c r="E174" s="367">
        <f>$E$47/$E$50</f>
        <v>1E-3</v>
      </c>
      <c r="F174" s="366">
        <f>$E$16</f>
        <v>6583.11</v>
      </c>
      <c r="G174" s="365"/>
      <c r="H174" s="365"/>
      <c r="I174" s="364">
        <f>$E$42</f>
        <v>50</v>
      </c>
      <c r="J174" s="363">
        <f>E174*(F174/(12*I174)+G174/12)</f>
        <v>1.097185E-2</v>
      </c>
    </row>
    <row r="175" spans="4:10">
      <c r="D175" s="362"/>
      <c r="E175" s="361"/>
      <c r="F175" s="360"/>
      <c r="G175" s="360"/>
      <c r="H175" s="360"/>
      <c r="I175" s="360"/>
      <c r="J175" s="359"/>
    </row>
    <row r="176" spans="4:10" ht="15">
      <c r="D176" s="286" t="s">
        <v>3264</v>
      </c>
      <c r="E176" s="287"/>
      <c r="F176" s="288"/>
      <c r="G176" s="289"/>
      <c r="H176" s="289"/>
      <c r="I176" s="290"/>
      <c r="J176" s="291">
        <f>SUM(J167:J175)</f>
        <v>0.99975111111111126</v>
      </c>
    </row>
    <row r="177" spans="4:10"/>
    <row r="178" spans="4:10"/>
    <row r="179" spans="4:10"/>
    <row r="180" spans="4:10" ht="15.75">
      <c r="D180" s="285" t="s">
        <v>3276</v>
      </c>
    </row>
    <row r="181" spans="4:10"/>
    <row r="182" spans="4:10">
      <c r="E182" s="371" t="s">
        <v>3257</v>
      </c>
      <c r="F182" s="371" t="s">
        <v>188</v>
      </c>
      <c r="G182" s="371" t="s">
        <v>3258</v>
      </c>
      <c r="H182" s="371" t="s">
        <v>3259</v>
      </c>
      <c r="I182" s="371" t="s">
        <v>3260</v>
      </c>
      <c r="J182" s="371" t="s">
        <v>3261</v>
      </c>
    </row>
    <row r="183" spans="4:10">
      <c r="D183" s="371" t="s">
        <v>3226</v>
      </c>
      <c r="E183" s="375">
        <f>'EDC minus lijst ULL'!$I$35/2</f>
        <v>5.0000000000000001E-3</v>
      </c>
      <c r="F183" s="366">
        <f>$E$10</f>
        <v>5794.92</v>
      </c>
      <c r="G183" s="373">
        <f>$E$11</f>
        <v>963.15</v>
      </c>
      <c r="H183" s="373"/>
      <c r="I183" s="372">
        <f>$E$41</f>
        <v>50</v>
      </c>
      <c r="J183" s="363">
        <f>E183*(F183/(12*I183)+G183/12)</f>
        <v>0.44960350000000004</v>
      </c>
    </row>
    <row r="184" spans="4:10">
      <c r="D184" s="371" t="s">
        <v>3244</v>
      </c>
      <c r="E184" s="374">
        <v>2</v>
      </c>
      <c r="F184" s="366"/>
      <c r="G184" s="373">
        <f>$E$18</f>
        <v>3.06</v>
      </c>
      <c r="H184" s="373"/>
      <c r="I184" s="372"/>
      <c r="J184" s="363">
        <f>E184*G184/12</f>
        <v>0.51</v>
      </c>
    </row>
    <row r="185" spans="4:10">
      <c r="D185" s="371" t="s">
        <v>3262</v>
      </c>
      <c r="E185" s="374">
        <v>2</v>
      </c>
      <c r="F185" s="366"/>
      <c r="G185" s="373">
        <f>$E$19</f>
        <v>2.97</v>
      </c>
      <c r="H185" s="373"/>
      <c r="I185" s="372"/>
      <c r="J185" s="363">
        <f>E185*G185/12</f>
        <v>0.49500000000000005</v>
      </c>
    </row>
    <row r="186" spans="4:10">
      <c r="D186" s="371" t="s">
        <v>3263</v>
      </c>
      <c r="E186" s="370">
        <f>2/(600*$E$44)</f>
        <v>3.3333333333333335E-3</v>
      </c>
      <c r="F186" s="366">
        <f>$E$12</f>
        <v>5880.22</v>
      </c>
      <c r="G186" s="373"/>
      <c r="H186" s="373"/>
      <c r="I186" s="372">
        <f>$E$41</f>
        <v>50</v>
      </c>
      <c r="J186" s="363">
        <f>E186*(F186/(12*I186)+G186/12)</f>
        <v>3.2667888888888892E-2</v>
      </c>
    </row>
    <row r="187" spans="4:10">
      <c r="D187" s="371" t="s">
        <v>3229</v>
      </c>
      <c r="E187" s="370">
        <f>2/(1000*$E$45)</f>
        <v>2E-3</v>
      </c>
      <c r="F187" s="366">
        <f>$E$13</f>
        <v>2565.9299999999998</v>
      </c>
      <c r="G187" s="369"/>
      <c r="H187" s="369"/>
      <c r="I187" s="364">
        <f>$E$41</f>
        <v>50</v>
      </c>
      <c r="J187" s="363">
        <f>E187*(F187/(12*I187)+G187/12)</f>
        <v>8.5530999999999992E-3</v>
      </c>
    </row>
    <row r="188" spans="4:10">
      <c r="D188" s="371" t="s">
        <v>3230</v>
      </c>
      <c r="E188" s="370">
        <f>$E$47/$E$50</f>
        <v>1E-3</v>
      </c>
      <c r="F188" s="366">
        <f>$E$14</f>
        <v>2212.0300000000002</v>
      </c>
      <c r="G188" s="369"/>
      <c r="H188" s="369"/>
      <c r="I188" s="364">
        <f>$E$42</f>
        <v>50</v>
      </c>
      <c r="J188" s="363">
        <f>E188*(F188/(12*I188)+G188/12)</f>
        <v>3.6867166666666668E-3</v>
      </c>
    </row>
    <row r="189" spans="4:10">
      <c r="D189" s="371" t="s">
        <v>3231</v>
      </c>
      <c r="E189" s="370">
        <f>$E$47/$E$50</f>
        <v>1E-3</v>
      </c>
      <c r="F189" s="366">
        <f>$E$15</f>
        <v>7427.13</v>
      </c>
      <c r="G189" s="369"/>
      <c r="H189" s="369"/>
      <c r="I189" s="364">
        <f>$E$42</f>
        <v>50</v>
      </c>
      <c r="J189" s="363">
        <f>E189*(F189/(12*I189)+G189/12)</f>
        <v>1.237855E-2</v>
      </c>
    </row>
    <row r="190" spans="4:10">
      <c r="D190" s="368" t="s">
        <v>3232</v>
      </c>
      <c r="E190" s="367">
        <f>$E$47/$E$50</f>
        <v>1E-3</v>
      </c>
      <c r="F190" s="366">
        <f>$E$16</f>
        <v>6583.11</v>
      </c>
      <c r="G190" s="365"/>
      <c r="H190" s="365"/>
      <c r="I190" s="364">
        <f>$E$42</f>
        <v>50</v>
      </c>
      <c r="J190" s="363">
        <f>E190*(F190/(12*I190)+G190/12)</f>
        <v>1.097185E-2</v>
      </c>
    </row>
    <row r="191" spans="4:10">
      <c r="D191" s="362"/>
      <c r="E191" s="361"/>
      <c r="F191" s="360"/>
      <c r="G191" s="360"/>
      <c r="H191" s="360"/>
      <c r="I191" s="360"/>
      <c r="J191" s="359"/>
    </row>
    <row r="192" spans="4:10" ht="15">
      <c r="D192" s="286" t="s">
        <v>3264</v>
      </c>
      <c r="E192" s="287"/>
      <c r="F192" s="288"/>
      <c r="G192" s="289"/>
      <c r="H192" s="289"/>
      <c r="I192" s="290"/>
      <c r="J192" s="291">
        <f>SUM(J183:J191)</f>
        <v>1.5228616055555559</v>
      </c>
    </row>
    <row r="193"/>
    <row r="194"/>
    <row r="195"/>
    <row r="196"/>
    <row r="197"/>
    <row r="198"/>
    <row r="199"/>
    <row r="200"/>
    <row r="201"/>
    <row r="202"/>
    <row r="203"/>
    <row r="204"/>
    <row r="205"/>
    <row r="206"/>
    <row r="207"/>
    <row r="208"/>
    <row r="209"/>
    <row r="210"/>
    <row r="211"/>
    <row r="212"/>
    <row r="213"/>
    <row r="214"/>
    <row r="215"/>
    <row r="216"/>
    <row r="217"/>
    <row r="218"/>
    <row r="219"/>
    <row r="220"/>
    <row r="221"/>
    <row r="222"/>
    <row r="223"/>
    <row r="224"/>
    <row r="225"/>
    <row r="226"/>
    <row r="227"/>
    <row r="228"/>
    <row r="229"/>
    <row r="230"/>
    <row r="231"/>
    <row r="232"/>
    <row r="233"/>
    <row r="234"/>
    <row r="235"/>
    <row r="236"/>
    <row r="237"/>
    <row r="238"/>
    <row r="239"/>
    <row r="240"/>
    <row r="241"/>
    <row r="242"/>
    <row r="243"/>
    <row r="244"/>
    <row r="245"/>
    <row r="246"/>
    <row r="247"/>
    <row r="248"/>
    <row r="249"/>
    <row r="250"/>
    <row r="251"/>
    <row r="252"/>
    <row r="253"/>
    <row r="254"/>
    <row r="255"/>
    <row r="256"/>
    <row r="257"/>
    <row r="258"/>
    <row r="259"/>
    <row r="260"/>
    <row r="261"/>
    <row r="262"/>
    <row r="263"/>
    <row r="264"/>
    <row r="265"/>
    <row r="266"/>
    <row r="267"/>
    <row r="268"/>
    <row r="269"/>
    <row r="270"/>
    <row r="271"/>
    <row r="272"/>
    <row r="273"/>
    <row r="274"/>
    <row r="275"/>
    <row r="276"/>
    <row r="277"/>
    <row r="278"/>
    <row r="279"/>
    <row r="280"/>
    <row r="281"/>
    <row r="282"/>
    <row r="283"/>
    <row r="284"/>
    <row r="285"/>
    <row r="286"/>
    <row r="287"/>
    <row r="288"/>
    <row r="289"/>
    <row r="290"/>
    <row r="291"/>
    <row r="292"/>
    <row r="293"/>
    <row r="294"/>
    <row r="295"/>
    <row r="296"/>
    <row r="297"/>
    <row r="298"/>
    <row r="299"/>
    <row r="300"/>
    <row r="301"/>
    <row r="302"/>
    <row r="303"/>
    <row r="304"/>
    <row r="305"/>
    <row r="306"/>
    <row r="307"/>
    <row r="308"/>
    <row r="309"/>
    <row r="310"/>
    <row r="311"/>
    <row r="312"/>
    <row r="313"/>
    <row r="314"/>
    <row r="315"/>
    <row r="316"/>
    <row r="317"/>
    <row r="318"/>
    <row r="319"/>
    <row r="320"/>
    <row r="321"/>
    <row r="322"/>
    <row r="323"/>
    <row r="324"/>
    <row r="325"/>
    <row r="326"/>
    <row r="327"/>
    <row r="328"/>
    <row r="329"/>
    <row r="330"/>
    <row r="331"/>
    <row r="332"/>
    <row r="333"/>
    <row r="334"/>
    <row r="335"/>
    <row r="336"/>
    <row r="337"/>
    <row r="338"/>
    <row r="339"/>
    <row r="340"/>
    <row r="341"/>
    <row r="342"/>
    <row r="343"/>
    <row r="344"/>
    <row r="345"/>
    <row r="346"/>
    <row r="347"/>
    <row r="348"/>
    <row r="349"/>
    <row r="350"/>
    <row r="351"/>
    <row r="352"/>
    <row r="353"/>
    <row r="354"/>
    <row r="355"/>
    <row r="356"/>
    <row r="357"/>
    <row r="358"/>
    <row r="359"/>
    <row r="360"/>
    <row r="361"/>
    <row r="362"/>
    <row r="363"/>
    <row r="364"/>
    <row r="365"/>
    <row r="366"/>
    <row r="367"/>
    <row r="368"/>
    <row r="369"/>
    <row r="370"/>
    <row r="371"/>
    <row r="372"/>
    <row r="373"/>
    <row r="374"/>
    <row r="375"/>
    <row r="376"/>
    <row r="377"/>
    <row r="378"/>
    <row r="379"/>
    <row r="380"/>
    <row r="381"/>
    <row r="382"/>
    <row r="383"/>
    <row r="384"/>
    <row r="385"/>
    <row r="386"/>
    <row r="387"/>
    <row r="388"/>
    <row r="389"/>
    <row r="390"/>
    <row r="391"/>
    <row r="392"/>
    <row r="393"/>
    <row r="394"/>
    <row r="395"/>
    <row r="396"/>
    <row r="397"/>
    <row r="398"/>
    <row r="399"/>
    <row r="400"/>
    <row r="401"/>
    <row r="402"/>
    <row r="403"/>
    <row r="404"/>
    <row r="405"/>
    <row r="406"/>
    <row r="407"/>
    <row r="408"/>
    <row r="409"/>
    <row r="410"/>
    <row r="411"/>
    <row r="412"/>
    <row r="413"/>
    <row r="414"/>
    <row r="415"/>
    <row r="416"/>
    <row r="417"/>
    <row r="418"/>
    <row r="419"/>
    <row r="420"/>
    <row r="421"/>
    <row r="422"/>
    <row r="423"/>
    <row r="424"/>
    <row r="425"/>
    <row r="426"/>
    <row r="427"/>
    <row r="428"/>
    <row r="429"/>
    <row r="430"/>
    <row r="431"/>
    <row r="432"/>
    <row r="433"/>
    <row r="434"/>
    <row r="435"/>
    <row r="436"/>
    <row r="437"/>
    <row r="438"/>
    <row r="439"/>
    <row r="440"/>
    <row r="441"/>
    <row r="442"/>
    <row r="443"/>
    <row r="444"/>
    <row r="445"/>
    <row r="446"/>
    <row r="447"/>
    <row r="448"/>
    <row r="449"/>
    <row r="450"/>
    <row r="451"/>
    <row r="452"/>
    <row r="453"/>
    <row r="454"/>
    <row r="455"/>
    <row r="456"/>
    <row r="457"/>
    <row r="458"/>
    <row r="459"/>
    <row r="460"/>
    <row r="461"/>
    <row r="462"/>
    <row r="463"/>
    <row r="464"/>
    <row r="465"/>
    <row r="466"/>
    <row r="467"/>
    <row r="468"/>
    <row r="469"/>
    <row r="470"/>
    <row r="471"/>
    <row r="472"/>
    <row r="473"/>
    <row r="474"/>
    <row r="475"/>
    <row r="476"/>
    <row r="477"/>
    <row r="478"/>
    <row r="479"/>
    <row r="480"/>
    <row r="481"/>
    <row r="482"/>
    <row r="483"/>
    <row r="484"/>
    <row r="485"/>
    <row r="486"/>
    <row r="487"/>
    <row r="488"/>
    <row r="489"/>
    <row r="490"/>
    <row r="491"/>
    <row r="492"/>
    <row r="493"/>
    <row r="494"/>
    <row r="495"/>
    <row r="496"/>
    <row r="497"/>
    <row r="498"/>
    <row r="499"/>
    <row r="500"/>
    <row r="501"/>
    <row r="502"/>
    <row r="503"/>
    <row r="504"/>
    <row r="505"/>
    <row r="506"/>
    <row r="507"/>
    <row r="508"/>
    <row r="509"/>
    <row r="510"/>
    <row r="511"/>
    <row r="512"/>
    <row r="513"/>
    <row r="514"/>
    <row r="515"/>
    <row r="516"/>
    <row r="517"/>
    <row r="518"/>
    <row r="519"/>
    <row r="520"/>
    <row r="521"/>
    <row r="522"/>
    <row r="523"/>
    <row r="524"/>
    <row r="525"/>
    <row r="526"/>
    <row r="527"/>
    <row r="528"/>
    <row r="529"/>
    <row r="530"/>
    <row r="531"/>
    <row r="532"/>
    <row r="533"/>
    <row r="534"/>
    <row r="535"/>
    <row r="536"/>
    <row r="537"/>
    <row r="538"/>
    <row r="539"/>
    <row r="540"/>
    <row r="541"/>
    <row r="542"/>
    <row r="543"/>
    <row r="544"/>
    <row r="545"/>
    <row r="546"/>
    <row r="547"/>
    <row r="548"/>
    <row r="549"/>
    <row r="550"/>
    <row r="551"/>
    <row r="552"/>
    <row r="553"/>
    <row r="554"/>
    <row r="555"/>
    <row r="556"/>
    <row r="557"/>
    <row r="558"/>
    <row r="559"/>
    <row r="560"/>
    <row r="561"/>
    <row r="562"/>
    <row r="563"/>
    <row r="564"/>
    <row r="565"/>
    <row r="566"/>
    <row r="567"/>
    <row r="568"/>
    <row r="569"/>
    <row r="570"/>
    <row r="571"/>
    <row r="572"/>
    <row r="573"/>
    <row r="574"/>
    <row r="575"/>
    <row r="576"/>
    <row r="577"/>
    <row r="578"/>
    <row r="579"/>
    <row r="580"/>
    <row r="581"/>
    <row r="582"/>
    <row r="583"/>
    <row r="584"/>
    <row r="585"/>
    <row r="586"/>
    <row r="587"/>
    <row r="588"/>
    <row r="589"/>
    <row r="590"/>
    <row r="591"/>
    <row r="592"/>
    <row r="593"/>
    <row r="594"/>
    <row r="595"/>
    <row r="596"/>
    <row r="597"/>
    <row r="598"/>
    <row r="599"/>
    <row r="600"/>
    <row r="601"/>
    <row r="602"/>
    <row r="603"/>
    <row r="604"/>
    <row r="605"/>
    <row r="606"/>
    <row r="607"/>
    <row r="608"/>
    <row r="609"/>
    <row r="610"/>
    <row r="611"/>
    <row r="612"/>
    <row r="613"/>
    <row r="614"/>
    <row r="615"/>
    <row r="616"/>
    <row r="617"/>
    <row r="618"/>
    <row r="619"/>
    <row r="620"/>
    <row r="621"/>
    <row r="622"/>
    <row r="623"/>
    <row r="624"/>
    <row r="625"/>
    <row r="626"/>
    <row r="627"/>
    <row r="628"/>
    <row r="629"/>
    <row r="630"/>
    <row r="631"/>
    <row r="632"/>
    <row r="633"/>
    <row r="634"/>
    <row r="635"/>
    <row r="636"/>
    <row r="637"/>
    <row r="638"/>
    <row r="639"/>
    <row r="640"/>
    <row r="641"/>
    <row r="642"/>
    <row r="643"/>
    <row r="644"/>
    <row r="645"/>
    <row r="646"/>
    <row r="647"/>
    <row r="648"/>
    <row r="649"/>
    <row r="650"/>
    <row r="651"/>
    <row r="652"/>
    <row r="653"/>
    <row r="654"/>
    <row r="655"/>
    <row r="656"/>
    <row r="657"/>
    <row r="658"/>
    <row r="659"/>
    <row r="660"/>
    <row r="661"/>
    <row r="662"/>
    <row r="663"/>
    <row r="664"/>
    <row r="665"/>
    <row r="666"/>
    <row r="667"/>
    <row r="668"/>
    <row r="669"/>
    <row r="670"/>
    <row r="671"/>
    <row r="672"/>
    <row r="673"/>
    <row r="674"/>
    <row r="675"/>
    <row r="676"/>
    <row r="677"/>
    <row r="678"/>
    <row r="679"/>
    <row r="680"/>
    <row r="681"/>
    <row r="682"/>
    <row r="683"/>
    <row r="684"/>
    <row r="685"/>
    <row r="686"/>
    <row r="687"/>
    <row r="688"/>
    <row r="689"/>
    <row r="690"/>
    <row r="691"/>
    <row r="692"/>
    <row r="693"/>
    <row r="694"/>
    <row r="695"/>
    <row r="696"/>
    <row r="697"/>
    <row r="698"/>
    <row r="699"/>
    <row r="700"/>
    <row r="701"/>
    <row r="702"/>
    <row r="703"/>
    <row r="704"/>
    <row r="705"/>
    <row r="706"/>
    <row r="707"/>
    <row r="708"/>
    <row r="709"/>
    <row r="710"/>
    <row r="711"/>
    <row r="712"/>
    <row r="713"/>
    <row r="714"/>
    <row r="715"/>
    <row r="716"/>
    <row r="717"/>
    <row r="718"/>
    <row r="719"/>
    <row r="720"/>
    <row r="721"/>
    <row r="722"/>
    <row r="723"/>
    <row r="724"/>
    <row r="725"/>
    <row r="726"/>
    <row r="727"/>
    <row r="728"/>
    <row r="729"/>
    <row r="730"/>
    <row r="731"/>
    <row r="732"/>
    <row r="733"/>
    <row r="734"/>
    <row r="735"/>
    <row r="736"/>
    <row r="737"/>
    <row r="738"/>
    <row r="739"/>
    <row r="740"/>
    <row r="741"/>
    <row r="742"/>
    <row r="743"/>
    <row r="744"/>
    <row r="745"/>
    <row r="746"/>
    <row r="747"/>
    <row r="748"/>
    <row r="749"/>
    <row r="750"/>
    <row r="751"/>
    <row r="752"/>
    <row r="753"/>
    <row r="754"/>
    <row r="755"/>
    <row r="756"/>
    <row r="757"/>
    <row r="758"/>
    <row r="759"/>
    <row r="760"/>
    <row r="761"/>
    <row r="762"/>
    <row r="763"/>
    <row r="764"/>
    <row r="765"/>
    <row r="766"/>
    <row r="767"/>
    <row r="768"/>
    <row r="769"/>
    <row r="770"/>
    <row r="771"/>
    <row r="772"/>
    <row r="773"/>
    <row r="774"/>
    <row r="775"/>
    <row r="776"/>
    <row r="777"/>
    <row r="778"/>
    <row r="779"/>
    <row r="780"/>
    <row r="781"/>
    <row r="782"/>
    <row r="783"/>
    <row r="784"/>
    <row r="785"/>
    <row r="786"/>
    <row r="787"/>
    <row r="788"/>
    <row r="789"/>
    <row r="790"/>
    <row r="791"/>
    <row r="792"/>
    <row r="793"/>
    <row r="794"/>
    <row r="795"/>
    <row r="796"/>
    <row r="797"/>
    <row r="798"/>
    <row r="799"/>
    <row r="800"/>
    <row r="801"/>
    <row r="802"/>
    <row r="803"/>
    <row r="804"/>
    <row r="805"/>
    <row r="806"/>
    <row r="807"/>
    <row r="808"/>
    <row r="809"/>
    <row r="810"/>
    <row r="811"/>
    <row r="812"/>
    <row r="813"/>
    <row r="814"/>
    <row r="815"/>
    <row r="816"/>
    <row r="817"/>
    <row r="818"/>
    <row r="819"/>
    <row r="820"/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  <pageSetUpPr fitToPage="1"/>
  </sheetPr>
  <dimension ref="B1:J43"/>
  <sheetViews>
    <sheetView workbookViewId="0">
      <selection activeCell="C8" sqref="C8"/>
    </sheetView>
  </sheetViews>
  <sheetFormatPr defaultColWidth="9.140625" defaultRowHeight="12.75"/>
  <cols>
    <col min="1" max="2" width="2.85546875" style="307" customWidth="1"/>
    <col min="3" max="3" width="59.85546875" style="307" customWidth="1"/>
    <col min="4" max="4" width="18.42578125" style="307" customWidth="1"/>
    <col min="5" max="5" width="15.28515625" style="307" customWidth="1"/>
    <col min="6" max="6" width="14.85546875" style="307" customWidth="1"/>
    <col min="7" max="7" width="20.85546875" style="307" customWidth="1"/>
    <col min="8" max="8" width="9.140625" style="307" customWidth="1"/>
    <col min="9" max="9" width="14.140625" style="307" customWidth="1"/>
    <col min="10" max="10" width="11.85546875" style="307" customWidth="1"/>
    <col min="11" max="20" width="9.140625" style="307" customWidth="1"/>
    <col min="21" max="16384" width="9.140625" style="307"/>
  </cols>
  <sheetData>
    <row r="1" spans="2:10" s="294" customFormat="1">
      <c r="E1" s="295"/>
    </row>
    <row r="2" spans="2:10" s="294" customFormat="1">
      <c r="C2" s="296" t="str">
        <f ca="1">UPPER(MID(CELL("filename",A1),FIND("[",CELL("filename",A1))+1,FIND("]",CELL("filename",A1))-FIND("[",CELL("filename",A1))-5))</f>
        <v>LPM MB15 - EVPN 20170201 OPENBAAR.</v>
      </c>
      <c r="E2" s="296"/>
    </row>
    <row r="3" spans="2:10" s="294" customFormat="1">
      <c r="C3" s="294" t="str">
        <f ca="1">UPPER(MID(CELL("filename",A2),FIND("]",CELL("filename",A2))+1,LEN(CELL("filename",A2))))</f>
        <v>INKOOP TARIEF ELEMENTEN</v>
      </c>
      <c r="E3" s="295"/>
    </row>
    <row r="4" spans="2:10" s="297" customFormat="1">
      <c r="E4" s="298"/>
    </row>
    <row r="7" spans="2:10" s="393" customFormat="1">
      <c r="B7" s="395" t="s">
        <v>3445</v>
      </c>
      <c r="C7" s="395"/>
      <c r="D7" s="394"/>
    </row>
    <row r="8" spans="2:10" s="299" customFormat="1" ht="15">
      <c r="C8" s="300"/>
      <c r="D8" s="301"/>
      <c r="E8" s="302"/>
      <c r="F8" s="303"/>
    </row>
    <row r="9" spans="2:10" s="299" customFormat="1">
      <c r="C9" s="397" t="s">
        <v>189</v>
      </c>
      <c r="D9" s="400" t="s">
        <v>3277</v>
      </c>
      <c r="E9" s="400" t="s">
        <v>24</v>
      </c>
      <c r="F9" s="400" t="s">
        <v>22</v>
      </c>
    </row>
    <row r="10" spans="2:10" s="299" customFormat="1">
      <c r="C10" s="399" t="s">
        <v>3278</v>
      </c>
      <c r="D10" s="607">
        <v>14.63</v>
      </c>
      <c r="E10" s="607">
        <v>12.85</v>
      </c>
      <c r="F10" s="601"/>
      <c r="H10" s="304"/>
      <c r="I10" s="304"/>
      <c r="J10" s="304"/>
    </row>
    <row r="11" spans="2:10" s="299" customFormat="1">
      <c r="C11" s="399" t="s">
        <v>3279</v>
      </c>
      <c r="D11" s="607">
        <v>17.14</v>
      </c>
      <c r="E11" s="607">
        <v>13.13</v>
      </c>
      <c r="F11" s="602">
        <v>30.31</v>
      </c>
      <c r="H11" s="304"/>
      <c r="I11" s="304"/>
      <c r="J11" s="304"/>
    </row>
    <row r="12" spans="2:10" s="299" customFormat="1">
      <c r="C12" s="399" t="s">
        <v>3280</v>
      </c>
      <c r="D12" s="603"/>
      <c r="E12" s="607">
        <v>18.79</v>
      </c>
      <c r="F12" s="604"/>
      <c r="H12" s="304"/>
      <c r="I12" s="304"/>
      <c r="J12" s="304"/>
    </row>
    <row r="13" spans="2:10" s="299" customFormat="1">
      <c r="C13" s="399" t="s">
        <v>3281</v>
      </c>
      <c r="D13" s="603"/>
      <c r="E13" s="607">
        <v>70.790000000000006</v>
      </c>
      <c r="F13" s="602">
        <v>166.88</v>
      </c>
      <c r="H13" s="304"/>
      <c r="I13" s="304"/>
      <c r="J13" s="304"/>
    </row>
    <row r="14" spans="2:10" s="299" customFormat="1">
      <c r="C14" s="399" t="s">
        <v>3282</v>
      </c>
      <c r="D14" s="603"/>
      <c r="E14" s="603"/>
      <c r="F14" s="602">
        <v>69.23</v>
      </c>
      <c r="H14" s="304"/>
      <c r="I14" s="304"/>
      <c r="J14" s="304"/>
    </row>
    <row r="15" spans="2:10" s="299" customFormat="1">
      <c r="C15" s="399" t="s">
        <v>3283</v>
      </c>
      <c r="D15" s="603"/>
      <c r="E15" s="607">
        <v>310.64999999999998</v>
      </c>
      <c r="F15" s="601"/>
      <c r="H15" s="304"/>
      <c r="I15" s="304"/>
      <c r="J15" s="304"/>
    </row>
    <row r="16" spans="2:10" s="299" customFormat="1">
      <c r="C16" s="399" t="s">
        <v>3284</v>
      </c>
      <c r="D16" s="603"/>
      <c r="E16" s="607">
        <v>541.12</v>
      </c>
      <c r="F16" s="601"/>
      <c r="H16" s="304"/>
      <c r="I16" s="304"/>
      <c r="J16" s="304"/>
    </row>
    <row r="17" spans="2:10" s="299" customFormat="1">
      <c r="C17" s="399" t="s">
        <v>3285</v>
      </c>
      <c r="D17" s="604"/>
      <c r="E17" s="604"/>
      <c r="F17" s="602">
        <v>754.48</v>
      </c>
      <c r="H17" s="304"/>
      <c r="I17" s="304"/>
      <c r="J17" s="304"/>
    </row>
    <row r="18" spans="2:10" s="299" customFormat="1">
      <c r="C18" s="399" t="s">
        <v>3286</v>
      </c>
      <c r="D18" s="604"/>
      <c r="E18" s="601"/>
      <c r="F18" s="602">
        <v>656.85</v>
      </c>
      <c r="H18" s="304"/>
      <c r="I18" s="304"/>
      <c r="J18" s="304"/>
    </row>
    <row r="19" spans="2:10" s="299" customFormat="1">
      <c r="C19" s="300"/>
      <c r="D19" s="301"/>
      <c r="E19" s="305"/>
      <c r="F19" s="306"/>
    </row>
    <row r="20" spans="2:10" s="299" customFormat="1">
      <c r="C20" s="397" t="s">
        <v>190</v>
      </c>
      <c r="D20" s="605"/>
      <c r="E20" s="605" t="s">
        <v>3287</v>
      </c>
      <c r="F20" s="306"/>
    </row>
    <row r="21" spans="2:10">
      <c r="C21" s="396" t="s">
        <v>3288</v>
      </c>
      <c r="D21" s="606" t="s">
        <v>24</v>
      </c>
      <c r="E21" s="602">
        <v>6.17</v>
      </c>
    </row>
    <row r="22" spans="2:10">
      <c r="C22" s="396" t="s">
        <v>3288</v>
      </c>
      <c r="D22" s="606" t="s">
        <v>3277</v>
      </c>
      <c r="E22" s="607">
        <v>10.18</v>
      </c>
    </row>
    <row r="23" spans="2:10">
      <c r="C23" s="396" t="s">
        <v>3288</v>
      </c>
      <c r="D23" s="606" t="s">
        <v>22</v>
      </c>
      <c r="E23" s="602">
        <v>15.46</v>
      </c>
    </row>
    <row r="24" spans="2:10" s="299" customFormat="1" ht="15">
      <c r="C24" s="300"/>
      <c r="D24" s="301"/>
      <c r="E24" s="302"/>
      <c r="F24" s="303"/>
    </row>
    <row r="25" spans="2:10">
      <c r="C25" s="397" t="s">
        <v>187</v>
      </c>
      <c r="D25" s="605"/>
      <c r="E25" s="605" t="s">
        <v>3289</v>
      </c>
    </row>
    <row r="26" spans="2:10">
      <c r="C26" s="396" t="s">
        <v>3290</v>
      </c>
      <c r="D26" s="606" t="s">
        <v>24</v>
      </c>
      <c r="E26" s="607">
        <v>7.93</v>
      </c>
    </row>
    <row r="27" spans="2:10">
      <c r="C27" s="396" t="s">
        <v>3291</v>
      </c>
      <c r="D27" s="606" t="s">
        <v>3277</v>
      </c>
      <c r="E27" s="602">
        <v>0.1111</v>
      </c>
    </row>
    <row r="28" spans="2:10">
      <c r="C28" s="396" t="s">
        <v>3292</v>
      </c>
      <c r="D28" s="606" t="s">
        <v>22</v>
      </c>
      <c r="E28" s="607">
        <v>8.3800000000000008</v>
      </c>
    </row>
    <row r="29" spans="2:10">
      <c r="C29" s="308"/>
      <c r="D29" s="308"/>
      <c r="E29" s="263"/>
    </row>
    <row r="30" spans="2:10" s="393" customFormat="1">
      <c r="B30" s="395" t="s">
        <v>3293</v>
      </c>
      <c r="C30" s="395"/>
      <c r="D30" s="394"/>
    </row>
    <row r="31" spans="2:10">
      <c r="C31" s="308"/>
      <c r="D31" s="308"/>
      <c r="E31" s="263"/>
    </row>
    <row r="32" spans="2:10">
      <c r="C32" s="308"/>
      <c r="D32" s="308"/>
      <c r="E32" s="397" t="s">
        <v>3287</v>
      </c>
    </row>
    <row r="33" spans="2:9">
      <c r="C33" s="397" t="s">
        <v>3294</v>
      </c>
      <c r="D33" s="396"/>
      <c r="E33" s="398">
        <v>2.0099999999999998</v>
      </c>
    </row>
    <row r="34" spans="2:9">
      <c r="C34" s="308"/>
      <c r="D34" s="308"/>
      <c r="E34" s="263"/>
    </row>
    <row r="35" spans="2:9" s="393" customFormat="1">
      <c r="B35" s="395" t="s">
        <v>3295</v>
      </c>
      <c r="C35" s="395"/>
      <c r="D35" s="394"/>
    </row>
    <row r="36" spans="2:9">
      <c r="C36" s="308"/>
      <c r="D36" s="308"/>
      <c r="E36" s="263"/>
    </row>
    <row r="37" spans="2:9">
      <c r="C37" s="397" t="s">
        <v>187</v>
      </c>
      <c r="D37" s="397"/>
      <c r="E37" s="397" t="s">
        <v>3289</v>
      </c>
    </row>
    <row r="38" spans="2:9">
      <c r="C38" s="396" t="s">
        <v>3296</v>
      </c>
      <c r="D38" s="396"/>
      <c r="E38" s="607">
        <v>2.39</v>
      </c>
      <c r="H38" s="304"/>
      <c r="I38" s="304"/>
    </row>
    <row r="39" spans="2:9">
      <c r="C39" s="396" t="s">
        <v>3297</v>
      </c>
      <c r="D39" s="396"/>
      <c r="E39" s="607">
        <v>5.35</v>
      </c>
      <c r="I39" s="304"/>
    </row>
    <row r="40" spans="2:9">
      <c r="C40" s="308"/>
      <c r="D40" s="308"/>
      <c r="E40" s="263"/>
    </row>
    <row r="41" spans="2:9">
      <c r="C41" s="308"/>
      <c r="D41" s="308"/>
      <c r="E41" s="263"/>
    </row>
    <row r="42" spans="2:9">
      <c r="C42" s="309"/>
      <c r="D42" s="310"/>
    </row>
    <row r="43" spans="2:9" s="393" customFormat="1">
      <c r="B43" s="395" t="s">
        <v>3298</v>
      </c>
      <c r="C43" s="395"/>
      <c r="D43" s="394"/>
    </row>
  </sheetData>
  <pageMargins left="0.75" right="0.75" top="1" bottom="1" header="0.5" footer="0.5"/>
  <pageSetup paperSize="9" scale="68" fitToHeight="9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</sheetPr>
  <dimension ref="A1:N138"/>
  <sheetViews>
    <sheetView zoomScale="85" zoomScaleNormal="85" workbookViewId="0">
      <selection sqref="A1:XFD1048576"/>
    </sheetView>
  </sheetViews>
  <sheetFormatPr defaultRowHeight="15"/>
  <cols>
    <col min="1" max="1" width="36.42578125" customWidth="1"/>
    <col min="3" max="3" width="2.7109375" customWidth="1"/>
    <col min="13" max="13" width="13.42578125" customWidth="1"/>
    <col min="14" max="14" width="13.140625" customWidth="1"/>
  </cols>
  <sheetData>
    <row r="1" spans="1:14">
      <c r="A1" s="431" t="s">
        <v>3114</v>
      </c>
      <c r="B1" s="431"/>
      <c r="C1" s="412"/>
      <c r="D1" s="431"/>
      <c r="E1" s="431"/>
      <c r="F1" s="95"/>
      <c r="G1" s="95"/>
      <c r="H1" s="95"/>
      <c r="I1" s="432"/>
      <c r="J1" s="432"/>
      <c r="K1" s="431"/>
      <c r="L1" s="431"/>
      <c r="M1" s="433"/>
      <c r="N1" s="433"/>
    </row>
    <row r="2" spans="1:14" ht="56.25">
      <c r="A2" s="434" t="s">
        <v>3403</v>
      </c>
      <c r="B2" s="435" t="s">
        <v>3115</v>
      </c>
      <c r="C2" s="435"/>
      <c r="D2" s="435" t="s">
        <v>3116</v>
      </c>
      <c r="E2" s="436" t="s">
        <v>3117</v>
      </c>
      <c r="F2" s="434" t="s">
        <v>3118</v>
      </c>
      <c r="G2" s="434" t="s">
        <v>3119</v>
      </c>
      <c r="H2" s="434" t="s">
        <v>3120</v>
      </c>
      <c r="I2" s="437" t="s">
        <v>3426</v>
      </c>
      <c r="J2" s="437" t="s">
        <v>3427</v>
      </c>
      <c r="K2" s="436" t="s">
        <v>3123</v>
      </c>
      <c r="L2" s="438" t="s">
        <v>3124</v>
      </c>
      <c r="M2" s="434" t="s">
        <v>3404</v>
      </c>
      <c r="N2" s="434" t="s">
        <v>3358</v>
      </c>
    </row>
    <row r="3" spans="1:14">
      <c r="A3" s="439" t="s">
        <v>3428</v>
      </c>
      <c r="B3" s="439"/>
      <c r="C3" s="439"/>
      <c r="D3" s="576">
        <v>0.1</v>
      </c>
      <c r="E3" s="576">
        <v>0.1</v>
      </c>
      <c r="F3" s="576">
        <v>0.1</v>
      </c>
      <c r="G3" s="576">
        <v>0.1</v>
      </c>
      <c r="H3" s="576">
        <v>0.1</v>
      </c>
      <c r="I3" s="577">
        <v>0.01</v>
      </c>
      <c r="J3" s="577">
        <v>0.01</v>
      </c>
      <c r="K3" s="576">
        <v>0.1</v>
      </c>
      <c r="L3" s="576">
        <v>0.1</v>
      </c>
      <c r="M3" s="248" t="s">
        <v>32</v>
      </c>
      <c r="N3" s="248" t="s">
        <v>3359</v>
      </c>
    </row>
    <row r="4" spans="1:14">
      <c r="A4" s="439" t="s">
        <v>3125</v>
      </c>
      <c r="B4" s="439"/>
      <c r="C4" s="439"/>
      <c r="D4" s="576">
        <v>0.1</v>
      </c>
      <c r="E4" s="576">
        <v>0.1</v>
      </c>
      <c r="F4" s="576">
        <v>0.1</v>
      </c>
      <c r="G4" s="576">
        <v>0.1</v>
      </c>
      <c r="H4" s="576">
        <v>0.1</v>
      </c>
      <c r="I4" s="577">
        <v>0.01</v>
      </c>
      <c r="J4" s="577">
        <v>0.01</v>
      </c>
      <c r="K4" s="576">
        <v>0.1</v>
      </c>
      <c r="L4" s="576">
        <v>0.1</v>
      </c>
      <c r="M4" s="248" t="s">
        <v>32</v>
      </c>
      <c r="N4" s="248" t="s">
        <v>3359</v>
      </c>
    </row>
    <row r="5" spans="1:14">
      <c r="A5" s="439" t="s">
        <v>3126</v>
      </c>
      <c r="B5" s="439"/>
      <c r="C5" s="439"/>
      <c r="D5" s="576">
        <v>0.1</v>
      </c>
      <c r="E5" s="576">
        <v>0.1</v>
      </c>
      <c r="F5" s="576">
        <v>0.1</v>
      </c>
      <c r="G5" s="576">
        <v>0.1</v>
      </c>
      <c r="H5" s="576">
        <v>0.1</v>
      </c>
      <c r="I5" s="577">
        <v>0.01</v>
      </c>
      <c r="J5" s="577">
        <v>0.01</v>
      </c>
      <c r="K5" s="576">
        <v>0.1</v>
      </c>
      <c r="L5" s="576">
        <v>0.1</v>
      </c>
      <c r="M5" s="248" t="s">
        <v>32</v>
      </c>
      <c r="N5" s="248" t="s">
        <v>3359</v>
      </c>
    </row>
    <row r="6" spans="1:14">
      <c r="A6" s="439" t="s">
        <v>3127</v>
      </c>
      <c r="B6" s="439"/>
      <c r="C6" s="439"/>
      <c r="D6" s="576">
        <v>0.1</v>
      </c>
      <c r="E6" s="576">
        <v>0.1</v>
      </c>
      <c r="F6" s="576">
        <v>0.1</v>
      </c>
      <c r="G6" s="576">
        <v>0.1</v>
      </c>
      <c r="H6" s="576">
        <v>0.1</v>
      </c>
      <c r="I6" s="577">
        <v>0.01</v>
      </c>
      <c r="J6" s="577">
        <v>0.01</v>
      </c>
      <c r="K6" s="576">
        <v>0.1</v>
      </c>
      <c r="L6" s="576">
        <v>0.1</v>
      </c>
      <c r="M6" s="248" t="s">
        <v>32</v>
      </c>
      <c r="N6" s="248" t="s">
        <v>3359</v>
      </c>
    </row>
    <row r="7" spans="1:14">
      <c r="A7" s="439" t="s">
        <v>3128</v>
      </c>
      <c r="B7" s="439"/>
      <c r="C7" s="439"/>
      <c r="D7" s="439"/>
      <c r="E7" s="439"/>
      <c r="F7" s="439"/>
      <c r="G7" s="439"/>
      <c r="H7" s="439"/>
      <c r="I7" s="443"/>
      <c r="J7" s="443"/>
      <c r="K7" s="576">
        <v>0.1</v>
      </c>
      <c r="L7" s="576">
        <v>0.1</v>
      </c>
      <c r="M7" s="248" t="s">
        <v>32</v>
      </c>
      <c r="N7" s="248" t="s">
        <v>3359</v>
      </c>
    </row>
    <row r="8" spans="1:14">
      <c r="A8" s="439" t="s">
        <v>3129</v>
      </c>
      <c r="B8" s="439"/>
      <c r="C8" s="439"/>
      <c r="D8" s="576">
        <v>0.1</v>
      </c>
      <c r="E8" s="576">
        <v>0.1</v>
      </c>
      <c r="F8" s="576">
        <v>0.1</v>
      </c>
      <c r="G8" s="576">
        <v>0.1</v>
      </c>
      <c r="H8" s="576">
        <v>0.1</v>
      </c>
      <c r="I8" s="577">
        <v>0.01</v>
      </c>
      <c r="J8" s="577">
        <v>0.01</v>
      </c>
      <c r="K8" s="576">
        <v>0.1</v>
      </c>
      <c r="L8" s="576">
        <v>0.1</v>
      </c>
      <c r="M8" s="248" t="s">
        <v>32</v>
      </c>
      <c r="N8" s="248" t="s">
        <v>3359</v>
      </c>
    </row>
    <row r="9" spans="1:14">
      <c r="A9" s="439" t="s">
        <v>3429</v>
      </c>
      <c r="B9" s="439"/>
      <c r="C9" s="439"/>
      <c r="D9" s="576">
        <v>0.1</v>
      </c>
      <c r="E9" s="576">
        <v>0.1</v>
      </c>
      <c r="F9" s="576">
        <v>0.1</v>
      </c>
      <c r="G9" s="576">
        <v>0.1</v>
      </c>
      <c r="H9" s="576">
        <v>0.1</v>
      </c>
      <c r="I9" s="577">
        <v>0.01</v>
      </c>
      <c r="J9" s="577">
        <v>0.01</v>
      </c>
      <c r="K9" s="576">
        <v>0.1</v>
      </c>
      <c r="L9" s="576">
        <v>0.1</v>
      </c>
      <c r="M9" s="248" t="s">
        <v>32</v>
      </c>
      <c r="N9" s="248" t="s">
        <v>3359</v>
      </c>
    </row>
    <row r="10" spans="1:14">
      <c r="A10" s="439" t="s">
        <v>3130</v>
      </c>
      <c r="B10" s="439"/>
      <c r="C10" s="439"/>
      <c r="D10" s="576">
        <v>0.1</v>
      </c>
      <c r="E10" s="576">
        <v>0.1</v>
      </c>
      <c r="F10" s="576">
        <v>0.1</v>
      </c>
      <c r="G10" s="576">
        <v>0.1</v>
      </c>
      <c r="H10" s="576">
        <v>0.1</v>
      </c>
      <c r="I10" s="577">
        <v>0.01</v>
      </c>
      <c r="J10" s="577">
        <v>0.01</v>
      </c>
      <c r="K10" s="576">
        <v>0.1</v>
      </c>
      <c r="L10" s="576">
        <v>0.1</v>
      </c>
      <c r="M10" s="248" t="s">
        <v>32</v>
      </c>
      <c r="N10" s="248" t="s">
        <v>3359</v>
      </c>
    </row>
    <row r="11" spans="1:14">
      <c r="A11" s="439"/>
      <c r="B11" s="439"/>
      <c r="C11" s="439"/>
      <c r="D11" s="440"/>
      <c r="E11" s="440"/>
      <c r="F11" s="440"/>
      <c r="G11" s="440"/>
      <c r="H11" s="440"/>
      <c r="I11" s="441"/>
      <c r="J11" s="441"/>
      <c r="K11" s="440"/>
      <c r="L11" s="442"/>
      <c r="M11" s="248"/>
      <c r="N11" s="248"/>
    </row>
    <row r="12" spans="1:14">
      <c r="A12" s="439" t="s">
        <v>3131</v>
      </c>
      <c r="B12" s="439"/>
      <c r="C12" s="439"/>
      <c r="D12" s="439">
        <v>0</v>
      </c>
      <c r="E12" s="576">
        <v>1</v>
      </c>
      <c r="F12" s="576">
        <v>0.1</v>
      </c>
      <c r="G12" s="576">
        <v>0.1</v>
      </c>
      <c r="H12" s="576">
        <v>0.1</v>
      </c>
      <c r="I12" s="577">
        <v>0.01</v>
      </c>
      <c r="J12" s="577">
        <v>0.01</v>
      </c>
      <c r="K12" s="576">
        <v>1</v>
      </c>
      <c r="L12" s="576">
        <v>1</v>
      </c>
      <c r="M12" s="248" t="s">
        <v>32</v>
      </c>
      <c r="N12" s="248" t="s">
        <v>3359</v>
      </c>
    </row>
    <row r="13" spans="1:14">
      <c r="A13" s="439" t="s">
        <v>3132</v>
      </c>
      <c r="B13" s="439"/>
      <c r="C13" s="439"/>
      <c r="D13" s="439">
        <v>0</v>
      </c>
      <c r="E13" s="576">
        <v>1</v>
      </c>
      <c r="F13" s="439"/>
      <c r="G13" s="439"/>
      <c r="H13" s="439"/>
      <c r="I13" s="577">
        <v>0.01</v>
      </c>
      <c r="J13" s="577">
        <v>0.01</v>
      </c>
      <c r="K13" s="576">
        <v>1</v>
      </c>
      <c r="L13" s="576">
        <v>1</v>
      </c>
      <c r="M13" s="248" t="s">
        <v>32</v>
      </c>
      <c r="N13" s="248" t="s">
        <v>3359</v>
      </c>
    </row>
    <row r="14" spans="1:14">
      <c r="A14" s="439" t="s">
        <v>3133</v>
      </c>
      <c r="B14" s="439"/>
      <c r="C14" s="439"/>
      <c r="D14" s="439">
        <v>0</v>
      </c>
      <c r="E14" s="576">
        <v>1</v>
      </c>
      <c r="F14" s="439"/>
      <c r="G14" s="439"/>
      <c r="H14" s="439"/>
      <c r="I14" s="577">
        <v>0.01</v>
      </c>
      <c r="J14" s="577">
        <v>0.01</v>
      </c>
      <c r="K14" s="576">
        <v>1</v>
      </c>
      <c r="L14" s="576">
        <v>1</v>
      </c>
      <c r="M14" s="248" t="s">
        <v>32</v>
      </c>
      <c r="N14" s="248" t="s">
        <v>3359</v>
      </c>
    </row>
    <row r="15" spans="1:14">
      <c r="A15" s="439" t="s">
        <v>3134</v>
      </c>
      <c r="B15" s="439"/>
      <c r="C15" s="439"/>
      <c r="D15" s="439">
        <v>0</v>
      </c>
      <c r="E15" s="576">
        <v>1</v>
      </c>
      <c r="F15" s="439"/>
      <c r="G15" s="439"/>
      <c r="H15" s="439"/>
      <c r="I15" s="577">
        <v>0.01</v>
      </c>
      <c r="J15" s="577">
        <v>0.01</v>
      </c>
      <c r="K15" s="576">
        <v>1</v>
      </c>
      <c r="L15" s="576">
        <v>1</v>
      </c>
      <c r="M15" s="248" t="s">
        <v>32</v>
      </c>
      <c r="N15" s="248" t="s">
        <v>3359</v>
      </c>
    </row>
    <row r="16" spans="1:14">
      <c r="A16" s="439" t="s">
        <v>3135</v>
      </c>
      <c r="B16" s="439"/>
      <c r="C16" s="439"/>
      <c r="D16" s="439">
        <v>0</v>
      </c>
      <c r="E16" s="576">
        <v>1</v>
      </c>
      <c r="F16" s="439"/>
      <c r="G16" s="439"/>
      <c r="H16" s="439"/>
      <c r="I16" s="577">
        <v>0.01</v>
      </c>
      <c r="J16" s="577">
        <v>0.01</v>
      </c>
      <c r="K16" s="576">
        <v>1</v>
      </c>
      <c r="L16" s="576">
        <v>1</v>
      </c>
      <c r="M16" s="248" t="s">
        <v>32</v>
      </c>
      <c r="N16" s="248" t="s">
        <v>3359</v>
      </c>
    </row>
    <row r="17" spans="1:14">
      <c r="A17" s="439" t="s">
        <v>3136</v>
      </c>
      <c r="B17" s="439"/>
      <c r="C17" s="439"/>
      <c r="D17" s="439">
        <v>0</v>
      </c>
      <c r="E17" s="576">
        <v>1</v>
      </c>
      <c r="F17" s="439"/>
      <c r="G17" s="439"/>
      <c r="H17" s="439"/>
      <c r="I17" s="577">
        <v>0.01</v>
      </c>
      <c r="J17" s="577">
        <v>0.01</v>
      </c>
      <c r="K17" s="576">
        <v>1</v>
      </c>
      <c r="L17" s="576">
        <v>1</v>
      </c>
      <c r="M17" s="248" t="s">
        <v>32</v>
      </c>
      <c r="N17" s="248" t="s">
        <v>3359</v>
      </c>
    </row>
    <row r="18" spans="1:14">
      <c r="A18" s="439" t="s">
        <v>3137</v>
      </c>
      <c r="B18" s="439"/>
      <c r="C18" s="439"/>
      <c r="D18" s="439">
        <v>0</v>
      </c>
      <c r="E18" s="576">
        <v>1</v>
      </c>
      <c r="F18" s="439"/>
      <c r="G18" s="439"/>
      <c r="H18" s="439"/>
      <c r="I18" s="577">
        <v>0.01</v>
      </c>
      <c r="J18" s="577">
        <v>0.01</v>
      </c>
      <c r="K18" s="576">
        <v>1</v>
      </c>
      <c r="L18" s="576">
        <v>1</v>
      </c>
      <c r="M18" s="248" t="s">
        <v>32</v>
      </c>
      <c r="N18" s="248" t="s">
        <v>3359</v>
      </c>
    </row>
    <row r="19" spans="1:14">
      <c r="A19" s="444"/>
      <c r="B19" s="444"/>
      <c r="C19" s="444"/>
      <c r="D19" s="444"/>
      <c r="E19" s="444"/>
      <c r="F19" s="444"/>
      <c r="G19" s="444"/>
      <c r="H19" s="444"/>
      <c r="I19" s="445"/>
      <c r="J19" s="445"/>
      <c r="K19" s="444"/>
      <c r="L19" s="446"/>
      <c r="M19" s="248"/>
      <c r="N19" s="248"/>
    </row>
    <row r="20" spans="1:14" ht="56.25">
      <c r="A20" s="447"/>
      <c r="B20" s="448" t="s">
        <v>3115</v>
      </c>
      <c r="C20" s="448">
        <v>0</v>
      </c>
      <c r="D20" s="448" t="s">
        <v>3116</v>
      </c>
      <c r="E20" s="448" t="s">
        <v>3117</v>
      </c>
      <c r="F20" s="448" t="s">
        <v>3118</v>
      </c>
      <c r="G20" s="448" t="s">
        <v>3119</v>
      </c>
      <c r="H20" s="448" t="s">
        <v>3120</v>
      </c>
      <c r="I20" s="448" t="s">
        <v>3426</v>
      </c>
      <c r="J20" s="448" t="s">
        <v>3427</v>
      </c>
      <c r="K20" s="448" t="s">
        <v>3123</v>
      </c>
      <c r="L20" s="448" t="s">
        <v>3124</v>
      </c>
      <c r="M20" s="434"/>
      <c r="N20" s="434"/>
    </row>
    <row r="21" spans="1:14">
      <c r="A21" s="439" t="s">
        <v>3405</v>
      </c>
      <c r="B21" s="439"/>
      <c r="C21" s="439"/>
      <c r="D21" s="440">
        <v>0</v>
      </c>
      <c r="E21" s="576">
        <v>1</v>
      </c>
      <c r="F21" s="576">
        <v>1</v>
      </c>
      <c r="G21" s="576">
        <v>1</v>
      </c>
      <c r="H21" s="576">
        <v>1</v>
      </c>
      <c r="I21" s="576">
        <v>1</v>
      </c>
      <c r="J21" s="576">
        <v>1</v>
      </c>
      <c r="K21" s="576">
        <v>1</v>
      </c>
      <c r="L21" s="576">
        <v>1</v>
      </c>
      <c r="M21" s="248" t="s">
        <v>32</v>
      </c>
      <c r="N21" s="248" t="s">
        <v>3359</v>
      </c>
    </row>
    <row r="22" spans="1:14">
      <c r="A22" s="439" t="s">
        <v>3406</v>
      </c>
      <c r="B22" s="439"/>
      <c r="C22" s="439"/>
      <c r="D22" s="440">
        <v>0</v>
      </c>
      <c r="E22" s="576">
        <v>1</v>
      </c>
      <c r="F22" s="576">
        <v>1</v>
      </c>
      <c r="G22" s="576">
        <v>1</v>
      </c>
      <c r="H22" s="576">
        <v>1</v>
      </c>
      <c r="I22" s="576">
        <v>1</v>
      </c>
      <c r="J22" s="576">
        <v>1</v>
      </c>
      <c r="K22" s="576">
        <v>1</v>
      </c>
      <c r="L22" s="576">
        <v>1</v>
      </c>
      <c r="M22" s="248" t="s">
        <v>32</v>
      </c>
      <c r="N22" s="248" t="s">
        <v>3359</v>
      </c>
    </row>
    <row r="23" spans="1:14">
      <c r="A23" s="439" t="s">
        <v>3407</v>
      </c>
      <c r="B23" s="439"/>
      <c r="C23" s="439"/>
      <c r="D23" s="440">
        <v>0</v>
      </c>
      <c r="E23" s="576">
        <v>1</v>
      </c>
      <c r="F23" s="576">
        <v>1</v>
      </c>
      <c r="G23" s="576">
        <v>1</v>
      </c>
      <c r="H23" s="576">
        <v>1</v>
      </c>
      <c r="I23" s="576">
        <v>1</v>
      </c>
      <c r="J23" s="576">
        <v>1</v>
      </c>
      <c r="K23" s="576">
        <v>1</v>
      </c>
      <c r="L23" s="576">
        <v>1</v>
      </c>
      <c r="M23" s="248" t="s">
        <v>32</v>
      </c>
      <c r="N23" s="248" t="s">
        <v>3359</v>
      </c>
    </row>
    <row r="24" spans="1:14">
      <c r="A24" s="439" t="s">
        <v>3408</v>
      </c>
      <c r="B24" s="439"/>
      <c r="C24" s="439"/>
      <c r="D24" s="440">
        <v>0</v>
      </c>
      <c r="E24" s="576">
        <v>1</v>
      </c>
      <c r="F24" s="576">
        <v>1</v>
      </c>
      <c r="G24" s="576">
        <v>1</v>
      </c>
      <c r="H24" s="576">
        <v>1</v>
      </c>
      <c r="I24" s="576">
        <v>1</v>
      </c>
      <c r="J24" s="576">
        <v>1</v>
      </c>
      <c r="K24" s="576">
        <v>1</v>
      </c>
      <c r="L24" s="576">
        <v>1</v>
      </c>
      <c r="M24" s="248" t="s">
        <v>32</v>
      </c>
      <c r="N24" s="248" t="s">
        <v>3359</v>
      </c>
    </row>
    <row r="25" spans="1:14" ht="45">
      <c r="A25" s="439">
        <v>0</v>
      </c>
      <c r="B25" s="435" t="s">
        <v>3115</v>
      </c>
      <c r="C25" s="435"/>
      <c r="D25" s="434" t="s">
        <v>3116</v>
      </c>
      <c r="E25" s="434" t="s">
        <v>3360</v>
      </c>
      <c r="F25" s="434" t="s">
        <v>3361</v>
      </c>
      <c r="G25" s="434" t="s">
        <v>3362</v>
      </c>
      <c r="H25" s="434" t="s">
        <v>3363</v>
      </c>
      <c r="I25" s="434" t="s">
        <v>3430</v>
      </c>
      <c r="J25" s="434" t="s">
        <v>3431</v>
      </c>
      <c r="K25" s="434"/>
      <c r="L25" s="434" t="s">
        <v>3366</v>
      </c>
      <c r="M25" s="248"/>
      <c r="N25" s="248"/>
    </row>
    <row r="26" spans="1:14">
      <c r="A26" s="439" t="s">
        <v>3138</v>
      </c>
      <c r="B26" s="580">
        <v>0.01</v>
      </c>
      <c r="C26" s="440"/>
      <c r="D26" s="439"/>
      <c r="E26" s="450"/>
      <c r="F26" s="439"/>
      <c r="G26" s="439"/>
      <c r="H26" s="439"/>
      <c r="I26" s="443"/>
      <c r="J26" s="443"/>
      <c r="K26" s="450"/>
      <c r="L26" s="450"/>
      <c r="M26" s="248" t="s">
        <v>32</v>
      </c>
      <c r="N26" s="248" t="s">
        <v>3367</v>
      </c>
    </row>
    <row r="27" spans="1:14">
      <c r="A27" s="439" t="s">
        <v>3139</v>
      </c>
      <c r="B27" s="580">
        <v>0.01</v>
      </c>
      <c r="C27" s="440"/>
      <c r="D27" s="439"/>
      <c r="E27" s="450"/>
      <c r="F27" s="439"/>
      <c r="G27" s="439"/>
      <c r="H27" s="439"/>
      <c r="I27" s="443"/>
      <c r="J27" s="443"/>
      <c r="K27" s="450"/>
      <c r="L27" s="451"/>
      <c r="M27" s="248" t="s">
        <v>32</v>
      </c>
      <c r="N27" s="248" t="s">
        <v>3367</v>
      </c>
    </row>
    <row r="28" spans="1:14">
      <c r="A28" s="439" t="s">
        <v>3140</v>
      </c>
      <c r="B28" s="580">
        <v>0.01</v>
      </c>
      <c r="C28" s="440"/>
      <c r="D28" s="439"/>
      <c r="E28" s="450"/>
      <c r="F28" s="439"/>
      <c r="G28" s="439"/>
      <c r="H28" s="439"/>
      <c r="I28" s="443"/>
      <c r="J28" s="443"/>
      <c r="K28" s="450"/>
      <c r="L28" s="451"/>
      <c r="M28" s="248" t="s">
        <v>32</v>
      </c>
      <c r="N28" s="248" t="s">
        <v>3367</v>
      </c>
    </row>
    <row r="29" spans="1:14">
      <c r="A29" s="439" t="s">
        <v>3141</v>
      </c>
      <c r="B29" s="580">
        <v>0.01</v>
      </c>
      <c r="C29" s="440"/>
      <c r="D29" s="439"/>
      <c r="E29" s="450"/>
      <c r="F29" s="439"/>
      <c r="G29" s="439"/>
      <c r="H29" s="439"/>
      <c r="I29" s="443"/>
      <c r="J29" s="443"/>
      <c r="K29" s="450"/>
      <c r="L29" s="451"/>
      <c r="M29" s="248" t="s">
        <v>32</v>
      </c>
      <c r="N29" s="248" t="s">
        <v>3367</v>
      </c>
    </row>
    <row r="30" spans="1:14">
      <c r="A30" s="439" t="s">
        <v>3142</v>
      </c>
      <c r="B30" s="580">
        <v>0.01</v>
      </c>
      <c r="C30" s="440"/>
      <c r="D30" s="439"/>
      <c r="E30" s="450"/>
      <c r="F30" s="439"/>
      <c r="G30" s="439"/>
      <c r="H30" s="439"/>
      <c r="I30" s="443"/>
      <c r="J30" s="443"/>
      <c r="K30" s="450"/>
      <c r="L30" s="451"/>
      <c r="M30" s="248" t="s">
        <v>32</v>
      </c>
      <c r="N30" s="248" t="s">
        <v>3367</v>
      </c>
    </row>
    <row r="31" spans="1:14">
      <c r="A31" s="439"/>
      <c r="B31" s="449"/>
      <c r="C31" s="439"/>
      <c r="D31" s="439"/>
      <c r="E31" s="454"/>
      <c r="F31" s="439"/>
      <c r="G31" s="439"/>
      <c r="H31" s="439"/>
      <c r="I31" s="455"/>
      <c r="J31" s="455"/>
      <c r="K31" s="454"/>
      <c r="L31" s="456"/>
      <c r="M31" s="450"/>
      <c r="N31" s="450"/>
    </row>
    <row r="32" spans="1:14">
      <c r="A32" s="439" t="s">
        <v>3143</v>
      </c>
      <c r="B32" s="449"/>
      <c r="C32" s="440"/>
      <c r="D32" s="439">
        <v>0</v>
      </c>
      <c r="E32" s="439">
        <v>0</v>
      </c>
      <c r="F32" s="440">
        <v>0</v>
      </c>
      <c r="G32" s="440">
        <v>0</v>
      </c>
      <c r="H32" s="440">
        <v>0</v>
      </c>
      <c r="I32" s="443">
        <v>0</v>
      </c>
      <c r="J32" s="443">
        <v>0</v>
      </c>
      <c r="K32" s="457">
        <v>0</v>
      </c>
      <c r="L32" s="579">
        <v>1</v>
      </c>
      <c r="M32" s="248" t="s">
        <v>32</v>
      </c>
      <c r="N32" s="248" t="s">
        <v>3368</v>
      </c>
    </row>
    <row r="33" spans="1:14">
      <c r="A33" s="439" t="s">
        <v>3357</v>
      </c>
      <c r="B33" s="449"/>
      <c r="C33" s="440"/>
      <c r="D33" s="440">
        <v>0</v>
      </c>
      <c r="E33" s="440">
        <v>0</v>
      </c>
      <c r="F33" s="440">
        <v>0</v>
      </c>
      <c r="G33" s="440">
        <v>0</v>
      </c>
      <c r="H33" s="440">
        <v>0</v>
      </c>
      <c r="I33" s="443">
        <v>0</v>
      </c>
      <c r="J33" s="443">
        <v>0</v>
      </c>
      <c r="K33" s="442">
        <v>0</v>
      </c>
      <c r="L33" s="579">
        <v>1</v>
      </c>
      <c r="M33" s="248" t="s">
        <v>32</v>
      </c>
      <c r="N33" s="248" t="s">
        <v>3368</v>
      </c>
    </row>
    <row r="34" spans="1:14">
      <c r="A34" s="439" t="s">
        <v>3144</v>
      </c>
      <c r="B34" s="449">
        <v>0</v>
      </c>
      <c r="C34" s="440"/>
      <c r="D34" s="576">
        <v>0.1</v>
      </c>
      <c r="E34" s="576">
        <v>0.1</v>
      </c>
      <c r="F34" s="576">
        <v>0.1</v>
      </c>
      <c r="G34" s="576">
        <v>0.1</v>
      </c>
      <c r="H34" s="576">
        <v>0.1</v>
      </c>
      <c r="I34" s="577">
        <v>0.01</v>
      </c>
      <c r="J34" s="577">
        <v>0.01</v>
      </c>
      <c r="K34" s="439">
        <v>0</v>
      </c>
      <c r="L34" s="457">
        <v>0</v>
      </c>
      <c r="M34" s="248" t="s">
        <v>32</v>
      </c>
      <c r="N34" s="248" t="s">
        <v>3359</v>
      </c>
    </row>
    <row r="35" spans="1:14">
      <c r="A35" s="439" t="s">
        <v>3145</v>
      </c>
      <c r="B35" s="449">
        <v>0</v>
      </c>
      <c r="C35" s="440"/>
      <c r="D35" s="576">
        <v>0.1</v>
      </c>
      <c r="E35" s="576">
        <v>0.1</v>
      </c>
      <c r="F35" s="576">
        <v>0.1</v>
      </c>
      <c r="G35" s="576">
        <v>0.1</v>
      </c>
      <c r="H35" s="576">
        <v>0.1</v>
      </c>
      <c r="I35" s="577">
        <v>0.01</v>
      </c>
      <c r="J35" s="577">
        <v>0.01</v>
      </c>
      <c r="K35" s="439">
        <v>0</v>
      </c>
      <c r="L35" s="457">
        <v>0</v>
      </c>
      <c r="M35" s="248" t="s">
        <v>32</v>
      </c>
      <c r="N35" s="248" t="s">
        <v>3359</v>
      </c>
    </row>
    <row r="36" spans="1:14">
      <c r="A36" s="439" t="s">
        <v>3146</v>
      </c>
      <c r="B36" s="449">
        <v>0</v>
      </c>
      <c r="C36" s="440"/>
      <c r="D36" s="576">
        <v>0.1</v>
      </c>
      <c r="E36" s="576">
        <v>0.1</v>
      </c>
      <c r="F36" s="576">
        <v>0.1</v>
      </c>
      <c r="G36" s="576">
        <v>0.1</v>
      </c>
      <c r="H36" s="576">
        <v>0.1</v>
      </c>
      <c r="I36" s="577">
        <v>0.01</v>
      </c>
      <c r="J36" s="577">
        <v>0.01</v>
      </c>
      <c r="K36" s="439">
        <v>0</v>
      </c>
      <c r="L36" s="457">
        <v>0</v>
      </c>
      <c r="M36" s="248" t="s">
        <v>32</v>
      </c>
      <c r="N36" s="248" t="s">
        <v>3359</v>
      </c>
    </row>
    <row r="37" spans="1:14">
      <c r="A37" s="439" t="s">
        <v>3147</v>
      </c>
      <c r="B37" s="449">
        <v>0</v>
      </c>
      <c r="C37" s="440"/>
      <c r="D37" s="439">
        <v>0</v>
      </c>
      <c r="E37" s="576">
        <v>1</v>
      </c>
      <c r="F37" s="440">
        <v>0</v>
      </c>
      <c r="G37" s="576">
        <v>1</v>
      </c>
      <c r="H37" s="576">
        <v>1</v>
      </c>
      <c r="I37" s="443">
        <v>0</v>
      </c>
      <c r="J37" s="578">
        <v>1</v>
      </c>
      <c r="K37" s="439">
        <v>0</v>
      </c>
      <c r="L37" s="457">
        <v>0</v>
      </c>
      <c r="M37" s="248" t="s">
        <v>32</v>
      </c>
      <c r="N37" s="248" t="s">
        <v>3359</v>
      </c>
    </row>
    <row r="38" spans="1:14">
      <c r="A38" s="439"/>
      <c r="B38" s="458"/>
      <c r="C38" s="439"/>
      <c r="D38" s="439"/>
      <c r="E38" s="459"/>
      <c r="F38" s="439"/>
      <c r="G38" s="439"/>
      <c r="H38" s="439"/>
      <c r="I38" s="443"/>
      <c r="J38" s="443"/>
      <c r="K38" s="450"/>
      <c r="L38" s="460"/>
      <c r="M38" s="248"/>
      <c r="N38" s="248"/>
    </row>
    <row r="39" spans="1:14">
      <c r="A39" s="439" t="s">
        <v>3409</v>
      </c>
      <c r="B39" s="580">
        <v>0.01</v>
      </c>
      <c r="C39" s="440"/>
      <c r="D39" s="440">
        <v>0</v>
      </c>
      <c r="E39" s="440">
        <v>0</v>
      </c>
      <c r="F39" s="440">
        <v>0</v>
      </c>
      <c r="G39" s="440">
        <v>0</v>
      </c>
      <c r="H39" s="440">
        <v>0</v>
      </c>
      <c r="I39" s="441">
        <v>0</v>
      </c>
      <c r="J39" s="441">
        <v>0</v>
      </c>
      <c r="K39" s="440">
        <v>0</v>
      </c>
      <c r="L39" s="442">
        <v>0</v>
      </c>
      <c r="M39" s="248" t="s">
        <v>32</v>
      </c>
      <c r="N39" s="248" t="s">
        <v>3367</v>
      </c>
    </row>
    <row r="40" spans="1:14">
      <c r="A40" s="439" t="s">
        <v>3410</v>
      </c>
      <c r="B40" s="580">
        <v>0.01</v>
      </c>
      <c r="C40" s="440"/>
      <c r="D40" s="440">
        <v>0</v>
      </c>
      <c r="E40" s="440">
        <v>0</v>
      </c>
      <c r="F40" s="440">
        <v>0</v>
      </c>
      <c r="G40" s="440">
        <v>0</v>
      </c>
      <c r="H40" s="440">
        <v>0</v>
      </c>
      <c r="I40" s="441">
        <v>0</v>
      </c>
      <c r="J40" s="441">
        <v>0</v>
      </c>
      <c r="K40" s="440">
        <v>0</v>
      </c>
      <c r="L40" s="442">
        <v>0</v>
      </c>
      <c r="M40" s="248" t="s">
        <v>32</v>
      </c>
      <c r="N40" s="248" t="s">
        <v>3367</v>
      </c>
    </row>
    <row r="41" spans="1:14">
      <c r="A41" s="439">
        <v>0</v>
      </c>
      <c r="B41" s="449">
        <v>0</v>
      </c>
      <c r="C41" s="440"/>
      <c r="D41" s="440">
        <v>0</v>
      </c>
      <c r="E41" s="440">
        <v>0</v>
      </c>
      <c r="F41" s="440">
        <v>0</v>
      </c>
      <c r="G41" s="440">
        <v>0</v>
      </c>
      <c r="H41" s="440">
        <v>0</v>
      </c>
      <c r="I41" s="441">
        <v>0</v>
      </c>
      <c r="J41" s="441">
        <v>0</v>
      </c>
      <c r="K41" s="440">
        <v>0</v>
      </c>
      <c r="L41" s="442">
        <v>0</v>
      </c>
      <c r="M41" s="248"/>
      <c r="N41" s="248"/>
    </row>
    <row r="42" spans="1:14">
      <c r="A42" s="439">
        <v>0</v>
      </c>
      <c r="B42" s="449">
        <v>0</v>
      </c>
      <c r="C42" s="440"/>
      <c r="D42" s="440">
        <v>0</v>
      </c>
      <c r="E42" s="440">
        <v>0</v>
      </c>
      <c r="F42" s="440">
        <v>0</v>
      </c>
      <c r="G42" s="440">
        <v>0</v>
      </c>
      <c r="H42" s="440">
        <v>0</v>
      </c>
      <c r="I42" s="441">
        <v>0</v>
      </c>
      <c r="J42" s="441">
        <v>0</v>
      </c>
      <c r="K42" s="440">
        <v>0</v>
      </c>
      <c r="L42" s="442">
        <v>0</v>
      </c>
      <c r="M42" s="248"/>
      <c r="N42" s="248"/>
    </row>
    <row r="43" spans="1:14">
      <c r="A43" s="439">
        <v>0</v>
      </c>
      <c r="B43" s="449">
        <v>0</v>
      </c>
      <c r="C43" s="440"/>
      <c r="D43" s="440">
        <v>0</v>
      </c>
      <c r="E43" s="440">
        <v>0</v>
      </c>
      <c r="F43" s="440">
        <v>0</v>
      </c>
      <c r="G43" s="440">
        <v>0</v>
      </c>
      <c r="H43" s="440">
        <v>0</v>
      </c>
      <c r="I43" s="441">
        <v>0</v>
      </c>
      <c r="J43" s="441">
        <v>0</v>
      </c>
      <c r="K43" s="440">
        <v>0</v>
      </c>
      <c r="L43" s="442">
        <v>0</v>
      </c>
      <c r="M43" s="248"/>
      <c r="N43" s="248"/>
    </row>
    <row r="44" spans="1:14">
      <c r="A44" s="439" t="s">
        <v>3148</v>
      </c>
      <c r="B44" s="580">
        <v>0.01</v>
      </c>
      <c r="C44" s="440"/>
      <c r="D44" s="439"/>
      <c r="E44" s="450"/>
      <c r="F44" s="439"/>
      <c r="G44" s="439"/>
      <c r="H44" s="439"/>
      <c r="I44" s="443"/>
      <c r="J44" s="443"/>
      <c r="K44" s="450"/>
      <c r="L44" s="451"/>
      <c r="M44" s="248" t="s">
        <v>32</v>
      </c>
      <c r="N44" s="248" t="s">
        <v>3369</v>
      </c>
    </row>
    <row r="45" spans="1:14">
      <c r="A45" s="439" t="s">
        <v>3149</v>
      </c>
      <c r="B45" s="580">
        <v>0.01</v>
      </c>
      <c r="C45" s="440"/>
      <c r="D45" s="439"/>
      <c r="E45" s="450"/>
      <c r="F45" s="439"/>
      <c r="G45" s="439"/>
      <c r="H45" s="439"/>
      <c r="I45" s="443"/>
      <c r="J45" s="443"/>
      <c r="K45" s="450"/>
      <c r="L45" s="451"/>
      <c r="M45" s="248" t="s">
        <v>32</v>
      </c>
      <c r="N45" s="248" t="s">
        <v>3370</v>
      </c>
    </row>
    <row r="46" spans="1:14">
      <c r="A46" s="439" t="s">
        <v>3150</v>
      </c>
      <c r="B46" s="580">
        <v>0.01</v>
      </c>
      <c r="C46" s="440"/>
      <c r="D46" s="439"/>
      <c r="E46" s="450"/>
      <c r="F46" s="439"/>
      <c r="G46" s="439"/>
      <c r="H46" s="439"/>
      <c r="I46" s="443"/>
      <c r="J46" s="443"/>
      <c r="K46" s="450"/>
      <c r="L46" s="451"/>
      <c r="M46" s="248" t="s">
        <v>32</v>
      </c>
      <c r="N46" s="248" t="s">
        <v>3367</v>
      </c>
    </row>
    <row r="47" spans="1:14">
      <c r="A47" s="439" t="s">
        <v>3151</v>
      </c>
      <c r="B47" s="580">
        <v>0.01</v>
      </c>
      <c r="C47" s="440"/>
      <c r="D47" s="439"/>
      <c r="E47" s="450"/>
      <c r="F47" s="439"/>
      <c r="G47" s="439"/>
      <c r="H47" s="439"/>
      <c r="I47" s="443"/>
      <c r="J47" s="443"/>
      <c r="K47" s="450"/>
      <c r="L47" s="451"/>
      <c r="M47" s="248" t="s">
        <v>25</v>
      </c>
      <c r="N47" s="248" t="s">
        <v>3369</v>
      </c>
    </row>
    <row r="48" spans="1:14">
      <c r="A48" s="439" t="s">
        <v>3152</v>
      </c>
      <c r="B48" s="580">
        <v>0.01</v>
      </c>
      <c r="C48" s="440"/>
      <c r="D48" s="439"/>
      <c r="E48" s="450"/>
      <c r="F48" s="439"/>
      <c r="G48" s="439"/>
      <c r="H48" s="439"/>
      <c r="I48" s="443"/>
      <c r="J48" s="443"/>
      <c r="K48" s="450"/>
      <c r="L48" s="451"/>
      <c r="M48" s="248" t="s">
        <v>25</v>
      </c>
      <c r="N48" s="248" t="s">
        <v>3370</v>
      </c>
    </row>
    <row r="49" spans="1:14">
      <c r="A49" s="439" t="s">
        <v>3153</v>
      </c>
      <c r="B49" s="580">
        <v>0.01</v>
      </c>
      <c r="C49" s="440"/>
      <c r="D49" s="439"/>
      <c r="E49" s="450"/>
      <c r="F49" s="439"/>
      <c r="G49" s="439"/>
      <c r="H49" s="439"/>
      <c r="I49" s="443"/>
      <c r="J49" s="443"/>
      <c r="K49" s="450"/>
      <c r="L49" s="451"/>
      <c r="M49" s="248" t="s">
        <v>25</v>
      </c>
      <c r="N49" s="248" t="s">
        <v>3367</v>
      </c>
    </row>
    <row r="50" spans="1:14">
      <c r="A50" s="439" t="s">
        <v>3411</v>
      </c>
      <c r="B50" s="449"/>
      <c r="C50" s="440"/>
      <c r="D50" s="440"/>
      <c r="E50" s="440"/>
      <c r="F50" s="440"/>
      <c r="G50" s="440"/>
      <c r="H50" s="440"/>
      <c r="I50" s="441"/>
      <c r="J50" s="441"/>
      <c r="K50" s="248"/>
      <c r="L50" s="461"/>
      <c r="M50" s="248" t="s">
        <v>25</v>
      </c>
      <c r="N50" s="248" t="s">
        <v>3359</v>
      </c>
    </row>
    <row r="51" spans="1:14" ht="56.25">
      <c r="A51" s="439"/>
      <c r="B51" s="458"/>
      <c r="C51" s="439"/>
      <c r="D51" s="448" t="s">
        <v>3116</v>
      </c>
      <c r="E51" s="448" t="s">
        <v>3117</v>
      </c>
      <c r="F51" s="448" t="s">
        <v>3118</v>
      </c>
      <c r="G51" s="448" t="s">
        <v>3119</v>
      </c>
      <c r="H51" s="448" t="s">
        <v>3120</v>
      </c>
      <c r="I51" s="448" t="s">
        <v>3426</v>
      </c>
      <c r="J51" s="448" t="s">
        <v>3427</v>
      </c>
      <c r="K51" s="448" t="s">
        <v>3123</v>
      </c>
      <c r="L51" s="448" t="s">
        <v>3124</v>
      </c>
      <c r="M51" s="248"/>
      <c r="N51" s="248"/>
    </row>
    <row r="52" spans="1:14">
      <c r="A52" s="439" t="s">
        <v>3154</v>
      </c>
      <c r="B52" s="449">
        <v>0</v>
      </c>
      <c r="C52" s="440"/>
      <c r="D52" s="440">
        <v>0</v>
      </c>
      <c r="E52" s="440">
        <v>0</v>
      </c>
      <c r="F52" s="440">
        <v>0</v>
      </c>
      <c r="G52" s="440">
        <v>0</v>
      </c>
      <c r="H52" s="440">
        <v>0</v>
      </c>
      <c r="I52" s="441">
        <v>0</v>
      </c>
      <c r="J52" s="441">
        <v>0</v>
      </c>
      <c r="K52" s="440">
        <v>0</v>
      </c>
      <c r="L52" s="576">
        <v>0.1</v>
      </c>
      <c r="M52" s="248" t="s">
        <v>32</v>
      </c>
      <c r="N52" s="248" t="s">
        <v>3359</v>
      </c>
    </row>
    <row r="53" spans="1:14">
      <c r="A53" s="439" t="s">
        <v>3155</v>
      </c>
      <c r="B53" s="449">
        <v>0</v>
      </c>
      <c r="C53" s="440"/>
      <c r="D53" s="440">
        <v>0</v>
      </c>
      <c r="E53" s="440">
        <v>0</v>
      </c>
      <c r="F53" s="440">
        <v>0</v>
      </c>
      <c r="G53" s="440">
        <v>0</v>
      </c>
      <c r="H53" s="440">
        <v>0</v>
      </c>
      <c r="I53" s="441">
        <v>0</v>
      </c>
      <c r="J53" s="441">
        <v>0</v>
      </c>
      <c r="K53" s="440">
        <v>0</v>
      </c>
      <c r="L53" s="576">
        <v>0.1</v>
      </c>
      <c r="M53" s="248" t="s">
        <v>32</v>
      </c>
      <c r="N53" s="248" t="s">
        <v>3359</v>
      </c>
    </row>
    <row r="54" spans="1:14">
      <c r="A54" s="439" t="s">
        <v>3156</v>
      </c>
      <c r="B54" s="449">
        <v>0</v>
      </c>
      <c r="C54" s="440"/>
      <c r="D54" s="440">
        <v>0</v>
      </c>
      <c r="E54" s="576">
        <v>0.1</v>
      </c>
      <c r="F54" s="576">
        <v>0.1</v>
      </c>
      <c r="G54" s="576">
        <v>0.1</v>
      </c>
      <c r="H54" s="576">
        <v>0.1</v>
      </c>
      <c r="I54" s="577">
        <v>0.01</v>
      </c>
      <c r="J54" s="577">
        <v>0.01</v>
      </c>
      <c r="K54" s="576">
        <v>0.1</v>
      </c>
      <c r="L54" s="576">
        <v>0.1</v>
      </c>
      <c r="M54" s="248" t="s">
        <v>32</v>
      </c>
      <c r="N54" s="248" t="s">
        <v>3359</v>
      </c>
    </row>
    <row r="55" spans="1:14">
      <c r="A55" s="439" t="s">
        <v>3157</v>
      </c>
      <c r="B55" s="449">
        <v>0</v>
      </c>
      <c r="C55" s="440"/>
      <c r="D55" s="440">
        <v>0</v>
      </c>
      <c r="E55" s="440">
        <v>0</v>
      </c>
      <c r="F55" s="440">
        <v>0</v>
      </c>
      <c r="G55" s="440">
        <v>0</v>
      </c>
      <c r="H55" s="440">
        <v>0</v>
      </c>
      <c r="I55" s="441">
        <v>0</v>
      </c>
      <c r="J55" s="441">
        <v>0</v>
      </c>
      <c r="K55" s="440">
        <v>0</v>
      </c>
      <c r="L55" s="576">
        <v>0.1</v>
      </c>
      <c r="M55" s="248" t="s">
        <v>32</v>
      </c>
      <c r="N55" s="248" t="s">
        <v>3359</v>
      </c>
    </row>
    <row r="56" spans="1:14">
      <c r="A56" s="439" t="s">
        <v>3158</v>
      </c>
      <c r="B56" s="449">
        <v>0</v>
      </c>
      <c r="C56" s="440"/>
      <c r="D56" s="440">
        <v>0</v>
      </c>
      <c r="E56" s="440">
        <v>0</v>
      </c>
      <c r="F56" s="440">
        <v>0</v>
      </c>
      <c r="G56" s="440">
        <v>0</v>
      </c>
      <c r="H56" s="440">
        <v>0</v>
      </c>
      <c r="I56" s="441">
        <v>0</v>
      </c>
      <c r="J56" s="441">
        <v>0</v>
      </c>
      <c r="K56" s="440">
        <v>0</v>
      </c>
      <c r="L56" s="576">
        <v>0.1</v>
      </c>
      <c r="M56" s="248" t="s">
        <v>32</v>
      </c>
      <c r="N56" s="248" t="s">
        <v>3359</v>
      </c>
    </row>
    <row r="57" spans="1:14">
      <c r="A57" s="439" t="s">
        <v>3159</v>
      </c>
      <c r="B57" s="449">
        <v>0</v>
      </c>
      <c r="C57" s="440"/>
      <c r="D57" s="440">
        <v>0</v>
      </c>
      <c r="E57" s="440">
        <v>0</v>
      </c>
      <c r="F57" s="440">
        <v>0</v>
      </c>
      <c r="G57" s="440">
        <v>0</v>
      </c>
      <c r="H57" s="440">
        <v>0</v>
      </c>
      <c r="I57" s="441">
        <v>0</v>
      </c>
      <c r="J57" s="441">
        <v>0</v>
      </c>
      <c r="K57" s="440">
        <v>0</v>
      </c>
      <c r="L57" s="576">
        <v>0.1</v>
      </c>
      <c r="M57" s="248" t="s">
        <v>32</v>
      </c>
      <c r="N57" s="248" t="s">
        <v>3359</v>
      </c>
    </row>
    <row r="58" spans="1:14">
      <c r="A58" s="444"/>
      <c r="B58" s="452"/>
      <c r="C58" s="452"/>
      <c r="D58" s="444"/>
      <c r="E58" s="452"/>
      <c r="F58" s="444"/>
      <c r="G58" s="444"/>
      <c r="H58" s="444"/>
      <c r="I58" s="445"/>
      <c r="J58" s="445"/>
      <c r="K58" s="452"/>
      <c r="L58" s="453"/>
      <c r="M58" s="248"/>
      <c r="N58" s="248"/>
    </row>
    <row r="59" spans="1:14" ht="45">
      <c r="A59" s="439"/>
      <c r="B59" s="435" t="s">
        <v>3115</v>
      </c>
      <c r="C59" s="435"/>
      <c r="D59" s="434" t="s">
        <v>3116</v>
      </c>
      <c r="E59" s="434" t="s">
        <v>3360</v>
      </c>
      <c r="F59" s="434" t="s">
        <v>3361</v>
      </c>
      <c r="G59" s="434" t="s">
        <v>3362</v>
      </c>
      <c r="H59" s="434" t="s">
        <v>3363</v>
      </c>
      <c r="I59" s="434" t="s">
        <v>3430</v>
      </c>
      <c r="J59" s="434" t="s">
        <v>3431</v>
      </c>
      <c r="K59" s="434" t="s">
        <v>3371</v>
      </c>
      <c r="L59" s="434" t="s">
        <v>3372</v>
      </c>
      <c r="M59" s="462"/>
      <c r="N59" s="462"/>
    </row>
    <row r="60" spans="1:14">
      <c r="A60" s="439" t="s">
        <v>3160</v>
      </c>
      <c r="B60" s="450"/>
      <c r="C60" s="450"/>
      <c r="D60" s="440">
        <v>0</v>
      </c>
      <c r="E60" s="576">
        <v>1</v>
      </c>
      <c r="F60" s="440">
        <v>0</v>
      </c>
      <c r="G60" s="576">
        <v>1</v>
      </c>
      <c r="H60" s="576">
        <v>1</v>
      </c>
      <c r="I60" s="441">
        <v>0</v>
      </c>
      <c r="J60" s="576">
        <v>1</v>
      </c>
      <c r="K60" s="576">
        <v>1</v>
      </c>
      <c r="L60" s="442">
        <v>0</v>
      </c>
      <c r="M60" s="248" t="s">
        <v>32</v>
      </c>
      <c r="N60" s="248" t="s">
        <v>3359</v>
      </c>
    </row>
    <row r="61" spans="1:14">
      <c r="A61" s="439" t="s">
        <v>3161</v>
      </c>
      <c r="B61" s="450"/>
      <c r="C61" s="450"/>
      <c r="D61" s="440">
        <v>0</v>
      </c>
      <c r="E61" s="576">
        <v>1</v>
      </c>
      <c r="F61" s="440">
        <v>0</v>
      </c>
      <c r="G61" s="576">
        <v>1</v>
      </c>
      <c r="H61" s="576">
        <v>1</v>
      </c>
      <c r="I61" s="441">
        <v>0</v>
      </c>
      <c r="J61" s="576">
        <v>1</v>
      </c>
      <c r="K61" s="576">
        <v>1</v>
      </c>
      <c r="L61" s="576">
        <v>1</v>
      </c>
      <c r="M61" s="248" t="s">
        <v>32</v>
      </c>
      <c r="N61" s="248" t="s">
        <v>3359</v>
      </c>
    </row>
    <row r="62" spans="1:14">
      <c r="A62" s="439" t="s">
        <v>3162</v>
      </c>
      <c r="B62" s="450"/>
      <c r="C62" s="450"/>
      <c r="D62" s="440">
        <v>0</v>
      </c>
      <c r="E62" s="576">
        <v>1</v>
      </c>
      <c r="F62" s="440">
        <v>0</v>
      </c>
      <c r="G62" s="576">
        <v>1</v>
      </c>
      <c r="H62" s="576">
        <v>1</v>
      </c>
      <c r="I62" s="441">
        <v>0</v>
      </c>
      <c r="J62" s="576">
        <v>1</v>
      </c>
      <c r="K62" s="576">
        <v>1</v>
      </c>
      <c r="L62" s="442">
        <v>0</v>
      </c>
      <c r="M62" s="248" t="s">
        <v>32</v>
      </c>
      <c r="N62" s="248" t="s">
        <v>3359</v>
      </c>
    </row>
    <row r="63" spans="1:14">
      <c r="A63" s="439" t="s">
        <v>3163</v>
      </c>
      <c r="B63" s="450"/>
      <c r="C63" s="450"/>
      <c r="D63" s="440">
        <v>0</v>
      </c>
      <c r="E63" s="576">
        <v>1</v>
      </c>
      <c r="F63" s="440">
        <v>0</v>
      </c>
      <c r="G63" s="576">
        <v>1</v>
      </c>
      <c r="H63" s="576">
        <v>1</v>
      </c>
      <c r="I63" s="441">
        <v>0</v>
      </c>
      <c r="J63" s="576">
        <v>1</v>
      </c>
      <c r="K63" s="576">
        <v>1</v>
      </c>
      <c r="L63" s="576">
        <v>1</v>
      </c>
      <c r="M63" s="248" t="s">
        <v>32</v>
      </c>
      <c r="N63" s="248" t="s">
        <v>3359</v>
      </c>
    </row>
    <row r="64" spans="1:14">
      <c r="A64" s="439" t="s">
        <v>3164</v>
      </c>
      <c r="B64" s="450"/>
      <c r="C64" s="450"/>
      <c r="D64" s="440">
        <v>0</v>
      </c>
      <c r="E64" s="440">
        <v>0</v>
      </c>
      <c r="F64" s="440">
        <v>0</v>
      </c>
      <c r="G64" s="440">
        <v>0</v>
      </c>
      <c r="H64" s="440">
        <v>0</v>
      </c>
      <c r="I64" s="441">
        <v>0</v>
      </c>
      <c r="J64" s="441">
        <v>0</v>
      </c>
      <c r="K64" s="576">
        <v>1</v>
      </c>
      <c r="L64" s="442">
        <v>0</v>
      </c>
      <c r="M64" s="248" t="s">
        <v>32</v>
      </c>
      <c r="N64" s="248" t="s">
        <v>3359</v>
      </c>
    </row>
    <row r="65" spans="1:14">
      <c r="A65" s="439" t="s">
        <v>3165</v>
      </c>
      <c r="B65" s="450"/>
      <c r="C65" s="450"/>
      <c r="D65" s="440">
        <v>0</v>
      </c>
      <c r="E65" s="440">
        <v>0</v>
      </c>
      <c r="F65" s="440">
        <v>0</v>
      </c>
      <c r="G65" s="440">
        <v>0</v>
      </c>
      <c r="H65" s="440">
        <v>0</v>
      </c>
      <c r="I65" s="441">
        <v>0</v>
      </c>
      <c r="J65" s="441">
        <v>0</v>
      </c>
      <c r="K65" s="576">
        <v>1</v>
      </c>
      <c r="L65" s="442">
        <v>0</v>
      </c>
      <c r="M65" s="248" t="s">
        <v>32</v>
      </c>
      <c r="N65" s="248" t="s">
        <v>3359</v>
      </c>
    </row>
    <row r="66" spans="1:14">
      <c r="A66" s="439" t="s">
        <v>3166</v>
      </c>
      <c r="B66" s="450"/>
      <c r="C66" s="450"/>
      <c r="D66" s="440">
        <v>0</v>
      </c>
      <c r="E66" s="440">
        <v>0</v>
      </c>
      <c r="F66" s="440">
        <v>0</v>
      </c>
      <c r="G66" s="440">
        <v>0</v>
      </c>
      <c r="H66" s="440">
        <v>0</v>
      </c>
      <c r="I66" s="441">
        <v>0</v>
      </c>
      <c r="J66" s="441">
        <v>0</v>
      </c>
      <c r="K66" s="576">
        <v>1</v>
      </c>
      <c r="L66" s="442">
        <v>0</v>
      </c>
      <c r="M66" s="248" t="s">
        <v>32</v>
      </c>
      <c r="N66" s="248" t="s">
        <v>3359</v>
      </c>
    </row>
    <row r="67" spans="1:14">
      <c r="A67" s="439" t="s">
        <v>3167</v>
      </c>
      <c r="B67" s="450"/>
      <c r="C67" s="450"/>
      <c r="D67" s="440">
        <v>0</v>
      </c>
      <c r="E67" s="440">
        <v>0</v>
      </c>
      <c r="F67" s="440">
        <v>0</v>
      </c>
      <c r="G67" s="440">
        <v>0</v>
      </c>
      <c r="H67" s="440">
        <v>0</v>
      </c>
      <c r="I67" s="441">
        <v>0</v>
      </c>
      <c r="J67" s="441">
        <v>0</v>
      </c>
      <c r="K67" s="440">
        <v>0</v>
      </c>
      <c r="L67" s="442">
        <v>0</v>
      </c>
      <c r="M67" s="248" t="s">
        <v>32</v>
      </c>
      <c r="N67" s="248" t="s">
        <v>3359</v>
      </c>
    </row>
    <row r="68" spans="1:14">
      <c r="A68" s="439" t="s">
        <v>3168</v>
      </c>
      <c r="B68" s="450"/>
      <c r="C68" s="450"/>
      <c r="D68" s="248"/>
      <c r="E68" s="576">
        <v>1</v>
      </c>
      <c r="F68" s="440">
        <v>0</v>
      </c>
      <c r="G68" s="440">
        <v>0</v>
      </c>
      <c r="H68" s="440">
        <v>0</v>
      </c>
      <c r="I68" s="441">
        <v>0</v>
      </c>
      <c r="J68" s="441">
        <v>0</v>
      </c>
      <c r="K68" s="440">
        <v>0</v>
      </c>
      <c r="L68" s="442">
        <v>0</v>
      </c>
      <c r="M68" s="248" t="s">
        <v>32</v>
      </c>
      <c r="N68" s="248" t="s">
        <v>3359</v>
      </c>
    </row>
    <row r="69" spans="1:14">
      <c r="A69" s="439" t="s">
        <v>3169</v>
      </c>
      <c r="B69" s="450"/>
      <c r="C69" s="450"/>
      <c r="D69" s="440">
        <v>0</v>
      </c>
      <c r="E69" s="440">
        <v>0</v>
      </c>
      <c r="F69" s="440">
        <v>0</v>
      </c>
      <c r="G69" s="440">
        <v>0</v>
      </c>
      <c r="H69" s="440">
        <v>0</v>
      </c>
      <c r="I69" s="441">
        <v>0</v>
      </c>
      <c r="J69" s="441">
        <v>0</v>
      </c>
      <c r="K69" s="440">
        <v>0</v>
      </c>
      <c r="L69" s="576">
        <v>1</v>
      </c>
      <c r="M69" s="248" t="s">
        <v>32</v>
      </c>
      <c r="N69" s="248" t="s">
        <v>3359</v>
      </c>
    </row>
    <row r="70" spans="1:14">
      <c r="A70" s="439" t="s">
        <v>3170</v>
      </c>
      <c r="B70" s="450"/>
      <c r="C70" s="450"/>
      <c r="D70" s="440">
        <v>0</v>
      </c>
      <c r="E70" s="440">
        <v>0</v>
      </c>
      <c r="F70" s="440">
        <v>0</v>
      </c>
      <c r="G70" s="440">
        <v>0</v>
      </c>
      <c r="H70" s="440">
        <v>0</v>
      </c>
      <c r="I70" s="441">
        <v>0</v>
      </c>
      <c r="J70" s="441">
        <v>0</v>
      </c>
      <c r="K70" s="440">
        <v>0</v>
      </c>
      <c r="L70" s="576">
        <v>1</v>
      </c>
      <c r="M70" s="248" t="s">
        <v>32</v>
      </c>
      <c r="N70" s="248" t="s">
        <v>3359</v>
      </c>
    </row>
    <row r="71" spans="1:14">
      <c r="A71" s="439" t="s">
        <v>3171</v>
      </c>
      <c r="B71" s="450"/>
      <c r="C71" s="450"/>
      <c r="D71" s="440">
        <v>0</v>
      </c>
      <c r="E71" s="440">
        <v>0</v>
      </c>
      <c r="F71" s="440">
        <v>0</v>
      </c>
      <c r="G71" s="440">
        <v>0</v>
      </c>
      <c r="H71" s="440">
        <v>0</v>
      </c>
      <c r="I71" s="441">
        <v>0</v>
      </c>
      <c r="J71" s="441">
        <v>0</v>
      </c>
      <c r="K71" s="440">
        <v>0</v>
      </c>
      <c r="L71" s="576">
        <v>1</v>
      </c>
      <c r="M71" s="248" t="s">
        <v>32</v>
      </c>
      <c r="N71" s="248" t="s">
        <v>3359</v>
      </c>
    </row>
    <row r="72" spans="1:14">
      <c r="A72" s="439"/>
      <c r="B72" s="450"/>
      <c r="C72" s="450"/>
      <c r="D72" s="440"/>
      <c r="E72" s="440"/>
      <c r="F72" s="440"/>
      <c r="G72" s="440"/>
      <c r="H72" s="440"/>
      <c r="I72" s="441"/>
      <c r="J72" s="441"/>
      <c r="K72" s="440"/>
      <c r="L72" s="442"/>
      <c r="M72" s="248" t="s">
        <v>32</v>
      </c>
      <c r="N72" s="248" t="s">
        <v>3359</v>
      </c>
    </row>
    <row r="73" spans="1:14" ht="33.75">
      <c r="A73" s="439"/>
      <c r="B73" s="435" t="s">
        <v>3115</v>
      </c>
      <c r="C73" s="435"/>
      <c r="D73" s="434" t="s">
        <v>3116</v>
      </c>
      <c r="E73" s="434" t="s">
        <v>3360</v>
      </c>
      <c r="F73" s="434" t="s">
        <v>3361</v>
      </c>
      <c r="G73" s="434" t="s">
        <v>3362</v>
      </c>
      <c r="H73" s="434" t="s">
        <v>3363</v>
      </c>
      <c r="I73" s="434" t="s">
        <v>3364</v>
      </c>
      <c r="J73" s="434" t="s">
        <v>3365</v>
      </c>
      <c r="K73" s="434" t="s">
        <v>3371</v>
      </c>
      <c r="L73" s="434" t="s">
        <v>3372</v>
      </c>
      <c r="M73" s="248"/>
      <c r="N73" s="248"/>
    </row>
    <row r="74" spans="1:14">
      <c r="A74" s="439" t="s">
        <v>3172</v>
      </c>
      <c r="B74" s="450"/>
      <c r="C74" s="450"/>
      <c r="D74" s="440">
        <v>0</v>
      </c>
      <c r="E74" s="576">
        <v>1</v>
      </c>
      <c r="F74" s="576">
        <v>1</v>
      </c>
      <c r="G74" s="576">
        <v>1</v>
      </c>
      <c r="H74" s="576">
        <v>1</v>
      </c>
      <c r="I74" s="576">
        <v>1</v>
      </c>
      <c r="J74" s="576">
        <v>1</v>
      </c>
      <c r="K74" s="440">
        <v>0</v>
      </c>
      <c r="L74" s="442">
        <v>0</v>
      </c>
      <c r="M74" s="248" t="s">
        <v>32</v>
      </c>
      <c r="N74" s="248" t="s">
        <v>3359</v>
      </c>
    </row>
    <row r="75" spans="1:14">
      <c r="A75" s="439" t="s">
        <v>3173</v>
      </c>
      <c r="B75" s="450"/>
      <c r="C75" s="450"/>
      <c r="D75" s="440">
        <v>0</v>
      </c>
      <c r="E75" s="576">
        <v>1</v>
      </c>
      <c r="F75" s="576">
        <v>1</v>
      </c>
      <c r="G75" s="576">
        <v>1</v>
      </c>
      <c r="H75" s="576">
        <v>1</v>
      </c>
      <c r="I75" s="576">
        <v>1</v>
      </c>
      <c r="J75" s="576">
        <v>1</v>
      </c>
      <c r="K75" s="440">
        <v>0</v>
      </c>
      <c r="L75" s="442">
        <v>0</v>
      </c>
      <c r="M75" s="248" t="s">
        <v>32</v>
      </c>
      <c r="N75" s="248" t="s">
        <v>3359</v>
      </c>
    </row>
    <row r="76" spans="1:14">
      <c r="A76" s="439" t="s">
        <v>3174</v>
      </c>
      <c r="B76" s="450"/>
      <c r="C76" s="450"/>
      <c r="D76" s="440">
        <v>0</v>
      </c>
      <c r="E76" s="576">
        <v>1</v>
      </c>
      <c r="F76" s="576">
        <v>1</v>
      </c>
      <c r="G76" s="576">
        <v>1</v>
      </c>
      <c r="H76" s="576">
        <v>1</v>
      </c>
      <c r="I76" s="576">
        <v>1</v>
      </c>
      <c r="J76" s="576">
        <v>1</v>
      </c>
      <c r="K76" s="440">
        <v>0</v>
      </c>
      <c r="L76" s="442">
        <v>0</v>
      </c>
      <c r="M76" s="248" t="s">
        <v>32</v>
      </c>
      <c r="N76" s="248" t="s">
        <v>3359</v>
      </c>
    </row>
    <row r="77" spans="1:14">
      <c r="A77" s="439" t="s">
        <v>3175</v>
      </c>
      <c r="B77" s="450"/>
      <c r="C77" s="450"/>
      <c r="D77" s="440">
        <v>0</v>
      </c>
      <c r="E77" s="576">
        <v>1</v>
      </c>
      <c r="F77" s="576">
        <v>1</v>
      </c>
      <c r="G77" s="576">
        <v>1</v>
      </c>
      <c r="H77" s="576">
        <v>1</v>
      </c>
      <c r="I77" s="576">
        <v>1</v>
      </c>
      <c r="J77" s="576">
        <v>1</v>
      </c>
      <c r="K77" s="440">
        <v>0</v>
      </c>
      <c r="L77" s="442">
        <v>0</v>
      </c>
      <c r="M77" s="248" t="s">
        <v>32</v>
      </c>
      <c r="N77" s="248" t="s">
        <v>3359</v>
      </c>
    </row>
    <row r="78" spans="1:14">
      <c r="A78" s="439" t="s">
        <v>3176</v>
      </c>
      <c r="B78" s="450"/>
      <c r="C78" s="450"/>
      <c r="D78" s="440">
        <v>0</v>
      </c>
      <c r="E78" s="576">
        <v>1</v>
      </c>
      <c r="F78" s="576">
        <v>1</v>
      </c>
      <c r="G78" s="576">
        <v>1</v>
      </c>
      <c r="H78" s="576">
        <v>1</v>
      </c>
      <c r="I78" s="576">
        <v>1</v>
      </c>
      <c r="J78" s="576">
        <v>1</v>
      </c>
      <c r="K78" s="440">
        <v>0</v>
      </c>
      <c r="L78" s="442">
        <v>0</v>
      </c>
      <c r="M78" s="248" t="s">
        <v>32</v>
      </c>
      <c r="N78" s="248" t="s">
        <v>3359</v>
      </c>
    </row>
    <row r="79" spans="1:14" ht="45">
      <c r="A79" s="439"/>
      <c r="B79" s="435" t="s">
        <v>3115</v>
      </c>
      <c r="C79" s="435"/>
      <c r="D79" s="435" t="s">
        <v>3116</v>
      </c>
      <c r="E79" s="436" t="s">
        <v>3117</v>
      </c>
      <c r="F79" s="434" t="s">
        <v>3118</v>
      </c>
      <c r="G79" s="434" t="s">
        <v>3119</v>
      </c>
      <c r="H79" s="434" t="s">
        <v>3120</v>
      </c>
      <c r="I79" s="437" t="s">
        <v>3121</v>
      </c>
      <c r="J79" s="437" t="s">
        <v>3122</v>
      </c>
      <c r="K79" s="436" t="s">
        <v>3123</v>
      </c>
      <c r="L79" s="438" t="s">
        <v>3124</v>
      </c>
      <c r="M79" s="248"/>
      <c r="N79" s="248"/>
    </row>
    <row r="80" spans="1:14">
      <c r="A80" s="439" t="s">
        <v>3177</v>
      </c>
      <c r="B80" s="450"/>
      <c r="C80" s="450"/>
      <c r="D80" s="440">
        <v>0</v>
      </c>
      <c r="E80" s="576">
        <v>1</v>
      </c>
      <c r="F80" s="576">
        <v>1</v>
      </c>
      <c r="G80" s="576">
        <v>1</v>
      </c>
      <c r="H80" s="576">
        <v>1</v>
      </c>
      <c r="I80" s="576">
        <v>1</v>
      </c>
      <c r="J80" s="576">
        <v>1</v>
      </c>
      <c r="K80" s="440">
        <v>0</v>
      </c>
      <c r="L80" s="442">
        <v>0</v>
      </c>
      <c r="M80" s="248" t="s">
        <v>32</v>
      </c>
      <c r="N80" s="248" t="s">
        <v>3359</v>
      </c>
    </row>
    <row r="81" spans="1:14">
      <c r="A81" s="439" t="s">
        <v>3178</v>
      </c>
      <c r="B81" s="450"/>
      <c r="C81" s="450"/>
      <c r="D81" s="440">
        <v>0</v>
      </c>
      <c r="E81" s="576">
        <v>1</v>
      </c>
      <c r="F81" s="576">
        <v>1</v>
      </c>
      <c r="G81" s="576">
        <v>1</v>
      </c>
      <c r="H81" s="576">
        <v>1</v>
      </c>
      <c r="I81" s="576">
        <v>1</v>
      </c>
      <c r="J81" s="576">
        <v>1</v>
      </c>
      <c r="K81" s="440">
        <v>0</v>
      </c>
      <c r="L81" s="442">
        <v>0</v>
      </c>
      <c r="M81" s="248" t="s">
        <v>32</v>
      </c>
      <c r="N81" s="248" t="s">
        <v>3373</v>
      </c>
    </row>
    <row r="82" spans="1:14">
      <c r="A82" s="439" t="s">
        <v>3412</v>
      </c>
      <c r="B82" s="450"/>
      <c r="C82" s="450"/>
      <c r="D82" s="440">
        <v>0</v>
      </c>
      <c r="E82" s="576">
        <v>1</v>
      </c>
      <c r="F82" s="576">
        <v>1</v>
      </c>
      <c r="G82" s="576">
        <v>1</v>
      </c>
      <c r="H82" s="576">
        <v>1</v>
      </c>
      <c r="I82" s="576">
        <v>1</v>
      </c>
      <c r="J82" s="576">
        <v>1</v>
      </c>
      <c r="K82" s="440">
        <v>0</v>
      </c>
      <c r="L82" s="442">
        <v>0</v>
      </c>
      <c r="M82" s="248" t="s">
        <v>32</v>
      </c>
      <c r="N82" s="248" t="s">
        <v>3373</v>
      </c>
    </row>
    <row r="83" spans="1:14" ht="45">
      <c r="A83" s="439"/>
      <c r="B83" s="435" t="s">
        <v>3115</v>
      </c>
      <c r="C83" s="435"/>
      <c r="D83" s="435" t="s">
        <v>3116</v>
      </c>
      <c r="E83" s="436" t="s">
        <v>3117</v>
      </c>
      <c r="F83" s="434" t="s">
        <v>3118</v>
      </c>
      <c r="G83" s="434" t="s">
        <v>3119</v>
      </c>
      <c r="H83" s="434" t="s">
        <v>3120</v>
      </c>
      <c r="I83" s="437" t="s">
        <v>3121</v>
      </c>
      <c r="J83" s="437" t="s">
        <v>3122</v>
      </c>
      <c r="K83" s="436" t="s">
        <v>3123</v>
      </c>
      <c r="L83" s="438" t="s">
        <v>3124</v>
      </c>
      <c r="M83" s="248"/>
      <c r="N83" s="248"/>
    </row>
    <row r="84" spans="1:14">
      <c r="A84" s="439" t="s">
        <v>3179</v>
      </c>
      <c r="B84" s="450"/>
      <c r="C84" s="450"/>
      <c r="D84" s="440">
        <v>0</v>
      </c>
      <c r="E84" s="576">
        <v>1</v>
      </c>
      <c r="F84" s="576">
        <v>1</v>
      </c>
      <c r="G84" s="576">
        <v>1</v>
      </c>
      <c r="H84" s="576">
        <v>1</v>
      </c>
      <c r="I84" s="576">
        <v>1</v>
      </c>
      <c r="J84" s="576">
        <v>1</v>
      </c>
      <c r="K84" s="440">
        <v>0</v>
      </c>
      <c r="L84" s="442">
        <v>0</v>
      </c>
      <c r="M84" s="248" t="s">
        <v>32</v>
      </c>
      <c r="N84" s="248" t="s">
        <v>3359</v>
      </c>
    </row>
    <row r="85" spans="1:14">
      <c r="A85" s="439" t="s">
        <v>3180</v>
      </c>
      <c r="B85" s="450"/>
      <c r="C85" s="450"/>
      <c r="D85" s="440">
        <v>0</v>
      </c>
      <c r="E85" s="440">
        <v>0</v>
      </c>
      <c r="F85" s="440">
        <v>0</v>
      </c>
      <c r="G85" s="440">
        <v>0</v>
      </c>
      <c r="H85" s="440">
        <v>0</v>
      </c>
      <c r="I85" s="441"/>
      <c r="J85" s="441"/>
      <c r="K85" s="576">
        <v>1</v>
      </c>
      <c r="L85" s="442">
        <v>0</v>
      </c>
      <c r="M85" s="248" t="s">
        <v>32</v>
      </c>
      <c r="N85" s="248" t="s">
        <v>3359</v>
      </c>
    </row>
    <row r="86" spans="1:14">
      <c r="A86" s="439" t="s">
        <v>3181</v>
      </c>
      <c r="B86" s="450"/>
      <c r="C86" s="450"/>
      <c r="D86" s="440">
        <v>0</v>
      </c>
      <c r="E86" s="440">
        <v>0</v>
      </c>
      <c r="F86" s="440">
        <v>0</v>
      </c>
      <c r="G86" s="440">
        <v>0</v>
      </c>
      <c r="H86" s="440">
        <v>0</v>
      </c>
      <c r="I86" s="441"/>
      <c r="J86" s="441"/>
      <c r="K86" s="440">
        <v>0</v>
      </c>
      <c r="L86" s="579">
        <v>1</v>
      </c>
      <c r="M86" s="248" t="s">
        <v>32</v>
      </c>
      <c r="N86" s="248" t="s">
        <v>3359</v>
      </c>
    </row>
    <row r="87" spans="1:14">
      <c r="A87" s="439" t="s">
        <v>3182</v>
      </c>
      <c r="B87" s="450"/>
      <c r="C87" s="450"/>
      <c r="D87" s="440">
        <v>0</v>
      </c>
      <c r="E87" s="576">
        <v>1</v>
      </c>
      <c r="F87" s="576">
        <v>1</v>
      </c>
      <c r="G87" s="576">
        <v>1</v>
      </c>
      <c r="H87" s="576">
        <v>1</v>
      </c>
      <c r="I87" s="576">
        <v>1</v>
      </c>
      <c r="J87" s="576">
        <v>1</v>
      </c>
      <c r="K87" s="440">
        <v>0</v>
      </c>
      <c r="L87" s="442">
        <v>0</v>
      </c>
      <c r="M87" s="248" t="s">
        <v>32</v>
      </c>
      <c r="N87" s="248" t="s">
        <v>3359</v>
      </c>
    </row>
    <row r="88" spans="1:14">
      <c r="A88" s="439" t="s">
        <v>3183</v>
      </c>
      <c r="B88" s="450"/>
      <c r="C88" s="450"/>
      <c r="D88" s="440">
        <v>0</v>
      </c>
      <c r="E88" s="440">
        <v>0</v>
      </c>
      <c r="F88" s="440">
        <v>0</v>
      </c>
      <c r="G88" s="440">
        <v>0</v>
      </c>
      <c r="H88" s="440">
        <v>0</v>
      </c>
      <c r="I88" s="441">
        <v>0</v>
      </c>
      <c r="J88" s="441">
        <v>0</v>
      </c>
      <c r="K88" s="576">
        <v>1</v>
      </c>
      <c r="L88" s="442">
        <v>0</v>
      </c>
      <c r="M88" s="248" t="s">
        <v>32</v>
      </c>
      <c r="N88" s="248" t="s">
        <v>3359</v>
      </c>
    </row>
    <row r="89" spans="1:14">
      <c r="A89" s="439" t="s">
        <v>3184</v>
      </c>
      <c r="B89" s="450"/>
      <c r="C89" s="450"/>
      <c r="D89" s="440">
        <v>0</v>
      </c>
      <c r="E89" s="440">
        <v>0</v>
      </c>
      <c r="F89" s="440">
        <v>0</v>
      </c>
      <c r="G89" s="440">
        <v>0</v>
      </c>
      <c r="H89" s="440">
        <v>0</v>
      </c>
      <c r="I89" s="441">
        <v>0</v>
      </c>
      <c r="J89" s="441">
        <v>0</v>
      </c>
      <c r="K89" s="440">
        <v>0</v>
      </c>
      <c r="L89" s="579">
        <v>1</v>
      </c>
      <c r="M89" s="248" t="s">
        <v>32</v>
      </c>
      <c r="N89" s="248" t="s">
        <v>3359</v>
      </c>
    </row>
    <row r="90" spans="1:14">
      <c r="A90" s="439"/>
      <c r="B90" s="450"/>
      <c r="C90" s="450"/>
      <c r="D90" s="440"/>
      <c r="E90" s="440"/>
      <c r="F90" s="440"/>
      <c r="G90" s="440"/>
      <c r="H90" s="440"/>
      <c r="I90" s="441"/>
      <c r="J90" s="441"/>
      <c r="K90" s="440"/>
      <c r="L90" s="442"/>
      <c r="M90" s="248"/>
      <c r="N90" s="248"/>
    </row>
    <row r="91" spans="1:14" ht="45">
      <c r="A91" s="439"/>
      <c r="B91" s="435" t="s">
        <v>3115</v>
      </c>
      <c r="C91" s="435"/>
      <c r="D91" s="435" t="s">
        <v>3116</v>
      </c>
      <c r="E91" s="436" t="s">
        <v>3117</v>
      </c>
      <c r="F91" s="434" t="s">
        <v>3118</v>
      </c>
      <c r="G91" s="434" t="s">
        <v>3119</v>
      </c>
      <c r="H91" s="434" t="s">
        <v>3120</v>
      </c>
      <c r="I91" s="437" t="s">
        <v>3121</v>
      </c>
      <c r="J91" s="437" t="s">
        <v>3122</v>
      </c>
      <c r="K91" s="436" t="s">
        <v>3123</v>
      </c>
      <c r="L91" s="438" t="s">
        <v>3124</v>
      </c>
      <c r="M91" s="248"/>
      <c r="N91" s="248"/>
    </row>
    <row r="92" spans="1:14">
      <c r="A92" s="439" t="s">
        <v>3413</v>
      </c>
      <c r="B92" s="450"/>
      <c r="C92" s="450"/>
      <c r="D92" s="440">
        <v>0</v>
      </c>
      <c r="E92" s="440">
        <v>0</v>
      </c>
      <c r="F92" s="440">
        <v>0</v>
      </c>
      <c r="G92" s="440">
        <v>0</v>
      </c>
      <c r="H92" s="440">
        <v>0</v>
      </c>
      <c r="I92" s="441">
        <v>0</v>
      </c>
      <c r="J92" s="441">
        <v>0</v>
      </c>
      <c r="K92" s="440">
        <v>0</v>
      </c>
      <c r="L92" s="579">
        <v>1</v>
      </c>
      <c r="M92" s="248" t="s">
        <v>32</v>
      </c>
      <c r="N92" s="248" t="s">
        <v>3359</v>
      </c>
    </row>
    <row r="93" spans="1:14">
      <c r="A93" s="439" t="s">
        <v>3414</v>
      </c>
      <c r="B93" s="450"/>
      <c r="C93" s="450"/>
      <c r="D93" s="440">
        <v>0</v>
      </c>
      <c r="E93" s="440">
        <v>0</v>
      </c>
      <c r="F93" s="440">
        <v>0</v>
      </c>
      <c r="G93" s="440">
        <v>0</v>
      </c>
      <c r="H93" s="440">
        <v>0</v>
      </c>
      <c r="I93" s="441">
        <v>0</v>
      </c>
      <c r="J93" s="441">
        <v>0</v>
      </c>
      <c r="K93" s="440">
        <v>0</v>
      </c>
      <c r="L93" s="579">
        <v>1</v>
      </c>
      <c r="M93" s="248" t="s">
        <v>32</v>
      </c>
      <c r="N93" s="248" t="s">
        <v>3359</v>
      </c>
    </row>
    <row r="94" spans="1:14">
      <c r="A94" s="439"/>
      <c r="B94" s="450"/>
      <c r="C94" s="450"/>
      <c r="D94" s="440"/>
      <c r="E94" s="440"/>
      <c r="F94" s="440"/>
      <c r="G94" s="440"/>
      <c r="H94" s="440"/>
      <c r="I94" s="441"/>
      <c r="J94" s="441"/>
      <c r="K94" s="440"/>
      <c r="L94" s="442"/>
      <c r="M94" s="248"/>
      <c r="N94" s="248"/>
    </row>
    <row r="95" spans="1:14">
      <c r="A95" s="439"/>
      <c r="B95" s="450"/>
      <c r="C95" s="450"/>
      <c r="D95" s="440"/>
      <c r="E95" s="440"/>
      <c r="F95" s="440"/>
      <c r="G95" s="440"/>
      <c r="H95" s="440"/>
      <c r="I95" s="441"/>
      <c r="J95" s="441"/>
      <c r="K95" s="440"/>
      <c r="L95" s="442"/>
      <c r="M95" s="248"/>
      <c r="N95" s="248"/>
    </row>
    <row r="96" spans="1:14">
      <c r="A96" s="439" t="s">
        <v>3185</v>
      </c>
      <c r="B96" s="450"/>
      <c r="C96" s="450"/>
      <c r="D96" s="440">
        <v>0</v>
      </c>
      <c r="E96" s="440">
        <v>0</v>
      </c>
      <c r="F96" s="440">
        <v>0</v>
      </c>
      <c r="G96" s="440">
        <v>0</v>
      </c>
      <c r="H96" s="440">
        <v>0</v>
      </c>
      <c r="I96" s="441">
        <v>0</v>
      </c>
      <c r="J96" s="441">
        <v>0</v>
      </c>
      <c r="K96" s="440">
        <v>0</v>
      </c>
      <c r="L96" s="579">
        <v>1</v>
      </c>
      <c r="M96" s="248" t="s">
        <v>32</v>
      </c>
      <c r="N96" s="248" t="s">
        <v>3375</v>
      </c>
    </row>
    <row r="97" spans="1:14">
      <c r="A97" s="444"/>
      <c r="B97" s="452"/>
      <c r="C97" s="452"/>
      <c r="D97" s="444"/>
      <c r="E97" s="444"/>
      <c r="F97" s="444"/>
      <c r="G97" s="444"/>
      <c r="H97" s="444"/>
      <c r="I97" s="445"/>
      <c r="J97" s="445"/>
      <c r="K97" s="444"/>
      <c r="L97" s="446"/>
      <c r="M97" s="450"/>
      <c r="N97" s="450"/>
    </row>
    <row r="98" spans="1:14">
      <c r="A98" s="439"/>
      <c r="B98" s="450"/>
      <c r="C98" s="450"/>
      <c r="D98" s="439"/>
      <c r="E98" s="439"/>
      <c r="F98" s="439"/>
      <c r="G98" s="439"/>
      <c r="H98" s="439"/>
      <c r="I98" s="443"/>
      <c r="J98" s="443"/>
      <c r="K98" s="439"/>
      <c r="L98" s="463" t="s">
        <v>3376</v>
      </c>
      <c r="M98" s="450"/>
      <c r="N98" s="450"/>
    </row>
    <row r="99" spans="1:14">
      <c r="A99" s="439" t="s">
        <v>3186</v>
      </c>
      <c r="B99" s="450"/>
      <c r="C99" s="450"/>
      <c r="D99" s="439"/>
      <c r="E99" s="439"/>
      <c r="F99" s="439"/>
      <c r="G99" s="439"/>
      <c r="H99" s="439"/>
      <c r="I99" s="443"/>
      <c r="J99" s="443"/>
      <c r="K99" s="439"/>
      <c r="L99" s="579">
        <v>1</v>
      </c>
      <c r="M99" s="248" t="s">
        <v>32</v>
      </c>
      <c r="N99" s="248" t="s">
        <v>3377</v>
      </c>
    </row>
    <row r="100" spans="1:14">
      <c r="A100" s="439" t="s">
        <v>3187</v>
      </c>
      <c r="B100" s="450"/>
      <c r="C100" s="450"/>
      <c r="D100" s="439"/>
      <c r="E100" s="439"/>
      <c r="F100" s="439"/>
      <c r="G100" s="439"/>
      <c r="H100" s="439"/>
      <c r="I100" s="443"/>
      <c r="J100" s="443"/>
      <c r="K100" s="439"/>
      <c r="L100" s="579">
        <v>1</v>
      </c>
      <c r="M100" s="248" t="s">
        <v>32</v>
      </c>
      <c r="N100" s="248" t="s">
        <v>3377</v>
      </c>
    </row>
    <row r="101" spans="1:14">
      <c r="A101" s="439" t="s">
        <v>3188</v>
      </c>
      <c r="B101" s="450"/>
      <c r="C101" s="450"/>
      <c r="D101" s="439"/>
      <c r="E101" s="439"/>
      <c r="F101" s="439"/>
      <c r="G101" s="439"/>
      <c r="H101" s="439"/>
      <c r="I101" s="443"/>
      <c r="J101" s="443"/>
      <c r="K101" s="439"/>
      <c r="L101" s="579">
        <v>1</v>
      </c>
      <c r="M101" s="248" t="s">
        <v>32</v>
      </c>
      <c r="N101" s="248" t="s">
        <v>3377</v>
      </c>
    </row>
    <row r="102" spans="1:14">
      <c r="A102" s="439" t="s">
        <v>3189</v>
      </c>
      <c r="B102" s="450"/>
      <c r="C102" s="450"/>
      <c r="D102" s="439"/>
      <c r="E102" s="439"/>
      <c r="F102" s="439"/>
      <c r="G102" s="439"/>
      <c r="H102" s="439"/>
      <c r="I102" s="443"/>
      <c r="J102" s="443"/>
      <c r="K102" s="439"/>
      <c r="L102" s="579">
        <v>1</v>
      </c>
      <c r="M102" s="248" t="s">
        <v>32</v>
      </c>
      <c r="N102" s="248" t="s">
        <v>3377</v>
      </c>
    </row>
    <row r="103" spans="1:14">
      <c r="A103" s="444"/>
      <c r="B103" s="452"/>
      <c r="C103" s="452"/>
      <c r="D103" s="444"/>
      <c r="E103" s="444"/>
      <c r="F103" s="444"/>
      <c r="G103" s="444"/>
      <c r="H103" s="444"/>
      <c r="I103" s="445"/>
      <c r="J103" s="445"/>
      <c r="K103" s="444"/>
      <c r="L103" s="446"/>
      <c r="M103" s="450"/>
      <c r="N103" s="450"/>
    </row>
    <row r="104" spans="1:14">
      <c r="A104" s="439" t="s">
        <v>3106</v>
      </c>
      <c r="B104" s="450"/>
      <c r="C104" s="450"/>
      <c r="D104" s="439"/>
      <c r="E104" s="439"/>
      <c r="F104" s="439"/>
      <c r="G104" s="439"/>
      <c r="H104" s="439"/>
      <c r="I104" s="443"/>
      <c r="J104" s="443"/>
      <c r="K104" s="439"/>
      <c r="L104" s="579">
        <v>1</v>
      </c>
      <c r="M104" s="248" t="s">
        <v>32</v>
      </c>
      <c r="N104" s="248" t="s">
        <v>3359</v>
      </c>
    </row>
    <row r="105" spans="1:14">
      <c r="A105" s="439" t="s">
        <v>3107</v>
      </c>
      <c r="B105" s="450"/>
      <c r="C105" s="450"/>
      <c r="D105" s="439"/>
      <c r="E105" s="439"/>
      <c r="F105" s="439"/>
      <c r="G105" s="439"/>
      <c r="H105" s="439"/>
      <c r="I105" s="443"/>
      <c r="J105" s="443"/>
      <c r="K105" s="439"/>
      <c r="L105" s="579">
        <v>1</v>
      </c>
      <c r="M105" s="248" t="s">
        <v>32</v>
      </c>
      <c r="N105" s="248" t="s">
        <v>3359</v>
      </c>
    </row>
    <row r="106" spans="1:14">
      <c r="A106" s="439" t="s">
        <v>3108</v>
      </c>
      <c r="B106" s="450"/>
      <c r="C106" s="450"/>
      <c r="D106" s="439"/>
      <c r="E106" s="439"/>
      <c r="F106" s="439"/>
      <c r="G106" s="439"/>
      <c r="H106" s="439"/>
      <c r="I106" s="443"/>
      <c r="J106" s="443"/>
      <c r="K106" s="439"/>
      <c r="L106" s="579">
        <v>1</v>
      </c>
      <c r="M106" s="248" t="s">
        <v>32</v>
      </c>
      <c r="N106" s="248" t="s">
        <v>3359</v>
      </c>
    </row>
    <row r="107" spans="1:14">
      <c r="A107" s="439" t="s">
        <v>3109</v>
      </c>
      <c r="B107" s="450"/>
      <c r="C107" s="450"/>
      <c r="D107" s="439"/>
      <c r="E107" s="439"/>
      <c r="F107" s="439"/>
      <c r="G107" s="439"/>
      <c r="H107" s="439"/>
      <c r="I107" s="443"/>
      <c r="J107" s="443"/>
      <c r="K107" s="439"/>
      <c r="L107" s="579">
        <v>1</v>
      </c>
      <c r="M107" s="248" t="s">
        <v>32</v>
      </c>
      <c r="N107" s="248" t="s">
        <v>3359</v>
      </c>
    </row>
    <row r="108" spans="1:14">
      <c r="A108" s="439" t="s">
        <v>3110</v>
      </c>
      <c r="B108" s="450"/>
      <c r="C108" s="450"/>
      <c r="D108" s="439"/>
      <c r="E108" s="439"/>
      <c r="F108" s="439"/>
      <c r="G108" s="439"/>
      <c r="H108" s="439"/>
      <c r="I108" s="443"/>
      <c r="J108" s="443"/>
      <c r="K108" s="439"/>
      <c r="L108" s="579">
        <v>1</v>
      </c>
      <c r="M108" s="248" t="s">
        <v>32</v>
      </c>
      <c r="N108" s="248" t="s">
        <v>3359</v>
      </c>
    </row>
    <row r="109" spans="1:14">
      <c r="A109" s="439" t="s">
        <v>3111</v>
      </c>
      <c r="B109" s="450"/>
      <c r="C109" s="450"/>
      <c r="D109" s="439"/>
      <c r="E109" s="439"/>
      <c r="F109" s="439"/>
      <c r="G109" s="439"/>
      <c r="H109" s="439"/>
      <c r="I109" s="443"/>
      <c r="J109" s="443"/>
      <c r="K109" s="439"/>
      <c r="L109" s="579">
        <v>1</v>
      </c>
      <c r="M109" s="248" t="s">
        <v>32</v>
      </c>
      <c r="N109" s="248" t="s">
        <v>3359</v>
      </c>
    </row>
    <row r="110" spans="1:14">
      <c r="A110" s="439" t="s">
        <v>3112</v>
      </c>
      <c r="B110" s="450"/>
      <c r="C110" s="450"/>
      <c r="D110" s="439"/>
      <c r="E110" s="439"/>
      <c r="F110" s="439"/>
      <c r="G110" s="439"/>
      <c r="H110" s="439"/>
      <c r="I110" s="443"/>
      <c r="J110" s="443"/>
      <c r="K110" s="439"/>
      <c r="L110" s="579">
        <v>1</v>
      </c>
      <c r="M110" s="248" t="s">
        <v>32</v>
      </c>
      <c r="N110" s="248" t="s">
        <v>3359</v>
      </c>
    </row>
    <row r="111" spans="1:14">
      <c r="A111" s="439" t="s">
        <v>3113</v>
      </c>
      <c r="B111" s="450"/>
      <c r="C111" s="450"/>
      <c r="D111" s="248"/>
      <c r="E111" s="248"/>
      <c r="F111" s="248"/>
      <c r="G111" s="248"/>
      <c r="H111" s="248"/>
      <c r="I111" s="441"/>
      <c r="J111" s="441"/>
      <c r="K111" s="248"/>
      <c r="L111" s="579">
        <v>1</v>
      </c>
      <c r="M111" s="248" t="s">
        <v>32</v>
      </c>
      <c r="N111" s="248" t="s">
        <v>3359</v>
      </c>
    </row>
    <row r="112" spans="1:14">
      <c r="A112" s="433"/>
      <c r="B112" s="433"/>
      <c r="C112" s="433"/>
      <c r="D112" s="433"/>
      <c r="E112" s="433"/>
      <c r="F112" s="433"/>
      <c r="G112" s="433"/>
      <c r="H112" s="433"/>
      <c r="I112" s="464"/>
      <c r="J112" s="464"/>
      <c r="K112" s="433"/>
      <c r="L112" s="465"/>
      <c r="M112" s="466"/>
      <c r="N112" s="466"/>
    </row>
    <row r="113" spans="1:14" ht="23.25">
      <c r="A113" s="450"/>
      <c r="B113" s="450"/>
      <c r="C113" s="450"/>
      <c r="D113" s="248"/>
      <c r="E113" s="248"/>
      <c r="F113" s="248"/>
      <c r="G113" s="248"/>
      <c r="H113" s="248"/>
      <c r="I113" s="467" t="s">
        <v>3190</v>
      </c>
      <c r="J113" s="467" t="s">
        <v>3191</v>
      </c>
      <c r="K113" s="248"/>
      <c r="L113" s="439"/>
      <c r="M113" s="248"/>
      <c r="N113" s="248"/>
    </row>
    <row r="114" spans="1:14">
      <c r="A114" s="439" t="s">
        <v>3192</v>
      </c>
      <c r="B114" s="450"/>
      <c r="C114" s="450"/>
      <c r="D114" s="248"/>
      <c r="E114" s="440"/>
      <c r="F114" s="440"/>
      <c r="G114" s="440"/>
      <c r="H114" s="440"/>
      <c r="I114" s="579">
        <v>1</v>
      </c>
      <c r="J114" s="579">
        <v>1</v>
      </c>
      <c r="K114" s="248"/>
      <c r="L114" s="439"/>
      <c r="M114" s="248" t="s">
        <v>32</v>
      </c>
      <c r="N114" s="248" t="s">
        <v>3378</v>
      </c>
    </row>
    <row r="115" spans="1:14">
      <c r="A115" s="450"/>
      <c r="B115" s="450"/>
      <c r="C115" s="450"/>
      <c r="D115" s="248"/>
      <c r="E115" s="248" t="s">
        <v>3379</v>
      </c>
      <c r="F115" s="248" t="s">
        <v>3380</v>
      </c>
      <c r="G115" s="248" t="s">
        <v>3381</v>
      </c>
      <c r="H115" s="248"/>
      <c r="I115" s="441"/>
      <c r="J115" s="441"/>
      <c r="K115" s="248"/>
      <c r="L115" s="248"/>
      <c r="M115" s="248"/>
      <c r="N115" s="248"/>
    </row>
    <row r="116" spans="1:14">
      <c r="A116" s="439" t="s">
        <v>3382</v>
      </c>
      <c r="B116" s="450"/>
      <c r="C116" s="450"/>
      <c r="D116" s="248"/>
      <c r="E116" s="441">
        <v>0</v>
      </c>
      <c r="F116" s="441">
        <v>0</v>
      </c>
      <c r="G116" s="579">
        <v>1</v>
      </c>
      <c r="H116" s="248"/>
      <c r="I116" s="441"/>
      <c r="J116" s="441"/>
      <c r="K116" s="248"/>
      <c r="L116" s="248"/>
      <c r="M116" s="248" t="s">
        <v>25</v>
      </c>
      <c r="N116" s="248" t="s">
        <v>3359</v>
      </c>
    </row>
    <row r="117" spans="1:14">
      <c r="A117" s="439" t="s">
        <v>3383</v>
      </c>
      <c r="B117" s="450"/>
      <c r="C117" s="450"/>
      <c r="D117" s="248"/>
      <c r="E117" s="579">
        <v>1</v>
      </c>
      <c r="F117" s="441">
        <v>0</v>
      </c>
      <c r="G117" s="579">
        <v>1</v>
      </c>
      <c r="H117" s="248"/>
      <c r="I117" s="441"/>
      <c r="J117" s="441"/>
      <c r="K117" s="248"/>
      <c r="L117" s="248"/>
      <c r="M117" s="248" t="s">
        <v>25</v>
      </c>
      <c r="N117" s="248" t="s">
        <v>3359</v>
      </c>
    </row>
    <row r="118" spans="1:14">
      <c r="A118" s="439" t="s">
        <v>3384</v>
      </c>
      <c r="B118" s="450"/>
      <c r="C118" s="450"/>
      <c r="D118" s="248"/>
      <c r="E118" s="579">
        <v>1</v>
      </c>
      <c r="F118" s="579">
        <v>1</v>
      </c>
      <c r="G118" s="579">
        <v>1</v>
      </c>
      <c r="H118" s="248"/>
      <c r="I118" s="441"/>
      <c r="J118" s="441"/>
      <c r="K118" s="248"/>
      <c r="L118" s="248"/>
      <c r="M118" s="248" t="s">
        <v>25</v>
      </c>
      <c r="N118" s="248" t="s">
        <v>3359</v>
      </c>
    </row>
    <row r="119" spans="1:14">
      <c r="A119" s="439" t="s">
        <v>3385</v>
      </c>
      <c r="B119" s="450"/>
      <c r="C119" s="450"/>
      <c r="D119" s="248"/>
      <c r="E119" s="441">
        <v>0</v>
      </c>
      <c r="F119" s="441">
        <v>0</v>
      </c>
      <c r="G119" s="441">
        <v>0</v>
      </c>
      <c r="H119" s="248"/>
      <c r="I119" s="441"/>
      <c r="J119" s="441"/>
      <c r="K119" s="248"/>
      <c r="L119" s="248"/>
      <c r="M119" s="248" t="s">
        <v>25</v>
      </c>
      <c r="N119" s="248" t="s">
        <v>3359</v>
      </c>
    </row>
    <row r="120" spans="1:14">
      <c r="A120" s="468"/>
      <c r="B120" s="450"/>
      <c r="C120" s="450"/>
      <c r="D120" s="248"/>
      <c r="E120" s="441">
        <v>0</v>
      </c>
      <c r="F120" s="441">
        <v>0</v>
      </c>
      <c r="G120" s="441">
        <v>0</v>
      </c>
      <c r="H120" s="248"/>
      <c r="I120" s="441"/>
      <c r="J120" s="441"/>
      <c r="K120" s="248"/>
      <c r="L120" s="248"/>
      <c r="M120" s="248"/>
      <c r="N120" s="248"/>
    </row>
    <row r="121" spans="1:14">
      <c r="A121" s="439" t="s">
        <v>3386</v>
      </c>
      <c r="B121" s="450"/>
      <c r="C121" s="450"/>
      <c r="D121" s="248"/>
      <c r="E121" s="441">
        <v>0</v>
      </c>
      <c r="F121" s="441">
        <v>0</v>
      </c>
      <c r="G121" s="579">
        <v>1</v>
      </c>
      <c r="H121" s="248"/>
      <c r="I121" s="441"/>
      <c r="J121" s="441"/>
      <c r="K121" s="248"/>
      <c r="L121" s="248"/>
      <c r="M121" s="248" t="s">
        <v>25</v>
      </c>
      <c r="N121" s="248" t="s">
        <v>3359</v>
      </c>
    </row>
    <row r="122" spans="1:14">
      <c r="A122" s="439" t="s">
        <v>3387</v>
      </c>
      <c r="B122" s="450"/>
      <c r="C122" s="450"/>
      <c r="D122" s="248"/>
      <c r="E122" s="579">
        <v>1</v>
      </c>
      <c r="F122" s="579">
        <v>1</v>
      </c>
      <c r="G122" s="579">
        <v>1</v>
      </c>
      <c r="H122" s="248"/>
      <c r="I122" s="441"/>
      <c r="J122" s="441"/>
      <c r="K122" s="248"/>
      <c r="L122" s="248"/>
      <c r="M122" s="248" t="s">
        <v>25</v>
      </c>
      <c r="N122" s="248" t="s">
        <v>3359</v>
      </c>
    </row>
    <row r="123" spans="1:14">
      <c r="A123" s="439" t="s">
        <v>3388</v>
      </c>
      <c r="B123" s="450"/>
      <c r="C123" s="450"/>
      <c r="D123" s="248"/>
      <c r="E123" s="579">
        <v>1</v>
      </c>
      <c r="F123" s="579">
        <v>1</v>
      </c>
      <c r="G123" s="579">
        <v>1</v>
      </c>
      <c r="H123" s="248"/>
      <c r="I123" s="441"/>
      <c r="J123" s="441"/>
      <c r="K123" s="248"/>
      <c r="L123" s="248"/>
      <c r="M123" s="248" t="s">
        <v>25</v>
      </c>
      <c r="N123" s="248" t="s">
        <v>3359</v>
      </c>
    </row>
    <row r="124" spans="1:14">
      <c r="A124" s="151"/>
      <c r="B124" s="151"/>
      <c r="C124" s="151"/>
      <c r="I124" s="469"/>
      <c r="J124" s="469"/>
    </row>
    <row r="125" spans="1:14">
      <c r="A125" s="439" t="s">
        <v>3415</v>
      </c>
      <c r="B125" s="450"/>
      <c r="C125" s="450"/>
      <c r="D125" s="581">
        <v>1</v>
      </c>
      <c r="E125" s="441"/>
      <c r="F125" s="441"/>
      <c r="G125" s="441"/>
      <c r="H125" s="248"/>
      <c r="I125" s="441"/>
      <c r="J125" s="441"/>
      <c r="K125" s="581">
        <v>1</v>
      </c>
      <c r="L125" s="248"/>
      <c r="M125" s="248" t="s">
        <v>25</v>
      </c>
      <c r="N125" s="248" t="s">
        <v>3374</v>
      </c>
    </row>
    <row r="126" spans="1:14">
      <c r="A126" s="439" t="s">
        <v>3416</v>
      </c>
      <c r="B126" s="450"/>
      <c r="C126" s="450"/>
      <c r="D126" s="581">
        <v>1</v>
      </c>
      <c r="E126" s="441"/>
      <c r="F126" s="441"/>
      <c r="G126" s="441"/>
      <c r="H126" s="248"/>
      <c r="I126" s="441"/>
      <c r="J126" s="441"/>
      <c r="K126" s="581">
        <v>1</v>
      </c>
      <c r="L126" s="248"/>
      <c r="M126" s="248" t="s">
        <v>25</v>
      </c>
      <c r="N126" s="248" t="s">
        <v>3374</v>
      </c>
    </row>
    <row r="127" spans="1:14">
      <c r="A127" s="439" t="s">
        <v>3417</v>
      </c>
      <c r="B127" s="450"/>
      <c r="C127" s="450"/>
      <c r="D127" s="581">
        <v>1</v>
      </c>
      <c r="E127" s="441"/>
      <c r="F127" s="441"/>
      <c r="G127" s="441"/>
      <c r="H127" s="248"/>
      <c r="I127" s="441"/>
      <c r="J127" s="441"/>
      <c r="K127" s="581">
        <v>1</v>
      </c>
      <c r="L127" s="248"/>
      <c r="M127" s="248" t="s">
        <v>25</v>
      </c>
      <c r="N127" s="248" t="s">
        <v>3374</v>
      </c>
    </row>
    <row r="128" spans="1:14">
      <c r="A128" s="151"/>
      <c r="B128" s="151"/>
      <c r="C128" s="151"/>
      <c r="I128" s="469"/>
      <c r="J128" s="469"/>
    </row>
    <row r="129" spans="1:14">
      <c r="A129" s="439" t="s">
        <v>3418</v>
      </c>
      <c r="B129" s="580">
        <v>0.01</v>
      </c>
      <c r="C129" s="151"/>
      <c r="D129" s="248"/>
      <c r="E129" s="441"/>
      <c r="F129" s="441"/>
      <c r="G129" s="441"/>
      <c r="H129" s="248"/>
      <c r="I129" s="441"/>
      <c r="J129" s="441"/>
      <c r="K129" s="248"/>
      <c r="L129" s="248"/>
      <c r="M129" s="248" t="s">
        <v>32</v>
      </c>
      <c r="N129" s="248" t="s">
        <v>3367</v>
      </c>
    </row>
    <row r="130" spans="1:14">
      <c r="A130" s="439" t="s">
        <v>3419</v>
      </c>
      <c r="B130" s="449">
        <v>0</v>
      </c>
      <c r="C130" s="151"/>
      <c r="D130" s="248"/>
      <c r="E130" s="441"/>
      <c r="F130" s="441"/>
      <c r="G130" s="441"/>
      <c r="H130" s="248"/>
      <c r="I130" s="441"/>
      <c r="J130" s="441"/>
      <c r="K130" s="248"/>
      <c r="L130" s="248"/>
      <c r="M130" s="248" t="s">
        <v>32</v>
      </c>
      <c r="N130" s="248" t="s">
        <v>3367</v>
      </c>
    </row>
    <row r="131" spans="1:14">
      <c r="A131" s="439" t="s">
        <v>3420</v>
      </c>
      <c r="B131" s="449">
        <v>0</v>
      </c>
      <c r="C131" s="151"/>
      <c r="D131" s="248"/>
      <c r="E131" s="441"/>
      <c r="F131" s="441"/>
      <c r="G131" s="441"/>
      <c r="H131" s="248"/>
      <c r="I131" s="441"/>
      <c r="J131" s="441"/>
      <c r="K131" s="248"/>
      <c r="L131" s="248"/>
      <c r="M131" s="248" t="s">
        <v>32</v>
      </c>
      <c r="N131" s="248" t="s">
        <v>3367</v>
      </c>
    </row>
    <row r="132" spans="1:14">
      <c r="A132" s="439" t="s">
        <v>3421</v>
      </c>
      <c r="B132" s="449">
        <v>0</v>
      </c>
      <c r="C132" s="151"/>
      <c r="D132" s="248"/>
      <c r="E132" s="441"/>
      <c r="F132" s="441"/>
      <c r="G132" s="441"/>
      <c r="H132" s="248"/>
      <c r="I132" s="441"/>
      <c r="J132" s="441"/>
      <c r="K132" s="248"/>
      <c r="L132" s="248"/>
      <c r="M132" s="248" t="s">
        <v>32</v>
      </c>
      <c r="N132" s="248" t="s">
        <v>3422</v>
      </c>
    </row>
    <row r="133" spans="1:14" ht="56.25">
      <c r="A133" s="151"/>
      <c r="B133" s="448" t="s">
        <v>3115</v>
      </c>
      <c r="C133" s="448"/>
      <c r="D133" s="448" t="s">
        <v>3116</v>
      </c>
      <c r="E133" s="448" t="s">
        <v>3117</v>
      </c>
      <c r="F133" s="448" t="s">
        <v>3118</v>
      </c>
      <c r="G133" s="448" t="s">
        <v>3119</v>
      </c>
      <c r="H133" s="448" t="s">
        <v>3120</v>
      </c>
      <c r="I133" s="448" t="s">
        <v>3426</v>
      </c>
      <c r="J133" s="448" t="s">
        <v>3427</v>
      </c>
      <c r="K133" s="448" t="s">
        <v>3123</v>
      </c>
      <c r="L133" s="448" t="s">
        <v>3124</v>
      </c>
    </row>
    <row r="134" spans="1:14">
      <c r="A134" s="439" t="s">
        <v>3432</v>
      </c>
      <c r="B134" s="439"/>
      <c r="C134" s="439"/>
      <c r="D134" s="440">
        <v>0</v>
      </c>
      <c r="E134" s="576">
        <v>1</v>
      </c>
      <c r="F134" s="576">
        <v>1</v>
      </c>
      <c r="G134" s="576">
        <v>1</v>
      </c>
      <c r="H134" s="576">
        <v>1</v>
      </c>
      <c r="I134" s="576">
        <v>1</v>
      </c>
      <c r="J134" s="576">
        <v>1</v>
      </c>
      <c r="K134" s="576">
        <v>1</v>
      </c>
      <c r="L134" s="576">
        <v>1</v>
      </c>
      <c r="M134" s="248" t="s">
        <v>32</v>
      </c>
      <c r="N134" s="248" t="s">
        <v>3359</v>
      </c>
    </row>
    <row r="135" spans="1:14">
      <c r="A135" s="439" t="s">
        <v>3433</v>
      </c>
      <c r="B135" s="439"/>
      <c r="C135" s="439"/>
      <c r="D135" s="440">
        <v>0</v>
      </c>
      <c r="E135" s="576">
        <v>1</v>
      </c>
      <c r="F135" s="576">
        <v>1</v>
      </c>
      <c r="G135" s="576">
        <v>1</v>
      </c>
      <c r="H135" s="576">
        <v>1</v>
      </c>
      <c r="I135" s="576">
        <v>1</v>
      </c>
      <c r="J135" s="576">
        <v>1</v>
      </c>
      <c r="K135" s="576">
        <v>1</v>
      </c>
      <c r="L135" s="576">
        <v>1</v>
      </c>
      <c r="M135" s="248" t="s">
        <v>32</v>
      </c>
      <c r="N135" s="248" t="s">
        <v>3359</v>
      </c>
    </row>
    <row r="136" spans="1:14">
      <c r="A136" s="151"/>
      <c r="B136" s="151"/>
      <c r="C136" s="151"/>
      <c r="I136" s="469"/>
      <c r="J136" s="469"/>
      <c r="N136" s="248"/>
    </row>
    <row r="137" spans="1:14">
      <c r="A137" s="439" t="s">
        <v>3434</v>
      </c>
      <c r="B137" s="450"/>
      <c r="C137" s="450"/>
      <c r="D137" s="440">
        <v>0</v>
      </c>
      <c r="E137" s="576">
        <v>1</v>
      </c>
      <c r="F137" s="576">
        <v>1</v>
      </c>
      <c r="G137" s="576">
        <v>1</v>
      </c>
      <c r="H137" s="576">
        <v>1</v>
      </c>
      <c r="I137" s="576">
        <v>1</v>
      </c>
      <c r="J137" s="576">
        <v>1</v>
      </c>
      <c r="K137" s="440">
        <v>0</v>
      </c>
      <c r="L137" s="442">
        <v>0</v>
      </c>
      <c r="M137" s="248" t="s">
        <v>32</v>
      </c>
      <c r="N137" s="248" t="s">
        <v>3359</v>
      </c>
    </row>
    <row r="138" spans="1:14">
      <c r="A138" s="439" t="s">
        <v>3435</v>
      </c>
      <c r="B138" s="450"/>
      <c r="C138" s="450"/>
      <c r="D138" s="440">
        <v>0</v>
      </c>
      <c r="E138" s="576">
        <v>1</v>
      </c>
      <c r="F138" s="576">
        <v>1</v>
      </c>
      <c r="G138" s="576">
        <v>1</v>
      </c>
      <c r="H138" s="576">
        <v>1</v>
      </c>
      <c r="I138" s="576">
        <v>1</v>
      </c>
      <c r="J138" s="576">
        <v>1</v>
      </c>
      <c r="K138" s="440">
        <v>0</v>
      </c>
      <c r="L138" s="442">
        <v>0</v>
      </c>
      <c r="M138" s="248" t="s">
        <v>32</v>
      </c>
      <c r="N138" s="248" t="s">
        <v>3359</v>
      </c>
    </row>
  </sheetData>
  <conditionalFormatting sqref="A110">
    <cfRule type="expression" dxfId="49" priority="1">
      <formula>$I110="ja"</formula>
    </cfRule>
  </conditionalFormatting>
  <conditionalFormatting sqref="A111">
    <cfRule type="expression" dxfId="48" priority="16">
      <formula>$I111="ja"</formula>
    </cfRule>
  </conditionalFormatting>
  <conditionalFormatting sqref="A111">
    <cfRule type="expression" dxfId="47" priority="15">
      <formula>$I111="ja"</formula>
    </cfRule>
  </conditionalFormatting>
  <conditionalFormatting sqref="A104">
    <cfRule type="expression" dxfId="46" priority="14">
      <formula>$I104="ja"</formula>
    </cfRule>
  </conditionalFormatting>
  <conditionalFormatting sqref="A104">
    <cfRule type="expression" dxfId="45" priority="13">
      <formula>$I104="ja"</formula>
    </cfRule>
  </conditionalFormatting>
  <conditionalFormatting sqref="A105">
    <cfRule type="expression" dxfId="44" priority="12">
      <formula>$I105="ja"</formula>
    </cfRule>
  </conditionalFormatting>
  <conditionalFormatting sqref="A105">
    <cfRule type="expression" dxfId="43" priority="11">
      <formula>$I105="ja"</formula>
    </cfRule>
  </conditionalFormatting>
  <conditionalFormatting sqref="A106">
    <cfRule type="expression" dxfId="42" priority="10">
      <formula>$I106="ja"</formula>
    </cfRule>
  </conditionalFormatting>
  <conditionalFormatting sqref="A106">
    <cfRule type="expression" dxfId="41" priority="9">
      <formula>$I106="ja"</formula>
    </cfRule>
  </conditionalFormatting>
  <conditionalFormatting sqref="A107">
    <cfRule type="expression" dxfId="40" priority="8">
      <formula>$I107="ja"</formula>
    </cfRule>
  </conditionalFormatting>
  <conditionalFormatting sqref="A107">
    <cfRule type="expression" dxfId="39" priority="7">
      <formula>$I107="ja"</formula>
    </cfRule>
  </conditionalFormatting>
  <conditionalFormatting sqref="A108">
    <cfRule type="expression" dxfId="38" priority="6">
      <formula>$I108="ja"</formula>
    </cfRule>
  </conditionalFormatting>
  <conditionalFormatting sqref="A108">
    <cfRule type="expression" dxfId="37" priority="5">
      <formula>$I108="ja"</formula>
    </cfRule>
  </conditionalFormatting>
  <conditionalFormatting sqref="A109">
    <cfRule type="expression" dxfId="36" priority="4">
      <formula>$I109="ja"</formula>
    </cfRule>
  </conditionalFormatting>
  <conditionalFormatting sqref="A109">
    <cfRule type="expression" dxfId="35" priority="3">
      <formula>$I109="ja"</formula>
    </cfRule>
  </conditionalFormatting>
  <conditionalFormatting sqref="A110">
    <cfRule type="expression" dxfId="34" priority="2">
      <formula>$I110="ja"</formula>
    </cfRule>
  </conditionalFormatting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J24"/>
  <sheetViews>
    <sheetView zoomScale="70" zoomScaleNormal="70" workbookViewId="0">
      <selection activeCell="B9" sqref="B9"/>
    </sheetView>
  </sheetViews>
  <sheetFormatPr defaultColWidth="9.140625" defaultRowHeight="15.75"/>
  <cols>
    <col min="1" max="1" width="9.140625" style="252"/>
    <col min="2" max="2" width="36.5703125" style="252" bestFit="1" customWidth="1"/>
    <col min="3" max="3" width="17.7109375" style="252" bestFit="1" customWidth="1"/>
    <col min="4" max="4" width="12.28515625" style="252" customWidth="1"/>
    <col min="5" max="5" width="7.42578125" style="252" customWidth="1"/>
    <col min="6" max="6" width="6.42578125" style="252" customWidth="1"/>
    <col min="7" max="7" width="68.7109375" style="252" bestFit="1" customWidth="1"/>
    <col min="8" max="8" width="58.28515625" style="252" bestFit="1" customWidth="1"/>
    <col min="9" max="9" width="18.140625" style="252" bestFit="1" customWidth="1"/>
    <col min="10" max="10" width="13.85546875" style="252" bestFit="1" customWidth="1"/>
    <col min="11" max="16384" width="9.140625" style="252"/>
  </cols>
  <sheetData>
    <row r="1" spans="1:10">
      <c r="A1" s="311" t="s">
        <v>3402</v>
      </c>
    </row>
    <row r="3" spans="1:10">
      <c r="A3" s="311" t="s">
        <v>3299</v>
      </c>
      <c r="I3" s="416" t="s">
        <v>3356</v>
      </c>
      <c r="J3" s="417"/>
    </row>
    <row r="4" spans="1:10">
      <c r="B4" s="311" t="s">
        <v>3309</v>
      </c>
      <c r="C4" s="311" t="s">
        <v>3308</v>
      </c>
      <c r="D4" s="416" t="s">
        <v>3303</v>
      </c>
      <c r="G4" s="416" t="s">
        <v>3300</v>
      </c>
      <c r="H4" s="416" t="s">
        <v>3301</v>
      </c>
      <c r="I4" s="416" t="s">
        <v>3424</v>
      </c>
      <c r="J4" s="416" t="s">
        <v>3425</v>
      </c>
    </row>
    <row r="5" spans="1:10">
      <c r="B5" s="252" t="s">
        <v>3132</v>
      </c>
      <c r="C5" s="252" t="s">
        <v>3331</v>
      </c>
      <c r="D5" s="417" t="s">
        <v>3391</v>
      </c>
      <c r="G5" s="417" t="str">
        <f t="shared" ref="G5:G16" si="0">B5&amp;D5&amp;C5</f>
        <v>EOK tot 2,3 Mb met één koperpaaradvancedNLS type 1/2/3</v>
      </c>
      <c r="H5" s="417"/>
      <c r="I5" s="582">
        <f>INDEX('inkoop EoK'!V:V,MATCH($G5,'inkoop EoK'!$U:$U,0))</f>
        <v>14.7296035</v>
      </c>
      <c r="J5" s="582">
        <f>INDEX('inkoop EoK'!W:W,MATCH($G5,'inkoop EoK'!$U:$U,0))</f>
        <v>78.97</v>
      </c>
    </row>
    <row r="6" spans="1:10">
      <c r="B6" s="252" t="s">
        <v>3132</v>
      </c>
      <c r="C6" s="252" t="s">
        <v>3279</v>
      </c>
      <c r="D6" s="417" t="s">
        <v>3391</v>
      </c>
      <c r="G6" s="417" t="str">
        <f t="shared" si="0"/>
        <v>EOK tot 2,3 Mb met één koperpaaradvancedtelco-telco</v>
      </c>
      <c r="H6" s="417"/>
      <c r="I6" s="582">
        <f>INDEX('inkoop EoK'!V:V,MATCH($G6,'inkoop EoK'!$U:$U,0))</f>
        <v>14.7296035</v>
      </c>
      <c r="J6" s="582">
        <f>INDEX('inkoop EoK'!W:W,MATCH($G6,'inkoop EoK'!$U:$U,0))</f>
        <v>21.31</v>
      </c>
    </row>
    <row r="7" spans="1:10">
      <c r="B7" s="252" t="s">
        <v>3134</v>
      </c>
      <c r="C7" s="252" t="s">
        <v>3331</v>
      </c>
      <c r="D7" s="417" t="s">
        <v>3391</v>
      </c>
      <c r="G7" s="417" t="str">
        <f t="shared" si="0"/>
        <v>EOK tot 5 MbadvancedNLS type 1/2/3</v>
      </c>
      <c r="H7" s="417" t="s">
        <v>3393</v>
      </c>
      <c r="I7" s="582">
        <f>INDEX('inkoop EoK'!V:V,MATCH($G7,'inkoop EoK'!$U:$U,0))</f>
        <v>14.7296035</v>
      </c>
      <c r="J7" s="582">
        <f>INDEX('inkoop EoK'!W:W,MATCH($G7,'inkoop EoK'!$U:$U,0))</f>
        <v>78.97</v>
      </c>
    </row>
    <row r="8" spans="1:10">
      <c r="B8" s="252" t="s">
        <v>3135</v>
      </c>
      <c r="C8" s="252" t="s">
        <v>3331</v>
      </c>
      <c r="D8" s="417" t="s">
        <v>3391</v>
      </c>
      <c r="G8" s="417" t="str">
        <f t="shared" si="0"/>
        <v>EOK tot 10 MbadvancedNLS type 1/2/3</v>
      </c>
      <c r="H8" s="417" t="s">
        <v>3394</v>
      </c>
      <c r="I8" s="582">
        <f>INDEX('inkoop EoK'!V:V,MATCH($G8,'inkoop EoK'!$U:$U,0))</f>
        <v>14.7296035</v>
      </c>
      <c r="J8" s="582">
        <f>INDEX('inkoop EoK'!W:W,MATCH($G8,'inkoop EoK'!$U:$U,0))</f>
        <v>78.97</v>
      </c>
    </row>
    <row r="9" spans="1:10">
      <c r="B9" s="252" t="s">
        <v>3137</v>
      </c>
      <c r="C9" s="252" t="s">
        <v>3331</v>
      </c>
      <c r="D9" s="417" t="s">
        <v>3391</v>
      </c>
      <c r="G9" s="417" t="str">
        <f t="shared" si="0"/>
        <v>EOK tot 20 MbadvancedNLS type 1/2/3</v>
      </c>
      <c r="H9" s="417" t="s">
        <v>3395</v>
      </c>
      <c r="I9" s="582">
        <f>INDEX('inkoop EoK'!V:V,MATCH($G9,'inkoop EoK'!$U:$U,0))</f>
        <v>14.7296035</v>
      </c>
      <c r="J9" s="582">
        <f>INDEX('inkoop EoK'!W:W,MATCH($G9,'inkoop EoK'!$U:$U,0))</f>
        <v>78.97</v>
      </c>
    </row>
    <row r="10" spans="1:10">
      <c r="B10" s="252" t="s">
        <v>3134</v>
      </c>
      <c r="C10" s="252" t="s">
        <v>3279</v>
      </c>
      <c r="D10" s="417" t="s">
        <v>3391</v>
      </c>
      <c r="G10" s="417" t="str">
        <f t="shared" si="0"/>
        <v>EOK tot 5 Mbadvancedtelco-telco</v>
      </c>
      <c r="H10" s="417"/>
      <c r="I10" s="582">
        <f>INDEX('inkoop EoK'!V:V,MATCH($G10,'inkoop EoK'!$U:$U,0))</f>
        <v>14.7296035</v>
      </c>
      <c r="J10" s="582">
        <f>INDEX('inkoop EoK'!W:W,MATCH($G10,'inkoop EoK'!$U:$U,0))</f>
        <v>21.31</v>
      </c>
    </row>
    <row r="11" spans="1:10">
      <c r="B11" s="252" t="s">
        <v>3135</v>
      </c>
      <c r="C11" s="252" t="s">
        <v>3279</v>
      </c>
      <c r="D11" s="417" t="s">
        <v>3391</v>
      </c>
      <c r="G11" s="417" t="str">
        <f t="shared" si="0"/>
        <v>EOK tot 10 Mbadvancedtelco-telco</v>
      </c>
      <c r="H11" s="417"/>
      <c r="I11" s="582">
        <f>INDEX('inkoop EoK'!V:V,MATCH($G11,'inkoop EoK'!$U:$U,0))</f>
        <v>14.7296035</v>
      </c>
      <c r="J11" s="582">
        <f>INDEX('inkoop EoK'!W:W,MATCH($G11,'inkoop EoK'!$U:$U,0))</f>
        <v>21.31</v>
      </c>
    </row>
    <row r="12" spans="1:10">
      <c r="B12" s="252" t="s">
        <v>3137</v>
      </c>
      <c r="C12" s="252" t="s">
        <v>3279</v>
      </c>
      <c r="D12" s="417" t="s">
        <v>3391</v>
      </c>
      <c r="G12" s="417" t="str">
        <f t="shared" si="0"/>
        <v>EOK tot 20 Mbadvancedtelco-telco</v>
      </c>
      <c r="H12" s="417"/>
      <c r="I12" s="582">
        <f>INDEX('inkoop EoK'!V:V,MATCH($G12,'inkoop EoK'!$U:$U,0))</f>
        <v>14.7296035</v>
      </c>
      <c r="J12" s="582">
        <f>INDEX('inkoop EoK'!W:W,MATCH($G12,'inkoop EoK'!$U:$U,0))</f>
        <v>21.31</v>
      </c>
    </row>
    <row r="13" spans="1:10">
      <c r="B13" s="252" t="s">
        <v>3133</v>
      </c>
      <c r="C13" s="252" t="s">
        <v>3331</v>
      </c>
      <c r="D13" s="417" t="s">
        <v>3391</v>
      </c>
      <c r="G13" s="417" t="str">
        <f t="shared" si="0"/>
        <v>EOK tot 3 MbadvancedNLS type 1/2/3</v>
      </c>
      <c r="H13" s="417" t="s">
        <v>3392</v>
      </c>
      <c r="I13" s="582">
        <f>INDEX('inkoop EoK'!V:V,MATCH($G13,'inkoop EoK'!$U:$U,0))</f>
        <v>14.7296035</v>
      </c>
      <c r="J13" s="582">
        <f>INDEX('inkoop EoK'!W:W,MATCH($G13,'inkoop EoK'!$U:$U,0))</f>
        <v>78.97</v>
      </c>
    </row>
    <row r="14" spans="1:10">
      <c r="B14" s="252" t="s">
        <v>3133</v>
      </c>
      <c r="C14" s="252" t="s">
        <v>3279</v>
      </c>
      <c r="D14" s="417" t="s">
        <v>3391</v>
      </c>
      <c r="G14" s="417" t="str">
        <f t="shared" si="0"/>
        <v>EOK tot 3 Mbadvancedtelco-telco</v>
      </c>
      <c r="H14" s="417"/>
      <c r="I14" s="582">
        <f>INDEX('inkoop EoK'!V:V,MATCH($G14,'inkoop EoK'!$U:$U,0))</f>
        <v>14.7296035</v>
      </c>
      <c r="J14" s="582">
        <f>INDEX('inkoop EoK'!W:W,MATCH($G14,'inkoop EoK'!$U:$U,0))</f>
        <v>21.31</v>
      </c>
    </row>
    <row r="15" spans="1:10">
      <c r="B15" s="252" t="s">
        <v>3136</v>
      </c>
      <c r="C15" s="252" t="s">
        <v>3331</v>
      </c>
      <c r="D15" s="417" t="s">
        <v>3391</v>
      </c>
      <c r="G15" s="417" t="str">
        <f t="shared" si="0"/>
        <v>EOK tot 15 MbadvancedNLS type 1/2/3</v>
      </c>
      <c r="H15" s="417" t="s">
        <v>3396</v>
      </c>
      <c r="I15" s="582">
        <f>INDEX('inkoop EoK'!V:V,MATCH($G15,'inkoop EoK'!$U:$U,0))</f>
        <v>14.7296035</v>
      </c>
      <c r="J15" s="582">
        <f>INDEX('inkoop EoK'!W:W,MATCH($G15,'inkoop EoK'!$U:$U,0))</f>
        <v>78.97</v>
      </c>
    </row>
    <row r="16" spans="1:10">
      <c r="B16" s="252" t="s">
        <v>3136</v>
      </c>
      <c r="C16" s="252" t="s">
        <v>3279</v>
      </c>
      <c r="D16" s="417" t="s">
        <v>3391</v>
      </c>
      <c r="G16" s="417" t="str">
        <f t="shared" si="0"/>
        <v>EOK tot 15 Mbadvancedtelco-telco</v>
      </c>
      <c r="H16" s="417"/>
      <c r="I16" s="582">
        <f>INDEX('inkoop EoK'!V:V,MATCH($G16,'inkoop EoK'!$U:$U,0))</f>
        <v>14.7296035</v>
      </c>
      <c r="J16" s="582">
        <f>INDEX('inkoop EoK'!W:W,MATCH($G16,'inkoop EoK'!$U:$U,0))</f>
        <v>21.31</v>
      </c>
    </row>
    <row r="17" spans="1:10">
      <c r="G17" s="417"/>
      <c r="H17" s="417"/>
      <c r="I17" s="583"/>
      <c r="J17" s="417"/>
    </row>
    <row r="18" spans="1:10">
      <c r="G18" s="417"/>
      <c r="H18" s="417"/>
      <c r="I18" s="417"/>
      <c r="J18" s="417"/>
    </row>
    <row r="19" spans="1:10">
      <c r="A19" s="311" t="s">
        <v>3302</v>
      </c>
      <c r="G19" s="417"/>
      <c r="H19" s="417"/>
      <c r="I19" s="417"/>
      <c r="J19" s="417"/>
    </row>
    <row r="20" spans="1:10">
      <c r="B20" s="311" t="s">
        <v>3336</v>
      </c>
      <c r="D20" s="311"/>
      <c r="F20" s="311"/>
      <c r="G20" s="416" t="s">
        <v>3300</v>
      </c>
      <c r="H20" s="416" t="s">
        <v>3301</v>
      </c>
      <c r="I20" s="416"/>
      <c r="J20" s="417"/>
    </row>
    <row r="21" spans="1:10">
      <c r="B21" s="252" t="s">
        <v>3337</v>
      </c>
      <c r="G21" s="417" t="s">
        <v>426</v>
      </c>
      <c r="H21" s="417" t="str">
        <f>"EoK"&amp;G21</f>
        <v>EoKMetro - Regionaal</v>
      </c>
      <c r="I21" s="582">
        <f>INDEX('inkoop EoK'!Y:Y,MATCH($G21,'inkoop EoK'!X:X,0))</f>
        <v>2</v>
      </c>
      <c r="J21" s="417">
        <v>0</v>
      </c>
    </row>
    <row r="22" spans="1:10">
      <c r="G22" s="417"/>
      <c r="H22" s="417"/>
      <c r="I22" s="582"/>
      <c r="J22" s="417"/>
    </row>
    <row r="23" spans="1:10">
      <c r="B23" s="252" t="s">
        <v>3338</v>
      </c>
      <c r="G23" s="417" t="s">
        <v>427</v>
      </c>
      <c r="H23" s="417" t="str">
        <f>"EoK"&amp;G23</f>
        <v>EoKMetro - Nationaal</v>
      </c>
      <c r="I23" s="582">
        <f>INDEX('inkoop EoK'!AA:AA,MATCH($G23,'inkoop EoK'!Z:Z,0))</f>
        <v>2</v>
      </c>
      <c r="J23" s="417">
        <v>0</v>
      </c>
    </row>
    <row r="24" spans="1:10">
      <c r="G24" s="417"/>
      <c r="H24" s="417"/>
      <c r="I24" s="417"/>
      <c r="J24" s="417"/>
    </row>
  </sheetData>
  <autoFilter ref="B4:D17"/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AC7855"/>
  <sheetViews>
    <sheetView topLeftCell="A7" workbookViewId="0">
      <selection activeCell="B9" sqref="B9"/>
    </sheetView>
  </sheetViews>
  <sheetFormatPr defaultColWidth="10.28515625" defaultRowHeight="12.75" zeroHeight="1"/>
  <cols>
    <col min="1" max="1" width="3.7109375" style="299" customWidth="1"/>
    <col min="2" max="2" width="3.5703125" style="299" customWidth="1"/>
    <col min="3" max="3" width="25.85546875" style="299" customWidth="1"/>
    <col min="4" max="4" width="16.42578125" style="299" customWidth="1"/>
    <col min="5" max="6" width="16.140625" style="299" customWidth="1"/>
    <col min="7" max="7" width="31.85546875" style="299" customWidth="1"/>
    <col min="8" max="8" width="9.28515625" style="299" customWidth="1"/>
    <col min="9" max="9" width="13.28515625" style="299" bestFit="1" customWidth="1"/>
    <col min="10" max="12" width="13.28515625" style="299" customWidth="1"/>
    <col min="13" max="13" width="13.28515625" style="299" bestFit="1" customWidth="1"/>
    <col min="14" max="15" width="13.28515625" style="299" customWidth="1"/>
    <col min="16" max="16" width="13.28515625" style="299" bestFit="1" customWidth="1"/>
    <col min="17" max="17" width="13.28515625" style="299" customWidth="1"/>
    <col min="18" max="18" width="12.42578125" style="299" bestFit="1" customWidth="1"/>
    <col min="19" max="19" width="15.7109375" style="299" bestFit="1" customWidth="1"/>
    <col min="20" max="20" width="10.28515625" style="299"/>
    <col min="21" max="21" width="51.85546875" style="299" bestFit="1" customWidth="1"/>
    <col min="22" max="23" width="10.28515625" style="299"/>
    <col min="24" max="24" width="22.140625" style="299" customWidth="1"/>
    <col min="25" max="25" width="10.28515625" style="299"/>
    <col min="26" max="26" width="21.28515625" style="299" customWidth="1"/>
    <col min="27" max="27" width="10.28515625" style="299"/>
    <col min="28" max="28" width="39" style="299" bestFit="1" customWidth="1"/>
    <col min="29" max="16384" width="10.28515625" style="299"/>
  </cols>
  <sheetData>
    <row r="1" spans="1:29" s="294" customFormat="1"/>
    <row r="2" spans="1:29" s="294" customFormat="1">
      <c r="C2" s="296" t="str">
        <f ca="1">UPPER(MID(CELL("filename",A1),FIND("[",CELL("filename",A1))+1,FIND("]",CELL("filename",A1))-FIND("[",CELL("filename",A1))-5))</f>
        <v>LPM MB15 - EVPN 20170201 OPENBAAR.</v>
      </c>
      <c r="D2" s="296"/>
      <c r="E2" s="296"/>
      <c r="F2" s="296"/>
      <c r="G2" s="296"/>
      <c r="H2" s="296"/>
    </row>
    <row r="3" spans="1:29" s="294" customFormat="1">
      <c r="C3" s="294" t="str">
        <f ca="1">UPPER(MID(CELL("filename",A2),FIND("]",CELL("filename",A2))+1,LEN(CELL("filename",A2))))</f>
        <v>INKOOP EOK</v>
      </c>
    </row>
    <row r="4" spans="1:29" s="297" customFormat="1"/>
    <row r="5" spans="1:29" s="313" customFormat="1">
      <c r="A5" s="299"/>
      <c r="B5" s="299"/>
      <c r="C5" s="312"/>
      <c r="D5" s="312"/>
      <c r="E5" s="312"/>
      <c r="F5" s="312"/>
      <c r="G5" s="312"/>
      <c r="H5" s="312"/>
      <c r="I5" s="299"/>
      <c r="J5" s="299"/>
      <c r="K5" s="299"/>
      <c r="L5" s="299"/>
      <c r="M5" s="299"/>
      <c r="N5" s="299"/>
      <c r="O5" s="299"/>
      <c r="P5" s="299"/>
      <c r="Q5" s="299"/>
      <c r="R5" s="299"/>
      <c r="S5" s="299"/>
    </row>
    <row r="6" spans="1:29" s="313" customFormat="1" ht="13.5" thickBot="1">
      <c r="A6" s="299"/>
      <c r="B6" s="299"/>
      <c r="C6" s="312"/>
      <c r="D6" s="312"/>
      <c r="E6" s="312"/>
      <c r="F6" s="312"/>
      <c r="G6" s="312"/>
      <c r="H6" s="312"/>
      <c r="I6" s="299"/>
      <c r="J6" s="299"/>
      <c r="K6" s="299"/>
      <c r="L6" s="299"/>
      <c r="M6" s="299"/>
      <c r="N6" s="299"/>
      <c r="O6" s="299"/>
      <c r="P6" s="299"/>
      <c r="Q6" s="299"/>
      <c r="R6" s="299"/>
      <c r="S6" s="299"/>
    </row>
    <row r="7" spans="1:29" s="313" customFormat="1">
      <c r="A7" s="299"/>
      <c r="B7" s="299"/>
      <c r="C7" s="312" t="s">
        <v>3304</v>
      </c>
      <c r="D7" s="312"/>
      <c r="E7" s="312"/>
      <c r="F7" s="401">
        <f>COUNTA($C$13:$C$8971)</f>
        <v>24</v>
      </c>
      <c r="G7" s="312"/>
      <c r="H7" s="312"/>
      <c r="I7" s="314"/>
      <c r="J7" s="315"/>
      <c r="K7" s="315"/>
      <c r="L7" s="316"/>
      <c r="M7" s="315"/>
      <c r="N7" s="315"/>
      <c r="O7" s="315"/>
      <c r="P7" s="315"/>
      <c r="Q7" s="315"/>
      <c r="R7" s="315"/>
      <c r="S7" s="317"/>
    </row>
    <row r="8" spans="1:29" s="313" customFormat="1">
      <c r="A8" s="299"/>
      <c r="B8" s="299"/>
      <c r="C8" s="312"/>
      <c r="D8" s="312"/>
      <c r="E8" s="312"/>
      <c r="F8" s="312"/>
      <c r="G8" s="312"/>
      <c r="H8" s="312"/>
      <c r="I8" s="318"/>
      <c r="J8" s="319"/>
      <c r="K8" s="319"/>
      <c r="L8" s="320"/>
      <c r="M8" s="319"/>
      <c r="N8" s="319"/>
      <c r="O8" s="319"/>
      <c r="P8" s="319"/>
      <c r="Q8" s="319"/>
      <c r="R8" s="319"/>
      <c r="S8" s="321"/>
    </row>
    <row r="9" spans="1:29" s="313" customFormat="1" ht="16.5" customHeight="1">
      <c r="A9" s="299"/>
      <c r="B9" s="322"/>
      <c r="C9" s="323"/>
      <c r="D9" s="323"/>
      <c r="E9" s="323"/>
      <c r="F9" s="323"/>
      <c r="G9" s="323"/>
      <c r="H9" s="323"/>
      <c r="I9" s="324" t="s">
        <v>3305</v>
      </c>
      <c r="J9" s="322" t="s">
        <v>3305</v>
      </c>
      <c r="K9" s="322" t="s">
        <v>3305</v>
      </c>
      <c r="L9" s="325" t="s">
        <v>3305</v>
      </c>
      <c r="M9" s="322" t="s">
        <v>3306</v>
      </c>
      <c r="N9" s="324" t="s">
        <v>3306</v>
      </c>
      <c r="O9" s="322" t="s">
        <v>3306</v>
      </c>
      <c r="P9" s="322" t="s">
        <v>3306</v>
      </c>
      <c r="Q9" s="322" t="s">
        <v>3306</v>
      </c>
      <c r="R9" s="326" t="s">
        <v>3306</v>
      </c>
      <c r="S9" s="327"/>
    </row>
    <row r="10" spans="1:29" s="313" customFormat="1" ht="62.25" customHeight="1">
      <c r="A10" s="299"/>
      <c r="B10" s="322"/>
      <c r="C10" s="328" t="s">
        <v>3307</v>
      </c>
      <c r="D10" s="328" t="s">
        <v>3308</v>
      </c>
      <c r="E10" s="328"/>
      <c r="F10" s="328" t="s">
        <v>3303</v>
      </c>
      <c r="G10" s="328" t="s">
        <v>3309</v>
      </c>
      <c r="H10" s="329" t="s">
        <v>3310</v>
      </c>
      <c r="I10" s="330" t="s">
        <v>3311</v>
      </c>
      <c r="J10" s="331" t="s">
        <v>3312</v>
      </c>
      <c r="K10" s="331" t="s">
        <v>3313</v>
      </c>
      <c r="L10" s="332" t="s">
        <v>3314</v>
      </c>
      <c r="M10" s="333" t="s">
        <v>3315</v>
      </c>
      <c r="N10" s="333" t="s">
        <v>3303</v>
      </c>
      <c r="O10" s="333" t="s">
        <v>3316</v>
      </c>
      <c r="P10" s="331" t="s">
        <v>3317</v>
      </c>
      <c r="Q10" s="331" t="s">
        <v>3318</v>
      </c>
      <c r="R10" s="334" t="s">
        <v>3319</v>
      </c>
      <c r="S10" s="335" t="s">
        <v>3320</v>
      </c>
      <c r="U10" s="404" t="s">
        <v>3355</v>
      </c>
      <c r="V10" s="573" t="s">
        <v>3390</v>
      </c>
      <c r="W10" s="573" t="s">
        <v>3390</v>
      </c>
      <c r="X10" s="405" t="s">
        <v>3332</v>
      </c>
      <c r="Y10" s="405" t="s">
        <v>3333</v>
      </c>
      <c r="Z10" s="405" t="s">
        <v>3334</v>
      </c>
      <c r="AA10" s="405" t="s">
        <v>3335</v>
      </c>
      <c r="AB10" s="405"/>
      <c r="AC10" s="405"/>
    </row>
    <row r="11" spans="1:29" s="313" customFormat="1">
      <c r="A11" s="299"/>
      <c r="B11" s="299"/>
      <c r="C11" s="299"/>
      <c r="D11" s="299"/>
      <c r="E11" s="299"/>
      <c r="F11" s="299"/>
      <c r="G11" s="299"/>
      <c r="H11" s="299"/>
      <c r="I11" s="336"/>
      <c r="J11" s="337"/>
      <c r="K11" s="337"/>
      <c r="L11" s="338"/>
      <c r="M11" s="339"/>
      <c r="N11" s="339"/>
      <c r="O11" s="339"/>
      <c r="P11" s="337"/>
      <c r="Q11" s="337"/>
      <c r="R11" s="337"/>
      <c r="S11" s="340"/>
      <c r="U11" s="404"/>
      <c r="V11" s="574" t="s">
        <v>187</v>
      </c>
      <c r="W11" s="574" t="s">
        <v>188</v>
      </c>
      <c r="X11" s="404"/>
      <c r="Y11" s="404"/>
      <c r="Z11" s="404"/>
      <c r="AA11" s="404"/>
      <c r="AB11" s="404"/>
      <c r="AC11" s="404"/>
    </row>
    <row r="12" spans="1:29" s="313" customFormat="1" ht="15.75">
      <c r="A12" s="299"/>
      <c r="B12" s="299"/>
      <c r="C12" s="341" t="s">
        <v>3321</v>
      </c>
      <c r="D12" s="341"/>
      <c r="E12" s="341"/>
      <c r="F12" s="341"/>
      <c r="G12" s="341"/>
      <c r="H12" s="341"/>
      <c r="I12" s="336"/>
      <c r="J12" s="337"/>
      <c r="K12" s="337"/>
      <c r="L12" s="338"/>
      <c r="M12" s="339"/>
      <c r="N12" s="339"/>
      <c r="O12" s="339"/>
      <c r="P12" s="337"/>
      <c r="Q12" s="337"/>
      <c r="R12" s="337"/>
      <c r="S12" s="340"/>
      <c r="U12" s="404"/>
      <c r="V12" s="574"/>
      <c r="W12" s="574"/>
      <c r="X12" s="404"/>
      <c r="Y12" s="404"/>
      <c r="Z12" s="404"/>
      <c r="AA12" s="404"/>
      <c r="AB12" s="404"/>
      <c r="AC12" s="404"/>
    </row>
    <row r="13" spans="1:29" s="313" customFormat="1">
      <c r="A13" s="299"/>
      <c r="B13" s="299"/>
      <c r="C13" s="342" t="s">
        <v>3322</v>
      </c>
      <c r="D13" s="342" t="s">
        <v>3331</v>
      </c>
      <c r="E13" s="342"/>
      <c r="F13" s="342" t="s">
        <v>296</v>
      </c>
      <c r="G13" s="342" t="s">
        <v>3132</v>
      </c>
      <c r="H13" s="343">
        <f>INDEX('Parameters ULL'!$E$47:$E$52,MATCH(G13,'Parameters ULL'!$D$47:$D$52,0),0)</f>
        <v>1</v>
      </c>
      <c r="I13" s="427">
        <f>IF(D13="NLS type 1/2/3",1*'Parameters ULL'!$E$28+(H13-1)*'Inkoop tarief elementen'!$E$13,H13*'Inkoop tarief elementen'!$E$11)/'Parameters ULL'!$E$10</f>
        <v>1.966388888888889</v>
      </c>
      <c r="J13" s="344">
        <f>H13*'Inkoop tarief elementen'!$E$21/'Parameters ULL'!$E$10</f>
        <v>0.1713888888888889</v>
      </c>
      <c r="K13" s="344">
        <f>H13*'Inkoop tarief elementen'!$E$33/'Parameters ULL'!$E$10</f>
        <v>5.5833333333333325E-2</v>
      </c>
      <c r="L13" s="345">
        <f t="shared" ref="L13:L36" si="0">SUM(I13:K13)</f>
        <v>2.1936111111111112</v>
      </c>
      <c r="M13" s="346">
        <f>H13*'Inkoop tarief elementen'!$E$26</f>
        <v>7.93</v>
      </c>
      <c r="N13" s="346">
        <f>IF(F13="Standard",H13*'Inkoop tarief elementen'!$E$38,H13*'Inkoop tarief elementen'!$E$39)</f>
        <v>2.39</v>
      </c>
      <c r="O13" s="428">
        <f>collocatie!$J$117</f>
        <v>0.44960350000000004</v>
      </c>
      <c r="P13" s="429">
        <f>INDEX('EDC minus lijst ULL'!$E$13:$E$18,MATCH(G13,'EDC minus lijst ULL'!$A$13:$A$18,0))</f>
        <v>1</v>
      </c>
      <c r="Q13" s="429">
        <f>INDEX('EDC minus lijst ULL'!$K$13:$K$18,MATCH(G13,'EDC minus lijst ULL'!$A$13:$A$18,0))+INDEX('EDC minus lijst ULL'!$L$13:$L$18,MATCH(G13,'EDC minus lijst ULL'!$A$13:$A$18,0))</f>
        <v>2</v>
      </c>
      <c r="R13" s="347">
        <f t="shared" ref="R13:R36" si="1">SUM(M13:Q13)</f>
        <v>13.769603500000001</v>
      </c>
      <c r="S13" s="348">
        <f t="shared" ref="S13:S36" si="2">L13+R13</f>
        <v>15.963214611111113</v>
      </c>
      <c r="U13" s="430" t="str">
        <f>G13&amp;F13&amp;D13</f>
        <v>EOK tot 2,3 Mb met één koperpaarStandardNLS type 1/2/3</v>
      </c>
      <c r="V13" s="575">
        <f>R13-Y13</f>
        <v>11.769603500000001</v>
      </c>
      <c r="W13" s="575">
        <f>L13*'Parameters ULL'!$E$10</f>
        <v>78.97</v>
      </c>
      <c r="X13" s="313" t="s">
        <v>426</v>
      </c>
      <c r="Y13" s="407">
        <f>Q13</f>
        <v>2</v>
      </c>
      <c r="Z13" s="313" t="s">
        <v>427</v>
      </c>
      <c r="AA13" s="407">
        <f>Y13</f>
        <v>2</v>
      </c>
      <c r="AB13" s="406"/>
      <c r="AC13" s="408"/>
    </row>
    <row r="14" spans="1:29" s="313" customFormat="1">
      <c r="A14" s="299"/>
      <c r="B14" s="299"/>
      <c r="C14" s="342" t="s">
        <v>3322</v>
      </c>
      <c r="D14" s="342" t="s">
        <v>3279</v>
      </c>
      <c r="E14" s="342"/>
      <c r="F14" s="342" t="s">
        <v>296</v>
      </c>
      <c r="G14" s="342" t="s">
        <v>3132</v>
      </c>
      <c r="H14" s="343">
        <f>INDEX('Parameters ULL'!$E$47:$E$52,MATCH(G14,'Parameters ULL'!$D$47:$D$52,0),0)</f>
        <v>1</v>
      </c>
      <c r="I14" s="427">
        <f>IF(D14="NLS type 1/2/3",1*'Parameters ULL'!$E$28+(H14-1)*'Inkoop tarief elementen'!$E$13,H14*'Inkoop tarief elementen'!$E$11)/'Parameters ULL'!$E$10</f>
        <v>0.36472222222222223</v>
      </c>
      <c r="J14" s="344">
        <f>H14*'Inkoop tarief elementen'!$E$21/'Parameters ULL'!$E$10</f>
        <v>0.1713888888888889</v>
      </c>
      <c r="K14" s="344">
        <f>H14*'Inkoop tarief elementen'!$E$33/'Parameters ULL'!$E$10</f>
        <v>5.5833333333333325E-2</v>
      </c>
      <c r="L14" s="345">
        <f t="shared" si="0"/>
        <v>0.59194444444444438</v>
      </c>
      <c r="M14" s="346">
        <f>H14*'Inkoop tarief elementen'!$E$26</f>
        <v>7.93</v>
      </c>
      <c r="N14" s="346">
        <f>IF(F14="Standard",H14*'Inkoop tarief elementen'!$E$38,H14*'Inkoop tarief elementen'!$E$39)</f>
        <v>2.39</v>
      </c>
      <c r="O14" s="428">
        <f>collocatie!$J$117</f>
        <v>0.44960350000000004</v>
      </c>
      <c r="P14" s="429">
        <f>INDEX('EDC minus lijst ULL'!$E$13:$E$18,MATCH(G14,'EDC minus lijst ULL'!$A$13:$A$18,0))</f>
        <v>1</v>
      </c>
      <c r="Q14" s="429">
        <f>INDEX('EDC minus lijst ULL'!$K$13:$K$18,MATCH(G14,'EDC minus lijst ULL'!$A$13:$A$18,0))+INDEX('EDC minus lijst ULL'!$L$13:$L$18,MATCH(G14,'EDC minus lijst ULL'!$A$13:$A$18,0))</f>
        <v>2</v>
      </c>
      <c r="R14" s="347">
        <f t="shared" si="1"/>
        <v>13.769603500000001</v>
      </c>
      <c r="S14" s="348">
        <f t="shared" si="2"/>
        <v>14.361547944444444</v>
      </c>
      <c r="U14" s="430" t="str">
        <f t="shared" ref="U14:U35" si="3">G14&amp;F14&amp;D14</f>
        <v>EOK tot 2,3 Mb met één koperpaarStandardtelco-telco</v>
      </c>
      <c r="V14" s="575">
        <f t="shared" ref="V14:V36" si="4">R14-Y14</f>
        <v>11.769603500000001</v>
      </c>
      <c r="W14" s="575">
        <f>L14*'Parameters ULL'!$E$10</f>
        <v>21.31</v>
      </c>
      <c r="X14" s="313" t="s">
        <v>426</v>
      </c>
      <c r="Y14" s="407">
        <f t="shared" ref="Y14:Y36" si="5">Q14</f>
        <v>2</v>
      </c>
      <c r="Z14" s="313" t="s">
        <v>427</v>
      </c>
      <c r="AA14" s="407">
        <f t="shared" ref="AA14:AA36" si="6">Y14</f>
        <v>2</v>
      </c>
      <c r="AB14" s="406"/>
      <c r="AC14" s="408"/>
    </row>
    <row r="15" spans="1:29" s="313" customFormat="1">
      <c r="A15" s="299"/>
      <c r="B15" s="299"/>
      <c r="C15" s="342" t="s">
        <v>3322</v>
      </c>
      <c r="D15" s="342" t="s">
        <v>3331</v>
      </c>
      <c r="E15" s="342"/>
      <c r="F15" s="342" t="s">
        <v>297</v>
      </c>
      <c r="G15" s="342" t="s">
        <v>3132</v>
      </c>
      <c r="H15" s="343">
        <f>INDEX('Parameters ULL'!$E$47:$E$52,MATCH(G15,'Parameters ULL'!$D$47:$D$52,0),0)</f>
        <v>1</v>
      </c>
      <c r="I15" s="427">
        <f>IF(D15="NLS type 1/2/3",1*'Parameters ULL'!$E$28+(H15-1)*'Inkoop tarief elementen'!$E$13,H15*'Inkoop tarief elementen'!$E$11)/'Parameters ULL'!$E$10</f>
        <v>1.966388888888889</v>
      </c>
      <c r="J15" s="344">
        <f>H15*'Inkoop tarief elementen'!$E$21/'Parameters ULL'!$E$10</f>
        <v>0.1713888888888889</v>
      </c>
      <c r="K15" s="344">
        <f>H15*'Inkoop tarief elementen'!$E$33/'Parameters ULL'!$E$10</f>
        <v>5.5833333333333325E-2</v>
      </c>
      <c r="L15" s="345">
        <f t="shared" si="0"/>
        <v>2.1936111111111112</v>
      </c>
      <c r="M15" s="346">
        <f>H15*'Inkoop tarief elementen'!$E$26</f>
        <v>7.93</v>
      </c>
      <c r="N15" s="346">
        <f>IF(F15="Standard",H15*'Inkoop tarief elementen'!$E$38,H15*'Inkoop tarief elementen'!$E$39)</f>
        <v>5.35</v>
      </c>
      <c r="O15" s="428">
        <f>collocatie!$J$117</f>
        <v>0.44960350000000004</v>
      </c>
      <c r="P15" s="429">
        <f>INDEX('EDC minus lijst ULL'!$E$13:$E$18,MATCH(G15,'EDC minus lijst ULL'!$A$13:$A$18,0))</f>
        <v>1</v>
      </c>
      <c r="Q15" s="429">
        <f>INDEX('EDC minus lijst ULL'!$K$13:$K$18,MATCH(G15,'EDC minus lijst ULL'!$A$13:$A$18,0))+INDEX('EDC minus lijst ULL'!$L$13:$L$18,MATCH(G15,'EDC minus lijst ULL'!$A$13:$A$18,0))</f>
        <v>2</v>
      </c>
      <c r="R15" s="347">
        <f t="shared" si="1"/>
        <v>16.7296035</v>
      </c>
      <c r="S15" s="348">
        <f t="shared" si="2"/>
        <v>18.92321461111111</v>
      </c>
      <c r="U15" s="430" t="str">
        <f t="shared" si="3"/>
        <v>EOK tot 2,3 Mb met één koperpaarAdvancedNLS type 1/2/3</v>
      </c>
      <c r="V15" s="575">
        <f t="shared" si="4"/>
        <v>14.7296035</v>
      </c>
      <c r="W15" s="575">
        <f>L15*'Parameters ULL'!$E$10</f>
        <v>78.97</v>
      </c>
      <c r="X15" s="313" t="s">
        <v>426</v>
      </c>
      <c r="Y15" s="407">
        <f t="shared" si="5"/>
        <v>2</v>
      </c>
      <c r="Z15" s="313" t="s">
        <v>427</v>
      </c>
      <c r="AA15" s="407">
        <f t="shared" si="6"/>
        <v>2</v>
      </c>
      <c r="AB15" s="406"/>
      <c r="AC15" s="408"/>
    </row>
    <row r="16" spans="1:29" s="313" customFormat="1">
      <c r="A16" s="299"/>
      <c r="B16" s="299"/>
      <c r="C16" s="342" t="s">
        <v>3322</v>
      </c>
      <c r="D16" s="342" t="s">
        <v>3279</v>
      </c>
      <c r="E16" s="342"/>
      <c r="F16" s="342" t="s">
        <v>297</v>
      </c>
      <c r="G16" s="342" t="s">
        <v>3132</v>
      </c>
      <c r="H16" s="343">
        <f>INDEX('Parameters ULL'!$E$47:$E$52,MATCH(G16,'Parameters ULL'!$D$47:$D$52,0),0)</f>
        <v>1</v>
      </c>
      <c r="I16" s="427">
        <f>IF(D16="NLS type 1/2/3",1*'Parameters ULL'!$E$28+(H16-1)*'Inkoop tarief elementen'!$E$13,H16*'Inkoop tarief elementen'!$E$11)/'Parameters ULL'!$E$10</f>
        <v>0.36472222222222223</v>
      </c>
      <c r="J16" s="344">
        <f>H16*'Inkoop tarief elementen'!$E$21/'Parameters ULL'!$E$10</f>
        <v>0.1713888888888889</v>
      </c>
      <c r="K16" s="344">
        <f>H16*'Inkoop tarief elementen'!$E$33/'Parameters ULL'!$E$10</f>
        <v>5.5833333333333325E-2</v>
      </c>
      <c r="L16" s="345">
        <f t="shared" si="0"/>
        <v>0.59194444444444438</v>
      </c>
      <c r="M16" s="346">
        <f>H16*'Inkoop tarief elementen'!$E$26</f>
        <v>7.93</v>
      </c>
      <c r="N16" s="346">
        <f>IF(F16="Standard",H16*'Inkoop tarief elementen'!$E$38,H16*'Inkoop tarief elementen'!$E$39)</f>
        <v>5.35</v>
      </c>
      <c r="O16" s="428">
        <f>collocatie!$J$117</f>
        <v>0.44960350000000004</v>
      </c>
      <c r="P16" s="429">
        <f>INDEX('EDC minus lijst ULL'!$E$13:$E$18,MATCH(G16,'EDC minus lijst ULL'!$A$13:$A$18,0))</f>
        <v>1</v>
      </c>
      <c r="Q16" s="429">
        <f>INDEX('EDC minus lijst ULL'!$K$13:$K$18,MATCH(G16,'EDC minus lijst ULL'!$A$13:$A$18,0))+INDEX('EDC minus lijst ULL'!$L$13:$L$18,MATCH(G16,'EDC minus lijst ULL'!$A$13:$A$18,0))</f>
        <v>2</v>
      </c>
      <c r="R16" s="347">
        <f t="shared" si="1"/>
        <v>16.7296035</v>
      </c>
      <c r="S16" s="348">
        <f t="shared" si="2"/>
        <v>17.321547944444443</v>
      </c>
      <c r="U16" s="430" t="str">
        <f t="shared" si="3"/>
        <v>EOK tot 2,3 Mb met één koperpaarAdvancedtelco-telco</v>
      </c>
      <c r="V16" s="575">
        <f t="shared" si="4"/>
        <v>14.7296035</v>
      </c>
      <c r="W16" s="575">
        <f>L16*'Parameters ULL'!$E$10</f>
        <v>21.31</v>
      </c>
      <c r="X16" s="313" t="s">
        <v>426</v>
      </c>
      <c r="Y16" s="407">
        <f t="shared" si="5"/>
        <v>2</v>
      </c>
      <c r="Z16" s="313" t="s">
        <v>427</v>
      </c>
      <c r="AA16" s="407">
        <f t="shared" si="6"/>
        <v>2</v>
      </c>
      <c r="AB16" s="406"/>
      <c r="AC16" s="408"/>
    </row>
    <row r="17" spans="1:29" s="313" customFormat="1">
      <c r="A17" s="299"/>
      <c r="B17" s="299"/>
      <c r="C17" s="342" t="s">
        <v>3322</v>
      </c>
      <c r="D17" s="342" t="s">
        <v>3331</v>
      </c>
      <c r="E17" s="342"/>
      <c r="F17" s="342" t="s">
        <v>296</v>
      </c>
      <c r="G17" s="342" t="s">
        <v>3134</v>
      </c>
      <c r="H17" s="343">
        <f>INDEX('Parameters ULL'!$E$47:$E$52,MATCH(G17,'Parameters ULL'!$D$47:$D$52,0),0)</f>
        <v>1</v>
      </c>
      <c r="I17" s="427">
        <f>IF(D17="NLS type 1/2/3",1*'Parameters ULL'!$E$28+(H17-1)*'Inkoop tarief elementen'!$E$13,H17*'Inkoop tarief elementen'!$E$11)/'Parameters ULL'!$E$10</f>
        <v>1.966388888888889</v>
      </c>
      <c r="J17" s="344">
        <f>H17*'Inkoop tarief elementen'!$E$21/'Parameters ULL'!$E$10</f>
        <v>0.1713888888888889</v>
      </c>
      <c r="K17" s="344">
        <f>H17*'Inkoop tarief elementen'!$E$33/'Parameters ULL'!$E$10</f>
        <v>5.5833333333333325E-2</v>
      </c>
      <c r="L17" s="345">
        <f t="shared" si="0"/>
        <v>2.1936111111111112</v>
      </c>
      <c r="M17" s="346">
        <f>H17*'Inkoop tarief elementen'!$E$26</f>
        <v>7.93</v>
      </c>
      <c r="N17" s="346">
        <f>IF(F17="Standard",H17*'Inkoop tarief elementen'!$E$38,H17*'Inkoop tarief elementen'!$E$39)</f>
        <v>2.39</v>
      </c>
      <c r="O17" s="428">
        <f>collocatie!$J$117</f>
        <v>0.44960350000000004</v>
      </c>
      <c r="P17" s="429">
        <f>INDEX('EDC minus lijst ULL'!$E$13:$E$18,MATCH(G17,'EDC minus lijst ULL'!$A$13:$A$18,0))</f>
        <v>1</v>
      </c>
      <c r="Q17" s="429">
        <f>INDEX('EDC minus lijst ULL'!$K$13:$K$18,MATCH(G17,'EDC minus lijst ULL'!$A$13:$A$18,0))+INDEX('EDC minus lijst ULL'!$L$13:$L$18,MATCH(G17,'EDC minus lijst ULL'!$A$13:$A$18,0))</f>
        <v>2</v>
      </c>
      <c r="R17" s="347">
        <f t="shared" si="1"/>
        <v>13.769603500000001</v>
      </c>
      <c r="S17" s="348">
        <f t="shared" si="2"/>
        <v>15.963214611111113</v>
      </c>
      <c r="U17" s="430" t="str">
        <f t="shared" si="3"/>
        <v>EOK tot 5 MbStandardNLS type 1/2/3</v>
      </c>
      <c r="V17" s="575">
        <f t="shared" si="4"/>
        <v>11.769603500000001</v>
      </c>
      <c r="W17" s="575">
        <f>L17*'Parameters ULL'!$E$10</f>
        <v>78.97</v>
      </c>
      <c r="X17" s="313" t="s">
        <v>426</v>
      </c>
      <c r="Y17" s="407">
        <f t="shared" si="5"/>
        <v>2</v>
      </c>
      <c r="Z17" s="313" t="s">
        <v>427</v>
      </c>
      <c r="AA17" s="407">
        <f t="shared" si="6"/>
        <v>2</v>
      </c>
      <c r="AB17" s="406"/>
      <c r="AC17" s="408"/>
    </row>
    <row r="18" spans="1:29" s="313" customFormat="1">
      <c r="A18" s="299"/>
      <c r="B18" s="299"/>
      <c r="C18" s="342" t="s">
        <v>3322</v>
      </c>
      <c r="D18" s="342" t="s">
        <v>3331</v>
      </c>
      <c r="E18" s="342"/>
      <c r="F18" s="342" t="s">
        <v>296</v>
      </c>
      <c r="G18" s="342" t="s">
        <v>3135</v>
      </c>
      <c r="H18" s="343">
        <f>INDEX('Parameters ULL'!$E$47:$E$52,MATCH(G18,'Parameters ULL'!$D$47:$D$52,0),0)</f>
        <v>1</v>
      </c>
      <c r="I18" s="427">
        <f>IF(D18="NLS type 1/2/3",1*'Parameters ULL'!$E$28+(H18-1)*'Inkoop tarief elementen'!$E$13,H18*'Inkoop tarief elementen'!$E$11)/'Parameters ULL'!$E$10</f>
        <v>1.966388888888889</v>
      </c>
      <c r="J18" s="344">
        <f>H18*'Inkoop tarief elementen'!$E$21/'Parameters ULL'!$E$10</f>
        <v>0.1713888888888889</v>
      </c>
      <c r="K18" s="344">
        <f>H18*'Inkoop tarief elementen'!$E$33/'Parameters ULL'!$E$10</f>
        <v>5.5833333333333325E-2</v>
      </c>
      <c r="L18" s="345">
        <f t="shared" si="0"/>
        <v>2.1936111111111112</v>
      </c>
      <c r="M18" s="346">
        <f>H18*'Inkoop tarief elementen'!$E$26</f>
        <v>7.93</v>
      </c>
      <c r="N18" s="346">
        <f>IF(F18="Standard",H18*'Inkoop tarief elementen'!$E$38,H18*'Inkoop tarief elementen'!$E$39)</f>
        <v>2.39</v>
      </c>
      <c r="O18" s="428">
        <f>collocatie!$J$117</f>
        <v>0.44960350000000004</v>
      </c>
      <c r="P18" s="429">
        <f>INDEX('EDC minus lijst ULL'!$E$13:$E$18,MATCH(G18,'EDC minus lijst ULL'!$A$13:$A$18,0))</f>
        <v>1</v>
      </c>
      <c r="Q18" s="429">
        <f>INDEX('EDC minus lijst ULL'!$K$13:$K$18,MATCH(G18,'EDC minus lijst ULL'!$A$13:$A$18,0))+INDEX('EDC minus lijst ULL'!$L$13:$L$18,MATCH(G18,'EDC minus lijst ULL'!$A$13:$A$18,0))</f>
        <v>2</v>
      </c>
      <c r="R18" s="347">
        <f t="shared" si="1"/>
        <v>13.769603500000001</v>
      </c>
      <c r="S18" s="348">
        <f t="shared" si="2"/>
        <v>15.963214611111113</v>
      </c>
      <c r="U18" s="430" t="str">
        <f t="shared" si="3"/>
        <v>EOK tot 10 MbStandardNLS type 1/2/3</v>
      </c>
      <c r="V18" s="575">
        <f t="shared" si="4"/>
        <v>11.769603500000001</v>
      </c>
      <c r="W18" s="575">
        <f>L18*'Parameters ULL'!$E$10</f>
        <v>78.97</v>
      </c>
      <c r="X18" s="313" t="s">
        <v>426</v>
      </c>
      <c r="Y18" s="407">
        <f t="shared" si="5"/>
        <v>2</v>
      </c>
      <c r="Z18" s="313" t="s">
        <v>427</v>
      </c>
      <c r="AA18" s="407">
        <f t="shared" si="6"/>
        <v>2</v>
      </c>
      <c r="AB18" s="406"/>
      <c r="AC18" s="408"/>
    </row>
    <row r="19" spans="1:29" s="313" customFormat="1">
      <c r="A19" s="299"/>
      <c r="B19" s="299"/>
      <c r="C19" s="342" t="s">
        <v>3322</v>
      </c>
      <c r="D19" s="342" t="s">
        <v>3331</v>
      </c>
      <c r="E19" s="342"/>
      <c r="F19" s="342" t="s">
        <v>296</v>
      </c>
      <c r="G19" s="342" t="s">
        <v>3137</v>
      </c>
      <c r="H19" s="343">
        <f>INDEX('Parameters ULL'!$E$47:$E$52,MATCH(G19,'Parameters ULL'!$D$47:$D$52,0),0)</f>
        <v>1</v>
      </c>
      <c r="I19" s="427">
        <f>IF(D19="NLS type 1/2/3",1*'Parameters ULL'!$E$28+(H19-1)*'Inkoop tarief elementen'!$E$13,H19*'Inkoop tarief elementen'!$E$11)/'Parameters ULL'!$E$10</f>
        <v>1.966388888888889</v>
      </c>
      <c r="J19" s="344">
        <f>H19*'Inkoop tarief elementen'!$E$21/'Parameters ULL'!$E$10</f>
        <v>0.1713888888888889</v>
      </c>
      <c r="K19" s="344">
        <f>H19*'Inkoop tarief elementen'!$E$33/'Parameters ULL'!$E$10</f>
        <v>5.5833333333333325E-2</v>
      </c>
      <c r="L19" s="345">
        <f t="shared" si="0"/>
        <v>2.1936111111111112</v>
      </c>
      <c r="M19" s="346">
        <f>H19*'Inkoop tarief elementen'!$E$26</f>
        <v>7.93</v>
      </c>
      <c r="N19" s="346">
        <f>IF(F19="Standard",H19*'Inkoop tarief elementen'!$E$38,H19*'Inkoop tarief elementen'!$E$39)</f>
        <v>2.39</v>
      </c>
      <c r="O19" s="428">
        <f>collocatie!$J$117</f>
        <v>0.44960350000000004</v>
      </c>
      <c r="P19" s="429">
        <f>INDEX('EDC minus lijst ULL'!$E$13:$E$18,MATCH(G19,'EDC minus lijst ULL'!$A$13:$A$18,0))</f>
        <v>1</v>
      </c>
      <c r="Q19" s="429">
        <f>INDEX('EDC minus lijst ULL'!$K$13:$K$18,MATCH(G19,'EDC minus lijst ULL'!$A$13:$A$18,0))+INDEX('EDC minus lijst ULL'!$L$13:$L$18,MATCH(G19,'EDC minus lijst ULL'!$A$13:$A$18,0))</f>
        <v>2</v>
      </c>
      <c r="R19" s="347">
        <f t="shared" si="1"/>
        <v>13.769603500000001</v>
      </c>
      <c r="S19" s="348">
        <f t="shared" si="2"/>
        <v>15.963214611111113</v>
      </c>
      <c r="U19" s="430" t="str">
        <f t="shared" si="3"/>
        <v>EOK tot 20 MbStandardNLS type 1/2/3</v>
      </c>
      <c r="V19" s="575">
        <f t="shared" si="4"/>
        <v>11.769603500000001</v>
      </c>
      <c r="W19" s="575">
        <f>L19*'Parameters ULL'!$E$10</f>
        <v>78.97</v>
      </c>
      <c r="X19" s="313" t="s">
        <v>426</v>
      </c>
      <c r="Y19" s="407">
        <f t="shared" si="5"/>
        <v>2</v>
      </c>
      <c r="Z19" s="313" t="s">
        <v>427</v>
      </c>
      <c r="AA19" s="407">
        <f t="shared" si="6"/>
        <v>2</v>
      </c>
      <c r="AB19" s="406"/>
      <c r="AC19" s="408"/>
    </row>
    <row r="20" spans="1:29" s="313" customFormat="1">
      <c r="A20" s="299"/>
      <c r="B20" s="299"/>
      <c r="C20" s="342" t="s">
        <v>3322</v>
      </c>
      <c r="D20" s="342" t="s">
        <v>3279</v>
      </c>
      <c r="E20" s="342"/>
      <c r="F20" s="342" t="s">
        <v>296</v>
      </c>
      <c r="G20" s="342" t="s">
        <v>3134</v>
      </c>
      <c r="H20" s="343">
        <f>INDEX('Parameters ULL'!$E$47:$E$52,MATCH(G20,'Parameters ULL'!$D$47:$D$52,0),0)</f>
        <v>1</v>
      </c>
      <c r="I20" s="427">
        <f>IF(D20="NLS type 1/2/3",1*'Parameters ULL'!$E$28+(H20-1)*'Inkoop tarief elementen'!$E$13,H20*'Inkoop tarief elementen'!$E$11)/'Parameters ULL'!$E$10</f>
        <v>0.36472222222222223</v>
      </c>
      <c r="J20" s="344">
        <f>H20*'Inkoop tarief elementen'!$E$21/'Parameters ULL'!$E$10</f>
        <v>0.1713888888888889</v>
      </c>
      <c r="K20" s="344">
        <f>H20*'Inkoop tarief elementen'!$E$33/'Parameters ULL'!$E$10</f>
        <v>5.5833333333333325E-2</v>
      </c>
      <c r="L20" s="345">
        <f t="shared" si="0"/>
        <v>0.59194444444444438</v>
      </c>
      <c r="M20" s="346">
        <f>H20*'Inkoop tarief elementen'!$E$26</f>
        <v>7.93</v>
      </c>
      <c r="N20" s="346">
        <f>IF(F20="Standard",H20*'Inkoop tarief elementen'!$E$38,H20*'Inkoop tarief elementen'!$E$39)</f>
        <v>2.39</v>
      </c>
      <c r="O20" s="428">
        <f>collocatie!$J$117</f>
        <v>0.44960350000000004</v>
      </c>
      <c r="P20" s="429">
        <f>INDEX('EDC minus lijst ULL'!$E$13:$E$18,MATCH(G20,'EDC minus lijst ULL'!$A$13:$A$18,0))</f>
        <v>1</v>
      </c>
      <c r="Q20" s="429">
        <f>INDEX('EDC minus lijst ULL'!$K$13:$K$18,MATCH(G20,'EDC minus lijst ULL'!$A$13:$A$18,0))+INDEX('EDC minus lijst ULL'!$L$13:$L$18,MATCH(G20,'EDC minus lijst ULL'!$A$13:$A$18,0))</f>
        <v>2</v>
      </c>
      <c r="R20" s="347">
        <f t="shared" si="1"/>
        <v>13.769603500000001</v>
      </c>
      <c r="S20" s="348">
        <f t="shared" si="2"/>
        <v>14.361547944444444</v>
      </c>
      <c r="U20" s="430" t="str">
        <f t="shared" si="3"/>
        <v>EOK tot 5 MbStandardtelco-telco</v>
      </c>
      <c r="V20" s="575">
        <f t="shared" si="4"/>
        <v>11.769603500000001</v>
      </c>
      <c r="W20" s="575">
        <f>L20*'Parameters ULL'!$E$10</f>
        <v>21.31</v>
      </c>
      <c r="X20" s="313" t="s">
        <v>426</v>
      </c>
      <c r="Y20" s="407">
        <f t="shared" si="5"/>
        <v>2</v>
      </c>
      <c r="Z20" s="313" t="s">
        <v>427</v>
      </c>
      <c r="AA20" s="407">
        <f t="shared" si="6"/>
        <v>2</v>
      </c>
      <c r="AB20" s="406"/>
      <c r="AC20" s="408"/>
    </row>
    <row r="21" spans="1:29" s="313" customFormat="1">
      <c r="A21" s="299"/>
      <c r="B21" s="299"/>
      <c r="C21" s="342" t="s">
        <v>3322</v>
      </c>
      <c r="D21" s="342" t="s">
        <v>3279</v>
      </c>
      <c r="E21" s="342"/>
      <c r="F21" s="342" t="s">
        <v>296</v>
      </c>
      <c r="G21" s="342" t="s">
        <v>3135</v>
      </c>
      <c r="H21" s="343">
        <f>INDEX('Parameters ULL'!$E$47:$E$52,MATCH(G21,'Parameters ULL'!$D$47:$D$52,0),0)</f>
        <v>1</v>
      </c>
      <c r="I21" s="427">
        <f>IF(D21="NLS type 1/2/3",1*'Parameters ULL'!$E$28+(H21-1)*'Inkoop tarief elementen'!$E$13,H21*'Inkoop tarief elementen'!$E$11)/'Parameters ULL'!$E$10</f>
        <v>0.36472222222222223</v>
      </c>
      <c r="J21" s="344">
        <f>H21*'Inkoop tarief elementen'!$E$21/'Parameters ULL'!$E$10</f>
        <v>0.1713888888888889</v>
      </c>
      <c r="K21" s="344">
        <f>H21*'Inkoop tarief elementen'!$E$33/'Parameters ULL'!$E$10</f>
        <v>5.5833333333333325E-2</v>
      </c>
      <c r="L21" s="345">
        <f t="shared" si="0"/>
        <v>0.59194444444444438</v>
      </c>
      <c r="M21" s="346">
        <f>H21*'Inkoop tarief elementen'!$E$26</f>
        <v>7.93</v>
      </c>
      <c r="N21" s="346">
        <f>IF(F21="Standard",H21*'Inkoop tarief elementen'!$E$38,H21*'Inkoop tarief elementen'!$E$39)</f>
        <v>2.39</v>
      </c>
      <c r="O21" s="428">
        <f>collocatie!$J$117</f>
        <v>0.44960350000000004</v>
      </c>
      <c r="P21" s="429">
        <f>INDEX('EDC minus lijst ULL'!$E$13:$E$18,MATCH(G21,'EDC minus lijst ULL'!$A$13:$A$18,0))</f>
        <v>1</v>
      </c>
      <c r="Q21" s="429">
        <f>INDEX('EDC minus lijst ULL'!$K$13:$K$18,MATCH(G21,'EDC minus lijst ULL'!$A$13:$A$18,0))+INDEX('EDC minus lijst ULL'!$L$13:$L$18,MATCH(G21,'EDC minus lijst ULL'!$A$13:$A$18,0))</f>
        <v>2</v>
      </c>
      <c r="R21" s="347">
        <f t="shared" si="1"/>
        <v>13.769603500000001</v>
      </c>
      <c r="S21" s="348">
        <f t="shared" si="2"/>
        <v>14.361547944444444</v>
      </c>
      <c r="U21" s="430" t="str">
        <f t="shared" si="3"/>
        <v>EOK tot 10 MbStandardtelco-telco</v>
      </c>
      <c r="V21" s="575">
        <f t="shared" si="4"/>
        <v>11.769603500000001</v>
      </c>
      <c r="W21" s="575">
        <f>L21*'Parameters ULL'!$E$10</f>
        <v>21.31</v>
      </c>
      <c r="X21" s="313" t="s">
        <v>426</v>
      </c>
      <c r="Y21" s="407">
        <f t="shared" si="5"/>
        <v>2</v>
      </c>
      <c r="Z21" s="313" t="s">
        <v>427</v>
      </c>
      <c r="AA21" s="407">
        <f t="shared" si="6"/>
        <v>2</v>
      </c>
      <c r="AB21" s="406"/>
      <c r="AC21" s="408"/>
    </row>
    <row r="22" spans="1:29" s="313" customFormat="1">
      <c r="A22" s="299"/>
      <c r="B22" s="299"/>
      <c r="C22" s="342" t="s">
        <v>3322</v>
      </c>
      <c r="D22" s="342" t="s">
        <v>3279</v>
      </c>
      <c r="E22" s="342"/>
      <c r="F22" s="342" t="s">
        <v>296</v>
      </c>
      <c r="G22" s="342" t="s">
        <v>3137</v>
      </c>
      <c r="H22" s="343">
        <f>INDEX('Parameters ULL'!$E$47:$E$52,MATCH(G22,'Parameters ULL'!$D$47:$D$52,0),0)</f>
        <v>1</v>
      </c>
      <c r="I22" s="427">
        <f>IF(D22="NLS type 1/2/3",1*'Parameters ULL'!$E$28+(H22-1)*'Inkoop tarief elementen'!$E$13,H22*'Inkoop tarief elementen'!$E$11)/'Parameters ULL'!$E$10</f>
        <v>0.36472222222222223</v>
      </c>
      <c r="J22" s="344">
        <f>H22*'Inkoop tarief elementen'!$E$21/'Parameters ULL'!$E$10</f>
        <v>0.1713888888888889</v>
      </c>
      <c r="K22" s="344">
        <f>H22*'Inkoop tarief elementen'!$E$33/'Parameters ULL'!$E$10</f>
        <v>5.5833333333333325E-2</v>
      </c>
      <c r="L22" s="345">
        <f t="shared" si="0"/>
        <v>0.59194444444444438</v>
      </c>
      <c r="M22" s="346">
        <f>H22*'Inkoop tarief elementen'!$E$26</f>
        <v>7.93</v>
      </c>
      <c r="N22" s="346">
        <f>IF(F22="Standard",H22*'Inkoop tarief elementen'!$E$38,H22*'Inkoop tarief elementen'!$E$39)</f>
        <v>2.39</v>
      </c>
      <c r="O22" s="428">
        <f>collocatie!$J$117</f>
        <v>0.44960350000000004</v>
      </c>
      <c r="P22" s="429">
        <f>INDEX('EDC minus lijst ULL'!$E$13:$E$18,MATCH(G22,'EDC minus lijst ULL'!$A$13:$A$18,0))</f>
        <v>1</v>
      </c>
      <c r="Q22" s="429">
        <f>INDEX('EDC minus lijst ULL'!$K$13:$K$18,MATCH(G22,'EDC minus lijst ULL'!$A$13:$A$18,0))+INDEX('EDC minus lijst ULL'!$L$13:$L$18,MATCH(G22,'EDC minus lijst ULL'!$A$13:$A$18,0))</f>
        <v>2</v>
      </c>
      <c r="R22" s="347">
        <f t="shared" si="1"/>
        <v>13.769603500000001</v>
      </c>
      <c r="S22" s="348">
        <f t="shared" si="2"/>
        <v>14.361547944444444</v>
      </c>
      <c r="U22" s="430" t="str">
        <f t="shared" si="3"/>
        <v>EOK tot 20 MbStandardtelco-telco</v>
      </c>
      <c r="V22" s="575">
        <f t="shared" si="4"/>
        <v>11.769603500000001</v>
      </c>
      <c r="W22" s="575">
        <f>L22*'Parameters ULL'!$E$10</f>
        <v>21.31</v>
      </c>
      <c r="X22" s="313" t="s">
        <v>426</v>
      </c>
      <c r="Y22" s="407">
        <f t="shared" si="5"/>
        <v>2</v>
      </c>
      <c r="Z22" s="313" t="s">
        <v>427</v>
      </c>
      <c r="AA22" s="407">
        <f t="shared" si="6"/>
        <v>2</v>
      </c>
      <c r="AB22" s="406"/>
      <c r="AC22" s="408"/>
    </row>
    <row r="23" spans="1:29" s="313" customFormat="1">
      <c r="A23" s="299"/>
      <c r="B23" s="299"/>
      <c r="C23" s="342" t="s">
        <v>3322</v>
      </c>
      <c r="D23" s="342" t="s">
        <v>3331</v>
      </c>
      <c r="E23" s="342"/>
      <c r="F23" s="342" t="s">
        <v>297</v>
      </c>
      <c r="G23" s="342" t="s">
        <v>3134</v>
      </c>
      <c r="H23" s="343">
        <f>INDEX('Parameters ULL'!$E$47:$E$52,MATCH(G23,'Parameters ULL'!$D$47:$D$52,0),0)</f>
        <v>1</v>
      </c>
      <c r="I23" s="427">
        <f>IF(D23="NLS type 1/2/3",1*'Parameters ULL'!$E$28+(H23-1)*'Inkoop tarief elementen'!$E$13,H23*'Inkoop tarief elementen'!$E$11)/'Parameters ULL'!$E$10</f>
        <v>1.966388888888889</v>
      </c>
      <c r="J23" s="344">
        <f>H23*'Inkoop tarief elementen'!$E$21/'Parameters ULL'!$E$10</f>
        <v>0.1713888888888889</v>
      </c>
      <c r="K23" s="344">
        <f>H23*'Inkoop tarief elementen'!$E$33/'Parameters ULL'!$E$10</f>
        <v>5.5833333333333325E-2</v>
      </c>
      <c r="L23" s="345">
        <f t="shared" si="0"/>
        <v>2.1936111111111112</v>
      </c>
      <c r="M23" s="346">
        <f>H23*'Inkoop tarief elementen'!$E$26</f>
        <v>7.93</v>
      </c>
      <c r="N23" s="346">
        <f>IF(F23="Standard",H23*'Inkoop tarief elementen'!$E$38,H23*'Inkoop tarief elementen'!$E$39)</f>
        <v>5.35</v>
      </c>
      <c r="O23" s="428">
        <f>collocatie!$J$117</f>
        <v>0.44960350000000004</v>
      </c>
      <c r="P23" s="429">
        <f>INDEX('EDC minus lijst ULL'!$E$13:$E$18,MATCH(G23,'EDC minus lijst ULL'!$A$13:$A$18,0))</f>
        <v>1</v>
      </c>
      <c r="Q23" s="429">
        <f>INDEX('EDC minus lijst ULL'!$K$13:$K$18,MATCH(G23,'EDC minus lijst ULL'!$A$13:$A$18,0))+INDEX('EDC minus lijst ULL'!$L$13:$L$18,MATCH(G23,'EDC minus lijst ULL'!$A$13:$A$18,0))</f>
        <v>2</v>
      </c>
      <c r="R23" s="347">
        <f t="shared" si="1"/>
        <v>16.7296035</v>
      </c>
      <c r="S23" s="348">
        <f t="shared" si="2"/>
        <v>18.92321461111111</v>
      </c>
      <c r="U23" s="430" t="str">
        <f t="shared" si="3"/>
        <v>EOK tot 5 MbAdvancedNLS type 1/2/3</v>
      </c>
      <c r="V23" s="575">
        <f t="shared" si="4"/>
        <v>14.7296035</v>
      </c>
      <c r="W23" s="575">
        <f>L23*'Parameters ULL'!$E$10</f>
        <v>78.97</v>
      </c>
      <c r="X23" s="313" t="s">
        <v>426</v>
      </c>
      <c r="Y23" s="407">
        <f t="shared" si="5"/>
        <v>2</v>
      </c>
      <c r="Z23" s="313" t="s">
        <v>427</v>
      </c>
      <c r="AA23" s="407">
        <f t="shared" si="6"/>
        <v>2</v>
      </c>
      <c r="AB23" s="406"/>
      <c r="AC23" s="408"/>
    </row>
    <row r="24" spans="1:29" s="313" customFormat="1">
      <c r="A24" s="299"/>
      <c r="B24" s="299"/>
      <c r="C24" s="342" t="s">
        <v>3322</v>
      </c>
      <c r="D24" s="342" t="s">
        <v>3331</v>
      </c>
      <c r="E24" s="342"/>
      <c r="F24" s="342" t="s">
        <v>297</v>
      </c>
      <c r="G24" s="342" t="s">
        <v>3135</v>
      </c>
      <c r="H24" s="343">
        <f>INDEX('Parameters ULL'!$E$47:$E$52,MATCH(G24,'Parameters ULL'!$D$47:$D$52,0),0)</f>
        <v>1</v>
      </c>
      <c r="I24" s="427">
        <f>IF(D24="NLS type 1/2/3",1*'Parameters ULL'!$E$28+(H24-1)*'Inkoop tarief elementen'!$E$13,H24*'Inkoop tarief elementen'!$E$11)/'Parameters ULL'!$E$10</f>
        <v>1.966388888888889</v>
      </c>
      <c r="J24" s="344">
        <f>H24*'Inkoop tarief elementen'!$E$21/'Parameters ULL'!$E$10</f>
        <v>0.1713888888888889</v>
      </c>
      <c r="K24" s="344">
        <f>H24*'Inkoop tarief elementen'!$E$33/'Parameters ULL'!$E$10</f>
        <v>5.5833333333333325E-2</v>
      </c>
      <c r="L24" s="345">
        <f t="shared" si="0"/>
        <v>2.1936111111111112</v>
      </c>
      <c r="M24" s="346">
        <f>H24*'Inkoop tarief elementen'!$E$26</f>
        <v>7.93</v>
      </c>
      <c r="N24" s="346">
        <f>IF(F24="Standard",H24*'Inkoop tarief elementen'!$E$38,H24*'Inkoop tarief elementen'!$E$39)</f>
        <v>5.35</v>
      </c>
      <c r="O24" s="428">
        <f>collocatie!$J$117</f>
        <v>0.44960350000000004</v>
      </c>
      <c r="P24" s="429">
        <f>INDEX('EDC minus lijst ULL'!$E$13:$E$18,MATCH(G24,'EDC minus lijst ULL'!$A$13:$A$18,0))</f>
        <v>1</v>
      </c>
      <c r="Q24" s="429">
        <f>INDEX('EDC minus lijst ULL'!$K$13:$K$18,MATCH(G24,'EDC minus lijst ULL'!$A$13:$A$18,0))+INDEX('EDC minus lijst ULL'!$L$13:$L$18,MATCH(G24,'EDC minus lijst ULL'!$A$13:$A$18,0))</f>
        <v>2</v>
      </c>
      <c r="R24" s="347">
        <f t="shared" si="1"/>
        <v>16.7296035</v>
      </c>
      <c r="S24" s="348">
        <f t="shared" si="2"/>
        <v>18.92321461111111</v>
      </c>
      <c r="U24" s="430" t="str">
        <f t="shared" si="3"/>
        <v>EOK tot 10 MbAdvancedNLS type 1/2/3</v>
      </c>
      <c r="V24" s="575">
        <f t="shared" si="4"/>
        <v>14.7296035</v>
      </c>
      <c r="W24" s="575">
        <f>L24*'Parameters ULL'!$E$10</f>
        <v>78.97</v>
      </c>
      <c r="X24" s="313" t="s">
        <v>426</v>
      </c>
      <c r="Y24" s="407">
        <f t="shared" si="5"/>
        <v>2</v>
      </c>
      <c r="Z24" s="313" t="s">
        <v>427</v>
      </c>
      <c r="AA24" s="407">
        <f t="shared" si="6"/>
        <v>2</v>
      </c>
      <c r="AB24" s="406"/>
      <c r="AC24" s="408"/>
    </row>
    <row r="25" spans="1:29" s="313" customFormat="1">
      <c r="A25" s="299"/>
      <c r="B25" s="299"/>
      <c r="C25" s="342" t="s">
        <v>3322</v>
      </c>
      <c r="D25" s="342" t="s">
        <v>3331</v>
      </c>
      <c r="E25" s="342"/>
      <c r="F25" s="342" t="s">
        <v>297</v>
      </c>
      <c r="G25" s="342" t="s">
        <v>3137</v>
      </c>
      <c r="H25" s="343">
        <f>INDEX('Parameters ULL'!$E$47:$E$52,MATCH(G25,'Parameters ULL'!$D$47:$D$52,0),0)</f>
        <v>1</v>
      </c>
      <c r="I25" s="427">
        <f>IF(D25="NLS type 1/2/3",1*'Parameters ULL'!$E$28+(H25-1)*'Inkoop tarief elementen'!$E$13,H25*'Inkoop tarief elementen'!$E$11)/'Parameters ULL'!$E$10</f>
        <v>1.966388888888889</v>
      </c>
      <c r="J25" s="344">
        <f>H25*'Inkoop tarief elementen'!$E$21/'Parameters ULL'!$E$10</f>
        <v>0.1713888888888889</v>
      </c>
      <c r="K25" s="344">
        <f>H25*'Inkoop tarief elementen'!$E$33/'Parameters ULL'!$E$10</f>
        <v>5.5833333333333325E-2</v>
      </c>
      <c r="L25" s="345">
        <f t="shared" si="0"/>
        <v>2.1936111111111112</v>
      </c>
      <c r="M25" s="346">
        <f>H25*'Inkoop tarief elementen'!$E$26</f>
        <v>7.93</v>
      </c>
      <c r="N25" s="346">
        <f>IF(F25="Standard",H25*'Inkoop tarief elementen'!$E$38,H25*'Inkoop tarief elementen'!$E$39)</f>
        <v>5.35</v>
      </c>
      <c r="O25" s="428">
        <f>collocatie!$J$117</f>
        <v>0.44960350000000004</v>
      </c>
      <c r="P25" s="429">
        <f>INDEX('EDC minus lijst ULL'!$E$13:$E$18,MATCH(G25,'EDC minus lijst ULL'!$A$13:$A$18,0))</f>
        <v>1</v>
      </c>
      <c r="Q25" s="429">
        <f>INDEX('EDC minus lijst ULL'!$K$13:$K$18,MATCH(G25,'EDC minus lijst ULL'!$A$13:$A$18,0))+INDEX('EDC minus lijst ULL'!$L$13:$L$18,MATCH(G25,'EDC minus lijst ULL'!$A$13:$A$18,0))</f>
        <v>2</v>
      </c>
      <c r="R25" s="347">
        <f t="shared" si="1"/>
        <v>16.7296035</v>
      </c>
      <c r="S25" s="348">
        <f t="shared" si="2"/>
        <v>18.92321461111111</v>
      </c>
      <c r="U25" s="430" t="str">
        <f t="shared" si="3"/>
        <v>EOK tot 20 MbAdvancedNLS type 1/2/3</v>
      </c>
      <c r="V25" s="575">
        <f t="shared" si="4"/>
        <v>14.7296035</v>
      </c>
      <c r="W25" s="575">
        <f>L25*'Parameters ULL'!$E$10</f>
        <v>78.97</v>
      </c>
      <c r="X25" s="313" t="s">
        <v>426</v>
      </c>
      <c r="Y25" s="407">
        <f t="shared" si="5"/>
        <v>2</v>
      </c>
      <c r="Z25" s="313" t="s">
        <v>427</v>
      </c>
      <c r="AA25" s="407">
        <f t="shared" si="6"/>
        <v>2</v>
      </c>
      <c r="AB25" s="406"/>
      <c r="AC25" s="408"/>
    </row>
    <row r="26" spans="1:29" s="313" customFormat="1">
      <c r="A26" s="299"/>
      <c r="B26" s="299"/>
      <c r="C26" s="342" t="s">
        <v>3322</v>
      </c>
      <c r="D26" s="342" t="s">
        <v>3279</v>
      </c>
      <c r="E26" s="342"/>
      <c r="F26" s="342" t="s">
        <v>297</v>
      </c>
      <c r="G26" s="342" t="s">
        <v>3134</v>
      </c>
      <c r="H26" s="343">
        <f>INDEX('Parameters ULL'!$E$47:$E$52,MATCH(G26,'Parameters ULL'!$D$47:$D$52,0),0)</f>
        <v>1</v>
      </c>
      <c r="I26" s="427">
        <f>IF(D26="NLS type 1/2/3",1*'Parameters ULL'!$E$28+(H26-1)*'Inkoop tarief elementen'!$E$13,H26*'Inkoop tarief elementen'!$E$11)/'Parameters ULL'!$E$10</f>
        <v>0.36472222222222223</v>
      </c>
      <c r="J26" s="344">
        <f>H26*'Inkoop tarief elementen'!$E$21/'Parameters ULL'!$E$10</f>
        <v>0.1713888888888889</v>
      </c>
      <c r="K26" s="344">
        <f>H26*'Inkoop tarief elementen'!$E$33/'Parameters ULL'!$E$10</f>
        <v>5.5833333333333325E-2</v>
      </c>
      <c r="L26" s="345">
        <f t="shared" si="0"/>
        <v>0.59194444444444438</v>
      </c>
      <c r="M26" s="346">
        <f>H26*'Inkoop tarief elementen'!$E$26</f>
        <v>7.93</v>
      </c>
      <c r="N26" s="346">
        <f>IF(F26="Standard",H26*'Inkoop tarief elementen'!$E$38,H26*'Inkoop tarief elementen'!$E$39)</f>
        <v>5.35</v>
      </c>
      <c r="O26" s="428">
        <f>collocatie!$J$117</f>
        <v>0.44960350000000004</v>
      </c>
      <c r="P26" s="429">
        <f>INDEX('EDC minus lijst ULL'!$E$13:$E$18,MATCH(G26,'EDC minus lijst ULL'!$A$13:$A$18,0))</f>
        <v>1</v>
      </c>
      <c r="Q26" s="429">
        <f>INDEX('EDC minus lijst ULL'!$K$13:$K$18,MATCH(G26,'EDC minus lijst ULL'!$A$13:$A$18,0))+INDEX('EDC minus lijst ULL'!$L$13:$L$18,MATCH(G26,'EDC minus lijst ULL'!$A$13:$A$18,0))</f>
        <v>2</v>
      </c>
      <c r="R26" s="347">
        <f t="shared" si="1"/>
        <v>16.7296035</v>
      </c>
      <c r="S26" s="348">
        <f t="shared" si="2"/>
        <v>17.321547944444443</v>
      </c>
      <c r="U26" s="430" t="str">
        <f t="shared" si="3"/>
        <v>EOK tot 5 MbAdvancedtelco-telco</v>
      </c>
      <c r="V26" s="575">
        <f t="shared" si="4"/>
        <v>14.7296035</v>
      </c>
      <c r="W26" s="575">
        <f>L26*'Parameters ULL'!$E$10</f>
        <v>21.31</v>
      </c>
      <c r="X26" s="313" t="s">
        <v>426</v>
      </c>
      <c r="Y26" s="407">
        <f t="shared" si="5"/>
        <v>2</v>
      </c>
      <c r="Z26" s="313" t="s">
        <v>427</v>
      </c>
      <c r="AA26" s="407">
        <f t="shared" si="6"/>
        <v>2</v>
      </c>
      <c r="AB26" s="406"/>
      <c r="AC26" s="408"/>
    </row>
    <row r="27" spans="1:29" s="313" customFormat="1">
      <c r="A27" s="299"/>
      <c r="B27" s="299"/>
      <c r="C27" s="342" t="s">
        <v>3322</v>
      </c>
      <c r="D27" s="342" t="s">
        <v>3279</v>
      </c>
      <c r="E27" s="342"/>
      <c r="F27" s="342" t="s">
        <v>297</v>
      </c>
      <c r="G27" s="342" t="s">
        <v>3135</v>
      </c>
      <c r="H27" s="343">
        <f>INDEX('Parameters ULL'!$E$47:$E$52,MATCH(G27,'Parameters ULL'!$D$47:$D$52,0),0)</f>
        <v>1</v>
      </c>
      <c r="I27" s="427">
        <f>IF(D27="NLS type 1/2/3",1*'Parameters ULL'!$E$28+(H27-1)*'Inkoop tarief elementen'!$E$13,H27*'Inkoop tarief elementen'!$E$11)/'Parameters ULL'!$E$10</f>
        <v>0.36472222222222223</v>
      </c>
      <c r="J27" s="344">
        <f>H27*'Inkoop tarief elementen'!$E$21/'Parameters ULL'!$E$10</f>
        <v>0.1713888888888889</v>
      </c>
      <c r="K27" s="344">
        <f>H27*'Inkoop tarief elementen'!$E$33/'Parameters ULL'!$E$10</f>
        <v>5.5833333333333325E-2</v>
      </c>
      <c r="L27" s="345">
        <f t="shared" si="0"/>
        <v>0.59194444444444438</v>
      </c>
      <c r="M27" s="346">
        <f>H27*'Inkoop tarief elementen'!$E$26</f>
        <v>7.93</v>
      </c>
      <c r="N27" s="346">
        <f>IF(F27="Standard",H27*'Inkoop tarief elementen'!$E$38,H27*'Inkoop tarief elementen'!$E$39)</f>
        <v>5.35</v>
      </c>
      <c r="O27" s="428">
        <f>collocatie!$J$117</f>
        <v>0.44960350000000004</v>
      </c>
      <c r="P27" s="429">
        <f>INDEX('EDC minus lijst ULL'!$E$13:$E$18,MATCH(G27,'EDC minus lijst ULL'!$A$13:$A$18,0))</f>
        <v>1</v>
      </c>
      <c r="Q27" s="429">
        <f>INDEX('EDC minus lijst ULL'!$K$13:$K$18,MATCH(G27,'EDC minus lijst ULL'!$A$13:$A$18,0))+INDEX('EDC minus lijst ULL'!$L$13:$L$18,MATCH(G27,'EDC minus lijst ULL'!$A$13:$A$18,0))</f>
        <v>2</v>
      </c>
      <c r="R27" s="347">
        <f t="shared" si="1"/>
        <v>16.7296035</v>
      </c>
      <c r="S27" s="348">
        <f t="shared" si="2"/>
        <v>17.321547944444443</v>
      </c>
      <c r="U27" s="430" t="str">
        <f t="shared" si="3"/>
        <v>EOK tot 10 MbAdvancedtelco-telco</v>
      </c>
      <c r="V27" s="575">
        <f t="shared" si="4"/>
        <v>14.7296035</v>
      </c>
      <c r="W27" s="575">
        <f>L27*'Parameters ULL'!$E$10</f>
        <v>21.31</v>
      </c>
      <c r="X27" s="313" t="s">
        <v>426</v>
      </c>
      <c r="Y27" s="407">
        <f t="shared" si="5"/>
        <v>2</v>
      </c>
      <c r="Z27" s="313" t="s">
        <v>427</v>
      </c>
      <c r="AA27" s="407">
        <f t="shared" si="6"/>
        <v>2</v>
      </c>
      <c r="AB27" s="406"/>
      <c r="AC27" s="408"/>
    </row>
    <row r="28" spans="1:29" s="313" customFormat="1">
      <c r="A28" s="299"/>
      <c r="B28" s="299"/>
      <c r="C28" s="342" t="s">
        <v>3322</v>
      </c>
      <c r="D28" s="342" t="s">
        <v>3279</v>
      </c>
      <c r="E28" s="342"/>
      <c r="F28" s="342" t="s">
        <v>297</v>
      </c>
      <c r="G28" s="342" t="s">
        <v>3137</v>
      </c>
      <c r="H28" s="343">
        <f>INDEX('Parameters ULL'!$E$47:$E$52,MATCH(G28,'Parameters ULL'!$D$47:$D$52,0),0)</f>
        <v>1</v>
      </c>
      <c r="I28" s="427">
        <f>IF(D28="NLS type 1/2/3",1*'Parameters ULL'!$E$28+(H28-1)*'Inkoop tarief elementen'!$E$13,H28*'Inkoop tarief elementen'!$E$11)/'Parameters ULL'!$E$10</f>
        <v>0.36472222222222223</v>
      </c>
      <c r="J28" s="344">
        <f>H28*'Inkoop tarief elementen'!$E$21/'Parameters ULL'!$E$10</f>
        <v>0.1713888888888889</v>
      </c>
      <c r="K28" s="344">
        <f>H28*'Inkoop tarief elementen'!$E$33/'Parameters ULL'!$E$10</f>
        <v>5.5833333333333325E-2</v>
      </c>
      <c r="L28" s="345">
        <f t="shared" si="0"/>
        <v>0.59194444444444438</v>
      </c>
      <c r="M28" s="346">
        <f>H28*'Inkoop tarief elementen'!$E$26</f>
        <v>7.93</v>
      </c>
      <c r="N28" s="346">
        <f>IF(F28="Standard",H28*'Inkoop tarief elementen'!$E$38,H28*'Inkoop tarief elementen'!$E$39)</f>
        <v>5.35</v>
      </c>
      <c r="O28" s="428">
        <f>collocatie!$J$117</f>
        <v>0.44960350000000004</v>
      </c>
      <c r="P28" s="429">
        <f>INDEX('EDC minus lijst ULL'!$E$13:$E$18,MATCH(G28,'EDC minus lijst ULL'!$A$13:$A$18,0))</f>
        <v>1</v>
      </c>
      <c r="Q28" s="429">
        <f>INDEX('EDC minus lijst ULL'!$K$13:$K$18,MATCH(G28,'EDC minus lijst ULL'!$A$13:$A$18,0))+INDEX('EDC minus lijst ULL'!$L$13:$L$18,MATCH(G28,'EDC minus lijst ULL'!$A$13:$A$18,0))</f>
        <v>2</v>
      </c>
      <c r="R28" s="347">
        <f t="shared" si="1"/>
        <v>16.7296035</v>
      </c>
      <c r="S28" s="348">
        <f t="shared" si="2"/>
        <v>17.321547944444443</v>
      </c>
      <c r="U28" s="430" t="str">
        <f t="shared" si="3"/>
        <v>EOK tot 20 MbAdvancedtelco-telco</v>
      </c>
      <c r="V28" s="575">
        <f t="shared" si="4"/>
        <v>14.7296035</v>
      </c>
      <c r="W28" s="575">
        <f>L28*'Parameters ULL'!$E$10</f>
        <v>21.31</v>
      </c>
      <c r="X28" s="313" t="s">
        <v>426</v>
      </c>
      <c r="Y28" s="407">
        <f t="shared" si="5"/>
        <v>2</v>
      </c>
      <c r="Z28" s="313" t="s">
        <v>427</v>
      </c>
      <c r="AA28" s="407">
        <f t="shared" si="6"/>
        <v>2</v>
      </c>
      <c r="AB28" s="406"/>
      <c r="AC28" s="408"/>
    </row>
    <row r="29" spans="1:29" s="313" customFormat="1">
      <c r="A29" s="299"/>
      <c r="B29" s="299"/>
      <c r="C29" s="342" t="s">
        <v>3322</v>
      </c>
      <c r="D29" s="342" t="s">
        <v>3331</v>
      </c>
      <c r="E29" s="342"/>
      <c r="F29" s="342" t="s">
        <v>296</v>
      </c>
      <c r="G29" s="342" t="s">
        <v>3133</v>
      </c>
      <c r="H29" s="343">
        <f>INDEX('Parameters ULL'!$E$47:$E$52,MATCH(G29,'Parameters ULL'!$D$47:$D$52,0),0)</f>
        <v>1</v>
      </c>
      <c r="I29" s="427">
        <f>IF(D29="NLS type 1/2/3",1*'Parameters ULL'!$E$28+(H29-1)*'Inkoop tarief elementen'!$E$13,H29*'Inkoop tarief elementen'!$E$11)/'Parameters ULL'!$E$10</f>
        <v>1.966388888888889</v>
      </c>
      <c r="J29" s="344">
        <f>H29*'Inkoop tarief elementen'!$E$21/'Parameters ULL'!$E$10</f>
        <v>0.1713888888888889</v>
      </c>
      <c r="K29" s="344">
        <f>H29*'Inkoop tarief elementen'!$E$33/'Parameters ULL'!$E$10</f>
        <v>5.5833333333333325E-2</v>
      </c>
      <c r="L29" s="345">
        <f t="shared" si="0"/>
        <v>2.1936111111111112</v>
      </c>
      <c r="M29" s="346">
        <f>H29*'Inkoop tarief elementen'!$E$26</f>
        <v>7.93</v>
      </c>
      <c r="N29" s="346">
        <f>IF(F29="Standard",H29*'Inkoop tarief elementen'!$E$38,H29*'Inkoop tarief elementen'!$E$39)</f>
        <v>2.39</v>
      </c>
      <c r="O29" s="428">
        <f>collocatie!$J$117</f>
        <v>0.44960350000000004</v>
      </c>
      <c r="P29" s="429">
        <f>INDEX('EDC minus lijst ULL'!$E$13:$E$18,MATCH(G29,'EDC minus lijst ULL'!$A$13:$A$18,0))</f>
        <v>1</v>
      </c>
      <c r="Q29" s="429">
        <f>INDEX('EDC minus lijst ULL'!$K$13:$K$18,MATCH(G29,'EDC minus lijst ULL'!$A$13:$A$18,0))+INDEX('EDC minus lijst ULL'!$L$13:$L$18,MATCH(G29,'EDC minus lijst ULL'!$A$13:$A$18,0))</f>
        <v>2</v>
      </c>
      <c r="R29" s="347">
        <f t="shared" si="1"/>
        <v>13.769603500000001</v>
      </c>
      <c r="S29" s="348">
        <f t="shared" si="2"/>
        <v>15.963214611111113</v>
      </c>
      <c r="U29" s="430" t="str">
        <f t="shared" si="3"/>
        <v>EOK tot 3 MbStandardNLS type 1/2/3</v>
      </c>
      <c r="V29" s="575">
        <f t="shared" si="4"/>
        <v>11.769603500000001</v>
      </c>
      <c r="W29" s="575">
        <f>L29*'Parameters ULL'!$E$10</f>
        <v>78.97</v>
      </c>
      <c r="X29" s="313" t="s">
        <v>426</v>
      </c>
      <c r="Y29" s="407">
        <f t="shared" si="5"/>
        <v>2</v>
      </c>
      <c r="Z29" s="313" t="s">
        <v>427</v>
      </c>
      <c r="AA29" s="407">
        <f t="shared" si="6"/>
        <v>2</v>
      </c>
      <c r="AB29" s="406"/>
      <c r="AC29" s="408"/>
    </row>
    <row r="30" spans="1:29" s="313" customFormat="1">
      <c r="A30" s="299"/>
      <c r="B30" s="299"/>
      <c r="C30" s="342" t="s">
        <v>3322</v>
      </c>
      <c r="D30" s="342" t="s">
        <v>3279</v>
      </c>
      <c r="E30" s="342"/>
      <c r="F30" s="342" t="s">
        <v>296</v>
      </c>
      <c r="G30" s="342" t="s">
        <v>3133</v>
      </c>
      <c r="H30" s="343">
        <f>INDEX('Parameters ULL'!$E$47:$E$52,MATCH(G30,'Parameters ULL'!$D$47:$D$52,0),0)</f>
        <v>1</v>
      </c>
      <c r="I30" s="427">
        <f>IF(D30="NLS type 1/2/3",1*'Parameters ULL'!$E$28+(H30-1)*'Inkoop tarief elementen'!$E$13,H30*'Inkoop tarief elementen'!$E$11)/'Parameters ULL'!$E$10</f>
        <v>0.36472222222222223</v>
      </c>
      <c r="J30" s="344">
        <f>H30*'Inkoop tarief elementen'!$E$21/'Parameters ULL'!$E$10</f>
        <v>0.1713888888888889</v>
      </c>
      <c r="K30" s="344">
        <f>H30*'Inkoop tarief elementen'!$E$33/'Parameters ULL'!$E$10</f>
        <v>5.5833333333333325E-2</v>
      </c>
      <c r="L30" s="345">
        <f t="shared" si="0"/>
        <v>0.59194444444444438</v>
      </c>
      <c r="M30" s="346">
        <f>H30*'Inkoop tarief elementen'!$E$26</f>
        <v>7.93</v>
      </c>
      <c r="N30" s="346">
        <f>IF(F30="Standard",H30*'Inkoop tarief elementen'!$E$38,H30*'Inkoop tarief elementen'!$E$39)</f>
        <v>2.39</v>
      </c>
      <c r="O30" s="428">
        <f>collocatie!$J$117</f>
        <v>0.44960350000000004</v>
      </c>
      <c r="P30" s="429">
        <f>INDEX('EDC minus lijst ULL'!$E$13:$E$18,MATCH(G30,'EDC minus lijst ULL'!$A$13:$A$18,0))</f>
        <v>1</v>
      </c>
      <c r="Q30" s="429">
        <f>INDEX('EDC minus lijst ULL'!$K$13:$K$18,MATCH(G30,'EDC minus lijst ULL'!$A$13:$A$18,0))+INDEX('EDC minus lijst ULL'!$L$13:$L$18,MATCH(G30,'EDC minus lijst ULL'!$A$13:$A$18,0))</f>
        <v>2</v>
      </c>
      <c r="R30" s="347">
        <f t="shared" si="1"/>
        <v>13.769603500000001</v>
      </c>
      <c r="S30" s="348">
        <f t="shared" si="2"/>
        <v>14.361547944444444</v>
      </c>
      <c r="U30" s="430" t="str">
        <f t="shared" si="3"/>
        <v>EOK tot 3 MbStandardtelco-telco</v>
      </c>
      <c r="V30" s="575">
        <f t="shared" si="4"/>
        <v>11.769603500000001</v>
      </c>
      <c r="W30" s="575">
        <f>L30*'Parameters ULL'!$E$10</f>
        <v>21.31</v>
      </c>
      <c r="X30" s="313" t="s">
        <v>426</v>
      </c>
      <c r="Y30" s="407">
        <f t="shared" si="5"/>
        <v>2</v>
      </c>
      <c r="Z30" s="313" t="s">
        <v>427</v>
      </c>
      <c r="AA30" s="407">
        <f t="shared" si="6"/>
        <v>2</v>
      </c>
      <c r="AB30" s="406"/>
      <c r="AC30" s="408"/>
    </row>
    <row r="31" spans="1:29" s="313" customFormat="1">
      <c r="A31" s="299"/>
      <c r="B31" s="299"/>
      <c r="C31" s="342" t="s">
        <v>3322</v>
      </c>
      <c r="D31" s="342" t="s">
        <v>3331</v>
      </c>
      <c r="E31" s="342"/>
      <c r="F31" s="342" t="s">
        <v>297</v>
      </c>
      <c r="G31" s="342" t="s">
        <v>3133</v>
      </c>
      <c r="H31" s="343">
        <f>INDEX('Parameters ULL'!$E$47:$E$52,MATCH(G31,'Parameters ULL'!$D$47:$D$52,0),0)</f>
        <v>1</v>
      </c>
      <c r="I31" s="427">
        <f>IF(D31="NLS type 1/2/3",1*'Parameters ULL'!$E$28+(H31-1)*'Inkoop tarief elementen'!$E$13,H31*'Inkoop tarief elementen'!$E$11)/'Parameters ULL'!$E$10</f>
        <v>1.966388888888889</v>
      </c>
      <c r="J31" s="344">
        <f>H31*'Inkoop tarief elementen'!$E$21/'Parameters ULL'!$E$10</f>
        <v>0.1713888888888889</v>
      </c>
      <c r="K31" s="344">
        <f>H31*'Inkoop tarief elementen'!$E$33/'Parameters ULL'!$E$10</f>
        <v>5.5833333333333325E-2</v>
      </c>
      <c r="L31" s="345">
        <f t="shared" si="0"/>
        <v>2.1936111111111112</v>
      </c>
      <c r="M31" s="346">
        <f>H31*'Inkoop tarief elementen'!$E$26</f>
        <v>7.93</v>
      </c>
      <c r="N31" s="346">
        <f>IF(F31="Standard",H31*'Inkoop tarief elementen'!$E$38,H31*'Inkoop tarief elementen'!$E$39)</f>
        <v>5.35</v>
      </c>
      <c r="O31" s="428">
        <f>collocatie!$J$117</f>
        <v>0.44960350000000004</v>
      </c>
      <c r="P31" s="429">
        <f>INDEX('EDC minus lijst ULL'!$E$13:$E$18,MATCH(G31,'EDC minus lijst ULL'!$A$13:$A$18,0))</f>
        <v>1</v>
      </c>
      <c r="Q31" s="429">
        <f>INDEX('EDC minus lijst ULL'!$K$13:$K$18,MATCH(G31,'EDC minus lijst ULL'!$A$13:$A$18,0))+INDEX('EDC minus lijst ULL'!$L$13:$L$18,MATCH(G31,'EDC minus lijst ULL'!$A$13:$A$18,0))</f>
        <v>2</v>
      </c>
      <c r="R31" s="347">
        <f t="shared" si="1"/>
        <v>16.7296035</v>
      </c>
      <c r="S31" s="348">
        <f t="shared" si="2"/>
        <v>18.92321461111111</v>
      </c>
      <c r="U31" s="430" t="str">
        <f t="shared" si="3"/>
        <v>EOK tot 3 MbAdvancedNLS type 1/2/3</v>
      </c>
      <c r="V31" s="575">
        <f t="shared" si="4"/>
        <v>14.7296035</v>
      </c>
      <c r="W31" s="575">
        <f>L31*'Parameters ULL'!$E$10</f>
        <v>78.97</v>
      </c>
      <c r="X31" s="313" t="s">
        <v>426</v>
      </c>
      <c r="Y31" s="407">
        <f t="shared" si="5"/>
        <v>2</v>
      </c>
      <c r="Z31" s="313" t="s">
        <v>427</v>
      </c>
      <c r="AA31" s="407">
        <f t="shared" si="6"/>
        <v>2</v>
      </c>
      <c r="AB31" s="406"/>
      <c r="AC31" s="408"/>
    </row>
    <row r="32" spans="1:29" s="313" customFormat="1">
      <c r="A32" s="299"/>
      <c r="B32" s="299"/>
      <c r="C32" s="342" t="s">
        <v>3322</v>
      </c>
      <c r="D32" s="342" t="s">
        <v>3279</v>
      </c>
      <c r="E32" s="342"/>
      <c r="F32" s="342" t="s">
        <v>297</v>
      </c>
      <c r="G32" s="342" t="s">
        <v>3133</v>
      </c>
      <c r="H32" s="343">
        <f>INDEX('Parameters ULL'!$E$47:$E$52,MATCH(G32,'Parameters ULL'!$D$47:$D$52,0),0)</f>
        <v>1</v>
      </c>
      <c r="I32" s="427">
        <f>IF(D32="NLS type 1/2/3",1*'Parameters ULL'!$E$28+(H32-1)*'Inkoop tarief elementen'!$E$13,H32*'Inkoop tarief elementen'!$E$11)/'Parameters ULL'!$E$10</f>
        <v>0.36472222222222223</v>
      </c>
      <c r="J32" s="344">
        <f>H32*'Inkoop tarief elementen'!$E$21/'Parameters ULL'!$E$10</f>
        <v>0.1713888888888889</v>
      </c>
      <c r="K32" s="344">
        <f>H32*'Inkoop tarief elementen'!$E$33/'Parameters ULL'!$E$10</f>
        <v>5.5833333333333325E-2</v>
      </c>
      <c r="L32" s="345">
        <f t="shared" si="0"/>
        <v>0.59194444444444438</v>
      </c>
      <c r="M32" s="346">
        <f>H32*'Inkoop tarief elementen'!$E$26</f>
        <v>7.93</v>
      </c>
      <c r="N32" s="346">
        <f>IF(F32="Standard",H32*'Inkoop tarief elementen'!$E$38,H32*'Inkoop tarief elementen'!$E$39)</f>
        <v>5.35</v>
      </c>
      <c r="O32" s="428">
        <f>collocatie!$J$117</f>
        <v>0.44960350000000004</v>
      </c>
      <c r="P32" s="429">
        <f>INDEX('EDC minus lijst ULL'!$E$13:$E$18,MATCH(G32,'EDC minus lijst ULL'!$A$13:$A$18,0))</f>
        <v>1</v>
      </c>
      <c r="Q32" s="429">
        <f>INDEX('EDC minus lijst ULL'!$K$13:$K$18,MATCH(G32,'EDC minus lijst ULL'!$A$13:$A$18,0))+INDEX('EDC minus lijst ULL'!$L$13:$L$18,MATCH(G32,'EDC minus lijst ULL'!$A$13:$A$18,0))</f>
        <v>2</v>
      </c>
      <c r="R32" s="347">
        <f t="shared" si="1"/>
        <v>16.7296035</v>
      </c>
      <c r="S32" s="348">
        <f t="shared" si="2"/>
        <v>17.321547944444443</v>
      </c>
      <c r="U32" s="430" t="str">
        <f t="shared" si="3"/>
        <v>EOK tot 3 MbAdvancedtelco-telco</v>
      </c>
      <c r="V32" s="575">
        <f t="shared" si="4"/>
        <v>14.7296035</v>
      </c>
      <c r="W32" s="575">
        <f>L32*'Parameters ULL'!$E$10</f>
        <v>21.31</v>
      </c>
      <c r="X32" s="313" t="s">
        <v>426</v>
      </c>
      <c r="Y32" s="407">
        <f t="shared" si="5"/>
        <v>2</v>
      </c>
      <c r="Z32" s="313" t="s">
        <v>427</v>
      </c>
      <c r="AA32" s="407">
        <f t="shared" si="6"/>
        <v>2</v>
      </c>
      <c r="AB32" s="406"/>
      <c r="AC32" s="408"/>
    </row>
    <row r="33" spans="1:29" s="313" customFormat="1">
      <c r="A33" s="299"/>
      <c r="B33" s="299"/>
      <c r="C33" s="342" t="s">
        <v>3322</v>
      </c>
      <c r="D33" s="342" t="s">
        <v>3331</v>
      </c>
      <c r="E33" s="342"/>
      <c r="F33" s="342" t="s">
        <v>296</v>
      </c>
      <c r="G33" s="342" t="s">
        <v>3136</v>
      </c>
      <c r="H33" s="343">
        <f>INDEX('Parameters ULL'!$E$47:$E$52,MATCH(G33,'Parameters ULL'!$D$47:$D$52,0),0)</f>
        <v>1</v>
      </c>
      <c r="I33" s="427">
        <f>IF(D33="NLS type 1/2/3",1*'Parameters ULL'!$E$28+(H33-1)*'Inkoop tarief elementen'!$E$13,H33*'Inkoop tarief elementen'!$E$11)/'Parameters ULL'!$E$10</f>
        <v>1.966388888888889</v>
      </c>
      <c r="J33" s="344">
        <f>H33*'Inkoop tarief elementen'!$E$21/'Parameters ULL'!$E$10</f>
        <v>0.1713888888888889</v>
      </c>
      <c r="K33" s="344">
        <f>H33*'Inkoop tarief elementen'!$E$33/'Parameters ULL'!$E$10</f>
        <v>5.5833333333333325E-2</v>
      </c>
      <c r="L33" s="345">
        <f t="shared" si="0"/>
        <v>2.1936111111111112</v>
      </c>
      <c r="M33" s="346">
        <f>H33*'Inkoop tarief elementen'!$E$26</f>
        <v>7.93</v>
      </c>
      <c r="N33" s="346">
        <f>IF(F33="Standard",H33*'Inkoop tarief elementen'!$E$38,H33*'Inkoop tarief elementen'!$E$39)</f>
        <v>2.39</v>
      </c>
      <c r="O33" s="428">
        <f>collocatie!$J$117</f>
        <v>0.44960350000000004</v>
      </c>
      <c r="P33" s="429">
        <f>INDEX('EDC minus lijst ULL'!$E$13:$E$18,MATCH(G33,'EDC minus lijst ULL'!$A$13:$A$18,0))</f>
        <v>1</v>
      </c>
      <c r="Q33" s="429">
        <f>INDEX('EDC minus lijst ULL'!$K$13:$K$18,MATCH(G33,'EDC minus lijst ULL'!$A$13:$A$18,0))+INDEX('EDC minus lijst ULL'!$L$13:$L$18,MATCH(G33,'EDC minus lijst ULL'!$A$13:$A$18,0))</f>
        <v>2</v>
      </c>
      <c r="R33" s="347">
        <f t="shared" si="1"/>
        <v>13.769603500000001</v>
      </c>
      <c r="S33" s="348">
        <f t="shared" si="2"/>
        <v>15.963214611111113</v>
      </c>
      <c r="U33" s="430" t="str">
        <f t="shared" si="3"/>
        <v>EOK tot 15 MbStandardNLS type 1/2/3</v>
      </c>
      <c r="V33" s="575">
        <f t="shared" si="4"/>
        <v>11.769603500000001</v>
      </c>
      <c r="W33" s="575">
        <f>L33*'Parameters ULL'!$E$10</f>
        <v>78.97</v>
      </c>
      <c r="X33" s="313" t="s">
        <v>426</v>
      </c>
      <c r="Y33" s="407">
        <f t="shared" si="5"/>
        <v>2</v>
      </c>
      <c r="Z33" s="313" t="s">
        <v>427</v>
      </c>
      <c r="AA33" s="407">
        <f t="shared" si="6"/>
        <v>2</v>
      </c>
      <c r="AB33" s="406"/>
      <c r="AC33" s="408"/>
    </row>
    <row r="34" spans="1:29" s="313" customFormat="1">
      <c r="A34" s="299"/>
      <c r="B34" s="299"/>
      <c r="C34" s="342" t="s">
        <v>3322</v>
      </c>
      <c r="D34" s="342" t="s">
        <v>3279</v>
      </c>
      <c r="E34" s="342"/>
      <c r="F34" s="342" t="s">
        <v>296</v>
      </c>
      <c r="G34" s="342" t="s">
        <v>3136</v>
      </c>
      <c r="H34" s="343">
        <f>INDEX('Parameters ULL'!$E$47:$E$52,MATCH(G34,'Parameters ULL'!$D$47:$D$52,0),0)</f>
        <v>1</v>
      </c>
      <c r="I34" s="427">
        <f>IF(D34="NLS type 1/2/3",1*'Parameters ULL'!$E$28+(H34-1)*'Inkoop tarief elementen'!$E$13,H34*'Inkoop tarief elementen'!$E$11)/'Parameters ULL'!$E$10</f>
        <v>0.36472222222222223</v>
      </c>
      <c r="J34" s="344">
        <f>H34*'Inkoop tarief elementen'!$E$21/'Parameters ULL'!$E$10</f>
        <v>0.1713888888888889</v>
      </c>
      <c r="K34" s="344">
        <f>H34*'Inkoop tarief elementen'!$E$33/'Parameters ULL'!$E$10</f>
        <v>5.5833333333333325E-2</v>
      </c>
      <c r="L34" s="345">
        <f t="shared" si="0"/>
        <v>0.59194444444444438</v>
      </c>
      <c r="M34" s="346">
        <f>H34*'Inkoop tarief elementen'!$E$26</f>
        <v>7.93</v>
      </c>
      <c r="N34" s="346">
        <f>IF(F34="Standard",H34*'Inkoop tarief elementen'!$E$38,H34*'Inkoop tarief elementen'!$E$39)</f>
        <v>2.39</v>
      </c>
      <c r="O34" s="428">
        <f>collocatie!$J$117</f>
        <v>0.44960350000000004</v>
      </c>
      <c r="P34" s="429">
        <f>INDEX('EDC minus lijst ULL'!$E$13:$E$18,MATCH(G34,'EDC minus lijst ULL'!$A$13:$A$18,0))</f>
        <v>1</v>
      </c>
      <c r="Q34" s="429">
        <f>INDEX('EDC minus lijst ULL'!$K$13:$K$18,MATCH(G34,'EDC minus lijst ULL'!$A$13:$A$18,0))+INDEX('EDC minus lijst ULL'!$L$13:$L$18,MATCH(G34,'EDC minus lijst ULL'!$A$13:$A$18,0))</f>
        <v>2</v>
      </c>
      <c r="R34" s="347">
        <f t="shared" si="1"/>
        <v>13.769603500000001</v>
      </c>
      <c r="S34" s="348">
        <f t="shared" si="2"/>
        <v>14.361547944444444</v>
      </c>
      <c r="U34" s="430" t="str">
        <f t="shared" si="3"/>
        <v>EOK tot 15 MbStandardtelco-telco</v>
      </c>
      <c r="V34" s="575">
        <f t="shared" si="4"/>
        <v>11.769603500000001</v>
      </c>
      <c r="W34" s="575">
        <f>L34*'Parameters ULL'!$E$10</f>
        <v>21.31</v>
      </c>
      <c r="X34" s="313" t="s">
        <v>426</v>
      </c>
      <c r="Y34" s="407">
        <f t="shared" si="5"/>
        <v>2</v>
      </c>
      <c r="Z34" s="313" t="s">
        <v>427</v>
      </c>
      <c r="AA34" s="407">
        <f t="shared" si="6"/>
        <v>2</v>
      </c>
      <c r="AB34" s="406"/>
      <c r="AC34" s="408"/>
    </row>
    <row r="35" spans="1:29" s="313" customFormat="1">
      <c r="A35" s="299"/>
      <c r="B35" s="299"/>
      <c r="C35" s="342" t="s">
        <v>3322</v>
      </c>
      <c r="D35" s="342" t="s">
        <v>3331</v>
      </c>
      <c r="E35" s="342"/>
      <c r="F35" s="342" t="s">
        <v>297</v>
      </c>
      <c r="G35" s="342" t="s">
        <v>3136</v>
      </c>
      <c r="H35" s="343">
        <f>INDEX('Parameters ULL'!$E$47:$E$52,MATCH(G35,'Parameters ULL'!$D$47:$D$52,0),0)</f>
        <v>1</v>
      </c>
      <c r="I35" s="427">
        <f>IF(D35="NLS type 1/2/3",1*'Parameters ULL'!$E$28+(H35-1)*'Inkoop tarief elementen'!$E$13,H35*'Inkoop tarief elementen'!$E$11)/'Parameters ULL'!$E$10</f>
        <v>1.966388888888889</v>
      </c>
      <c r="J35" s="344">
        <f>H35*'Inkoop tarief elementen'!$E$21/'Parameters ULL'!$E$10</f>
        <v>0.1713888888888889</v>
      </c>
      <c r="K35" s="344">
        <f>H35*'Inkoop tarief elementen'!$E$33/'Parameters ULL'!$E$10</f>
        <v>5.5833333333333325E-2</v>
      </c>
      <c r="L35" s="345">
        <f t="shared" si="0"/>
        <v>2.1936111111111112</v>
      </c>
      <c r="M35" s="346">
        <f>H35*'Inkoop tarief elementen'!$E$26</f>
        <v>7.93</v>
      </c>
      <c r="N35" s="346">
        <f>IF(F35="Standard",H35*'Inkoop tarief elementen'!$E$38,H35*'Inkoop tarief elementen'!$E$39)</f>
        <v>5.35</v>
      </c>
      <c r="O35" s="428">
        <f>collocatie!$J$117</f>
        <v>0.44960350000000004</v>
      </c>
      <c r="P35" s="429">
        <f>INDEX('EDC minus lijst ULL'!$E$13:$E$18,MATCH(G35,'EDC minus lijst ULL'!$A$13:$A$18,0))</f>
        <v>1</v>
      </c>
      <c r="Q35" s="429">
        <f>INDEX('EDC minus lijst ULL'!$K$13:$K$18,MATCH(G35,'EDC minus lijst ULL'!$A$13:$A$18,0))+INDEX('EDC minus lijst ULL'!$L$13:$L$18,MATCH(G35,'EDC minus lijst ULL'!$A$13:$A$18,0))</f>
        <v>2</v>
      </c>
      <c r="R35" s="347">
        <f t="shared" si="1"/>
        <v>16.7296035</v>
      </c>
      <c r="S35" s="348">
        <f t="shared" si="2"/>
        <v>18.92321461111111</v>
      </c>
      <c r="U35" s="430" t="str">
        <f t="shared" si="3"/>
        <v>EOK tot 15 MbAdvancedNLS type 1/2/3</v>
      </c>
      <c r="V35" s="575">
        <f t="shared" si="4"/>
        <v>14.7296035</v>
      </c>
      <c r="W35" s="575">
        <f>L35*'Parameters ULL'!$E$10</f>
        <v>78.97</v>
      </c>
      <c r="X35" s="313" t="s">
        <v>426</v>
      </c>
      <c r="Y35" s="407">
        <f t="shared" si="5"/>
        <v>2</v>
      </c>
      <c r="Z35" s="313" t="s">
        <v>427</v>
      </c>
      <c r="AA35" s="407">
        <f t="shared" si="6"/>
        <v>2</v>
      </c>
      <c r="AB35" s="406"/>
      <c r="AC35" s="408"/>
    </row>
    <row r="36" spans="1:29" s="313" customFormat="1">
      <c r="A36" s="299"/>
      <c r="B36" s="299"/>
      <c r="C36" s="342" t="s">
        <v>3322</v>
      </c>
      <c r="D36" s="342" t="s">
        <v>3279</v>
      </c>
      <c r="E36" s="342"/>
      <c r="F36" s="342" t="s">
        <v>297</v>
      </c>
      <c r="G36" s="342" t="s">
        <v>3136</v>
      </c>
      <c r="H36" s="343">
        <f>INDEX('Parameters ULL'!$E$47:$E$52,MATCH(G36,'Parameters ULL'!$D$47:$D$52,0),0)</f>
        <v>1</v>
      </c>
      <c r="I36" s="427">
        <f>IF(D36="NLS type 1/2/3",1*'Parameters ULL'!$E$28+(H36-1)*'Inkoop tarief elementen'!$E$13,H36*'Inkoop tarief elementen'!$E$11)/'Parameters ULL'!$E$10</f>
        <v>0.36472222222222223</v>
      </c>
      <c r="J36" s="344">
        <f>H36*'Inkoop tarief elementen'!$E$21/'Parameters ULL'!$E$10</f>
        <v>0.1713888888888889</v>
      </c>
      <c r="K36" s="344">
        <f>H36*'Inkoop tarief elementen'!$E$33/'Parameters ULL'!$E$10</f>
        <v>5.5833333333333325E-2</v>
      </c>
      <c r="L36" s="345">
        <f t="shared" si="0"/>
        <v>0.59194444444444438</v>
      </c>
      <c r="M36" s="346">
        <f>H36*'Inkoop tarief elementen'!$E$26</f>
        <v>7.93</v>
      </c>
      <c r="N36" s="346">
        <f>IF(F36="Standard",H36*'Inkoop tarief elementen'!$E$38,H36*'Inkoop tarief elementen'!$E$39)</f>
        <v>5.35</v>
      </c>
      <c r="O36" s="428">
        <f>collocatie!$J$117</f>
        <v>0.44960350000000004</v>
      </c>
      <c r="P36" s="429">
        <f>INDEX('EDC minus lijst ULL'!$E$13:$E$18,MATCH(G36,'EDC minus lijst ULL'!$A$13:$A$18,0))</f>
        <v>1</v>
      </c>
      <c r="Q36" s="429">
        <f>INDEX('EDC minus lijst ULL'!$K$13:$K$18,MATCH(G36,'EDC minus lijst ULL'!$A$13:$A$18,0))+INDEX('EDC minus lijst ULL'!$L$13:$L$18,MATCH(G36,'EDC minus lijst ULL'!$A$13:$A$18,0))</f>
        <v>2</v>
      </c>
      <c r="R36" s="347">
        <f t="shared" si="1"/>
        <v>16.7296035</v>
      </c>
      <c r="S36" s="348">
        <f t="shared" si="2"/>
        <v>17.321547944444443</v>
      </c>
      <c r="U36" s="430" t="str">
        <f>G36&amp;F36&amp;D36</f>
        <v>EOK tot 15 MbAdvancedtelco-telco</v>
      </c>
      <c r="V36" s="575">
        <f t="shared" si="4"/>
        <v>14.7296035</v>
      </c>
      <c r="W36" s="575">
        <f>L36*'Parameters ULL'!$E$10</f>
        <v>21.31</v>
      </c>
      <c r="X36" s="313" t="s">
        <v>426</v>
      </c>
      <c r="Y36" s="407">
        <f t="shared" si="5"/>
        <v>2</v>
      </c>
      <c r="Z36" s="313" t="s">
        <v>427</v>
      </c>
      <c r="AA36" s="407">
        <f t="shared" si="6"/>
        <v>2</v>
      </c>
      <c r="AB36" s="406"/>
      <c r="AC36" s="408"/>
    </row>
    <row r="37" spans="1:29"/>
    <row r="38" spans="1:29"/>
    <row r="39" spans="1:29"/>
    <row r="40" spans="1:29"/>
    <row r="41" spans="1:29"/>
    <row r="42" spans="1:29"/>
    <row r="43" spans="1:29"/>
    <row r="44" spans="1:29"/>
    <row r="45" spans="1:29"/>
    <row r="46" spans="1:29"/>
    <row r="47" spans="1:29"/>
    <row r="48" spans="1:29"/>
    <row r="49"/>
    <row r="50"/>
    <row r="51"/>
    <row r="52"/>
    <row r="53"/>
    <row r="54"/>
    <row r="55"/>
    <row r="56"/>
    <row r="57"/>
    <row r="58"/>
    <row r="59"/>
    <row r="60"/>
    <row r="61"/>
    <row r="62"/>
    <row r="63"/>
    <row r="64"/>
    <row r="65"/>
    <row r="66"/>
    <row r="67"/>
    <row r="68"/>
    <row r="69"/>
    <row r="70"/>
    <row r="71"/>
    <row r="72"/>
    <row r="73"/>
    <row r="74"/>
    <row r="75"/>
    <row r="76"/>
    <row r="77"/>
    <row r="78"/>
    <row r="79"/>
    <row r="80"/>
    <row r="81"/>
    <row r="82"/>
    <row r="83"/>
    <row r="84"/>
    <row r="85"/>
    <row r="86"/>
    <row r="87"/>
    <row r="88"/>
    <row r="89"/>
    <row r="90"/>
    <row r="91"/>
    <row r="92"/>
    <row r="93"/>
    <row r="94"/>
    <row r="95"/>
    <row r="96"/>
    <row r="97"/>
    <row r="98"/>
    <row r="99"/>
    <row r="100"/>
    <row r="101"/>
    <row r="102"/>
    <row r="103"/>
    <row r="104"/>
    <row r="105"/>
    <row r="106"/>
    <row r="107"/>
    <row r="108"/>
    <row r="109"/>
    <row r="110"/>
    <row r="111"/>
    <row r="112"/>
    <row r="113"/>
    <row r="114"/>
    <row r="115"/>
    <row r="116"/>
    <row r="117"/>
    <row r="118"/>
    <row r="119"/>
    <row r="120"/>
    <row r="121"/>
    <row r="122"/>
    <row r="123"/>
    <row r="124"/>
    <row r="125"/>
    <row r="126"/>
    <row r="127"/>
    <row r="128"/>
    <row r="129"/>
    <row r="130"/>
    <row r="131"/>
    <row r="132"/>
    <row r="133"/>
    <row r="134"/>
    <row r="135"/>
    <row r="136"/>
    <row r="137"/>
    <row r="138"/>
    <row r="139"/>
    <row r="140"/>
    <row r="141"/>
    <row r="142"/>
    <row r="143"/>
    <row r="144"/>
    <row r="145"/>
    <row r="146"/>
    <row r="147"/>
    <row r="148"/>
    <row r="149"/>
    <row r="150"/>
    <row r="151"/>
    <row r="152"/>
    <row r="153"/>
    <row r="154"/>
    <row r="155"/>
    <row r="156"/>
    <row r="157"/>
    <row r="158"/>
    <row r="159"/>
    <row r="160"/>
    <row r="161"/>
    <row r="162"/>
    <row r="163"/>
    <row r="164"/>
    <row r="165"/>
    <row r="166"/>
    <row r="167"/>
    <row r="168"/>
    <row r="169"/>
    <row r="170"/>
    <row r="171"/>
    <row r="172"/>
    <row r="173"/>
    <row r="174"/>
    <row r="175"/>
    <row r="176"/>
    <row r="177"/>
    <row r="178"/>
    <row r="179"/>
    <row r="180"/>
    <row r="181"/>
    <row r="182"/>
    <row r="183"/>
    <row r="184"/>
    <row r="185"/>
    <row r="186"/>
    <row r="187"/>
    <row r="188"/>
    <row r="189"/>
    <row r="190"/>
    <row r="191"/>
    <row r="192"/>
    <row r="193"/>
    <row r="194"/>
    <row r="195"/>
    <row r="196"/>
    <row r="197"/>
    <row r="198"/>
    <row r="199"/>
    <row r="200"/>
    <row r="201"/>
    <row r="202"/>
    <row r="203"/>
    <row r="204"/>
    <row r="205"/>
    <row r="206"/>
    <row r="207"/>
    <row r="208"/>
    <row r="209"/>
    <row r="210"/>
    <row r="211"/>
    <row r="212"/>
    <row r="213"/>
    <row r="214"/>
    <row r="215"/>
    <row r="216"/>
    <row r="217"/>
    <row r="218"/>
    <row r="219"/>
    <row r="220"/>
    <row r="221"/>
    <row r="222"/>
    <row r="223"/>
    <row r="224"/>
    <row r="225"/>
    <row r="226"/>
    <row r="227"/>
    <row r="228"/>
    <row r="229"/>
    <row r="230"/>
    <row r="231"/>
    <row r="232"/>
    <row r="233"/>
    <row r="234"/>
    <row r="235"/>
    <row r="236"/>
    <row r="237"/>
    <row r="238"/>
    <row r="239"/>
    <row r="240"/>
    <row r="241"/>
    <row r="242"/>
    <row r="243"/>
    <row r="244"/>
    <row r="245"/>
    <row r="246"/>
    <row r="247"/>
    <row r="248"/>
    <row r="249"/>
    <row r="250"/>
    <row r="251"/>
    <row r="252"/>
    <row r="253"/>
    <row r="254"/>
    <row r="255"/>
    <row r="256"/>
    <row r="257"/>
    <row r="258"/>
    <row r="259"/>
    <row r="260"/>
    <row r="261"/>
    <row r="262"/>
    <row r="263"/>
    <row r="264"/>
    <row r="265"/>
    <row r="266"/>
    <row r="267"/>
    <row r="268"/>
    <row r="269"/>
    <row r="270"/>
    <row r="271"/>
    <row r="272"/>
    <row r="273"/>
    <row r="274"/>
    <row r="275"/>
    <row r="276"/>
    <row r="277"/>
    <row r="278"/>
    <row r="279"/>
    <row r="280"/>
    <row r="281"/>
    <row r="282"/>
    <row r="283"/>
    <row r="284"/>
    <row r="285"/>
    <row r="286"/>
    <row r="287"/>
    <row r="288"/>
    <row r="289"/>
    <row r="290"/>
    <row r="291"/>
    <row r="292"/>
    <row r="293"/>
    <row r="294"/>
    <row r="295"/>
    <row r="296"/>
    <row r="297"/>
    <row r="298"/>
    <row r="299"/>
    <row r="300"/>
    <row r="301"/>
    <row r="302"/>
    <row r="303"/>
    <row r="304"/>
    <row r="305"/>
    <row r="306"/>
    <row r="307"/>
    <row r="308"/>
    <row r="309"/>
    <row r="310"/>
    <row r="311"/>
    <row r="312"/>
    <row r="313"/>
    <row r="314"/>
    <row r="315"/>
    <row r="316"/>
    <row r="317"/>
    <row r="318"/>
    <row r="319"/>
    <row r="320"/>
    <row r="321"/>
    <row r="322"/>
    <row r="323"/>
    <row r="324"/>
    <row r="325"/>
    <row r="326"/>
    <row r="327"/>
    <row r="328"/>
    <row r="329"/>
    <row r="330"/>
    <row r="331"/>
    <row r="332"/>
    <row r="333"/>
    <row r="334"/>
    <row r="335"/>
    <row r="336"/>
    <row r="337"/>
    <row r="338"/>
    <row r="339"/>
    <row r="340"/>
    <row r="341"/>
    <row r="342"/>
    <row r="343"/>
    <row r="344"/>
    <row r="345"/>
    <row r="346"/>
    <row r="347"/>
    <row r="348"/>
    <row r="349"/>
    <row r="350"/>
    <row r="351"/>
    <row r="352"/>
    <row r="353"/>
    <row r="354"/>
    <row r="355"/>
    <row r="356"/>
    <row r="357"/>
    <row r="358"/>
    <row r="359"/>
    <row r="360"/>
    <row r="361"/>
    <row r="362"/>
    <row r="363"/>
    <row r="364"/>
    <row r="365"/>
    <row r="366"/>
    <row r="367"/>
    <row r="368"/>
    <row r="369"/>
    <row r="370"/>
    <row r="371"/>
    <row r="372"/>
    <row r="373"/>
    <row r="374"/>
    <row r="375"/>
    <row r="376"/>
    <row r="377"/>
    <row r="378"/>
    <row r="379"/>
    <row r="380"/>
    <row r="381"/>
    <row r="382"/>
    <row r="383"/>
    <row r="384"/>
    <row r="385"/>
    <row r="386"/>
    <row r="387"/>
    <row r="388"/>
    <row r="389"/>
    <row r="390"/>
    <row r="391"/>
    <row r="392"/>
    <row r="393"/>
    <row r="394"/>
    <row r="395"/>
    <row r="396"/>
    <row r="397"/>
    <row r="398"/>
    <row r="399"/>
    <row r="400"/>
    <row r="401"/>
    <row r="402"/>
    <row r="403"/>
    <row r="404"/>
    <row r="405"/>
    <row r="406"/>
    <row r="407"/>
    <row r="408"/>
    <row r="409"/>
    <row r="410"/>
    <row r="411"/>
    <row r="412"/>
    <row r="413"/>
    <row r="414"/>
    <row r="415"/>
    <row r="416"/>
    <row r="417"/>
    <row r="418"/>
    <row r="419"/>
    <row r="420"/>
    <row r="421"/>
    <row r="422"/>
    <row r="423"/>
    <row r="424"/>
    <row r="425"/>
    <row r="426"/>
    <row r="427"/>
    <row r="428"/>
    <row r="429"/>
    <row r="430"/>
    <row r="431"/>
    <row r="432"/>
    <row r="433"/>
    <row r="434"/>
    <row r="435"/>
    <row r="436"/>
    <row r="437"/>
    <row r="438"/>
    <row r="439"/>
    <row r="440"/>
    <row r="441"/>
    <row r="442"/>
    <row r="443"/>
    <row r="444"/>
    <row r="445"/>
    <row r="446"/>
    <row r="447"/>
    <row r="448"/>
    <row r="449"/>
    <row r="450"/>
    <row r="451"/>
    <row r="452"/>
    <row r="453"/>
    <row r="454"/>
    <row r="455"/>
    <row r="456"/>
    <row r="457"/>
    <row r="458"/>
    <row r="459"/>
    <row r="460"/>
    <row r="461"/>
    <row r="462"/>
    <row r="463"/>
    <row r="464"/>
    <row r="465"/>
    <row r="466"/>
    <row r="467"/>
    <row r="468"/>
    <row r="469"/>
    <row r="470"/>
    <row r="471"/>
    <row r="472"/>
    <row r="473"/>
    <row r="474"/>
    <row r="475"/>
    <row r="476"/>
    <row r="477"/>
    <row r="478"/>
    <row r="479"/>
    <row r="480"/>
    <row r="481"/>
    <row r="482"/>
    <row r="483"/>
    <row r="484"/>
    <row r="485"/>
    <row r="486"/>
    <row r="487"/>
    <row r="488"/>
    <row r="489"/>
    <row r="490"/>
    <row r="491"/>
    <row r="492"/>
    <row r="493"/>
    <row r="494"/>
    <row r="495"/>
    <row r="496"/>
    <row r="497"/>
    <row r="498"/>
    <row r="499"/>
    <row r="500"/>
    <row r="501"/>
    <row r="502"/>
    <row r="503"/>
    <row r="504"/>
    <row r="505"/>
    <row r="506"/>
    <row r="507"/>
    <row r="508"/>
    <row r="509"/>
    <row r="510"/>
    <row r="511"/>
    <row r="512"/>
    <row r="513"/>
    <row r="514"/>
    <row r="515"/>
    <row r="516"/>
    <row r="517"/>
    <row r="518"/>
    <row r="519"/>
    <row r="520"/>
    <row r="521"/>
    <row r="522"/>
    <row r="523"/>
    <row r="524"/>
    <row r="525"/>
    <row r="526"/>
    <row r="527"/>
    <row r="528"/>
    <row r="529"/>
    <row r="530"/>
    <row r="531"/>
    <row r="532"/>
    <row r="533"/>
    <row r="534"/>
    <row r="535"/>
    <row r="536"/>
    <row r="537"/>
    <row r="538"/>
    <row r="539"/>
    <row r="540"/>
    <row r="541"/>
    <row r="542"/>
    <row r="543"/>
    <row r="544"/>
    <row r="545"/>
    <row r="546"/>
    <row r="547"/>
    <row r="548"/>
    <row r="549"/>
    <row r="550"/>
    <row r="551"/>
    <row r="552"/>
    <row r="553"/>
    <row r="554"/>
    <row r="555"/>
    <row r="556"/>
    <row r="557"/>
    <row r="558"/>
    <row r="559"/>
    <row r="560"/>
    <row r="561"/>
    <row r="562"/>
    <row r="563"/>
    <row r="564"/>
    <row r="565"/>
    <row r="566"/>
    <row r="567"/>
    <row r="568"/>
    <row r="569"/>
    <row r="570"/>
    <row r="571"/>
    <row r="572"/>
    <row r="573"/>
    <row r="574"/>
    <row r="575"/>
    <row r="576"/>
    <row r="577"/>
    <row r="578"/>
    <row r="579"/>
    <row r="580"/>
    <row r="581"/>
    <row r="582"/>
    <row r="583"/>
    <row r="584"/>
    <row r="585"/>
    <row r="586"/>
    <row r="587"/>
    <row r="588"/>
    <row r="589"/>
    <row r="590"/>
    <row r="591"/>
    <row r="592"/>
    <row r="593"/>
    <row r="594"/>
    <row r="595"/>
    <row r="596"/>
    <row r="597"/>
    <row r="598"/>
    <row r="599"/>
    <row r="600"/>
    <row r="601"/>
    <row r="602"/>
    <row r="603"/>
    <row r="604"/>
    <row r="605"/>
    <row r="606"/>
    <row r="607"/>
    <row r="608"/>
    <row r="609"/>
    <row r="610"/>
    <row r="611"/>
    <row r="612"/>
    <row r="613"/>
    <row r="614"/>
    <row r="615"/>
    <row r="616"/>
    <row r="617"/>
    <row r="618"/>
    <row r="619"/>
    <row r="620"/>
    <row r="621"/>
    <row r="622"/>
    <row r="623"/>
    <row r="624"/>
    <row r="625"/>
    <row r="626"/>
    <row r="627"/>
    <row r="628"/>
    <row r="629"/>
    <row r="630"/>
    <row r="631"/>
    <row r="632"/>
    <row r="633"/>
    <row r="634"/>
    <row r="635"/>
    <row r="636"/>
    <row r="637"/>
    <row r="638"/>
    <row r="639"/>
    <row r="640"/>
    <row r="641"/>
    <row r="642"/>
    <row r="643"/>
    <row r="644"/>
    <row r="645"/>
    <row r="646"/>
    <row r="647"/>
    <row r="648"/>
    <row r="649"/>
    <row r="650"/>
    <row r="651"/>
    <row r="652"/>
    <row r="653"/>
    <row r="654"/>
    <row r="655"/>
    <row r="656"/>
    <row r="657"/>
    <row r="658"/>
    <row r="659"/>
    <row r="660"/>
    <row r="661"/>
    <row r="662"/>
    <row r="663"/>
    <row r="664"/>
    <row r="665"/>
    <row r="666"/>
    <row r="667"/>
    <row r="668"/>
    <row r="669"/>
    <row r="670"/>
    <row r="671"/>
    <row r="672"/>
    <row r="673"/>
    <row r="674"/>
    <row r="675"/>
    <row r="676"/>
    <row r="677"/>
    <row r="678"/>
    <row r="679"/>
    <row r="680"/>
    <row r="681"/>
    <row r="682"/>
    <row r="683"/>
    <row r="684"/>
    <row r="685"/>
    <row r="686"/>
    <row r="687"/>
    <row r="688"/>
    <row r="689"/>
    <row r="690"/>
    <row r="691"/>
    <row r="692"/>
    <row r="693"/>
    <row r="694"/>
    <row r="695"/>
    <row r="696"/>
    <row r="697"/>
    <row r="698"/>
    <row r="699"/>
    <row r="700"/>
    <row r="701"/>
    <row r="702"/>
    <row r="703"/>
    <row r="704"/>
    <row r="705"/>
    <row r="706"/>
    <row r="707"/>
    <row r="708"/>
    <row r="709"/>
    <row r="710"/>
    <row r="711"/>
    <row r="712"/>
    <row r="713"/>
    <row r="714"/>
    <row r="715"/>
    <row r="716"/>
    <row r="717"/>
    <row r="718"/>
    <row r="719"/>
    <row r="720"/>
    <row r="721"/>
    <row r="722"/>
    <row r="723"/>
    <row r="724"/>
    <row r="725"/>
    <row r="726"/>
    <row r="727"/>
    <row r="728"/>
    <row r="729"/>
    <row r="730"/>
    <row r="731"/>
    <row r="732"/>
    <row r="733"/>
    <row r="734"/>
    <row r="735"/>
    <row r="736"/>
    <row r="737"/>
    <row r="738"/>
    <row r="739"/>
    <row r="740"/>
    <row r="741"/>
    <row r="742"/>
    <row r="743"/>
    <row r="744"/>
    <row r="745"/>
    <row r="746"/>
    <row r="747"/>
    <row r="748"/>
    <row r="749"/>
    <row r="750"/>
    <row r="751"/>
    <row r="752"/>
    <row r="753"/>
    <row r="754"/>
    <row r="755"/>
    <row r="756"/>
    <row r="757"/>
    <row r="758"/>
    <row r="759"/>
    <row r="760"/>
    <row r="761"/>
    <row r="762"/>
    <row r="763"/>
    <row r="764"/>
    <row r="765"/>
    <row r="766"/>
    <row r="767"/>
    <row r="768"/>
    <row r="769"/>
    <row r="770"/>
    <row r="771"/>
    <row r="772"/>
    <row r="773"/>
    <row r="774"/>
    <row r="775"/>
    <row r="776"/>
    <row r="777"/>
    <row r="778"/>
    <row r="779"/>
    <row r="780"/>
    <row r="781"/>
    <row r="782"/>
    <row r="783"/>
    <row r="784"/>
    <row r="785"/>
    <row r="786"/>
    <row r="787"/>
    <row r="788"/>
    <row r="789"/>
    <row r="790"/>
    <row r="791"/>
    <row r="792"/>
    <row r="793"/>
    <row r="794"/>
    <row r="795"/>
    <row r="796"/>
    <row r="797"/>
    <row r="798"/>
    <row r="799"/>
    <row r="800"/>
    <row r="801"/>
    <row r="802"/>
    <row r="803"/>
    <row r="804"/>
    <row r="805"/>
    <row r="806"/>
    <row r="807"/>
    <row r="808"/>
    <row r="809"/>
    <row r="810"/>
    <row r="811"/>
    <row r="812"/>
    <row r="813"/>
    <row r="814"/>
    <row r="815"/>
    <row r="816"/>
    <row r="817"/>
    <row r="818"/>
    <row r="819"/>
    <row r="820"/>
    <row r="821"/>
    <row r="822"/>
    <row r="823"/>
    <row r="824"/>
    <row r="825"/>
    <row r="826"/>
    <row r="827"/>
    <row r="828"/>
    <row r="829"/>
    <row r="830"/>
    <row r="831"/>
    <row r="832"/>
    <row r="833"/>
    <row r="834"/>
    <row r="835"/>
    <row r="836"/>
    <row r="837"/>
    <row r="838"/>
    <row r="839"/>
    <row r="840"/>
    <row r="841"/>
    <row r="842"/>
    <row r="843"/>
    <row r="844"/>
    <row r="845"/>
    <row r="846"/>
    <row r="847"/>
    <row r="848"/>
    <row r="849"/>
    <row r="850"/>
    <row r="851"/>
    <row r="852"/>
    <row r="853"/>
    <row r="854"/>
    <row r="855"/>
    <row r="856"/>
    <row r="857"/>
    <row r="858"/>
    <row r="859"/>
    <row r="860"/>
    <row r="861"/>
    <row r="862"/>
    <row r="863"/>
    <row r="864"/>
    <row r="865"/>
    <row r="866"/>
    <row r="867"/>
    <row r="868"/>
    <row r="869"/>
    <row r="870"/>
    <row r="871"/>
    <row r="872"/>
    <row r="873"/>
    <row r="874"/>
    <row r="875"/>
    <row r="876"/>
    <row r="877"/>
    <row r="878"/>
    <row r="879"/>
    <row r="880"/>
    <row r="881"/>
    <row r="882"/>
    <row r="883"/>
    <row r="884"/>
    <row r="885"/>
    <row r="886"/>
    <row r="887"/>
    <row r="888"/>
    <row r="889"/>
    <row r="890"/>
    <row r="891"/>
    <row r="892"/>
    <row r="893"/>
    <row r="894"/>
    <row r="895"/>
    <row r="896"/>
    <row r="897"/>
    <row r="898"/>
    <row r="899"/>
    <row r="900"/>
    <row r="901"/>
    <row r="902"/>
    <row r="903"/>
    <row r="904"/>
    <row r="905"/>
    <row r="906"/>
    <row r="907"/>
    <row r="908"/>
    <row r="909"/>
    <row r="910"/>
    <row r="911"/>
    <row r="912"/>
    <row r="913"/>
    <row r="914"/>
    <row r="915"/>
    <row r="916"/>
    <row r="917"/>
    <row r="918"/>
    <row r="919"/>
    <row r="920"/>
    <row r="921"/>
    <row r="922"/>
    <row r="923"/>
    <row r="924"/>
    <row r="925"/>
    <row r="926"/>
    <row r="927"/>
    <row r="928"/>
    <row r="929"/>
    <row r="930"/>
    <row r="931"/>
    <row r="932"/>
    <row r="933"/>
    <row r="934"/>
    <row r="935"/>
    <row r="936"/>
    <row r="937"/>
    <row r="938"/>
    <row r="939"/>
    <row r="940"/>
    <row r="941"/>
    <row r="942"/>
    <row r="943"/>
    <row r="944"/>
    <row r="945"/>
    <row r="946"/>
    <row r="947"/>
    <row r="948"/>
    <row r="949"/>
    <row r="950"/>
    <row r="951"/>
    <row r="952"/>
    <row r="953"/>
    <row r="954"/>
    <row r="955"/>
    <row r="956"/>
    <row r="957"/>
    <row r="958"/>
    <row r="959"/>
    <row r="960"/>
    <row r="961"/>
    <row r="962"/>
    <row r="963"/>
    <row r="964"/>
    <row r="965"/>
    <row r="966"/>
    <row r="967"/>
    <row r="968"/>
    <row r="969"/>
    <row r="970"/>
    <row r="971"/>
    <row r="972"/>
    <row r="973"/>
    <row r="974"/>
    <row r="975"/>
    <row r="976"/>
    <row r="977"/>
    <row r="978"/>
    <row r="979"/>
    <row r="980"/>
    <row r="981"/>
    <row r="982"/>
    <row r="983"/>
    <row r="984"/>
    <row r="985"/>
    <row r="986"/>
    <row r="987"/>
    <row r="988"/>
    <row r="989"/>
    <row r="990"/>
    <row r="991"/>
    <row r="992"/>
    <row r="993"/>
    <row r="994"/>
    <row r="995"/>
    <row r="996"/>
    <row r="997"/>
    <row r="998"/>
    <row r="999"/>
    <row r="1000"/>
    <row r="1001"/>
    <row r="1002"/>
    <row r="1003"/>
    <row r="1004"/>
    <row r="1005"/>
    <row r="1006"/>
    <row r="1007"/>
    <row r="1008"/>
    <row r="1009"/>
    <row r="1010"/>
    <row r="1011"/>
    <row r="1012"/>
    <row r="1013"/>
    <row r="1014"/>
    <row r="1015"/>
    <row r="1016"/>
    <row r="1017"/>
    <row r="1018"/>
    <row r="1019"/>
    <row r="1020"/>
    <row r="1021"/>
    <row r="1022"/>
    <row r="1023"/>
    <row r="1024"/>
    <row r="1025"/>
    <row r="1026"/>
    <row r="1027"/>
    <row r="1028"/>
    <row r="1029"/>
    <row r="1030"/>
    <row r="1031"/>
    <row r="1032"/>
    <row r="1033"/>
    <row r="1034"/>
    <row r="1035"/>
    <row r="1036"/>
    <row r="1037"/>
    <row r="1038"/>
    <row r="1039"/>
    <row r="1040"/>
    <row r="1041"/>
    <row r="1042"/>
    <row r="1043"/>
    <row r="1044"/>
    <row r="1045"/>
    <row r="1046"/>
    <row r="1047"/>
    <row r="1048"/>
    <row r="1049"/>
    <row r="1050"/>
    <row r="1051"/>
    <row r="1052"/>
    <row r="1053"/>
    <row r="1054"/>
    <row r="1055"/>
    <row r="1056"/>
    <row r="1057"/>
    <row r="1058"/>
    <row r="1059"/>
    <row r="1060"/>
    <row r="1061"/>
    <row r="1062"/>
    <row r="1063"/>
    <row r="1064"/>
    <row r="1065"/>
    <row r="1066"/>
    <row r="1067"/>
    <row r="1068"/>
    <row r="1069"/>
    <row r="1070"/>
    <row r="1071"/>
    <row r="1072"/>
    <row r="1073"/>
    <row r="1074"/>
    <row r="1075"/>
    <row r="1076"/>
    <row r="1077"/>
    <row r="1078"/>
    <row r="1079"/>
    <row r="1080"/>
    <row r="1081"/>
    <row r="1082"/>
    <row r="1083"/>
    <row r="1084"/>
    <row r="1085"/>
    <row r="1086"/>
    <row r="1087"/>
    <row r="1088"/>
    <row r="1089"/>
    <row r="1090"/>
    <row r="1091"/>
    <row r="1092"/>
    <row r="1093"/>
    <row r="1094"/>
    <row r="1095"/>
    <row r="1096"/>
    <row r="1097"/>
    <row r="1098"/>
    <row r="1099"/>
    <row r="1100"/>
    <row r="1101"/>
    <row r="1102"/>
    <row r="1103"/>
    <row r="1104"/>
    <row r="1105"/>
    <row r="1106"/>
    <row r="1107"/>
    <row r="1108"/>
    <row r="1109"/>
    <row r="1110"/>
    <row r="1111"/>
    <row r="1112"/>
    <row r="1113"/>
    <row r="1114"/>
    <row r="1115"/>
    <row r="1116"/>
    <row r="1117"/>
    <row r="1118"/>
    <row r="1119"/>
    <row r="1120"/>
    <row r="1121"/>
    <row r="1122"/>
    <row r="1123"/>
    <row r="1124"/>
    <row r="1125"/>
    <row r="1126"/>
    <row r="1127"/>
    <row r="1128"/>
    <row r="1129"/>
    <row r="1130"/>
    <row r="1131"/>
    <row r="1132"/>
    <row r="1133"/>
    <row r="1134"/>
    <row r="1135"/>
    <row r="1136"/>
    <row r="1137"/>
    <row r="1138"/>
    <row r="1139"/>
    <row r="1140"/>
    <row r="1141"/>
    <row r="1142"/>
    <row r="1143"/>
    <row r="1144"/>
    <row r="1145"/>
    <row r="1146"/>
    <row r="1147"/>
    <row r="1148"/>
    <row r="1149"/>
    <row r="1150"/>
    <row r="1151"/>
    <row r="1152"/>
    <row r="1153"/>
    <row r="1154"/>
    <row r="1155"/>
    <row r="1156"/>
    <row r="1157"/>
    <row r="1158"/>
    <row r="1159"/>
    <row r="1160"/>
    <row r="1161"/>
    <row r="1162"/>
    <row r="1163"/>
    <row r="1164"/>
    <row r="1165"/>
    <row r="1166"/>
    <row r="1167"/>
    <row r="1168"/>
    <row r="1169"/>
    <row r="1170"/>
    <row r="1171"/>
    <row r="1172"/>
    <row r="1173"/>
    <row r="1174"/>
    <row r="1175"/>
    <row r="1176"/>
    <row r="1177"/>
    <row r="1178"/>
    <row r="1179"/>
    <row r="1180"/>
    <row r="1181"/>
    <row r="1182"/>
    <row r="1183"/>
    <row r="1184"/>
    <row r="1185"/>
    <row r="1186"/>
    <row r="1187"/>
    <row r="1188"/>
    <row r="1189"/>
    <row r="1190"/>
    <row r="1191"/>
    <row r="1192"/>
    <row r="1193"/>
    <row r="1194"/>
    <row r="1195"/>
    <row r="1196"/>
    <row r="1197"/>
    <row r="1198"/>
    <row r="1199"/>
    <row r="1200"/>
    <row r="1201"/>
    <row r="1202"/>
    <row r="1203"/>
    <row r="1204"/>
    <row r="1205"/>
    <row r="1206"/>
    <row r="1207"/>
    <row r="1208"/>
    <row r="1209"/>
    <row r="1210"/>
    <row r="1211"/>
    <row r="1212"/>
    <row r="1213"/>
    <row r="1214"/>
    <row r="1215"/>
    <row r="1216"/>
    <row r="1217"/>
    <row r="1218"/>
    <row r="1219"/>
    <row r="1220"/>
    <row r="1221"/>
    <row r="1222"/>
    <row r="1223"/>
    <row r="1224"/>
    <row r="1225"/>
    <row r="1226"/>
    <row r="1227"/>
    <row r="1228"/>
    <row r="1229"/>
    <row r="1230"/>
    <row r="1231"/>
    <row r="1232"/>
    <row r="1233"/>
    <row r="1234"/>
    <row r="1235"/>
    <row r="1236"/>
    <row r="1237"/>
    <row r="1238"/>
    <row r="1239"/>
    <row r="1240"/>
    <row r="1241"/>
    <row r="1242"/>
    <row r="1243"/>
    <row r="1244"/>
    <row r="1245"/>
    <row r="1246"/>
    <row r="1247"/>
    <row r="1248"/>
    <row r="1249"/>
    <row r="1250"/>
    <row r="1251"/>
    <row r="1252"/>
    <row r="1253"/>
    <row r="1254"/>
    <row r="1255"/>
    <row r="1256"/>
    <row r="1257"/>
    <row r="1258"/>
    <row r="1259"/>
    <row r="1260"/>
    <row r="1261"/>
    <row r="1262"/>
    <row r="1263"/>
    <row r="1264"/>
    <row r="1265"/>
    <row r="1266"/>
    <row r="1267"/>
    <row r="1268"/>
    <row r="1269"/>
    <row r="1270"/>
    <row r="1271"/>
    <row r="1272"/>
    <row r="1273"/>
    <row r="1274"/>
    <row r="1275"/>
    <row r="1276"/>
    <row r="1277"/>
    <row r="1278"/>
    <row r="1279"/>
    <row r="1280"/>
    <row r="1281"/>
    <row r="1282"/>
    <row r="1283"/>
    <row r="1284"/>
    <row r="1285"/>
    <row r="1286"/>
    <row r="1287"/>
    <row r="1288"/>
    <row r="1289"/>
    <row r="1290"/>
    <row r="1291"/>
    <row r="1292"/>
    <row r="1293"/>
    <row r="1294"/>
    <row r="1295"/>
    <row r="1296"/>
    <row r="1297"/>
    <row r="1298"/>
    <row r="1299"/>
    <row r="1300"/>
    <row r="1301"/>
    <row r="1302"/>
    <row r="1303"/>
    <row r="1304"/>
    <row r="1305"/>
    <row r="1306"/>
    <row r="1307"/>
    <row r="1308"/>
    <row r="1309"/>
    <row r="1310"/>
    <row r="1311"/>
    <row r="1312"/>
    <row r="1313"/>
    <row r="1314"/>
    <row r="1315"/>
    <row r="1316"/>
    <row r="1317"/>
    <row r="1318"/>
    <row r="1319"/>
    <row r="1320"/>
    <row r="1321"/>
    <row r="1322"/>
    <row r="1323"/>
    <row r="1324"/>
    <row r="1325"/>
    <row r="1326"/>
    <row r="1327"/>
    <row r="1328"/>
    <row r="1329"/>
    <row r="1330"/>
    <row r="1331"/>
    <row r="1332"/>
    <row r="1333"/>
    <row r="1334"/>
    <row r="1335"/>
    <row r="1336"/>
    <row r="1337"/>
    <row r="1338"/>
    <row r="1339"/>
    <row r="1340"/>
    <row r="1341"/>
    <row r="1342"/>
    <row r="1343"/>
    <row r="1344"/>
    <row r="1345"/>
    <row r="1346"/>
    <row r="1347"/>
    <row r="1348"/>
    <row r="1349"/>
    <row r="1350"/>
    <row r="1351"/>
    <row r="1352"/>
    <row r="1353"/>
    <row r="1354"/>
    <row r="1355"/>
    <row r="1356"/>
    <row r="1357"/>
    <row r="1358"/>
    <row r="1359"/>
    <row r="1360"/>
    <row r="1361"/>
    <row r="1362"/>
    <row r="1363"/>
    <row r="1364"/>
    <row r="1365"/>
    <row r="1366"/>
    <row r="1367"/>
    <row r="1368"/>
    <row r="1369"/>
    <row r="1370"/>
    <row r="1371"/>
    <row r="1372"/>
    <row r="1373"/>
    <row r="1374"/>
    <row r="1375"/>
    <row r="1376"/>
    <row r="1377"/>
    <row r="1378"/>
    <row r="1379"/>
    <row r="1380"/>
    <row r="1381"/>
    <row r="1382"/>
    <row r="1383"/>
    <row r="1384"/>
    <row r="1385"/>
    <row r="1386"/>
    <row r="1387"/>
    <row r="1388"/>
    <row r="1389"/>
    <row r="1390"/>
    <row r="1391"/>
    <row r="1392"/>
    <row r="1393"/>
    <row r="1394"/>
    <row r="1395"/>
    <row r="1396"/>
    <row r="1397"/>
    <row r="1398"/>
    <row r="1399"/>
    <row r="1400"/>
    <row r="1401"/>
    <row r="1402"/>
    <row r="1403"/>
    <row r="1404"/>
    <row r="1405"/>
    <row r="1406"/>
    <row r="1407"/>
    <row r="1408"/>
    <row r="1409"/>
    <row r="1410"/>
    <row r="1411"/>
    <row r="1412"/>
    <row r="1413"/>
    <row r="1414"/>
    <row r="1415"/>
    <row r="1416"/>
    <row r="1417"/>
    <row r="1418"/>
    <row r="1419"/>
    <row r="1420"/>
    <row r="1421"/>
    <row r="1422"/>
    <row r="1423"/>
    <row r="1424"/>
    <row r="1425"/>
    <row r="1426"/>
    <row r="1427"/>
    <row r="1428"/>
    <row r="1429"/>
    <row r="1430"/>
    <row r="1431"/>
    <row r="1432"/>
    <row r="1433"/>
    <row r="1434"/>
    <row r="1435"/>
    <row r="1436"/>
    <row r="1437"/>
    <row r="1438"/>
    <row r="1439"/>
    <row r="1440"/>
    <row r="1441"/>
    <row r="1442"/>
    <row r="1443"/>
    <row r="1444"/>
    <row r="1445"/>
    <row r="1446"/>
    <row r="1447"/>
    <row r="1448"/>
    <row r="1449"/>
    <row r="1450"/>
    <row r="1451"/>
    <row r="1452"/>
    <row r="1453"/>
    <row r="1454"/>
    <row r="1455"/>
    <row r="1456"/>
    <row r="1457"/>
    <row r="1458"/>
    <row r="1459"/>
    <row r="1460"/>
    <row r="1461"/>
    <row r="1462"/>
    <row r="1463"/>
    <row r="1464"/>
    <row r="1465"/>
    <row r="1466"/>
    <row r="1467"/>
    <row r="1468"/>
    <row r="1469"/>
    <row r="1470"/>
    <row r="1471"/>
    <row r="1472"/>
    <row r="1473"/>
    <row r="1474"/>
    <row r="1475"/>
    <row r="1476"/>
    <row r="1477"/>
    <row r="1478"/>
    <row r="1479"/>
    <row r="1480"/>
    <row r="1481"/>
    <row r="1482"/>
    <row r="1483"/>
    <row r="1484"/>
    <row r="1485"/>
    <row r="1486"/>
    <row r="1487"/>
    <row r="1488"/>
    <row r="1489"/>
    <row r="1490"/>
    <row r="1491"/>
    <row r="1492"/>
    <row r="1493"/>
    <row r="1494"/>
    <row r="1495"/>
    <row r="1496"/>
    <row r="1497"/>
    <row r="1498"/>
    <row r="1499"/>
    <row r="1500"/>
    <row r="1501"/>
    <row r="1502"/>
    <row r="1503"/>
    <row r="1504"/>
    <row r="1505"/>
    <row r="1506"/>
    <row r="1507"/>
    <row r="1508"/>
    <row r="1509"/>
    <row r="1510"/>
    <row r="1511"/>
    <row r="1512"/>
    <row r="1513"/>
    <row r="1514"/>
    <row r="1515"/>
    <row r="1516"/>
    <row r="1517"/>
    <row r="1518"/>
    <row r="1519"/>
    <row r="1520"/>
    <row r="1521"/>
    <row r="1522"/>
    <row r="1523"/>
    <row r="1524"/>
    <row r="1525"/>
    <row r="1526"/>
    <row r="1527"/>
    <row r="1528"/>
    <row r="1529"/>
    <row r="1530"/>
    <row r="1531"/>
    <row r="1532"/>
    <row r="1533"/>
    <row r="1534"/>
    <row r="1535"/>
    <row r="1536"/>
    <row r="1537"/>
    <row r="1538"/>
    <row r="1539"/>
    <row r="1540"/>
    <row r="1541"/>
    <row r="1542"/>
    <row r="1543"/>
    <row r="1544"/>
    <row r="1545"/>
    <row r="1546"/>
    <row r="1547"/>
    <row r="1548"/>
    <row r="1549"/>
    <row r="1550"/>
    <row r="1551"/>
    <row r="1552"/>
    <row r="1553"/>
    <row r="1554"/>
    <row r="1555"/>
    <row r="1556"/>
    <row r="1557"/>
    <row r="1558"/>
    <row r="1559"/>
    <row r="1560"/>
    <row r="1561"/>
    <row r="1562"/>
    <row r="1563"/>
    <row r="1564"/>
    <row r="1565"/>
    <row r="1566"/>
    <row r="1567"/>
    <row r="1568"/>
    <row r="1569"/>
    <row r="1570"/>
    <row r="1571"/>
    <row r="1572"/>
    <row r="1573"/>
    <row r="1574"/>
    <row r="1575"/>
    <row r="1576"/>
    <row r="1577"/>
    <row r="1578"/>
    <row r="1579"/>
    <row r="1580"/>
    <row r="1581"/>
    <row r="1582"/>
    <row r="1583"/>
    <row r="1584"/>
    <row r="1585"/>
    <row r="1586"/>
    <row r="1587"/>
    <row r="1588"/>
    <row r="1589"/>
    <row r="1590"/>
    <row r="1591"/>
    <row r="1592"/>
    <row r="1593"/>
    <row r="1594"/>
    <row r="1595"/>
    <row r="1596"/>
    <row r="1597"/>
    <row r="1598"/>
    <row r="1599"/>
    <row r="1600"/>
    <row r="1601"/>
    <row r="1602"/>
    <row r="1603"/>
    <row r="1604"/>
    <row r="1605"/>
    <row r="1606"/>
    <row r="1607"/>
    <row r="1608"/>
    <row r="1609"/>
    <row r="1610"/>
    <row r="1611"/>
    <row r="1612"/>
    <row r="1613"/>
    <row r="1614"/>
    <row r="1615"/>
    <row r="1616"/>
    <row r="1617"/>
    <row r="1618"/>
    <row r="1619"/>
    <row r="1620"/>
    <row r="1621"/>
    <row r="1622"/>
    <row r="1623"/>
    <row r="1624"/>
    <row r="1625"/>
    <row r="1626"/>
    <row r="1627"/>
    <row r="1628"/>
    <row r="1629"/>
    <row r="1630"/>
    <row r="1631"/>
    <row r="1632"/>
    <row r="1633"/>
    <row r="1634"/>
    <row r="1635"/>
    <row r="1636"/>
    <row r="1637"/>
    <row r="1638"/>
    <row r="1639"/>
    <row r="1640"/>
    <row r="1641"/>
    <row r="1642"/>
    <row r="1643"/>
    <row r="1644"/>
    <row r="1645"/>
    <row r="1646"/>
    <row r="1647"/>
    <row r="1648"/>
    <row r="1649"/>
    <row r="1650"/>
    <row r="1651"/>
    <row r="1652"/>
    <row r="1653"/>
    <row r="1654"/>
    <row r="1655"/>
    <row r="1656"/>
    <row r="1657"/>
    <row r="1658"/>
    <row r="1659"/>
    <row r="1660"/>
    <row r="1661"/>
    <row r="1662"/>
    <row r="1663"/>
    <row r="1664"/>
    <row r="1665"/>
    <row r="1666"/>
    <row r="1667"/>
    <row r="1668"/>
    <row r="1669"/>
    <row r="1670"/>
    <row r="1671"/>
    <row r="1672"/>
    <row r="1673"/>
    <row r="1674"/>
    <row r="1675"/>
    <row r="1676"/>
    <row r="1677"/>
    <row r="1678"/>
    <row r="1679"/>
    <row r="1680"/>
    <row r="1681"/>
    <row r="1682"/>
    <row r="1683"/>
    <row r="1684"/>
    <row r="1685"/>
    <row r="1686"/>
    <row r="1687"/>
    <row r="1688"/>
    <row r="1689"/>
    <row r="1690"/>
    <row r="1691"/>
    <row r="1692"/>
    <row r="1693"/>
    <row r="1694"/>
    <row r="1695"/>
    <row r="1696"/>
    <row r="1697"/>
    <row r="1698"/>
    <row r="1699"/>
    <row r="1700"/>
    <row r="1701"/>
    <row r="1702"/>
    <row r="1703"/>
    <row r="1704"/>
    <row r="1705"/>
    <row r="1706"/>
    <row r="1707"/>
    <row r="1708"/>
    <row r="1709"/>
    <row r="1710"/>
    <row r="1711"/>
    <row r="1712"/>
    <row r="1713"/>
    <row r="1714"/>
    <row r="1715"/>
    <row r="1716"/>
    <row r="1717"/>
    <row r="1718"/>
    <row r="1719"/>
    <row r="1720"/>
    <row r="1721"/>
    <row r="1722"/>
    <row r="1723"/>
    <row r="1724"/>
    <row r="1725"/>
    <row r="1726"/>
    <row r="1727"/>
    <row r="1728"/>
    <row r="1729"/>
    <row r="1730"/>
    <row r="1731"/>
    <row r="1732"/>
    <row r="1733"/>
    <row r="1734"/>
    <row r="1735"/>
    <row r="1736"/>
    <row r="1737"/>
    <row r="1738"/>
    <row r="1739"/>
    <row r="1740"/>
    <row r="1741"/>
    <row r="1742"/>
    <row r="1743"/>
    <row r="1744"/>
    <row r="1745"/>
    <row r="1746"/>
    <row r="1747"/>
    <row r="1748"/>
    <row r="1749"/>
    <row r="1750"/>
    <row r="1751"/>
    <row r="1752"/>
    <row r="1753"/>
    <row r="1754"/>
    <row r="1755"/>
    <row r="1756"/>
    <row r="1757"/>
    <row r="1758"/>
    <row r="1759"/>
    <row r="1760"/>
    <row r="1761"/>
    <row r="1762"/>
    <row r="1763"/>
    <row r="1764"/>
    <row r="1765"/>
    <row r="1766"/>
    <row r="1767"/>
    <row r="1768"/>
    <row r="1769"/>
    <row r="1770"/>
    <row r="1771"/>
    <row r="1772"/>
    <row r="1773"/>
    <row r="1774"/>
    <row r="1775"/>
    <row r="1776"/>
    <row r="1777"/>
    <row r="1778"/>
    <row r="1779"/>
    <row r="1780"/>
    <row r="1781"/>
    <row r="1782"/>
    <row r="1783"/>
    <row r="1784"/>
    <row r="1785"/>
    <row r="1786"/>
    <row r="1787"/>
    <row r="1788"/>
    <row r="1789"/>
    <row r="1790"/>
    <row r="1791"/>
    <row r="1792"/>
    <row r="1793"/>
    <row r="1794"/>
    <row r="1795"/>
    <row r="1796"/>
    <row r="1797"/>
    <row r="1798"/>
    <row r="1799"/>
    <row r="1800"/>
    <row r="1801"/>
    <row r="1802"/>
    <row r="1803"/>
    <row r="1804"/>
    <row r="1805"/>
    <row r="1806"/>
    <row r="1807"/>
    <row r="1808"/>
    <row r="1809"/>
    <row r="1810"/>
    <row r="1811"/>
    <row r="1812"/>
    <row r="1813"/>
    <row r="1814"/>
    <row r="1815"/>
    <row r="1816"/>
    <row r="1817"/>
    <row r="1818"/>
    <row r="1819"/>
    <row r="1820"/>
    <row r="1821"/>
    <row r="1822"/>
    <row r="1823"/>
    <row r="1824"/>
    <row r="1825"/>
    <row r="1826"/>
    <row r="1827"/>
    <row r="1828"/>
    <row r="1829"/>
    <row r="1830"/>
    <row r="1831"/>
    <row r="1832"/>
    <row r="1833"/>
    <row r="1834"/>
    <row r="1835"/>
    <row r="1836"/>
    <row r="1837"/>
    <row r="1838"/>
    <row r="1839"/>
    <row r="1840"/>
    <row r="1841"/>
    <row r="1842"/>
    <row r="1843"/>
    <row r="1844"/>
    <row r="1845"/>
    <row r="1846"/>
    <row r="1847"/>
    <row r="1848"/>
    <row r="1849"/>
    <row r="1850"/>
    <row r="1851"/>
    <row r="1852"/>
    <row r="1853"/>
    <row r="1854"/>
    <row r="1855"/>
    <row r="1856"/>
    <row r="1857"/>
    <row r="1858"/>
    <row r="1859"/>
    <row r="1860"/>
    <row r="1861"/>
    <row r="1862"/>
    <row r="1863"/>
    <row r="1864"/>
    <row r="1865"/>
    <row r="1866"/>
    <row r="1867"/>
    <row r="1868"/>
    <row r="1869"/>
    <row r="1870"/>
    <row r="1871"/>
    <row r="1872"/>
    <row r="1873"/>
    <row r="1874"/>
    <row r="1875"/>
    <row r="1876"/>
    <row r="1877"/>
    <row r="1878"/>
    <row r="1879"/>
    <row r="1880"/>
    <row r="1881"/>
    <row r="1882"/>
    <row r="1883"/>
    <row r="1884"/>
    <row r="1885"/>
    <row r="1886"/>
    <row r="1887"/>
    <row r="1888"/>
    <row r="1889"/>
    <row r="1890"/>
    <row r="1891"/>
    <row r="1892"/>
    <row r="1893"/>
    <row r="1894"/>
    <row r="1895"/>
    <row r="1896"/>
    <row r="1897"/>
    <row r="1898"/>
    <row r="1899"/>
    <row r="1900"/>
    <row r="1901"/>
    <row r="1902"/>
    <row r="1903"/>
    <row r="1904"/>
    <row r="1905"/>
    <row r="1906"/>
    <row r="1907"/>
    <row r="1908"/>
    <row r="1909"/>
    <row r="1910"/>
    <row r="1911"/>
    <row r="1912"/>
    <row r="1913"/>
    <row r="1914"/>
    <row r="1915"/>
    <row r="1916"/>
    <row r="1917"/>
    <row r="1918"/>
    <row r="1919"/>
    <row r="1920"/>
    <row r="1921"/>
    <row r="1922"/>
    <row r="1923"/>
    <row r="1924"/>
    <row r="1925"/>
    <row r="1926"/>
    <row r="1927"/>
    <row r="1928"/>
    <row r="1929"/>
    <row r="1930"/>
    <row r="1931"/>
    <row r="1932"/>
    <row r="1933"/>
    <row r="1934"/>
    <row r="1935"/>
    <row r="1936"/>
    <row r="1937"/>
    <row r="1938"/>
    <row r="1939"/>
    <row r="1940"/>
    <row r="1941"/>
    <row r="1942"/>
    <row r="1943"/>
    <row r="1944"/>
    <row r="1945"/>
    <row r="1946"/>
    <row r="1947"/>
    <row r="1948"/>
    <row r="1949"/>
    <row r="1950"/>
    <row r="1951"/>
    <row r="1952"/>
    <row r="1953"/>
    <row r="1954"/>
    <row r="1955"/>
    <row r="1956"/>
    <row r="1957"/>
    <row r="1958"/>
    <row r="1959"/>
    <row r="1960"/>
    <row r="1961"/>
    <row r="1962"/>
    <row r="1963"/>
    <row r="1964"/>
    <row r="1965"/>
    <row r="1966"/>
    <row r="1967"/>
    <row r="1968"/>
    <row r="1969"/>
    <row r="1970"/>
    <row r="1971"/>
    <row r="1972"/>
    <row r="1973"/>
    <row r="1974"/>
    <row r="1975"/>
    <row r="1976"/>
    <row r="1977"/>
    <row r="1978"/>
    <row r="1979"/>
    <row r="1980"/>
    <row r="1981"/>
    <row r="1982"/>
    <row r="1983"/>
    <row r="1984"/>
    <row r="1985"/>
    <row r="1986"/>
    <row r="1987"/>
    <row r="1988"/>
    <row r="1989"/>
    <row r="1990"/>
    <row r="1991"/>
    <row r="1992"/>
    <row r="1993"/>
    <row r="1994"/>
    <row r="1995"/>
    <row r="1996"/>
    <row r="1997"/>
    <row r="1998"/>
    <row r="1999"/>
    <row r="2000"/>
    <row r="2001"/>
    <row r="2002"/>
    <row r="2003"/>
    <row r="2004"/>
    <row r="2005"/>
    <row r="2006"/>
    <row r="2007"/>
    <row r="2008"/>
    <row r="2009"/>
    <row r="2010"/>
    <row r="2011"/>
    <row r="2012"/>
    <row r="2013"/>
    <row r="2014"/>
    <row r="2015"/>
    <row r="2016"/>
    <row r="2017"/>
    <row r="2018"/>
    <row r="2019"/>
    <row r="2020"/>
    <row r="2021"/>
    <row r="2022"/>
    <row r="2023"/>
    <row r="2024"/>
    <row r="2025"/>
    <row r="2026"/>
    <row r="2027"/>
    <row r="2028"/>
    <row r="2029"/>
    <row r="2030"/>
    <row r="2031"/>
    <row r="2032"/>
    <row r="2033"/>
    <row r="2034"/>
    <row r="2035"/>
    <row r="2036"/>
    <row r="2037"/>
    <row r="2038"/>
    <row r="2039"/>
    <row r="2040"/>
    <row r="2041"/>
    <row r="2042"/>
    <row r="2043"/>
    <row r="2044"/>
    <row r="2045"/>
    <row r="2046"/>
    <row r="2047"/>
    <row r="2048"/>
    <row r="2049"/>
    <row r="2050"/>
    <row r="2051"/>
    <row r="2052"/>
    <row r="2053"/>
    <row r="2054"/>
    <row r="2055"/>
    <row r="2056"/>
    <row r="2057"/>
    <row r="2058"/>
    <row r="2059"/>
    <row r="2060"/>
    <row r="2061"/>
    <row r="2062"/>
    <row r="2063"/>
    <row r="2064"/>
    <row r="2065"/>
    <row r="2066"/>
    <row r="2067"/>
    <row r="2068"/>
    <row r="2069"/>
    <row r="2070"/>
    <row r="2071"/>
    <row r="2072"/>
    <row r="2073"/>
    <row r="2074"/>
    <row r="2075"/>
    <row r="2076"/>
    <row r="2077"/>
    <row r="2078"/>
    <row r="2079"/>
    <row r="2080"/>
    <row r="2081"/>
    <row r="2082"/>
    <row r="2083"/>
    <row r="2084"/>
    <row r="2085"/>
    <row r="2086"/>
    <row r="2087"/>
    <row r="2088"/>
    <row r="2089"/>
    <row r="2090"/>
    <row r="2091"/>
    <row r="2092"/>
    <row r="2093"/>
    <row r="2094"/>
    <row r="2095"/>
    <row r="2096"/>
    <row r="2097"/>
    <row r="2098"/>
    <row r="2099"/>
    <row r="2100"/>
    <row r="2101"/>
    <row r="2102"/>
    <row r="2103"/>
    <row r="2104"/>
    <row r="2105"/>
    <row r="2106"/>
    <row r="2107"/>
    <row r="2108"/>
    <row r="2109"/>
    <row r="2110"/>
    <row r="2111"/>
    <row r="2112"/>
    <row r="2113"/>
    <row r="2114"/>
    <row r="2115"/>
    <row r="2116"/>
    <row r="2117"/>
    <row r="2118"/>
    <row r="2119"/>
    <row r="2120"/>
    <row r="2121"/>
    <row r="2122"/>
    <row r="2123"/>
    <row r="2124"/>
    <row r="2125"/>
    <row r="2126"/>
    <row r="2127"/>
    <row r="2128"/>
    <row r="2129"/>
    <row r="2130"/>
    <row r="2131"/>
    <row r="2132"/>
    <row r="2133"/>
    <row r="2134"/>
    <row r="2135"/>
    <row r="2136"/>
    <row r="2137"/>
    <row r="2138"/>
    <row r="2139"/>
    <row r="2140"/>
    <row r="2141"/>
    <row r="2142"/>
    <row r="2143"/>
    <row r="2144"/>
    <row r="2145"/>
    <row r="2146"/>
    <row r="2147"/>
    <row r="2148"/>
    <row r="2149"/>
    <row r="2150"/>
    <row r="2151"/>
    <row r="2152"/>
    <row r="2153"/>
    <row r="2154"/>
    <row r="2155"/>
    <row r="2156"/>
    <row r="2157"/>
    <row r="2158"/>
    <row r="2159"/>
    <row r="2160"/>
    <row r="2161"/>
    <row r="2162"/>
    <row r="2163"/>
    <row r="2164"/>
    <row r="2165"/>
    <row r="2166"/>
    <row r="2167"/>
    <row r="2168"/>
    <row r="2169"/>
    <row r="2170"/>
    <row r="2171"/>
    <row r="2172"/>
    <row r="2173"/>
    <row r="2174"/>
    <row r="2175"/>
    <row r="2176"/>
    <row r="2177"/>
    <row r="2178"/>
    <row r="2179"/>
    <row r="2180"/>
    <row r="2181"/>
    <row r="2182"/>
    <row r="2183"/>
    <row r="2184"/>
    <row r="2185"/>
    <row r="2186"/>
    <row r="2187"/>
    <row r="2188"/>
    <row r="2189"/>
    <row r="2190"/>
    <row r="2191"/>
    <row r="2192"/>
    <row r="2193"/>
    <row r="2194"/>
    <row r="2195"/>
    <row r="2196"/>
    <row r="2197"/>
    <row r="2198"/>
    <row r="2199"/>
    <row r="2200"/>
    <row r="2201"/>
    <row r="2202"/>
    <row r="2203"/>
    <row r="2204"/>
    <row r="2205"/>
    <row r="2206"/>
    <row r="2207"/>
    <row r="2208"/>
    <row r="2209"/>
    <row r="2210"/>
    <row r="2211"/>
    <row r="2212"/>
    <row r="2213"/>
    <row r="2214"/>
    <row r="2215"/>
    <row r="2216"/>
    <row r="2217"/>
    <row r="2218"/>
    <row r="2219"/>
    <row r="2220"/>
    <row r="2221"/>
    <row r="2222"/>
    <row r="2223"/>
    <row r="2224"/>
    <row r="2225"/>
    <row r="2226"/>
    <row r="2227"/>
    <row r="2228"/>
    <row r="2229"/>
    <row r="2230"/>
    <row r="2231"/>
    <row r="2232"/>
    <row r="2233"/>
    <row r="2234"/>
    <row r="2235"/>
    <row r="2236"/>
    <row r="2237"/>
    <row r="2238"/>
    <row r="2239"/>
    <row r="2240"/>
    <row r="2241"/>
    <row r="2242"/>
    <row r="2243"/>
    <row r="2244"/>
    <row r="2245"/>
    <row r="2246"/>
    <row r="2247"/>
    <row r="2248"/>
    <row r="2249"/>
    <row r="2250"/>
    <row r="2251"/>
    <row r="2252"/>
    <row r="2253"/>
    <row r="2254"/>
    <row r="2255"/>
    <row r="2256"/>
    <row r="2257"/>
    <row r="2258"/>
    <row r="2259"/>
    <row r="2260"/>
    <row r="2261"/>
    <row r="2262"/>
    <row r="2263"/>
    <row r="2264"/>
    <row r="2265"/>
    <row r="2266"/>
    <row r="2267"/>
    <row r="2268"/>
    <row r="2269"/>
    <row r="2270"/>
    <row r="2271"/>
    <row r="2272"/>
    <row r="2273"/>
    <row r="2274"/>
    <row r="2275"/>
    <row r="2276"/>
    <row r="2277"/>
    <row r="2278"/>
    <row r="2279"/>
    <row r="2280"/>
    <row r="2281"/>
    <row r="2282"/>
    <row r="2283"/>
    <row r="2284"/>
    <row r="2285"/>
    <row r="2286"/>
    <row r="2287"/>
    <row r="2288"/>
    <row r="2289"/>
    <row r="2290"/>
    <row r="2291"/>
    <row r="2292"/>
    <row r="2293"/>
    <row r="2294"/>
    <row r="2295"/>
    <row r="2296"/>
    <row r="2297"/>
    <row r="2298"/>
    <row r="2299"/>
    <row r="2300"/>
    <row r="2301"/>
    <row r="2302"/>
    <row r="2303"/>
    <row r="2304"/>
    <row r="2305"/>
    <row r="2306"/>
    <row r="2307"/>
    <row r="2308"/>
    <row r="2309"/>
    <row r="2310"/>
    <row r="2311"/>
    <row r="2312"/>
    <row r="2313"/>
    <row r="2314"/>
    <row r="2315"/>
    <row r="2316"/>
    <row r="2317"/>
    <row r="2318"/>
    <row r="2319"/>
    <row r="2320"/>
    <row r="2321"/>
    <row r="2322"/>
    <row r="2323"/>
    <row r="2324"/>
    <row r="2325"/>
    <row r="2326"/>
    <row r="2327"/>
    <row r="2328"/>
    <row r="2329"/>
    <row r="2330"/>
    <row r="2331"/>
    <row r="2332"/>
    <row r="2333"/>
    <row r="2334"/>
    <row r="2335"/>
    <row r="2336"/>
    <row r="2337"/>
    <row r="2338"/>
    <row r="2339"/>
    <row r="2340"/>
    <row r="2341"/>
    <row r="2342"/>
    <row r="2343"/>
    <row r="2344"/>
    <row r="2345"/>
    <row r="2346"/>
    <row r="2347"/>
    <row r="2348"/>
    <row r="2349"/>
    <row r="2350"/>
    <row r="2351"/>
    <row r="2352"/>
    <row r="2353"/>
    <row r="2354"/>
    <row r="2355"/>
    <row r="2356"/>
    <row r="2357"/>
    <row r="2358"/>
    <row r="2359"/>
    <row r="2360"/>
    <row r="2361"/>
    <row r="2362"/>
    <row r="2363"/>
    <row r="2364"/>
    <row r="2365"/>
    <row r="2366"/>
    <row r="2367"/>
    <row r="2368"/>
    <row r="2369"/>
    <row r="2370"/>
    <row r="2371"/>
    <row r="2372"/>
    <row r="2373"/>
    <row r="2374"/>
    <row r="2375"/>
    <row r="2376"/>
    <row r="2377"/>
    <row r="2378"/>
    <row r="2379"/>
    <row r="2380"/>
    <row r="2381"/>
    <row r="2382"/>
    <row r="2383"/>
    <row r="2384"/>
    <row r="2385"/>
    <row r="2386"/>
    <row r="2387"/>
    <row r="2388"/>
    <row r="2389"/>
    <row r="2390"/>
    <row r="2391"/>
    <row r="2392"/>
    <row r="2393"/>
    <row r="2394"/>
    <row r="2395"/>
    <row r="2396"/>
    <row r="2397"/>
    <row r="2398"/>
    <row r="2399"/>
    <row r="2400"/>
    <row r="2401"/>
    <row r="2402"/>
    <row r="2403"/>
    <row r="2404"/>
    <row r="2405"/>
    <row r="2406"/>
    <row r="2407"/>
    <row r="2408"/>
    <row r="2409"/>
    <row r="2410"/>
    <row r="2411"/>
    <row r="2412"/>
    <row r="2413"/>
    <row r="2414"/>
    <row r="2415"/>
    <row r="2416"/>
    <row r="2417"/>
    <row r="2418"/>
    <row r="2419"/>
    <row r="2420"/>
    <row r="2421"/>
    <row r="2422"/>
    <row r="2423"/>
    <row r="2424"/>
    <row r="2425"/>
    <row r="2426"/>
    <row r="2427"/>
    <row r="2428"/>
    <row r="2429"/>
    <row r="2430"/>
    <row r="2431"/>
    <row r="2432"/>
    <row r="2433"/>
    <row r="2434"/>
    <row r="2435"/>
    <row r="2436"/>
    <row r="2437"/>
    <row r="2438"/>
    <row r="2439"/>
    <row r="2440"/>
    <row r="2441"/>
    <row r="2442"/>
    <row r="2443"/>
    <row r="2444"/>
    <row r="2445"/>
    <row r="2446"/>
    <row r="2447"/>
    <row r="2448"/>
    <row r="2449"/>
    <row r="2450"/>
    <row r="2451"/>
    <row r="2452"/>
    <row r="2453"/>
    <row r="2454"/>
    <row r="2455"/>
    <row r="2456"/>
    <row r="2457"/>
    <row r="2458"/>
    <row r="2459"/>
    <row r="2460"/>
    <row r="2461"/>
    <row r="2462"/>
    <row r="2463"/>
    <row r="2464"/>
    <row r="2465"/>
    <row r="2466"/>
    <row r="2467"/>
    <row r="2468"/>
    <row r="2469"/>
    <row r="2470"/>
    <row r="2471"/>
    <row r="2472"/>
    <row r="2473"/>
    <row r="2474"/>
    <row r="2475"/>
    <row r="2476"/>
    <row r="2477"/>
    <row r="2478"/>
    <row r="2479"/>
    <row r="2480"/>
    <row r="2481"/>
    <row r="2482"/>
    <row r="2483"/>
    <row r="2484"/>
    <row r="2485"/>
    <row r="2486"/>
    <row r="2487"/>
    <row r="2488"/>
    <row r="2489"/>
    <row r="2490"/>
    <row r="2491"/>
    <row r="2492"/>
    <row r="2493"/>
    <row r="2494"/>
    <row r="2495"/>
    <row r="2496"/>
    <row r="2497"/>
    <row r="2498"/>
    <row r="2499"/>
    <row r="2500"/>
    <row r="2501"/>
    <row r="2502"/>
    <row r="2503"/>
    <row r="2504"/>
    <row r="2505"/>
    <row r="2506"/>
    <row r="2507"/>
    <row r="2508"/>
    <row r="2509"/>
    <row r="2510"/>
    <row r="2511"/>
    <row r="2512"/>
    <row r="2513"/>
    <row r="2514"/>
    <row r="2515"/>
    <row r="2516"/>
    <row r="2517"/>
    <row r="2518"/>
    <row r="2519"/>
    <row r="2520"/>
    <row r="2521"/>
    <row r="2522"/>
    <row r="2523"/>
    <row r="2524"/>
    <row r="2525"/>
    <row r="2526"/>
    <row r="2527"/>
    <row r="2528"/>
    <row r="2529"/>
    <row r="2530"/>
    <row r="2531"/>
    <row r="2532"/>
    <row r="2533"/>
    <row r="2534"/>
    <row r="2535"/>
    <row r="2536"/>
    <row r="2537"/>
    <row r="2538"/>
    <row r="2539"/>
    <row r="2540"/>
    <row r="2541"/>
    <row r="2542"/>
    <row r="2543"/>
    <row r="2544"/>
    <row r="2545"/>
    <row r="2546"/>
    <row r="2547"/>
    <row r="2548"/>
    <row r="2549"/>
    <row r="2550"/>
    <row r="2551"/>
    <row r="2552"/>
    <row r="2553"/>
    <row r="2554"/>
    <row r="2555"/>
    <row r="2556"/>
    <row r="2557"/>
    <row r="2558"/>
    <row r="2559"/>
    <row r="2560"/>
    <row r="2561"/>
    <row r="2562"/>
    <row r="2563"/>
    <row r="2564"/>
    <row r="2565"/>
    <row r="2566"/>
    <row r="2567"/>
    <row r="2568"/>
    <row r="2569"/>
    <row r="2570"/>
    <row r="2571"/>
    <row r="2572"/>
    <row r="2573"/>
    <row r="2574"/>
    <row r="2575"/>
    <row r="2576"/>
    <row r="2577"/>
    <row r="2578"/>
    <row r="2579"/>
    <row r="2580"/>
    <row r="2581"/>
    <row r="2582"/>
    <row r="2583"/>
    <row r="2584"/>
    <row r="2585"/>
    <row r="2586"/>
    <row r="2587"/>
    <row r="2588"/>
    <row r="2589"/>
    <row r="2590"/>
    <row r="2591"/>
    <row r="2592"/>
    <row r="2593"/>
    <row r="2594"/>
    <row r="2595"/>
    <row r="2596"/>
    <row r="2597"/>
    <row r="2598"/>
    <row r="2599"/>
    <row r="2600"/>
    <row r="2601"/>
    <row r="2602"/>
    <row r="2603"/>
    <row r="2604"/>
    <row r="2605"/>
    <row r="2606"/>
    <row r="2607"/>
    <row r="2608"/>
    <row r="2609"/>
    <row r="2610"/>
    <row r="2611"/>
    <row r="2612"/>
    <row r="2613"/>
    <row r="2614"/>
    <row r="2615"/>
    <row r="2616"/>
    <row r="2617"/>
    <row r="2618"/>
    <row r="2619"/>
    <row r="2620"/>
    <row r="2621"/>
    <row r="2622"/>
    <row r="2623"/>
    <row r="2624"/>
    <row r="2625"/>
    <row r="2626"/>
    <row r="2627"/>
    <row r="2628"/>
    <row r="2629"/>
    <row r="2630"/>
    <row r="2631"/>
    <row r="2632"/>
    <row r="2633"/>
    <row r="2634"/>
    <row r="2635"/>
    <row r="2636"/>
    <row r="2637"/>
    <row r="2638"/>
    <row r="2639"/>
    <row r="2640"/>
    <row r="2641"/>
    <row r="2642"/>
    <row r="2643"/>
    <row r="2644"/>
    <row r="2645"/>
    <row r="2646"/>
    <row r="2647"/>
    <row r="2648"/>
    <row r="2649"/>
    <row r="2650"/>
    <row r="2651"/>
    <row r="2652"/>
    <row r="2653"/>
    <row r="2654"/>
    <row r="2655"/>
    <row r="2656"/>
    <row r="2657"/>
    <row r="2658"/>
    <row r="2659"/>
    <row r="2660"/>
    <row r="2661"/>
    <row r="2662"/>
    <row r="2663"/>
    <row r="2664"/>
    <row r="2665"/>
    <row r="2666"/>
    <row r="2667"/>
    <row r="2668"/>
    <row r="2669"/>
    <row r="2670"/>
    <row r="2671"/>
    <row r="2672"/>
    <row r="2673"/>
    <row r="2674"/>
    <row r="2675"/>
    <row r="2676"/>
    <row r="2677"/>
    <row r="2678"/>
    <row r="2679"/>
    <row r="2680"/>
    <row r="2681"/>
    <row r="2682"/>
    <row r="2683"/>
    <row r="2684"/>
    <row r="2685"/>
    <row r="2686"/>
    <row r="2687"/>
    <row r="2688"/>
    <row r="2689"/>
    <row r="2690"/>
    <row r="2691"/>
    <row r="2692"/>
    <row r="2693"/>
    <row r="2694"/>
    <row r="2695"/>
    <row r="2696"/>
    <row r="2697"/>
    <row r="2698"/>
    <row r="2699"/>
    <row r="2700"/>
    <row r="2701"/>
    <row r="2702"/>
    <row r="2703"/>
    <row r="2704"/>
    <row r="2705"/>
    <row r="2706"/>
    <row r="2707"/>
    <row r="2708"/>
    <row r="2709"/>
    <row r="2710"/>
    <row r="2711"/>
    <row r="2712"/>
    <row r="2713"/>
    <row r="2714"/>
    <row r="2715"/>
    <row r="2716"/>
    <row r="2717"/>
    <row r="2718"/>
    <row r="2719"/>
    <row r="2720"/>
    <row r="2721"/>
    <row r="2722"/>
    <row r="2723"/>
    <row r="2724"/>
    <row r="2725"/>
    <row r="2726"/>
    <row r="2727"/>
    <row r="2728"/>
    <row r="2729"/>
    <row r="2730"/>
    <row r="2731"/>
    <row r="2732"/>
    <row r="2733"/>
    <row r="2734"/>
    <row r="2735"/>
    <row r="2736"/>
    <row r="2737"/>
    <row r="2738"/>
    <row r="2739"/>
    <row r="2740"/>
    <row r="2741"/>
    <row r="2742"/>
    <row r="2743"/>
    <row r="2744"/>
    <row r="2745"/>
    <row r="2746"/>
    <row r="2747"/>
    <row r="2748"/>
    <row r="2749"/>
    <row r="2750"/>
    <row r="2751"/>
    <row r="2752"/>
    <row r="2753"/>
    <row r="2754"/>
    <row r="2755"/>
    <row r="2756"/>
    <row r="2757"/>
    <row r="2758"/>
    <row r="2759"/>
    <row r="2760"/>
    <row r="2761"/>
    <row r="2762"/>
    <row r="2763"/>
    <row r="2764"/>
    <row r="2765"/>
    <row r="2766"/>
    <row r="2767"/>
    <row r="2768"/>
    <row r="2769"/>
    <row r="2770"/>
    <row r="2771"/>
    <row r="2772"/>
    <row r="2773"/>
    <row r="2774"/>
    <row r="2775"/>
    <row r="2776"/>
    <row r="2777"/>
    <row r="2778"/>
    <row r="2779"/>
    <row r="2780"/>
    <row r="2781"/>
    <row r="2782"/>
    <row r="2783"/>
    <row r="2784"/>
    <row r="2785"/>
    <row r="2786"/>
    <row r="2787"/>
    <row r="2788"/>
    <row r="2789"/>
    <row r="2790"/>
    <row r="2791"/>
    <row r="2792"/>
    <row r="2793"/>
    <row r="2794"/>
    <row r="2795"/>
    <row r="2796"/>
    <row r="2797"/>
    <row r="2798"/>
    <row r="2799"/>
    <row r="2800"/>
    <row r="2801"/>
    <row r="2802"/>
    <row r="2803"/>
    <row r="2804"/>
    <row r="2805"/>
    <row r="2806"/>
    <row r="2807"/>
    <row r="2808"/>
    <row r="2809"/>
    <row r="2810"/>
    <row r="2811"/>
    <row r="2812"/>
    <row r="2813"/>
    <row r="2814"/>
    <row r="2815"/>
    <row r="2816"/>
    <row r="2817"/>
    <row r="2818"/>
    <row r="2819"/>
    <row r="2820"/>
    <row r="2821"/>
    <row r="2822"/>
    <row r="2823"/>
    <row r="2824"/>
    <row r="2825"/>
    <row r="2826"/>
    <row r="2827"/>
    <row r="2828"/>
    <row r="2829"/>
    <row r="2830"/>
    <row r="2831"/>
    <row r="2832"/>
    <row r="2833"/>
    <row r="2834"/>
    <row r="2835"/>
    <row r="2836"/>
    <row r="2837"/>
    <row r="2838"/>
    <row r="2839"/>
    <row r="2840"/>
    <row r="2841"/>
    <row r="2842"/>
    <row r="2843"/>
    <row r="2844"/>
    <row r="2845"/>
    <row r="2846"/>
    <row r="2847"/>
    <row r="2848"/>
    <row r="2849"/>
    <row r="2850"/>
    <row r="2851"/>
    <row r="2852"/>
    <row r="2853"/>
    <row r="2854"/>
    <row r="2855"/>
    <row r="2856"/>
    <row r="2857"/>
    <row r="2858"/>
    <row r="2859"/>
    <row r="2860"/>
    <row r="2861"/>
    <row r="2862"/>
    <row r="2863"/>
    <row r="2864"/>
    <row r="2865"/>
    <row r="2866"/>
    <row r="2867"/>
    <row r="2868"/>
    <row r="2869"/>
    <row r="2870"/>
    <row r="2871"/>
    <row r="2872"/>
    <row r="2873"/>
    <row r="2874"/>
    <row r="2875"/>
    <row r="2876"/>
    <row r="2877"/>
    <row r="2878"/>
    <row r="2879"/>
    <row r="2880"/>
    <row r="2881"/>
    <row r="2882"/>
    <row r="2883"/>
    <row r="2884"/>
    <row r="2885"/>
    <row r="2886"/>
    <row r="2887"/>
    <row r="2888"/>
    <row r="2889"/>
    <row r="2890"/>
    <row r="2891"/>
    <row r="2892"/>
    <row r="2893"/>
    <row r="2894"/>
    <row r="2895"/>
    <row r="2896"/>
    <row r="2897"/>
    <row r="2898"/>
    <row r="2899"/>
    <row r="2900"/>
    <row r="2901"/>
    <row r="2902"/>
    <row r="2903"/>
    <row r="2904"/>
    <row r="2905"/>
    <row r="2906"/>
    <row r="2907"/>
    <row r="2908"/>
    <row r="2909"/>
    <row r="2910"/>
    <row r="2911"/>
    <row r="2912"/>
    <row r="2913"/>
    <row r="2914"/>
    <row r="2915"/>
    <row r="2916"/>
    <row r="2917"/>
    <row r="2918"/>
    <row r="2919"/>
    <row r="2920"/>
    <row r="2921"/>
    <row r="2922"/>
    <row r="2923"/>
    <row r="2924"/>
    <row r="2925"/>
    <row r="2926"/>
    <row r="2927"/>
    <row r="2928"/>
    <row r="2929"/>
    <row r="2930"/>
    <row r="2931"/>
    <row r="2932"/>
    <row r="2933"/>
    <row r="2934"/>
    <row r="2935"/>
    <row r="2936"/>
    <row r="2937"/>
    <row r="2938"/>
    <row r="2939"/>
    <row r="2940"/>
    <row r="2941"/>
    <row r="2942"/>
    <row r="2943"/>
    <row r="2944"/>
    <row r="2945"/>
    <row r="2946"/>
    <row r="2947"/>
    <row r="2948"/>
    <row r="2949"/>
    <row r="2950"/>
    <row r="2951"/>
    <row r="2952"/>
    <row r="2953"/>
    <row r="2954"/>
    <row r="2955"/>
    <row r="2956"/>
    <row r="2957"/>
    <row r="2958"/>
    <row r="2959"/>
    <row r="2960"/>
    <row r="2961"/>
    <row r="2962"/>
    <row r="2963"/>
    <row r="2964"/>
    <row r="2965"/>
    <row r="2966"/>
    <row r="2967"/>
    <row r="2968"/>
    <row r="2969"/>
    <row r="2970"/>
    <row r="2971"/>
    <row r="2972"/>
    <row r="2973"/>
    <row r="2974"/>
    <row r="2975"/>
    <row r="2976"/>
    <row r="2977"/>
    <row r="2978"/>
    <row r="2979"/>
    <row r="2980"/>
    <row r="2981"/>
    <row r="2982"/>
    <row r="2983"/>
    <row r="2984"/>
    <row r="2985"/>
    <row r="2986"/>
    <row r="2987"/>
    <row r="2988"/>
    <row r="2989"/>
    <row r="2990"/>
    <row r="2991"/>
    <row r="2992"/>
    <row r="2993"/>
    <row r="2994"/>
    <row r="2995"/>
    <row r="2996"/>
    <row r="2997"/>
    <row r="2998"/>
    <row r="2999"/>
    <row r="3000"/>
    <row r="3001"/>
    <row r="3002"/>
    <row r="3003"/>
    <row r="3004"/>
    <row r="3005"/>
    <row r="3006"/>
    <row r="3007"/>
    <row r="3008"/>
    <row r="3009"/>
    <row r="3010"/>
    <row r="3011"/>
    <row r="3012"/>
    <row r="3013"/>
    <row r="3014"/>
    <row r="3015"/>
    <row r="3016"/>
    <row r="3017"/>
    <row r="3018"/>
    <row r="3019"/>
    <row r="3020"/>
    <row r="3021"/>
    <row r="3022"/>
    <row r="3023"/>
    <row r="3024"/>
    <row r="3025"/>
    <row r="3026"/>
    <row r="3027"/>
    <row r="3028"/>
    <row r="3029"/>
    <row r="3030"/>
    <row r="3031"/>
    <row r="3032"/>
    <row r="3033"/>
    <row r="3034"/>
    <row r="3035"/>
    <row r="3036"/>
    <row r="3037"/>
    <row r="3038"/>
    <row r="3039"/>
    <row r="3040"/>
    <row r="3041"/>
    <row r="3042"/>
    <row r="3043"/>
    <row r="3044"/>
    <row r="3045"/>
    <row r="3046"/>
    <row r="3047"/>
    <row r="3048"/>
    <row r="3049"/>
    <row r="3050"/>
    <row r="3051"/>
    <row r="3052"/>
    <row r="3053"/>
    <row r="3054"/>
    <row r="3055"/>
    <row r="3056"/>
    <row r="3057"/>
    <row r="3058"/>
    <row r="3059"/>
    <row r="3060"/>
    <row r="3061"/>
    <row r="3062"/>
    <row r="3063"/>
    <row r="3064"/>
    <row r="3065"/>
    <row r="3066"/>
    <row r="3067"/>
    <row r="3068"/>
    <row r="3069"/>
    <row r="3070"/>
    <row r="3071"/>
    <row r="3072"/>
    <row r="3073"/>
    <row r="3074"/>
    <row r="3075"/>
    <row r="3076"/>
    <row r="3077"/>
    <row r="3078"/>
    <row r="3079"/>
    <row r="3080"/>
    <row r="3081"/>
    <row r="3082"/>
    <row r="3083"/>
    <row r="3084"/>
    <row r="3085"/>
    <row r="3086"/>
    <row r="3087"/>
    <row r="3088"/>
    <row r="3089"/>
    <row r="3090"/>
    <row r="3091"/>
    <row r="3092"/>
    <row r="3093"/>
    <row r="3094"/>
    <row r="3095"/>
    <row r="3096"/>
    <row r="3097"/>
    <row r="3098"/>
    <row r="3099"/>
    <row r="3100"/>
    <row r="3101"/>
    <row r="3102"/>
    <row r="3103"/>
    <row r="3104"/>
    <row r="3105"/>
    <row r="3106"/>
    <row r="3107"/>
    <row r="3108"/>
    <row r="3109"/>
    <row r="3110"/>
    <row r="3111"/>
    <row r="3112"/>
    <row r="3113"/>
    <row r="3114"/>
    <row r="3115"/>
    <row r="3116"/>
    <row r="3117"/>
    <row r="3118"/>
    <row r="3119"/>
    <row r="3120"/>
    <row r="3121"/>
    <row r="3122"/>
    <row r="3123"/>
    <row r="3124"/>
    <row r="3125"/>
    <row r="3126"/>
    <row r="3127"/>
    <row r="3128"/>
    <row r="3129"/>
    <row r="3130"/>
    <row r="3131"/>
    <row r="3132"/>
    <row r="3133"/>
    <row r="3134"/>
    <row r="3135"/>
    <row r="3136"/>
    <row r="3137"/>
    <row r="3138"/>
    <row r="3139"/>
    <row r="3140"/>
    <row r="3141"/>
    <row r="3142"/>
    <row r="3143"/>
    <row r="3144"/>
    <row r="3145"/>
    <row r="3146"/>
    <row r="3147"/>
    <row r="3148"/>
    <row r="3149"/>
    <row r="3150"/>
    <row r="3151"/>
    <row r="3152"/>
    <row r="3153"/>
    <row r="3154"/>
    <row r="3155"/>
    <row r="3156"/>
    <row r="3157"/>
    <row r="3158"/>
    <row r="3159"/>
    <row r="3160"/>
    <row r="3161"/>
    <row r="3162"/>
    <row r="3163"/>
    <row r="3164"/>
    <row r="3165"/>
    <row r="3166"/>
    <row r="3167"/>
    <row r="3168"/>
    <row r="3169"/>
    <row r="3170"/>
    <row r="3171"/>
    <row r="3172"/>
    <row r="3173"/>
    <row r="3174"/>
    <row r="3175"/>
    <row r="3176"/>
    <row r="3177"/>
    <row r="3178"/>
    <row r="3179"/>
    <row r="3180"/>
    <row r="3181"/>
    <row r="3182"/>
    <row r="3183"/>
    <row r="3184"/>
    <row r="3185"/>
    <row r="3186"/>
    <row r="3187"/>
    <row r="3188"/>
    <row r="3189"/>
    <row r="3190"/>
    <row r="3191"/>
    <row r="3192"/>
    <row r="3193"/>
    <row r="3194"/>
    <row r="3195"/>
    <row r="3196"/>
    <row r="3197"/>
    <row r="3198"/>
    <row r="3199"/>
    <row r="3200"/>
    <row r="3201"/>
    <row r="3202"/>
    <row r="3203"/>
    <row r="3204"/>
    <row r="3205"/>
    <row r="3206"/>
    <row r="3207"/>
    <row r="3208"/>
    <row r="3209"/>
    <row r="3210"/>
    <row r="3211"/>
    <row r="3212"/>
    <row r="3213"/>
    <row r="3214"/>
    <row r="3215"/>
    <row r="3216"/>
    <row r="3217"/>
    <row r="3218"/>
    <row r="3219"/>
    <row r="3220"/>
    <row r="3221"/>
    <row r="3222"/>
    <row r="3223"/>
    <row r="3224"/>
    <row r="3225"/>
    <row r="3226"/>
    <row r="3227"/>
    <row r="3228"/>
    <row r="3229"/>
    <row r="3230"/>
    <row r="3231"/>
    <row r="3232"/>
    <row r="3233"/>
    <row r="3234"/>
    <row r="3235"/>
    <row r="3236"/>
    <row r="3237"/>
    <row r="3238"/>
    <row r="3239"/>
    <row r="3240"/>
    <row r="3241"/>
    <row r="3242"/>
    <row r="3243"/>
    <row r="3244"/>
    <row r="3245"/>
    <row r="3246"/>
    <row r="3247"/>
    <row r="3248"/>
    <row r="3249"/>
    <row r="3250"/>
    <row r="3251"/>
    <row r="3252"/>
    <row r="3253"/>
    <row r="3254"/>
    <row r="3255"/>
    <row r="3256"/>
    <row r="3257"/>
    <row r="3258"/>
    <row r="3259"/>
    <row r="3260"/>
    <row r="3261"/>
    <row r="3262"/>
    <row r="3263"/>
    <row r="3264"/>
    <row r="3265"/>
    <row r="3266"/>
    <row r="3267"/>
    <row r="3268"/>
    <row r="3269"/>
    <row r="3270"/>
    <row r="3271"/>
    <row r="3272"/>
    <row r="3273"/>
    <row r="3274"/>
    <row r="3275"/>
    <row r="3276"/>
    <row r="3277"/>
    <row r="3278"/>
    <row r="3279"/>
    <row r="3280"/>
    <row r="3281"/>
    <row r="3282"/>
    <row r="3283"/>
    <row r="3284"/>
    <row r="3285"/>
    <row r="3286"/>
    <row r="3287"/>
    <row r="3288"/>
    <row r="3289"/>
    <row r="3290"/>
    <row r="3291"/>
    <row r="3292"/>
    <row r="3293"/>
    <row r="3294"/>
    <row r="3295"/>
    <row r="3296"/>
    <row r="3297"/>
    <row r="3298"/>
    <row r="3299"/>
    <row r="3300"/>
    <row r="3301"/>
    <row r="3302"/>
    <row r="3303"/>
    <row r="3304"/>
    <row r="3305"/>
    <row r="3306"/>
    <row r="3307"/>
    <row r="3308"/>
    <row r="3309"/>
    <row r="3310"/>
    <row r="3311"/>
    <row r="3312"/>
    <row r="3313"/>
    <row r="3314"/>
    <row r="3315"/>
    <row r="3316"/>
    <row r="3317"/>
    <row r="3318"/>
    <row r="3319"/>
    <row r="3320"/>
    <row r="3321"/>
    <row r="3322"/>
    <row r="3323"/>
    <row r="3324"/>
    <row r="3325"/>
    <row r="3326"/>
    <row r="3327"/>
    <row r="3328"/>
    <row r="3329"/>
    <row r="3330"/>
    <row r="3331"/>
    <row r="3332"/>
    <row r="3333"/>
    <row r="3334"/>
    <row r="3335"/>
    <row r="3336"/>
    <row r="3337"/>
    <row r="3338"/>
    <row r="3339"/>
    <row r="3340"/>
    <row r="3341"/>
    <row r="3342"/>
    <row r="3343"/>
    <row r="3344"/>
    <row r="3345"/>
    <row r="3346"/>
    <row r="3347"/>
    <row r="3348"/>
    <row r="3349"/>
    <row r="3350"/>
    <row r="3351"/>
    <row r="3352"/>
    <row r="3353"/>
    <row r="3354"/>
    <row r="3355"/>
    <row r="3356"/>
    <row r="3357"/>
    <row r="3358"/>
    <row r="3359"/>
    <row r="3360"/>
    <row r="3361"/>
    <row r="3362"/>
    <row r="3363"/>
    <row r="3364"/>
    <row r="3365"/>
    <row r="3366"/>
    <row r="3367"/>
    <row r="3368"/>
    <row r="3369"/>
    <row r="3370"/>
    <row r="3371"/>
    <row r="3372"/>
    <row r="3373"/>
    <row r="3374"/>
    <row r="3375"/>
    <row r="3376"/>
    <row r="3377"/>
    <row r="3378"/>
    <row r="3379"/>
    <row r="3380"/>
    <row r="3381"/>
    <row r="3382"/>
    <row r="3383"/>
    <row r="3384"/>
    <row r="3385"/>
    <row r="3386"/>
    <row r="3387"/>
    <row r="3388"/>
    <row r="3389"/>
    <row r="3390"/>
    <row r="3391"/>
    <row r="3392"/>
    <row r="3393"/>
    <row r="3394"/>
    <row r="3395"/>
    <row r="3396"/>
    <row r="3397"/>
    <row r="3398"/>
    <row r="3399"/>
    <row r="3400"/>
    <row r="3401"/>
    <row r="3402"/>
    <row r="3403"/>
    <row r="3404"/>
    <row r="3405"/>
    <row r="3406"/>
    <row r="3407"/>
    <row r="3408"/>
    <row r="3409"/>
    <row r="3410"/>
    <row r="3411"/>
    <row r="3412"/>
    <row r="3413"/>
    <row r="3414"/>
    <row r="3415"/>
    <row r="3416"/>
    <row r="3417"/>
    <row r="3418"/>
    <row r="3419"/>
    <row r="3420"/>
    <row r="3421"/>
    <row r="3422"/>
    <row r="3423"/>
    <row r="3424"/>
    <row r="3425"/>
    <row r="3426"/>
    <row r="3427"/>
    <row r="3428"/>
    <row r="3429"/>
    <row r="3430"/>
    <row r="3431"/>
    <row r="3432"/>
    <row r="3433"/>
    <row r="3434"/>
    <row r="3435"/>
    <row r="3436"/>
    <row r="3437"/>
    <row r="3438"/>
    <row r="3439"/>
    <row r="3440"/>
    <row r="3441"/>
    <row r="3442"/>
    <row r="3443"/>
    <row r="3444"/>
    <row r="3445"/>
    <row r="3446"/>
    <row r="3447"/>
    <row r="3448"/>
    <row r="3449"/>
    <row r="3450"/>
    <row r="3451"/>
    <row r="3452"/>
    <row r="3453"/>
    <row r="3454"/>
    <row r="3455"/>
    <row r="3456"/>
    <row r="3457"/>
    <row r="3458"/>
    <row r="3459"/>
    <row r="3460"/>
    <row r="3461"/>
    <row r="3462"/>
    <row r="3463"/>
    <row r="3464"/>
    <row r="3465"/>
    <row r="3466"/>
    <row r="3467"/>
    <row r="3468"/>
    <row r="3469"/>
    <row r="3470"/>
    <row r="3471"/>
    <row r="3472"/>
    <row r="3473"/>
    <row r="3474"/>
    <row r="3475"/>
    <row r="3476"/>
    <row r="3477"/>
    <row r="3478"/>
    <row r="3479"/>
    <row r="3480"/>
    <row r="3481"/>
    <row r="3482"/>
    <row r="3483"/>
    <row r="3484"/>
    <row r="3485"/>
    <row r="3486"/>
    <row r="3487"/>
    <row r="3488"/>
    <row r="3489"/>
    <row r="3490"/>
    <row r="3491"/>
    <row r="3492"/>
    <row r="3493"/>
    <row r="3494"/>
    <row r="3495"/>
    <row r="3496"/>
    <row r="3497"/>
    <row r="3498"/>
    <row r="3499"/>
    <row r="3500"/>
    <row r="3501"/>
    <row r="3502"/>
    <row r="3503"/>
    <row r="3504"/>
    <row r="3505"/>
    <row r="3506"/>
    <row r="3507"/>
    <row r="3508"/>
    <row r="3509"/>
    <row r="3510"/>
    <row r="3511"/>
    <row r="3512"/>
    <row r="3513"/>
    <row r="3514"/>
    <row r="3515"/>
    <row r="3516"/>
    <row r="3517"/>
    <row r="3518"/>
    <row r="3519"/>
    <row r="3520"/>
    <row r="3521"/>
    <row r="3522"/>
    <row r="3523"/>
    <row r="3524"/>
    <row r="3525"/>
    <row r="3526"/>
    <row r="3527"/>
    <row r="3528"/>
    <row r="3529"/>
    <row r="3530"/>
    <row r="3531"/>
    <row r="3532"/>
    <row r="3533"/>
    <row r="3534"/>
    <row r="3535"/>
    <row r="3536"/>
    <row r="3537"/>
    <row r="3538"/>
    <row r="3539"/>
    <row r="3540"/>
    <row r="3541"/>
    <row r="3542"/>
    <row r="3543"/>
    <row r="3544"/>
    <row r="3545"/>
    <row r="3546"/>
    <row r="3547"/>
    <row r="3548"/>
    <row r="3549"/>
    <row r="3550"/>
    <row r="3551"/>
    <row r="3552"/>
    <row r="3553"/>
    <row r="3554"/>
    <row r="3555"/>
    <row r="3556"/>
    <row r="3557"/>
    <row r="3558"/>
    <row r="3559"/>
    <row r="3560"/>
    <row r="3561"/>
    <row r="3562"/>
    <row r="3563"/>
    <row r="3564"/>
    <row r="3565"/>
    <row r="3566"/>
    <row r="3567"/>
    <row r="3568"/>
    <row r="3569"/>
    <row r="3570"/>
    <row r="3571"/>
    <row r="3572"/>
    <row r="3573"/>
    <row r="3574"/>
    <row r="3575"/>
    <row r="3576"/>
    <row r="3577"/>
    <row r="3578"/>
    <row r="3579"/>
    <row r="3580"/>
    <row r="3581"/>
    <row r="3582"/>
    <row r="3583"/>
    <row r="3584"/>
    <row r="3585"/>
    <row r="3586"/>
    <row r="3587"/>
    <row r="3588"/>
    <row r="3589"/>
    <row r="3590"/>
    <row r="3591"/>
    <row r="3592"/>
    <row r="3593"/>
    <row r="3594"/>
    <row r="3595"/>
    <row r="3596"/>
    <row r="3597"/>
    <row r="3598"/>
    <row r="3599"/>
    <row r="3600"/>
    <row r="3601"/>
    <row r="3602"/>
    <row r="3603"/>
    <row r="3604"/>
    <row r="3605"/>
    <row r="3606"/>
    <row r="3607"/>
    <row r="3608"/>
    <row r="3609"/>
    <row r="3610"/>
    <row r="3611"/>
    <row r="3612"/>
    <row r="3613"/>
    <row r="3614"/>
    <row r="3615"/>
    <row r="3616"/>
    <row r="3617"/>
    <row r="3618"/>
    <row r="3619"/>
    <row r="3620"/>
    <row r="3621"/>
    <row r="3622"/>
    <row r="3623"/>
    <row r="3624"/>
    <row r="3625"/>
    <row r="3626"/>
    <row r="3627"/>
    <row r="3628"/>
    <row r="3629"/>
    <row r="3630"/>
    <row r="3631"/>
    <row r="3632"/>
    <row r="3633"/>
    <row r="3634"/>
    <row r="3635"/>
    <row r="3636"/>
    <row r="3637"/>
    <row r="3638"/>
    <row r="3639"/>
    <row r="3640"/>
    <row r="3641"/>
    <row r="3642"/>
    <row r="3643"/>
    <row r="3644"/>
    <row r="3645"/>
    <row r="3646"/>
    <row r="3647"/>
    <row r="3648"/>
    <row r="3649"/>
    <row r="3650"/>
    <row r="3651"/>
    <row r="3652"/>
    <row r="3653"/>
    <row r="3654"/>
    <row r="3655"/>
    <row r="3656"/>
    <row r="3657"/>
    <row r="3658"/>
    <row r="3659"/>
    <row r="3660"/>
    <row r="3661"/>
    <row r="3662"/>
    <row r="3663"/>
    <row r="3664"/>
    <row r="3665"/>
    <row r="3666"/>
    <row r="3667"/>
    <row r="3668"/>
    <row r="3669"/>
    <row r="3670"/>
    <row r="3671"/>
    <row r="3672"/>
    <row r="3673"/>
    <row r="3674"/>
    <row r="3675"/>
    <row r="3676"/>
    <row r="3677"/>
    <row r="3678"/>
    <row r="3679"/>
    <row r="3680"/>
    <row r="3681"/>
    <row r="3682"/>
    <row r="3683"/>
    <row r="3684"/>
    <row r="3685"/>
    <row r="3686"/>
    <row r="3687"/>
    <row r="3688"/>
    <row r="3689"/>
    <row r="3690"/>
    <row r="3691"/>
    <row r="3692"/>
    <row r="3693"/>
    <row r="3694"/>
    <row r="3695"/>
    <row r="3696"/>
    <row r="3697"/>
    <row r="3698"/>
    <row r="3699"/>
    <row r="3700"/>
    <row r="3701"/>
    <row r="3702"/>
    <row r="3703"/>
    <row r="3704"/>
    <row r="3705"/>
    <row r="3706"/>
    <row r="3707"/>
    <row r="3708"/>
    <row r="3709"/>
    <row r="3710"/>
    <row r="3711"/>
    <row r="3712"/>
    <row r="3713"/>
    <row r="3714"/>
    <row r="3715"/>
    <row r="3716"/>
    <row r="3717"/>
    <row r="3718"/>
    <row r="3719"/>
    <row r="3720"/>
    <row r="3721"/>
    <row r="3722"/>
    <row r="3723"/>
    <row r="3724"/>
    <row r="3725"/>
    <row r="3726"/>
    <row r="3727"/>
    <row r="3728"/>
    <row r="3729"/>
    <row r="3730"/>
    <row r="3731"/>
    <row r="3732"/>
    <row r="3733"/>
    <row r="3734"/>
    <row r="3735"/>
    <row r="3736"/>
    <row r="3737"/>
    <row r="3738"/>
    <row r="3739"/>
    <row r="3740"/>
    <row r="3741"/>
    <row r="3742"/>
    <row r="3743"/>
    <row r="3744"/>
    <row r="3745"/>
    <row r="3746"/>
    <row r="3747"/>
    <row r="3748"/>
    <row r="3749"/>
    <row r="3750"/>
    <row r="3751"/>
    <row r="3752"/>
    <row r="3753"/>
    <row r="3754"/>
    <row r="3755"/>
    <row r="3756"/>
    <row r="3757"/>
    <row r="3758"/>
    <row r="3759"/>
    <row r="3760"/>
    <row r="3761"/>
    <row r="3762"/>
    <row r="3763"/>
    <row r="3764"/>
    <row r="3765"/>
    <row r="3766"/>
    <row r="3767"/>
    <row r="3768"/>
    <row r="3769"/>
    <row r="3770"/>
    <row r="3771"/>
    <row r="3772"/>
    <row r="3773"/>
    <row r="3774"/>
    <row r="3775"/>
    <row r="3776"/>
    <row r="3777"/>
    <row r="3778"/>
    <row r="3779"/>
    <row r="3780"/>
    <row r="3781"/>
    <row r="3782"/>
    <row r="3783"/>
    <row r="3784"/>
    <row r="3785"/>
    <row r="3786"/>
    <row r="3787"/>
    <row r="3788"/>
    <row r="3789"/>
    <row r="3790"/>
    <row r="3791"/>
    <row r="3792"/>
    <row r="3793"/>
    <row r="3794"/>
    <row r="3795"/>
    <row r="3796"/>
    <row r="3797"/>
    <row r="3798"/>
    <row r="3799"/>
    <row r="3800"/>
    <row r="3801"/>
    <row r="3802"/>
    <row r="3803"/>
    <row r="3804"/>
    <row r="3805"/>
    <row r="3806"/>
    <row r="3807"/>
    <row r="3808"/>
    <row r="3809"/>
    <row r="3810"/>
    <row r="3811"/>
    <row r="3812"/>
    <row r="3813"/>
    <row r="3814"/>
    <row r="3815"/>
    <row r="3816"/>
    <row r="3817"/>
    <row r="3818"/>
    <row r="3819"/>
    <row r="3820"/>
    <row r="3821"/>
    <row r="3822"/>
    <row r="3823"/>
    <row r="3824"/>
    <row r="3825"/>
    <row r="3826"/>
    <row r="3827"/>
    <row r="3828"/>
    <row r="3829"/>
    <row r="3830"/>
    <row r="3831"/>
    <row r="3832"/>
    <row r="3833"/>
    <row r="3834"/>
    <row r="3835"/>
    <row r="3836"/>
    <row r="3837"/>
    <row r="3838"/>
    <row r="3839"/>
    <row r="3840"/>
    <row r="3841"/>
    <row r="3842"/>
    <row r="3843"/>
    <row r="3844"/>
    <row r="3845"/>
    <row r="3846"/>
    <row r="3847"/>
    <row r="3848"/>
    <row r="3849"/>
    <row r="3850"/>
    <row r="3851"/>
    <row r="3852"/>
    <row r="3853"/>
    <row r="3854"/>
    <row r="3855"/>
    <row r="3856"/>
    <row r="3857"/>
    <row r="3858"/>
    <row r="3859"/>
    <row r="3860"/>
    <row r="3861"/>
    <row r="3862"/>
    <row r="3863"/>
    <row r="3864"/>
    <row r="3865"/>
    <row r="3866"/>
    <row r="3867"/>
    <row r="3868"/>
    <row r="3869"/>
    <row r="3870"/>
    <row r="3871"/>
    <row r="3872"/>
    <row r="3873"/>
    <row r="3874"/>
    <row r="3875"/>
    <row r="3876"/>
    <row r="3877"/>
    <row r="3878"/>
    <row r="3879"/>
    <row r="3880"/>
    <row r="3881"/>
    <row r="3882"/>
    <row r="3883"/>
    <row r="3884"/>
    <row r="3885"/>
    <row r="3886"/>
    <row r="3887"/>
    <row r="3888"/>
    <row r="3889"/>
    <row r="3890"/>
    <row r="3891"/>
    <row r="3892"/>
    <row r="3893"/>
    <row r="3894"/>
    <row r="3895"/>
    <row r="3896"/>
    <row r="3897"/>
    <row r="3898"/>
    <row r="3899"/>
    <row r="3900"/>
    <row r="3901"/>
    <row r="3902"/>
    <row r="3903"/>
    <row r="3904"/>
    <row r="3905"/>
    <row r="3906"/>
    <row r="3907"/>
    <row r="3908"/>
    <row r="3909"/>
    <row r="3910"/>
    <row r="3911"/>
    <row r="3912"/>
    <row r="3913"/>
    <row r="3914"/>
    <row r="3915"/>
    <row r="3916"/>
    <row r="3917"/>
    <row r="3918"/>
    <row r="3919"/>
    <row r="3920"/>
    <row r="3921"/>
    <row r="3922"/>
    <row r="3923"/>
    <row r="3924"/>
    <row r="3925"/>
    <row r="3926"/>
    <row r="3927"/>
    <row r="3928"/>
    <row r="3929"/>
    <row r="3930"/>
    <row r="3931"/>
    <row r="3932"/>
    <row r="3933"/>
    <row r="3934"/>
    <row r="3935"/>
    <row r="3936"/>
    <row r="3937"/>
    <row r="3938"/>
    <row r="3939"/>
    <row r="3940"/>
    <row r="3941"/>
    <row r="3942"/>
    <row r="3943"/>
    <row r="3944"/>
    <row r="3945"/>
    <row r="3946"/>
    <row r="3947"/>
    <row r="3948"/>
    <row r="3949"/>
    <row r="3950"/>
    <row r="3951"/>
    <row r="3952"/>
    <row r="3953"/>
    <row r="3954"/>
    <row r="3955"/>
    <row r="3956"/>
    <row r="3957"/>
    <row r="3958"/>
    <row r="3959"/>
    <row r="3960"/>
    <row r="3961"/>
    <row r="3962"/>
    <row r="3963"/>
    <row r="3964"/>
    <row r="3965"/>
    <row r="3966"/>
    <row r="3967"/>
    <row r="3968"/>
    <row r="3969"/>
    <row r="3970"/>
    <row r="3971"/>
    <row r="3972"/>
    <row r="3973"/>
    <row r="3974"/>
    <row r="3975"/>
    <row r="3976"/>
    <row r="3977"/>
    <row r="3978"/>
    <row r="3979"/>
    <row r="3980"/>
    <row r="3981"/>
    <row r="3982"/>
    <row r="3983"/>
    <row r="3984"/>
    <row r="3985"/>
    <row r="3986"/>
    <row r="3987"/>
    <row r="3988"/>
    <row r="3989"/>
    <row r="3990"/>
    <row r="3991"/>
    <row r="3992"/>
    <row r="3993"/>
    <row r="3994"/>
    <row r="3995"/>
    <row r="3996"/>
    <row r="3997"/>
    <row r="3998"/>
    <row r="3999"/>
    <row r="4000"/>
    <row r="4001"/>
    <row r="4002"/>
    <row r="4003"/>
    <row r="4004"/>
    <row r="4005"/>
    <row r="4006"/>
    <row r="4007"/>
    <row r="4008"/>
    <row r="4009"/>
    <row r="4010"/>
    <row r="4011"/>
    <row r="4012"/>
    <row r="4013"/>
    <row r="4014"/>
    <row r="4015"/>
    <row r="4016"/>
    <row r="4017"/>
    <row r="4018"/>
    <row r="4019"/>
    <row r="4020"/>
    <row r="4021"/>
    <row r="4022"/>
    <row r="4023"/>
    <row r="4024"/>
    <row r="4025"/>
    <row r="4026"/>
    <row r="4027"/>
    <row r="4028"/>
    <row r="4029"/>
    <row r="4030"/>
    <row r="4031"/>
    <row r="4032"/>
    <row r="4033"/>
    <row r="4034"/>
    <row r="4035"/>
    <row r="4036"/>
    <row r="4037"/>
    <row r="4038"/>
    <row r="4039"/>
    <row r="4040"/>
    <row r="4041"/>
    <row r="4042"/>
    <row r="4043"/>
    <row r="4044"/>
    <row r="4045"/>
    <row r="4046"/>
    <row r="4047"/>
    <row r="4048"/>
    <row r="4049"/>
    <row r="4050"/>
    <row r="4051"/>
    <row r="4052"/>
    <row r="4053"/>
    <row r="4054"/>
    <row r="4055"/>
    <row r="4056"/>
    <row r="4057"/>
    <row r="4058"/>
    <row r="4059"/>
    <row r="4060"/>
    <row r="4061"/>
    <row r="4062"/>
    <row r="4063"/>
    <row r="4064"/>
    <row r="4065"/>
    <row r="4066"/>
    <row r="4067"/>
    <row r="4068"/>
    <row r="4069"/>
    <row r="4070"/>
    <row r="4071"/>
    <row r="4072"/>
    <row r="4073"/>
    <row r="4074"/>
    <row r="4075"/>
    <row r="4076"/>
    <row r="4077"/>
    <row r="4078"/>
    <row r="4079"/>
    <row r="4080"/>
    <row r="4081"/>
    <row r="4082"/>
    <row r="4083"/>
    <row r="4084"/>
    <row r="4085"/>
    <row r="4086"/>
    <row r="4087"/>
    <row r="4088"/>
    <row r="4089"/>
    <row r="4090"/>
    <row r="4091"/>
    <row r="4092"/>
    <row r="4093"/>
    <row r="4094"/>
    <row r="4095"/>
    <row r="4096"/>
    <row r="4097"/>
    <row r="4098"/>
    <row r="4099"/>
    <row r="4100"/>
    <row r="4101"/>
    <row r="4102"/>
    <row r="4103"/>
    <row r="4104"/>
    <row r="4105"/>
    <row r="4106"/>
    <row r="4107"/>
    <row r="4108"/>
    <row r="4109"/>
    <row r="4110"/>
    <row r="4111"/>
    <row r="4112"/>
    <row r="4113"/>
    <row r="4114"/>
    <row r="4115"/>
    <row r="4116"/>
    <row r="4117"/>
    <row r="4118"/>
    <row r="4119"/>
    <row r="4120"/>
    <row r="4121"/>
    <row r="4122"/>
    <row r="4123"/>
    <row r="4124"/>
    <row r="4125"/>
    <row r="4126"/>
    <row r="4127"/>
    <row r="4128"/>
    <row r="4129"/>
    <row r="4130"/>
    <row r="4131"/>
    <row r="4132"/>
    <row r="4133"/>
    <row r="4134"/>
    <row r="4135"/>
    <row r="4136"/>
    <row r="4137"/>
    <row r="4138"/>
    <row r="4139"/>
    <row r="4140"/>
    <row r="4141"/>
    <row r="4142"/>
    <row r="4143"/>
    <row r="4144"/>
    <row r="4145"/>
    <row r="4146"/>
    <row r="4147"/>
    <row r="4148"/>
    <row r="4149"/>
    <row r="4150"/>
    <row r="4151"/>
    <row r="4152"/>
    <row r="4153"/>
    <row r="4154"/>
    <row r="4155"/>
    <row r="4156"/>
    <row r="4157"/>
    <row r="4158"/>
    <row r="4159"/>
    <row r="4160"/>
    <row r="4161"/>
    <row r="4162"/>
    <row r="4163"/>
    <row r="4164"/>
    <row r="4165"/>
    <row r="4166"/>
    <row r="4167"/>
    <row r="4168"/>
    <row r="4169"/>
    <row r="4170"/>
    <row r="4171"/>
    <row r="4172"/>
    <row r="4173"/>
    <row r="4174"/>
    <row r="4175"/>
    <row r="4176"/>
    <row r="4177"/>
    <row r="4178"/>
    <row r="4179"/>
    <row r="4180"/>
    <row r="4181"/>
    <row r="4182"/>
    <row r="4183"/>
    <row r="4184"/>
    <row r="4185"/>
    <row r="4186"/>
    <row r="4187"/>
    <row r="4188"/>
    <row r="4189"/>
    <row r="4190"/>
    <row r="4191"/>
    <row r="4192"/>
    <row r="4193"/>
    <row r="4194"/>
    <row r="4195"/>
    <row r="4196"/>
    <row r="4197"/>
    <row r="4198"/>
    <row r="4199"/>
    <row r="4200"/>
    <row r="4201"/>
    <row r="4202"/>
    <row r="4203"/>
    <row r="4204"/>
    <row r="4205"/>
    <row r="4206"/>
    <row r="4207"/>
    <row r="4208"/>
    <row r="4209"/>
    <row r="4210"/>
    <row r="4211"/>
    <row r="4212"/>
    <row r="4213"/>
    <row r="4214"/>
    <row r="4215"/>
    <row r="4216"/>
    <row r="4217"/>
    <row r="4218"/>
    <row r="4219"/>
    <row r="4220"/>
    <row r="4221"/>
    <row r="4222"/>
    <row r="4223"/>
    <row r="4224"/>
    <row r="4225"/>
    <row r="4226"/>
    <row r="4227"/>
    <row r="4228"/>
    <row r="4229"/>
    <row r="4230"/>
    <row r="4231"/>
    <row r="4232"/>
    <row r="4233"/>
    <row r="4234"/>
    <row r="4235"/>
    <row r="4236"/>
    <row r="4237"/>
    <row r="4238"/>
    <row r="4239"/>
    <row r="4240"/>
    <row r="4241"/>
    <row r="4242"/>
    <row r="4243"/>
    <row r="4244"/>
    <row r="4245"/>
    <row r="4246"/>
    <row r="4247"/>
    <row r="4248"/>
    <row r="4249"/>
    <row r="4250"/>
    <row r="4251"/>
    <row r="4252"/>
    <row r="4253"/>
    <row r="4254"/>
    <row r="4255"/>
    <row r="4256"/>
    <row r="4257"/>
    <row r="4258"/>
    <row r="4259"/>
    <row r="4260"/>
    <row r="4261"/>
    <row r="4262"/>
    <row r="4263"/>
    <row r="4264"/>
    <row r="4265"/>
    <row r="4266"/>
    <row r="4267"/>
    <row r="4268"/>
    <row r="4269"/>
    <row r="4270"/>
    <row r="4271"/>
    <row r="4272"/>
    <row r="4273"/>
    <row r="4274"/>
    <row r="4275"/>
    <row r="4276"/>
    <row r="4277"/>
    <row r="4278"/>
    <row r="4279"/>
    <row r="4280"/>
    <row r="4281"/>
    <row r="4282"/>
    <row r="4283"/>
    <row r="4284"/>
    <row r="4285"/>
    <row r="4286"/>
    <row r="4287"/>
    <row r="4288"/>
    <row r="4289"/>
    <row r="4290"/>
    <row r="4291"/>
    <row r="4292"/>
    <row r="4293"/>
    <row r="4294"/>
    <row r="4295"/>
    <row r="4296"/>
    <row r="4297"/>
    <row r="4298"/>
    <row r="4299"/>
    <row r="4300"/>
    <row r="4301"/>
    <row r="4302"/>
    <row r="4303"/>
    <row r="4304"/>
    <row r="4305"/>
    <row r="4306"/>
    <row r="4307"/>
    <row r="4308"/>
    <row r="4309"/>
    <row r="4310"/>
    <row r="4311"/>
    <row r="4312"/>
    <row r="4313"/>
    <row r="4314"/>
    <row r="4315"/>
    <row r="4316"/>
    <row r="4317"/>
    <row r="4318"/>
    <row r="4319"/>
    <row r="4320"/>
    <row r="4321"/>
    <row r="4322"/>
    <row r="4323"/>
    <row r="4324"/>
    <row r="4325"/>
    <row r="4326"/>
    <row r="4327"/>
    <row r="4328"/>
    <row r="4329"/>
    <row r="4330"/>
    <row r="4331"/>
    <row r="4332"/>
    <row r="4333"/>
    <row r="4334"/>
    <row r="4335"/>
    <row r="4336"/>
    <row r="4337"/>
    <row r="4338"/>
    <row r="4339"/>
    <row r="4340"/>
    <row r="4341"/>
    <row r="4342"/>
    <row r="4343"/>
    <row r="4344"/>
    <row r="4345"/>
    <row r="4346"/>
    <row r="4347"/>
    <row r="4348"/>
    <row r="4349"/>
    <row r="4350"/>
    <row r="4351"/>
    <row r="4352"/>
    <row r="4353"/>
    <row r="4354"/>
    <row r="4355"/>
    <row r="4356"/>
    <row r="4357"/>
    <row r="4358"/>
    <row r="4359"/>
    <row r="4360"/>
    <row r="4361"/>
    <row r="4362"/>
    <row r="4363"/>
    <row r="4364"/>
    <row r="4365"/>
    <row r="4366"/>
    <row r="4367"/>
    <row r="4368"/>
    <row r="4369"/>
    <row r="4370"/>
    <row r="4371"/>
    <row r="4372"/>
    <row r="4373"/>
    <row r="4374"/>
    <row r="4375"/>
    <row r="4376"/>
    <row r="4377"/>
    <row r="4378"/>
    <row r="4379"/>
    <row r="4380"/>
    <row r="4381"/>
    <row r="4382"/>
    <row r="4383"/>
    <row r="4384"/>
    <row r="4385"/>
    <row r="4386"/>
    <row r="4387"/>
    <row r="4388"/>
    <row r="4389"/>
    <row r="4390"/>
    <row r="4391"/>
    <row r="4392"/>
    <row r="4393"/>
    <row r="4394"/>
    <row r="4395"/>
    <row r="4396"/>
    <row r="4397"/>
    <row r="4398"/>
    <row r="4399"/>
    <row r="4400"/>
    <row r="4401"/>
    <row r="4402"/>
    <row r="4403"/>
    <row r="4404"/>
    <row r="4405"/>
    <row r="4406"/>
    <row r="4407"/>
    <row r="4408"/>
    <row r="4409"/>
    <row r="4410"/>
    <row r="4411"/>
    <row r="4412"/>
    <row r="4413"/>
    <row r="4414"/>
    <row r="4415"/>
    <row r="4416"/>
    <row r="4417"/>
    <row r="4418"/>
    <row r="4419"/>
    <row r="4420"/>
    <row r="4421"/>
    <row r="4422"/>
    <row r="4423"/>
    <row r="4424"/>
    <row r="4425"/>
    <row r="4426"/>
    <row r="4427"/>
    <row r="4428"/>
    <row r="4429"/>
    <row r="4430"/>
    <row r="4431"/>
    <row r="4432"/>
    <row r="4433"/>
    <row r="4434"/>
    <row r="4435"/>
    <row r="4436"/>
    <row r="4437"/>
    <row r="4438"/>
    <row r="4439"/>
    <row r="4440"/>
    <row r="4441"/>
    <row r="4442"/>
    <row r="4443"/>
    <row r="4444"/>
    <row r="4445"/>
    <row r="4446"/>
    <row r="4447"/>
    <row r="4448"/>
    <row r="4449"/>
    <row r="4450"/>
    <row r="4451"/>
    <row r="4452"/>
    <row r="4453"/>
    <row r="4454"/>
    <row r="4455"/>
    <row r="4456"/>
    <row r="4457"/>
    <row r="4458"/>
    <row r="4459"/>
    <row r="4460"/>
    <row r="4461"/>
    <row r="4462"/>
    <row r="4463"/>
    <row r="4464"/>
    <row r="4465"/>
    <row r="4466"/>
    <row r="4467"/>
    <row r="4468"/>
    <row r="4469"/>
    <row r="4470"/>
    <row r="4471"/>
    <row r="4472"/>
    <row r="4473"/>
    <row r="4474"/>
    <row r="4475"/>
    <row r="4476"/>
    <row r="4477"/>
    <row r="4478"/>
    <row r="4479"/>
    <row r="4480"/>
    <row r="4481"/>
    <row r="4482"/>
    <row r="4483"/>
    <row r="4484"/>
    <row r="4485"/>
    <row r="4486"/>
    <row r="4487"/>
    <row r="4488"/>
    <row r="4489"/>
    <row r="4490"/>
    <row r="4491"/>
    <row r="4492"/>
    <row r="4493"/>
    <row r="4494"/>
    <row r="4495"/>
    <row r="4496"/>
    <row r="4497"/>
    <row r="4498"/>
    <row r="4499"/>
    <row r="4500"/>
    <row r="4501"/>
    <row r="4502"/>
    <row r="4503"/>
    <row r="4504"/>
    <row r="4505"/>
    <row r="4506"/>
    <row r="4507"/>
    <row r="4508"/>
    <row r="4509"/>
    <row r="4510"/>
    <row r="4511"/>
    <row r="4512"/>
    <row r="4513"/>
    <row r="4514"/>
    <row r="4515"/>
    <row r="4516"/>
    <row r="4517"/>
    <row r="4518"/>
    <row r="4519"/>
    <row r="4520"/>
    <row r="4521"/>
    <row r="4522"/>
    <row r="4523"/>
    <row r="4524"/>
    <row r="4525"/>
    <row r="4526"/>
    <row r="4527"/>
    <row r="4528"/>
    <row r="4529"/>
    <row r="4530"/>
    <row r="4531"/>
    <row r="4532"/>
    <row r="4533"/>
    <row r="4534"/>
    <row r="4535"/>
    <row r="4536"/>
    <row r="4537"/>
    <row r="4538"/>
    <row r="4539"/>
    <row r="4540"/>
    <row r="4541"/>
    <row r="4542"/>
    <row r="4543"/>
    <row r="4544"/>
    <row r="4545"/>
    <row r="4546"/>
    <row r="4547"/>
    <row r="4548"/>
    <row r="4549"/>
    <row r="4550"/>
    <row r="4551"/>
    <row r="4552"/>
    <row r="4553"/>
    <row r="4554"/>
    <row r="4555"/>
    <row r="4556"/>
    <row r="4557"/>
    <row r="4558"/>
    <row r="4559"/>
    <row r="4560"/>
    <row r="4561"/>
    <row r="4562"/>
    <row r="4563"/>
    <row r="4564"/>
    <row r="4565"/>
    <row r="4566"/>
    <row r="4567"/>
    <row r="4568"/>
    <row r="4569"/>
    <row r="4570"/>
    <row r="4571"/>
    <row r="4572"/>
    <row r="4573"/>
    <row r="4574"/>
    <row r="4575"/>
    <row r="4576"/>
    <row r="4577"/>
    <row r="4578"/>
    <row r="4579"/>
    <row r="4580"/>
    <row r="4581"/>
    <row r="4582"/>
    <row r="4583"/>
    <row r="4584"/>
    <row r="4585"/>
    <row r="4586"/>
    <row r="4587"/>
    <row r="4588"/>
    <row r="4589"/>
    <row r="4590"/>
    <row r="4591"/>
    <row r="4592"/>
    <row r="4593"/>
    <row r="4594"/>
    <row r="4595"/>
    <row r="4596"/>
    <row r="4597"/>
    <row r="4598"/>
    <row r="4599"/>
    <row r="4600"/>
    <row r="4601"/>
    <row r="4602"/>
    <row r="4603"/>
    <row r="4604"/>
    <row r="4605"/>
    <row r="4606"/>
    <row r="4607"/>
    <row r="4608"/>
    <row r="4609"/>
    <row r="4610"/>
    <row r="4611"/>
    <row r="4612"/>
    <row r="4613"/>
    <row r="4614"/>
    <row r="4615"/>
    <row r="4616"/>
    <row r="4617"/>
    <row r="4618"/>
    <row r="4619"/>
    <row r="4620"/>
    <row r="4621"/>
    <row r="4622"/>
    <row r="4623"/>
    <row r="4624"/>
    <row r="4625"/>
    <row r="4626"/>
    <row r="4627"/>
    <row r="4628"/>
    <row r="4629"/>
    <row r="4630"/>
    <row r="4631"/>
    <row r="4632"/>
    <row r="4633"/>
    <row r="4634"/>
    <row r="4635"/>
    <row r="4636"/>
    <row r="4637"/>
    <row r="4638"/>
    <row r="4639"/>
    <row r="4640"/>
    <row r="4641"/>
    <row r="4642"/>
    <row r="4643"/>
    <row r="4644"/>
    <row r="4645"/>
    <row r="4646"/>
    <row r="4647"/>
    <row r="4648"/>
    <row r="4649"/>
    <row r="4650"/>
    <row r="4651"/>
    <row r="4652"/>
    <row r="4653"/>
    <row r="4654"/>
    <row r="4655"/>
    <row r="4656"/>
    <row r="4657"/>
    <row r="4658"/>
    <row r="4659"/>
    <row r="4660"/>
    <row r="4661"/>
    <row r="4662"/>
    <row r="4663"/>
    <row r="4664"/>
    <row r="4665"/>
    <row r="4666"/>
    <row r="4667"/>
    <row r="4668"/>
    <row r="4669"/>
    <row r="4670"/>
    <row r="4671"/>
    <row r="4672"/>
    <row r="4673"/>
    <row r="4674"/>
    <row r="4675"/>
    <row r="4676"/>
    <row r="4677"/>
    <row r="4678"/>
    <row r="4679"/>
    <row r="4680"/>
    <row r="4681"/>
    <row r="4682"/>
    <row r="4683"/>
    <row r="4684"/>
    <row r="4685"/>
    <row r="4686"/>
    <row r="4687"/>
    <row r="4688"/>
    <row r="4689"/>
    <row r="4690"/>
    <row r="4691"/>
    <row r="4692"/>
    <row r="4693"/>
    <row r="4694"/>
    <row r="4695"/>
    <row r="4696"/>
    <row r="4697"/>
    <row r="4698"/>
    <row r="4699"/>
    <row r="4700"/>
    <row r="4701"/>
    <row r="4702"/>
    <row r="4703"/>
    <row r="4704"/>
    <row r="4705"/>
    <row r="4706"/>
    <row r="4707"/>
    <row r="4708"/>
    <row r="4709"/>
    <row r="4710"/>
    <row r="4711"/>
    <row r="4712"/>
    <row r="4713"/>
    <row r="4714"/>
    <row r="4715"/>
    <row r="4716"/>
    <row r="4717"/>
    <row r="4718"/>
    <row r="4719"/>
    <row r="4720"/>
    <row r="4721"/>
    <row r="4722"/>
    <row r="4723"/>
    <row r="4724"/>
    <row r="4725"/>
    <row r="4726"/>
    <row r="4727"/>
    <row r="4728"/>
    <row r="4729"/>
    <row r="4730"/>
    <row r="4731"/>
    <row r="4732"/>
    <row r="4733"/>
    <row r="4734"/>
    <row r="4735"/>
    <row r="4736"/>
    <row r="4737"/>
    <row r="4738"/>
    <row r="4739"/>
    <row r="4740"/>
    <row r="4741"/>
    <row r="4742"/>
    <row r="4743"/>
    <row r="4744"/>
    <row r="4745"/>
    <row r="4746"/>
    <row r="4747"/>
    <row r="4748"/>
    <row r="4749"/>
    <row r="4750"/>
    <row r="4751"/>
    <row r="4752"/>
    <row r="4753"/>
    <row r="4754"/>
    <row r="4755"/>
    <row r="4756"/>
    <row r="4757"/>
    <row r="4758"/>
    <row r="4759"/>
    <row r="4760"/>
    <row r="4761"/>
    <row r="4762"/>
    <row r="4763"/>
    <row r="4764"/>
    <row r="4765"/>
    <row r="4766"/>
    <row r="4767"/>
    <row r="4768"/>
    <row r="4769"/>
    <row r="4770"/>
    <row r="4771"/>
    <row r="4772"/>
    <row r="4773"/>
    <row r="4774"/>
    <row r="4775"/>
    <row r="4776"/>
    <row r="4777"/>
    <row r="4778"/>
    <row r="4779"/>
    <row r="4780"/>
    <row r="4781"/>
    <row r="4782"/>
    <row r="4783"/>
    <row r="4784"/>
    <row r="4785"/>
    <row r="4786"/>
    <row r="4787"/>
    <row r="4788"/>
    <row r="4789"/>
    <row r="4790"/>
    <row r="4791"/>
    <row r="4792"/>
    <row r="4793"/>
    <row r="4794"/>
    <row r="4795"/>
    <row r="4796"/>
    <row r="4797"/>
    <row r="4798"/>
    <row r="4799"/>
    <row r="4800"/>
    <row r="4801"/>
    <row r="4802"/>
    <row r="4803"/>
    <row r="4804"/>
    <row r="4805"/>
    <row r="4806"/>
    <row r="4807"/>
    <row r="4808"/>
    <row r="4809"/>
    <row r="4810"/>
    <row r="4811"/>
    <row r="4812"/>
    <row r="4813"/>
    <row r="4814"/>
    <row r="4815"/>
    <row r="4816"/>
    <row r="4817"/>
    <row r="4818"/>
    <row r="4819"/>
    <row r="4820"/>
    <row r="4821"/>
    <row r="4822"/>
    <row r="4823"/>
    <row r="4824"/>
    <row r="4825"/>
    <row r="4826"/>
    <row r="4827"/>
    <row r="4828"/>
    <row r="4829"/>
    <row r="4830"/>
    <row r="4831"/>
    <row r="4832"/>
    <row r="4833"/>
    <row r="4834"/>
    <row r="4835"/>
    <row r="4836"/>
    <row r="4837"/>
    <row r="4838"/>
    <row r="4839"/>
    <row r="4840"/>
    <row r="4841"/>
    <row r="4842"/>
    <row r="4843"/>
    <row r="4844"/>
    <row r="4845"/>
    <row r="4846"/>
    <row r="4847"/>
    <row r="4848"/>
    <row r="4849"/>
    <row r="4850"/>
    <row r="4851"/>
    <row r="4852"/>
    <row r="4853"/>
    <row r="4854"/>
    <row r="4855"/>
    <row r="4856"/>
    <row r="4857"/>
    <row r="4858"/>
    <row r="4859"/>
    <row r="4860"/>
    <row r="4861"/>
    <row r="4862"/>
    <row r="4863"/>
    <row r="4864"/>
    <row r="4865"/>
    <row r="4866"/>
    <row r="4867"/>
    <row r="4868"/>
    <row r="4869"/>
    <row r="4870"/>
    <row r="4871"/>
    <row r="4872"/>
    <row r="4873"/>
    <row r="4874"/>
    <row r="4875"/>
    <row r="4876"/>
    <row r="4877"/>
    <row r="4878"/>
    <row r="4879"/>
    <row r="4880"/>
    <row r="4881"/>
    <row r="4882"/>
    <row r="4883"/>
    <row r="4884"/>
    <row r="4885"/>
    <row r="4886"/>
    <row r="4887"/>
    <row r="4888"/>
    <row r="4889"/>
    <row r="4890"/>
    <row r="4891"/>
    <row r="4892"/>
    <row r="4893"/>
    <row r="4894"/>
    <row r="4895"/>
    <row r="4896"/>
    <row r="4897"/>
    <row r="4898"/>
    <row r="4899"/>
    <row r="4900"/>
    <row r="4901"/>
    <row r="4902"/>
    <row r="4903"/>
    <row r="4904"/>
    <row r="4905"/>
    <row r="4906"/>
    <row r="4907"/>
    <row r="4908"/>
    <row r="4909"/>
    <row r="4910"/>
    <row r="4911"/>
    <row r="4912"/>
    <row r="4913"/>
    <row r="4914"/>
    <row r="4915"/>
    <row r="4916"/>
    <row r="4917"/>
    <row r="4918"/>
    <row r="4919"/>
    <row r="4920"/>
    <row r="4921"/>
    <row r="4922"/>
    <row r="4923"/>
    <row r="4924"/>
    <row r="4925"/>
    <row r="4926"/>
    <row r="4927"/>
    <row r="4928"/>
    <row r="4929"/>
    <row r="4930"/>
    <row r="4931"/>
    <row r="4932"/>
    <row r="4933"/>
    <row r="4934"/>
    <row r="4935"/>
    <row r="4936"/>
    <row r="4937"/>
    <row r="4938"/>
    <row r="4939"/>
    <row r="4940"/>
    <row r="4941"/>
    <row r="4942"/>
    <row r="4943"/>
    <row r="4944"/>
    <row r="4945"/>
    <row r="4946"/>
    <row r="4947"/>
    <row r="4948"/>
    <row r="4949"/>
    <row r="4950"/>
    <row r="4951"/>
    <row r="4952"/>
    <row r="4953"/>
    <row r="4954"/>
    <row r="4955"/>
    <row r="4956"/>
    <row r="4957"/>
    <row r="4958"/>
    <row r="4959"/>
    <row r="4960"/>
    <row r="4961"/>
    <row r="4962"/>
    <row r="4963"/>
    <row r="4964"/>
    <row r="4965"/>
    <row r="4966"/>
    <row r="4967"/>
    <row r="4968"/>
    <row r="4969"/>
    <row r="4970"/>
    <row r="4971"/>
    <row r="4972"/>
    <row r="4973"/>
    <row r="4974"/>
    <row r="4975"/>
    <row r="4976"/>
    <row r="4977"/>
    <row r="4978"/>
    <row r="4979"/>
    <row r="4980"/>
    <row r="4981"/>
    <row r="4982"/>
    <row r="4983"/>
    <row r="4984"/>
    <row r="4985"/>
    <row r="4986"/>
    <row r="4987"/>
    <row r="4988"/>
    <row r="4989"/>
    <row r="4990"/>
    <row r="4991"/>
    <row r="4992"/>
    <row r="4993"/>
    <row r="4994"/>
    <row r="4995"/>
    <row r="4996"/>
    <row r="4997"/>
    <row r="4998"/>
    <row r="4999"/>
    <row r="5000"/>
    <row r="5001"/>
    <row r="5002"/>
    <row r="5003"/>
    <row r="5004"/>
    <row r="5005"/>
    <row r="5006"/>
    <row r="5007"/>
    <row r="5008"/>
    <row r="5009"/>
    <row r="5010"/>
    <row r="5011"/>
    <row r="5012"/>
    <row r="5013"/>
    <row r="5014"/>
    <row r="5015"/>
    <row r="5016"/>
    <row r="5017"/>
    <row r="5018"/>
    <row r="5019"/>
    <row r="5020"/>
    <row r="5021"/>
    <row r="5022"/>
    <row r="5023"/>
    <row r="5024"/>
    <row r="5025"/>
    <row r="5026"/>
    <row r="5027"/>
    <row r="5028"/>
    <row r="5029"/>
    <row r="5030"/>
    <row r="5031"/>
    <row r="5032"/>
    <row r="5033"/>
    <row r="5034"/>
    <row r="5035"/>
    <row r="5036"/>
    <row r="5037"/>
    <row r="5038"/>
    <row r="5039"/>
    <row r="5040"/>
    <row r="5041"/>
    <row r="5042"/>
    <row r="5043"/>
    <row r="5044"/>
    <row r="5045"/>
    <row r="5046"/>
    <row r="5047"/>
    <row r="5048"/>
    <row r="5049"/>
    <row r="5050"/>
    <row r="5051"/>
    <row r="5052"/>
    <row r="5053"/>
    <row r="5054"/>
    <row r="5055"/>
    <row r="5056"/>
    <row r="5057"/>
    <row r="5058"/>
    <row r="5059"/>
    <row r="5060"/>
    <row r="5061"/>
    <row r="5062"/>
    <row r="5063"/>
    <row r="5064"/>
    <row r="5065"/>
    <row r="5066"/>
    <row r="5067"/>
    <row r="5068"/>
    <row r="5069"/>
    <row r="5070"/>
    <row r="5071"/>
    <row r="5072"/>
    <row r="5073"/>
    <row r="5074"/>
    <row r="5075"/>
    <row r="5076"/>
    <row r="5077"/>
    <row r="5078"/>
    <row r="5079"/>
    <row r="5080"/>
    <row r="5081"/>
    <row r="5082"/>
    <row r="5083"/>
    <row r="5084"/>
    <row r="5085"/>
    <row r="5086"/>
    <row r="5087"/>
    <row r="5088"/>
    <row r="5089"/>
    <row r="5090"/>
    <row r="5091"/>
    <row r="5092"/>
    <row r="5093"/>
    <row r="5094"/>
    <row r="5095"/>
    <row r="5096"/>
    <row r="5097"/>
    <row r="5098"/>
    <row r="5099"/>
    <row r="5100"/>
    <row r="5101"/>
    <row r="5102"/>
    <row r="5103"/>
    <row r="5104"/>
    <row r="5105"/>
    <row r="5106"/>
    <row r="5107"/>
    <row r="5108"/>
    <row r="5109"/>
    <row r="5110"/>
    <row r="5111"/>
    <row r="5112"/>
    <row r="5113"/>
    <row r="5114"/>
    <row r="5115"/>
    <row r="5116"/>
    <row r="5117"/>
    <row r="5118"/>
    <row r="5119"/>
    <row r="5120"/>
    <row r="5121"/>
    <row r="5122"/>
    <row r="5123"/>
    <row r="5124"/>
    <row r="5125"/>
    <row r="5126"/>
    <row r="5127"/>
    <row r="5128"/>
    <row r="5129"/>
    <row r="5130"/>
    <row r="5131"/>
    <row r="5132"/>
    <row r="5133"/>
    <row r="5134"/>
    <row r="5135"/>
    <row r="5136"/>
    <row r="5137"/>
    <row r="5138"/>
    <row r="5139"/>
    <row r="5140"/>
    <row r="5141"/>
    <row r="5142"/>
    <row r="5143"/>
    <row r="5144"/>
    <row r="5145"/>
    <row r="5146"/>
    <row r="5147"/>
    <row r="5148"/>
    <row r="5149"/>
    <row r="5150"/>
    <row r="5151"/>
    <row r="5152"/>
    <row r="5153"/>
    <row r="5154"/>
    <row r="5155"/>
    <row r="5156"/>
    <row r="5157"/>
    <row r="5158"/>
    <row r="5159"/>
    <row r="5160"/>
    <row r="5161"/>
    <row r="5162"/>
    <row r="5163"/>
    <row r="5164"/>
    <row r="5165"/>
    <row r="5166"/>
    <row r="5167"/>
    <row r="5168"/>
    <row r="5169"/>
    <row r="5170"/>
    <row r="5171"/>
    <row r="5172"/>
    <row r="5173"/>
    <row r="5174"/>
    <row r="5175"/>
    <row r="5176"/>
    <row r="5177"/>
    <row r="5178"/>
    <row r="5179"/>
    <row r="5180"/>
    <row r="5181"/>
    <row r="5182"/>
    <row r="5183"/>
    <row r="5184"/>
    <row r="5185"/>
    <row r="5186"/>
    <row r="5187"/>
    <row r="5188"/>
    <row r="5189"/>
    <row r="5190"/>
    <row r="5191"/>
    <row r="5192"/>
    <row r="5193"/>
    <row r="5194"/>
    <row r="5195"/>
    <row r="5196"/>
    <row r="5197"/>
    <row r="5198"/>
    <row r="5199"/>
    <row r="5200"/>
    <row r="5201"/>
    <row r="5202"/>
    <row r="5203"/>
    <row r="5204"/>
    <row r="5205"/>
    <row r="5206"/>
    <row r="5207"/>
    <row r="5208"/>
    <row r="5209"/>
    <row r="5210"/>
    <row r="5211"/>
    <row r="5212"/>
    <row r="5213"/>
    <row r="5214"/>
    <row r="5215"/>
    <row r="5216"/>
    <row r="5217"/>
    <row r="5218"/>
    <row r="5219"/>
    <row r="5220"/>
    <row r="5221"/>
    <row r="5222"/>
    <row r="5223"/>
    <row r="5224"/>
    <row r="5225"/>
    <row r="5226"/>
    <row r="5227"/>
    <row r="5228"/>
    <row r="5229"/>
    <row r="5230"/>
    <row r="5231"/>
    <row r="5232"/>
    <row r="5233"/>
    <row r="5234"/>
    <row r="5235"/>
    <row r="5236"/>
    <row r="5237"/>
    <row r="5238"/>
    <row r="5239"/>
    <row r="5240"/>
    <row r="5241"/>
    <row r="5242"/>
    <row r="5243"/>
    <row r="5244"/>
    <row r="5245"/>
    <row r="5246"/>
    <row r="5247"/>
    <row r="5248"/>
    <row r="5249"/>
    <row r="5250"/>
    <row r="5251"/>
    <row r="5252"/>
    <row r="5253"/>
    <row r="5254"/>
    <row r="5255"/>
    <row r="5256"/>
    <row r="5257"/>
    <row r="5258"/>
    <row r="5259"/>
    <row r="5260"/>
    <row r="5261"/>
    <row r="5262"/>
    <row r="5263"/>
    <row r="5264"/>
    <row r="5265"/>
    <row r="5266"/>
    <row r="5267"/>
    <row r="5268"/>
    <row r="5269"/>
    <row r="5270"/>
    <row r="5271"/>
    <row r="5272"/>
    <row r="5273"/>
    <row r="5274"/>
    <row r="5275"/>
    <row r="5276"/>
    <row r="5277"/>
    <row r="5278"/>
    <row r="5279"/>
    <row r="5280"/>
    <row r="5281"/>
    <row r="5282"/>
    <row r="5283"/>
    <row r="5284"/>
    <row r="5285"/>
    <row r="5286"/>
    <row r="5287"/>
    <row r="5288"/>
    <row r="5289"/>
    <row r="5290"/>
    <row r="5291"/>
    <row r="5292"/>
    <row r="5293"/>
    <row r="5294"/>
    <row r="5295"/>
    <row r="5296"/>
    <row r="5297"/>
    <row r="5298"/>
    <row r="5299"/>
    <row r="5300"/>
    <row r="5301"/>
    <row r="5302"/>
    <row r="5303"/>
    <row r="5304"/>
    <row r="5305"/>
    <row r="5306"/>
    <row r="5307"/>
    <row r="5308"/>
    <row r="5309"/>
    <row r="5310"/>
    <row r="5311"/>
    <row r="5312"/>
    <row r="5313"/>
    <row r="5314"/>
    <row r="5315"/>
    <row r="5316"/>
    <row r="5317"/>
    <row r="5318"/>
    <row r="5319"/>
    <row r="5320"/>
    <row r="5321"/>
    <row r="5322"/>
    <row r="5323"/>
    <row r="5324"/>
    <row r="5325"/>
    <row r="5326"/>
    <row r="5327"/>
    <row r="5328"/>
    <row r="5329"/>
    <row r="5330"/>
    <row r="5331"/>
    <row r="5332"/>
    <row r="5333"/>
    <row r="5334"/>
    <row r="5335"/>
    <row r="5336"/>
    <row r="5337"/>
    <row r="5338"/>
    <row r="5339"/>
    <row r="5340"/>
    <row r="5341"/>
    <row r="5342"/>
    <row r="5343"/>
    <row r="5344"/>
    <row r="5345"/>
    <row r="5346"/>
    <row r="5347"/>
    <row r="5348"/>
    <row r="5349"/>
    <row r="5350"/>
    <row r="5351"/>
    <row r="5352"/>
    <row r="5353"/>
    <row r="5354"/>
    <row r="5355"/>
    <row r="5356"/>
    <row r="5357"/>
    <row r="5358"/>
    <row r="5359"/>
    <row r="5360"/>
    <row r="5361"/>
    <row r="5362"/>
    <row r="5363"/>
    <row r="5364"/>
    <row r="5365"/>
    <row r="5366"/>
    <row r="5367"/>
    <row r="5368"/>
    <row r="5369"/>
    <row r="5370"/>
    <row r="5371"/>
    <row r="5372"/>
    <row r="5373"/>
    <row r="5374"/>
    <row r="5375"/>
    <row r="5376"/>
    <row r="5377"/>
    <row r="5378"/>
    <row r="5379"/>
    <row r="5380"/>
    <row r="5381"/>
    <row r="5382"/>
    <row r="5383"/>
    <row r="5384"/>
    <row r="5385"/>
    <row r="5386"/>
    <row r="5387"/>
    <row r="5388"/>
    <row r="5389"/>
    <row r="5390"/>
    <row r="5391"/>
    <row r="5392"/>
    <row r="5393"/>
    <row r="5394"/>
    <row r="5395"/>
    <row r="5396"/>
    <row r="5397"/>
    <row r="5398"/>
    <row r="5399"/>
    <row r="5400"/>
    <row r="5401"/>
    <row r="5402"/>
    <row r="5403"/>
    <row r="5404"/>
    <row r="5405"/>
    <row r="5406"/>
    <row r="5407"/>
    <row r="5408"/>
    <row r="5409"/>
    <row r="5410"/>
    <row r="5411"/>
    <row r="5412"/>
    <row r="5413"/>
    <row r="5414"/>
    <row r="5415"/>
    <row r="5416"/>
    <row r="5417"/>
    <row r="5418"/>
    <row r="5419"/>
    <row r="5420"/>
    <row r="5421"/>
    <row r="5422"/>
    <row r="5423"/>
    <row r="5424"/>
    <row r="5425"/>
    <row r="5426"/>
    <row r="5427"/>
    <row r="5428"/>
    <row r="5429"/>
    <row r="5430"/>
    <row r="5431"/>
    <row r="5432"/>
    <row r="5433"/>
    <row r="5434"/>
    <row r="5435"/>
    <row r="5436"/>
    <row r="5437"/>
    <row r="5438"/>
    <row r="5439"/>
    <row r="5440"/>
    <row r="5441"/>
    <row r="5442"/>
    <row r="5443"/>
    <row r="5444"/>
    <row r="5445"/>
    <row r="5446"/>
    <row r="5447"/>
    <row r="5448"/>
    <row r="5449"/>
    <row r="5450"/>
    <row r="5451"/>
    <row r="5452"/>
    <row r="5453"/>
    <row r="5454"/>
    <row r="5455"/>
    <row r="5456"/>
    <row r="5457"/>
    <row r="5458"/>
    <row r="5459"/>
    <row r="5460"/>
    <row r="5461"/>
    <row r="5462"/>
    <row r="5463"/>
    <row r="5464"/>
    <row r="5465"/>
    <row r="5466"/>
    <row r="5467"/>
    <row r="5468"/>
    <row r="5469"/>
    <row r="5470"/>
    <row r="5471"/>
    <row r="5472"/>
    <row r="5473"/>
    <row r="5474"/>
    <row r="5475"/>
    <row r="5476"/>
    <row r="5477"/>
    <row r="5478"/>
    <row r="5479"/>
    <row r="5480"/>
    <row r="5481"/>
    <row r="5482"/>
    <row r="5483"/>
    <row r="5484"/>
    <row r="5485"/>
    <row r="5486"/>
    <row r="5487"/>
    <row r="5488"/>
    <row r="5489"/>
    <row r="5490"/>
    <row r="5491"/>
    <row r="5492"/>
    <row r="5493"/>
    <row r="5494"/>
    <row r="5495"/>
    <row r="5496"/>
    <row r="5497"/>
    <row r="5498"/>
    <row r="5499"/>
    <row r="5500"/>
    <row r="5501"/>
    <row r="5502"/>
    <row r="5503"/>
    <row r="5504"/>
    <row r="5505"/>
    <row r="5506"/>
    <row r="5507"/>
    <row r="5508"/>
    <row r="5509"/>
    <row r="5510"/>
    <row r="5511"/>
    <row r="5512"/>
    <row r="5513"/>
    <row r="5514"/>
    <row r="5515"/>
    <row r="5516"/>
    <row r="5517"/>
    <row r="5518"/>
    <row r="5519"/>
    <row r="5520"/>
    <row r="5521"/>
    <row r="5522"/>
    <row r="5523"/>
    <row r="5524"/>
    <row r="5525"/>
    <row r="5526"/>
    <row r="5527"/>
    <row r="5528"/>
    <row r="5529"/>
    <row r="5530"/>
    <row r="5531"/>
    <row r="5532"/>
    <row r="5533"/>
    <row r="5534"/>
    <row r="5535"/>
    <row r="5536"/>
    <row r="5537"/>
    <row r="5538"/>
    <row r="5539"/>
    <row r="5540"/>
    <row r="5541"/>
    <row r="5542"/>
    <row r="5543"/>
    <row r="5544"/>
    <row r="5545"/>
    <row r="5546"/>
    <row r="5547"/>
    <row r="5548"/>
    <row r="5549"/>
    <row r="5550"/>
    <row r="5551"/>
    <row r="5552"/>
    <row r="5553"/>
    <row r="5554"/>
    <row r="5555"/>
    <row r="5556"/>
    <row r="5557"/>
    <row r="5558"/>
    <row r="5559"/>
    <row r="5560"/>
    <row r="5561"/>
    <row r="5562"/>
    <row r="5563"/>
    <row r="5564"/>
    <row r="5565"/>
    <row r="5566"/>
    <row r="5567"/>
    <row r="5568"/>
    <row r="5569"/>
    <row r="5570"/>
    <row r="5571"/>
    <row r="5572"/>
    <row r="5573"/>
    <row r="5574"/>
    <row r="5575"/>
    <row r="5576"/>
    <row r="5577"/>
    <row r="5578"/>
    <row r="5579"/>
    <row r="5580"/>
    <row r="5581"/>
    <row r="5582"/>
    <row r="5583"/>
    <row r="5584"/>
    <row r="5585"/>
    <row r="5586"/>
    <row r="5587"/>
    <row r="5588"/>
    <row r="5589"/>
    <row r="5590"/>
    <row r="5591"/>
    <row r="5592"/>
    <row r="5593"/>
    <row r="5594"/>
    <row r="5595"/>
    <row r="5596"/>
    <row r="5597"/>
    <row r="5598"/>
    <row r="5599"/>
    <row r="5600"/>
    <row r="5601"/>
    <row r="5602"/>
    <row r="5603"/>
    <row r="5604"/>
    <row r="5605"/>
    <row r="5606"/>
    <row r="5607"/>
    <row r="5608"/>
    <row r="5609"/>
    <row r="5610"/>
    <row r="5611"/>
    <row r="5612"/>
    <row r="5613"/>
    <row r="5614"/>
    <row r="5615"/>
    <row r="5616"/>
    <row r="5617"/>
    <row r="5618"/>
    <row r="5619"/>
    <row r="5620"/>
    <row r="5621"/>
    <row r="5622"/>
    <row r="5623"/>
    <row r="5624"/>
    <row r="5625"/>
    <row r="5626"/>
    <row r="5627"/>
    <row r="5628"/>
    <row r="5629"/>
    <row r="5630"/>
    <row r="5631"/>
    <row r="5632"/>
    <row r="5633"/>
    <row r="5634"/>
    <row r="5635"/>
    <row r="5636"/>
    <row r="5637"/>
    <row r="5638"/>
    <row r="5639"/>
    <row r="5640"/>
    <row r="5641"/>
    <row r="5642"/>
    <row r="5643"/>
    <row r="5644"/>
    <row r="5645"/>
    <row r="5646"/>
    <row r="5647"/>
    <row r="5648"/>
    <row r="5649"/>
    <row r="5650"/>
    <row r="5651"/>
    <row r="5652"/>
    <row r="5653"/>
    <row r="5654"/>
    <row r="5655"/>
    <row r="5656"/>
    <row r="5657"/>
    <row r="5658"/>
    <row r="5659"/>
    <row r="5660"/>
    <row r="5661"/>
    <row r="5662"/>
    <row r="5663"/>
    <row r="5664"/>
    <row r="5665"/>
    <row r="5666"/>
    <row r="5667"/>
    <row r="5668"/>
    <row r="5669"/>
    <row r="5670"/>
    <row r="5671"/>
    <row r="5672"/>
    <row r="5673"/>
    <row r="5674"/>
    <row r="5675"/>
    <row r="5676"/>
    <row r="5677"/>
    <row r="5678"/>
    <row r="5679"/>
    <row r="5680"/>
    <row r="5681"/>
    <row r="5682"/>
    <row r="5683"/>
    <row r="5684"/>
    <row r="5685"/>
    <row r="5686"/>
    <row r="5687"/>
    <row r="5688"/>
    <row r="5689"/>
    <row r="5690"/>
    <row r="5691"/>
    <row r="5692"/>
    <row r="5693"/>
    <row r="5694"/>
    <row r="5695"/>
    <row r="5696"/>
    <row r="5697"/>
    <row r="5698"/>
    <row r="5699"/>
    <row r="5700"/>
    <row r="5701"/>
    <row r="5702"/>
    <row r="5703"/>
    <row r="5704"/>
    <row r="5705"/>
    <row r="5706"/>
    <row r="5707"/>
    <row r="5708"/>
    <row r="5709"/>
    <row r="5710"/>
    <row r="5711"/>
    <row r="5712"/>
    <row r="5713"/>
    <row r="5714"/>
    <row r="5715"/>
    <row r="5716"/>
    <row r="5717"/>
    <row r="5718"/>
    <row r="5719"/>
    <row r="5720"/>
    <row r="5721"/>
    <row r="5722"/>
    <row r="5723"/>
    <row r="5724"/>
    <row r="5725"/>
    <row r="5726"/>
    <row r="5727"/>
    <row r="5728"/>
    <row r="5729"/>
    <row r="5730"/>
    <row r="5731"/>
    <row r="5732"/>
    <row r="5733"/>
    <row r="5734"/>
    <row r="5735"/>
    <row r="5736"/>
    <row r="5737"/>
    <row r="5738"/>
    <row r="5739"/>
    <row r="5740"/>
    <row r="5741"/>
    <row r="5742"/>
    <row r="5743"/>
    <row r="5744"/>
    <row r="5745"/>
    <row r="5746"/>
    <row r="5747"/>
    <row r="5748"/>
    <row r="5749"/>
    <row r="5750"/>
    <row r="5751"/>
    <row r="5752"/>
    <row r="5753"/>
    <row r="5754"/>
    <row r="5755"/>
    <row r="5756"/>
    <row r="5757"/>
    <row r="5758"/>
    <row r="5759"/>
    <row r="5760"/>
    <row r="5761"/>
    <row r="5762"/>
    <row r="5763"/>
    <row r="5764"/>
    <row r="5765"/>
    <row r="5766"/>
    <row r="5767"/>
    <row r="5768"/>
    <row r="5769"/>
    <row r="5770"/>
    <row r="5771"/>
    <row r="5772"/>
    <row r="5773"/>
    <row r="5774"/>
    <row r="5775"/>
    <row r="5776"/>
    <row r="5777"/>
    <row r="5778"/>
    <row r="5779"/>
    <row r="5780"/>
    <row r="5781"/>
    <row r="5782"/>
    <row r="5783"/>
    <row r="5784"/>
    <row r="5785"/>
    <row r="5786"/>
    <row r="5787"/>
    <row r="5788"/>
    <row r="5789"/>
    <row r="5790"/>
    <row r="5791"/>
    <row r="5792"/>
    <row r="5793"/>
    <row r="5794"/>
    <row r="5795"/>
    <row r="5796"/>
    <row r="5797"/>
    <row r="5798"/>
    <row r="5799"/>
    <row r="5800"/>
    <row r="5801"/>
    <row r="5802"/>
    <row r="5803"/>
    <row r="5804"/>
    <row r="5805"/>
    <row r="5806"/>
    <row r="5807"/>
    <row r="5808"/>
    <row r="5809"/>
    <row r="5810"/>
    <row r="5811"/>
    <row r="5812"/>
    <row r="5813"/>
    <row r="5814"/>
    <row r="5815"/>
    <row r="5816"/>
    <row r="5817"/>
    <row r="5818"/>
    <row r="5819"/>
    <row r="5820"/>
    <row r="5821"/>
    <row r="5822"/>
    <row r="5823"/>
    <row r="5824"/>
    <row r="5825"/>
    <row r="5826"/>
    <row r="5827"/>
    <row r="5828"/>
    <row r="5829"/>
    <row r="5830"/>
    <row r="5831"/>
    <row r="5832"/>
    <row r="5833"/>
    <row r="5834"/>
    <row r="5835"/>
    <row r="5836"/>
    <row r="5837"/>
    <row r="5838"/>
    <row r="5839"/>
    <row r="5840"/>
    <row r="5841"/>
    <row r="5842"/>
    <row r="5843"/>
    <row r="5844"/>
    <row r="5845"/>
    <row r="5846"/>
    <row r="5847"/>
    <row r="5848"/>
    <row r="5849"/>
    <row r="5850"/>
    <row r="5851"/>
    <row r="5852"/>
    <row r="5853"/>
    <row r="5854"/>
    <row r="5855"/>
    <row r="5856"/>
    <row r="5857"/>
    <row r="5858"/>
    <row r="5859"/>
    <row r="5860"/>
    <row r="5861"/>
    <row r="5862"/>
    <row r="5863"/>
    <row r="5864"/>
    <row r="5865"/>
    <row r="5866"/>
    <row r="5867"/>
    <row r="5868"/>
    <row r="5869"/>
    <row r="5870"/>
    <row r="5871"/>
    <row r="5872"/>
    <row r="5873"/>
    <row r="5874"/>
    <row r="5875"/>
    <row r="5876"/>
    <row r="5877"/>
    <row r="5878"/>
    <row r="5879"/>
    <row r="5880"/>
    <row r="5881"/>
    <row r="5882"/>
    <row r="5883"/>
    <row r="5884"/>
    <row r="5885"/>
    <row r="5886"/>
    <row r="5887"/>
    <row r="5888"/>
    <row r="5889"/>
    <row r="5890"/>
    <row r="5891"/>
    <row r="5892"/>
    <row r="5893"/>
    <row r="5894"/>
    <row r="5895"/>
    <row r="5896"/>
    <row r="5897"/>
    <row r="5898"/>
    <row r="5899"/>
    <row r="5900"/>
    <row r="5901"/>
    <row r="5902"/>
    <row r="5903"/>
    <row r="5904"/>
    <row r="5905"/>
    <row r="5906"/>
    <row r="5907"/>
    <row r="5908"/>
    <row r="5909"/>
    <row r="5910"/>
    <row r="5911"/>
    <row r="5912"/>
    <row r="5913"/>
    <row r="5914"/>
    <row r="5915"/>
    <row r="5916"/>
    <row r="5917"/>
    <row r="5918"/>
    <row r="5919"/>
    <row r="5920"/>
    <row r="5921"/>
    <row r="5922"/>
    <row r="5923"/>
    <row r="5924"/>
    <row r="5925"/>
    <row r="5926"/>
    <row r="5927"/>
    <row r="5928"/>
    <row r="5929"/>
    <row r="5930"/>
    <row r="5931"/>
    <row r="5932"/>
    <row r="5933"/>
    <row r="5934"/>
    <row r="5935"/>
    <row r="5936"/>
    <row r="5937"/>
    <row r="5938"/>
    <row r="5939"/>
    <row r="5940"/>
    <row r="5941"/>
    <row r="5942"/>
    <row r="5943"/>
    <row r="5944"/>
    <row r="5945"/>
    <row r="5946"/>
    <row r="5947"/>
    <row r="5948"/>
    <row r="5949"/>
    <row r="5950"/>
    <row r="5951"/>
    <row r="5952"/>
    <row r="5953"/>
    <row r="5954"/>
    <row r="5955"/>
    <row r="5956"/>
    <row r="5957"/>
    <row r="5958"/>
    <row r="5959"/>
    <row r="5960"/>
    <row r="5961"/>
    <row r="5962"/>
    <row r="5963"/>
    <row r="5964"/>
    <row r="5965"/>
    <row r="5966"/>
    <row r="5967"/>
    <row r="5968"/>
    <row r="5969"/>
    <row r="5970"/>
    <row r="5971"/>
    <row r="5972"/>
    <row r="5973"/>
    <row r="5974"/>
    <row r="5975"/>
    <row r="5976"/>
    <row r="5977"/>
    <row r="5978"/>
    <row r="5979"/>
    <row r="5980"/>
    <row r="5981"/>
    <row r="5982"/>
    <row r="5983"/>
    <row r="5984"/>
    <row r="5985"/>
    <row r="5986"/>
    <row r="5987"/>
    <row r="5988"/>
    <row r="5989"/>
    <row r="5990"/>
    <row r="5991"/>
    <row r="5992"/>
    <row r="5993"/>
    <row r="5994"/>
    <row r="5995"/>
    <row r="5996"/>
    <row r="5997"/>
    <row r="5998"/>
    <row r="5999"/>
    <row r="6000"/>
    <row r="6001"/>
    <row r="6002"/>
    <row r="6003"/>
    <row r="6004"/>
    <row r="6005"/>
    <row r="6006"/>
    <row r="6007"/>
    <row r="6008"/>
    <row r="6009"/>
    <row r="6010"/>
    <row r="6011"/>
    <row r="6012"/>
    <row r="6013"/>
    <row r="6014"/>
    <row r="6015"/>
    <row r="6016"/>
    <row r="6017"/>
    <row r="6018"/>
    <row r="6019"/>
    <row r="6020"/>
    <row r="6021"/>
    <row r="6022"/>
    <row r="6023"/>
    <row r="6024"/>
    <row r="6025"/>
    <row r="6026"/>
    <row r="6027"/>
    <row r="6028"/>
    <row r="6029"/>
    <row r="6030"/>
    <row r="6031"/>
    <row r="6032"/>
    <row r="6033"/>
    <row r="6034"/>
    <row r="6035"/>
    <row r="6036"/>
    <row r="6037"/>
    <row r="6038"/>
    <row r="6039"/>
    <row r="6040"/>
    <row r="6041"/>
    <row r="6042"/>
    <row r="6043"/>
    <row r="6044"/>
    <row r="6045"/>
    <row r="6046"/>
    <row r="6047"/>
    <row r="6048"/>
    <row r="6049"/>
    <row r="6050"/>
    <row r="6051"/>
    <row r="6052"/>
    <row r="6053"/>
    <row r="6054"/>
    <row r="6055"/>
    <row r="6056"/>
    <row r="6057"/>
    <row r="6058"/>
    <row r="6059"/>
    <row r="6060"/>
    <row r="6061"/>
    <row r="6062"/>
    <row r="6063"/>
    <row r="6064"/>
    <row r="6065"/>
    <row r="6066"/>
    <row r="6067"/>
    <row r="6068"/>
    <row r="6069"/>
    <row r="6070"/>
    <row r="6071"/>
    <row r="6072"/>
    <row r="6073"/>
    <row r="6074"/>
    <row r="6075"/>
    <row r="6076"/>
    <row r="6077"/>
    <row r="6078"/>
    <row r="6079"/>
    <row r="6080"/>
    <row r="6081"/>
    <row r="6082"/>
    <row r="6083"/>
    <row r="6084"/>
    <row r="6085"/>
    <row r="6086"/>
    <row r="6087"/>
    <row r="6088"/>
    <row r="6089"/>
    <row r="6090"/>
    <row r="6091"/>
    <row r="6092"/>
    <row r="6093"/>
    <row r="6094"/>
    <row r="6095"/>
    <row r="6096"/>
    <row r="6097"/>
    <row r="6098"/>
    <row r="6099"/>
    <row r="6100"/>
    <row r="6101"/>
    <row r="6102"/>
    <row r="6103"/>
    <row r="6104"/>
    <row r="6105"/>
    <row r="6106"/>
    <row r="6107"/>
    <row r="6108"/>
    <row r="6109"/>
    <row r="6110"/>
    <row r="6111"/>
    <row r="6112"/>
    <row r="6113"/>
    <row r="6114"/>
    <row r="6115"/>
    <row r="6116"/>
    <row r="6117"/>
    <row r="6118"/>
    <row r="6119"/>
    <row r="6120"/>
    <row r="6121"/>
    <row r="6122"/>
    <row r="6123"/>
    <row r="6124"/>
    <row r="6125"/>
    <row r="6126"/>
    <row r="6127"/>
    <row r="6128"/>
    <row r="6129"/>
    <row r="6130"/>
    <row r="6131"/>
    <row r="6132"/>
    <row r="6133"/>
    <row r="6134"/>
    <row r="6135"/>
    <row r="6136"/>
    <row r="6137"/>
    <row r="6138"/>
    <row r="6139"/>
    <row r="6140"/>
    <row r="6141"/>
    <row r="6142"/>
    <row r="6143"/>
    <row r="6144"/>
    <row r="6145"/>
    <row r="6146"/>
    <row r="6147"/>
    <row r="6148"/>
    <row r="6149"/>
    <row r="6150"/>
    <row r="6151"/>
    <row r="6152"/>
    <row r="6153"/>
    <row r="6154"/>
    <row r="6155"/>
    <row r="6156"/>
    <row r="6157"/>
    <row r="6158"/>
    <row r="6159"/>
    <row r="6160"/>
    <row r="6161"/>
    <row r="6162"/>
    <row r="6163"/>
    <row r="6164"/>
    <row r="6165"/>
    <row r="6166"/>
    <row r="6167"/>
    <row r="6168"/>
    <row r="6169"/>
    <row r="6170"/>
    <row r="6171"/>
    <row r="6172"/>
    <row r="6173"/>
    <row r="6174"/>
    <row r="6175"/>
    <row r="6176"/>
    <row r="6177"/>
    <row r="6178"/>
    <row r="6179"/>
    <row r="6180"/>
    <row r="6181"/>
    <row r="6182"/>
    <row r="6183"/>
    <row r="6184"/>
    <row r="6185"/>
    <row r="6186"/>
    <row r="6187"/>
    <row r="6188"/>
    <row r="6189"/>
    <row r="6190"/>
    <row r="6191"/>
    <row r="6192"/>
    <row r="6193"/>
    <row r="6194"/>
    <row r="6195"/>
    <row r="6196"/>
    <row r="6197"/>
    <row r="6198"/>
    <row r="6199"/>
    <row r="6200"/>
    <row r="6201"/>
    <row r="6202"/>
    <row r="6203"/>
    <row r="6204"/>
    <row r="6205"/>
    <row r="6206"/>
    <row r="6207"/>
    <row r="6208"/>
    <row r="6209"/>
    <row r="6210"/>
    <row r="6211"/>
    <row r="6212"/>
    <row r="6213"/>
    <row r="6214"/>
    <row r="6215"/>
    <row r="6216"/>
    <row r="6217"/>
    <row r="6218"/>
    <row r="6219"/>
    <row r="6220"/>
    <row r="6221"/>
    <row r="6222"/>
    <row r="6223"/>
    <row r="6224"/>
    <row r="6225"/>
    <row r="6226"/>
    <row r="6227"/>
    <row r="6228"/>
    <row r="6229"/>
    <row r="6230"/>
    <row r="6231"/>
    <row r="6232"/>
    <row r="6233"/>
    <row r="6234"/>
    <row r="6235"/>
    <row r="6236"/>
    <row r="6237"/>
    <row r="6238"/>
    <row r="6239"/>
    <row r="6240"/>
    <row r="6241"/>
    <row r="6242"/>
    <row r="6243"/>
    <row r="6244"/>
    <row r="6245"/>
    <row r="6246"/>
    <row r="6247"/>
    <row r="6248"/>
    <row r="6249"/>
    <row r="6250"/>
    <row r="6251"/>
    <row r="6252"/>
    <row r="6253"/>
    <row r="6254"/>
    <row r="6255"/>
    <row r="6256"/>
    <row r="6257"/>
    <row r="6258"/>
    <row r="6259"/>
    <row r="6260"/>
    <row r="6261"/>
    <row r="6262"/>
    <row r="6263"/>
    <row r="6264"/>
    <row r="6265"/>
    <row r="6266"/>
    <row r="6267"/>
    <row r="6268"/>
    <row r="6269"/>
    <row r="6270"/>
    <row r="6271"/>
    <row r="6272"/>
    <row r="6273"/>
    <row r="6274"/>
    <row r="6275"/>
    <row r="6276"/>
    <row r="6277"/>
    <row r="6278"/>
    <row r="6279"/>
    <row r="6280"/>
    <row r="6281"/>
    <row r="6282"/>
    <row r="6283"/>
    <row r="6284"/>
    <row r="6285"/>
    <row r="6286"/>
    <row r="6287"/>
    <row r="6288"/>
    <row r="6289"/>
    <row r="6290"/>
    <row r="6291"/>
    <row r="6292"/>
    <row r="6293"/>
    <row r="6294"/>
    <row r="6295"/>
    <row r="6296"/>
    <row r="6297"/>
    <row r="6298"/>
    <row r="6299"/>
    <row r="6300"/>
    <row r="6301"/>
    <row r="6302"/>
    <row r="6303"/>
    <row r="6304"/>
    <row r="6305"/>
    <row r="6306"/>
    <row r="6307"/>
    <row r="6308"/>
    <row r="6309"/>
    <row r="6310"/>
    <row r="6311"/>
    <row r="6312"/>
    <row r="6313"/>
    <row r="6314"/>
    <row r="6315"/>
    <row r="6316"/>
    <row r="6317"/>
    <row r="6318"/>
    <row r="6319"/>
    <row r="6320"/>
    <row r="6321"/>
    <row r="6322"/>
    <row r="6323"/>
    <row r="6324"/>
    <row r="6325"/>
    <row r="6326"/>
    <row r="6327"/>
    <row r="6328"/>
    <row r="6329"/>
    <row r="6330"/>
    <row r="6331"/>
    <row r="6332"/>
    <row r="6333"/>
    <row r="6334"/>
    <row r="6335"/>
    <row r="6336"/>
    <row r="6337"/>
    <row r="6338"/>
    <row r="6339"/>
    <row r="6340"/>
    <row r="6341"/>
    <row r="6342"/>
    <row r="6343"/>
    <row r="6344"/>
    <row r="6345"/>
    <row r="6346"/>
    <row r="6347"/>
    <row r="6348"/>
    <row r="6349"/>
    <row r="6350"/>
    <row r="6351"/>
    <row r="6352"/>
    <row r="6353"/>
    <row r="6354"/>
    <row r="6355"/>
    <row r="6356"/>
    <row r="6357"/>
    <row r="6358"/>
    <row r="6359"/>
    <row r="6360"/>
    <row r="6361"/>
    <row r="6362"/>
    <row r="6363"/>
    <row r="6364"/>
    <row r="6365"/>
    <row r="6366"/>
    <row r="6367"/>
    <row r="6368"/>
    <row r="6369"/>
    <row r="6370"/>
    <row r="6371"/>
    <row r="6372"/>
    <row r="6373"/>
    <row r="6374"/>
    <row r="6375"/>
    <row r="6376"/>
    <row r="6377"/>
    <row r="6378"/>
    <row r="6379"/>
    <row r="6380"/>
    <row r="6381"/>
    <row r="6382"/>
    <row r="6383"/>
    <row r="6384"/>
    <row r="6385"/>
    <row r="6386"/>
    <row r="6387"/>
    <row r="6388"/>
    <row r="6389"/>
    <row r="6390"/>
    <row r="6391"/>
    <row r="6392"/>
    <row r="6393"/>
    <row r="6394"/>
    <row r="6395"/>
    <row r="6396"/>
    <row r="6397"/>
    <row r="6398"/>
    <row r="6399"/>
    <row r="6400"/>
    <row r="6401"/>
    <row r="6402"/>
    <row r="6403"/>
    <row r="6404"/>
    <row r="6405"/>
    <row r="6406"/>
    <row r="6407"/>
    <row r="6408"/>
    <row r="6409"/>
    <row r="6410"/>
    <row r="6411"/>
    <row r="6412"/>
    <row r="6413"/>
    <row r="6414"/>
    <row r="6415"/>
    <row r="6416"/>
    <row r="6417"/>
    <row r="6418"/>
    <row r="6419"/>
    <row r="6420"/>
    <row r="6421"/>
    <row r="6422"/>
    <row r="6423"/>
    <row r="6424"/>
    <row r="6425"/>
    <row r="6426"/>
    <row r="6427"/>
    <row r="6428"/>
    <row r="6429"/>
    <row r="6430"/>
    <row r="6431"/>
    <row r="6432"/>
    <row r="6433"/>
    <row r="6434"/>
    <row r="6435"/>
    <row r="6436"/>
    <row r="6437"/>
    <row r="6438"/>
    <row r="6439"/>
    <row r="6440"/>
    <row r="6441"/>
    <row r="6442"/>
    <row r="6443"/>
    <row r="6444"/>
    <row r="6445"/>
    <row r="6446"/>
    <row r="6447"/>
    <row r="6448"/>
    <row r="6449"/>
    <row r="6450"/>
    <row r="6451"/>
    <row r="6452"/>
    <row r="6453"/>
    <row r="6454"/>
    <row r="6455"/>
    <row r="6456"/>
    <row r="6457"/>
    <row r="6458"/>
    <row r="6459"/>
    <row r="6460"/>
    <row r="6461"/>
    <row r="6462"/>
    <row r="6463"/>
    <row r="6464"/>
    <row r="6465"/>
    <row r="6466"/>
    <row r="6467"/>
    <row r="6468"/>
    <row r="6469"/>
    <row r="6470"/>
    <row r="6471"/>
    <row r="6472"/>
    <row r="6473"/>
    <row r="6474"/>
    <row r="6475"/>
    <row r="6476"/>
    <row r="6477"/>
    <row r="6478"/>
    <row r="6479"/>
    <row r="6480"/>
    <row r="6481"/>
    <row r="6482"/>
    <row r="6483"/>
    <row r="6484"/>
    <row r="6485"/>
    <row r="6486"/>
    <row r="6487"/>
    <row r="6488"/>
    <row r="6489"/>
    <row r="6490"/>
    <row r="6491"/>
    <row r="6492"/>
    <row r="6493"/>
    <row r="6494"/>
    <row r="6495"/>
    <row r="6496"/>
    <row r="6497"/>
    <row r="6498"/>
    <row r="6499"/>
    <row r="6500"/>
    <row r="6501"/>
    <row r="6502"/>
    <row r="6503"/>
    <row r="6504"/>
    <row r="6505"/>
    <row r="6506"/>
    <row r="6507"/>
    <row r="6508"/>
    <row r="6509"/>
    <row r="6510"/>
    <row r="6511"/>
    <row r="6512"/>
    <row r="6513"/>
    <row r="6514"/>
    <row r="6515"/>
    <row r="6516"/>
    <row r="6517"/>
    <row r="6518"/>
    <row r="6519"/>
    <row r="6520"/>
    <row r="6521"/>
    <row r="6522"/>
    <row r="6523"/>
    <row r="6524"/>
    <row r="6525"/>
    <row r="6526"/>
    <row r="6527"/>
    <row r="6528"/>
    <row r="6529"/>
    <row r="6530"/>
    <row r="6531"/>
    <row r="6532"/>
    <row r="6533"/>
    <row r="6534"/>
    <row r="6535"/>
    <row r="6536"/>
    <row r="6537"/>
    <row r="6538"/>
    <row r="6539"/>
    <row r="6540"/>
    <row r="6541"/>
    <row r="6542"/>
    <row r="6543"/>
    <row r="6544"/>
    <row r="6545"/>
    <row r="6546"/>
    <row r="6547"/>
    <row r="6548"/>
    <row r="6549"/>
    <row r="6550"/>
    <row r="6551"/>
    <row r="6552"/>
    <row r="6553"/>
    <row r="6554"/>
    <row r="6555"/>
    <row r="6556"/>
    <row r="6557"/>
    <row r="6558"/>
    <row r="6559"/>
    <row r="6560"/>
    <row r="6561"/>
    <row r="6562"/>
    <row r="6563"/>
    <row r="6564"/>
    <row r="6565"/>
    <row r="6566"/>
    <row r="6567"/>
    <row r="6568"/>
    <row r="6569"/>
    <row r="6570"/>
    <row r="6571"/>
    <row r="6572"/>
    <row r="6573"/>
    <row r="6574"/>
    <row r="6575"/>
    <row r="6576"/>
    <row r="6577"/>
    <row r="6578"/>
    <row r="6579"/>
    <row r="6580"/>
    <row r="6581"/>
    <row r="6582"/>
    <row r="6583"/>
    <row r="6584"/>
    <row r="6585"/>
    <row r="6586"/>
    <row r="6587"/>
    <row r="6588"/>
    <row r="6589"/>
    <row r="6590"/>
    <row r="6591"/>
    <row r="6592"/>
    <row r="6593"/>
    <row r="6594"/>
    <row r="6595"/>
    <row r="6596"/>
    <row r="6597"/>
    <row r="6598"/>
    <row r="6599"/>
    <row r="6600"/>
    <row r="6601"/>
    <row r="6602"/>
    <row r="6603"/>
    <row r="6604"/>
    <row r="6605"/>
    <row r="6606"/>
    <row r="6607"/>
    <row r="6608"/>
    <row r="6609"/>
    <row r="6610"/>
    <row r="6611"/>
    <row r="6612"/>
    <row r="6613"/>
    <row r="6614"/>
    <row r="6615"/>
    <row r="6616"/>
    <row r="6617"/>
    <row r="6618"/>
    <row r="6619"/>
    <row r="6620"/>
    <row r="6621"/>
    <row r="6622"/>
    <row r="6623"/>
    <row r="6624"/>
    <row r="6625"/>
    <row r="6626"/>
    <row r="6627"/>
    <row r="6628"/>
    <row r="6629"/>
    <row r="6630"/>
    <row r="6631"/>
    <row r="6632"/>
    <row r="6633"/>
    <row r="6634"/>
    <row r="6635"/>
    <row r="6636"/>
    <row r="6637"/>
    <row r="6638"/>
    <row r="6639"/>
    <row r="6640"/>
    <row r="6641"/>
    <row r="6642"/>
    <row r="6643"/>
    <row r="6644"/>
    <row r="6645"/>
    <row r="6646"/>
    <row r="6647"/>
    <row r="6648"/>
    <row r="6649"/>
    <row r="6650"/>
    <row r="6651"/>
    <row r="6652"/>
    <row r="6653"/>
    <row r="6654"/>
    <row r="6655"/>
    <row r="6656"/>
    <row r="6657"/>
    <row r="6658"/>
    <row r="6659"/>
    <row r="6660"/>
    <row r="6661"/>
    <row r="6662"/>
    <row r="6663"/>
    <row r="6664"/>
    <row r="6665"/>
    <row r="6666"/>
    <row r="6667"/>
    <row r="6668"/>
    <row r="6669"/>
    <row r="6670"/>
    <row r="6671"/>
    <row r="6672"/>
    <row r="6673"/>
    <row r="6674"/>
    <row r="6675"/>
    <row r="6676"/>
    <row r="6677"/>
    <row r="6678"/>
    <row r="6679"/>
    <row r="6680"/>
    <row r="6681"/>
    <row r="6682"/>
    <row r="6683"/>
    <row r="6684"/>
    <row r="6685"/>
    <row r="6686"/>
    <row r="6687"/>
    <row r="6688"/>
    <row r="6689"/>
    <row r="6690"/>
    <row r="6691"/>
    <row r="6692"/>
    <row r="6693"/>
    <row r="6694"/>
    <row r="6695"/>
    <row r="6696"/>
    <row r="6697"/>
    <row r="6698"/>
    <row r="6699"/>
    <row r="6700"/>
    <row r="6701"/>
    <row r="6702"/>
    <row r="6703"/>
    <row r="6704"/>
    <row r="6705"/>
    <row r="6706"/>
    <row r="6707"/>
    <row r="6708"/>
    <row r="6709"/>
    <row r="6710"/>
    <row r="6711"/>
    <row r="6712"/>
    <row r="6713"/>
    <row r="6714"/>
    <row r="6715"/>
    <row r="6716"/>
    <row r="6717"/>
    <row r="6718"/>
    <row r="6719"/>
    <row r="6720"/>
    <row r="6721"/>
    <row r="6722"/>
    <row r="6723"/>
    <row r="6724"/>
    <row r="6725"/>
    <row r="6726"/>
    <row r="6727"/>
    <row r="6728"/>
    <row r="6729"/>
    <row r="6730"/>
    <row r="6731"/>
    <row r="6732"/>
    <row r="6733"/>
    <row r="6734"/>
    <row r="6735"/>
    <row r="6736"/>
    <row r="6737"/>
    <row r="6738"/>
    <row r="6739"/>
    <row r="6740"/>
    <row r="6741"/>
    <row r="6742"/>
    <row r="6743"/>
    <row r="6744"/>
    <row r="6745"/>
    <row r="6746"/>
    <row r="6747"/>
    <row r="6748"/>
    <row r="6749"/>
    <row r="6750"/>
    <row r="6751"/>
    <row r="6752"/>
    <row r="6753"/>
    <row r="6754"/>
    <row r="6755"/>
    <row r="6756"/>
    <row r="6757"/>
    <row r="6758"/>
    <row r="6759"/>
    <row r="6760"/>
    <row r="6761"/>
    <row r="6762"/>
    <row r="6763"/>
    <row r="6764"/>
    <row r="6765"/>
    <row r="6766"/>
    <row r="6767"/>
    <row r="6768"/>
    <row r="6769"/>
    <row r="6770"/>
    <row r="6771"/>
    <row r="6772"/>
    <row r="6773"/>
    <row r="6774"/>
    <row r="6775"/>
    <row r="6776"/>
    <row r="6777"/>
    <row r="6778"/>
    <row r="6779"/>
    <row r="6780"/>
    <row r="6781"/>
    <row r="6782"/>
    <row r="6783"/>
    <row r="6784"/>
    <row r="6785"/>
    <row r="6786"/>
    <row r="6787"/>
    <row r="6788"/>
    <row r="6789"/>
    <row r="6790"/>
    <row r="6791"/>
    <row r="6792"/>
    <row r="6793"/>
    <row r="6794"/>
    <row r="6795"/>
    <row r="6796"/>
    <row r="6797"/>
    <row r="6798"/>
    <row r="6799"/>
    <row r="6800"/>
    <row r="6801"/>
    <row r="6802"/>
    <row r="6803"/>
    <row r="6804"/>
    <row r="6805"/>
    <row r="6806"/>
    <row r="6807"/>
    <row r="6808"/>
    <row r="6809"/>
    <row r="6810"/>
    <row r="6811"/>
    <row r="6812"/>
    <row r="6813"/>
    <row r="6814"/>
    <row r="6815"/>
    <row r="6816"/>
    <row r="6817"/>
    <row r="6818"/>
    <row r="6819"/>
    <row r="6820"/>
    <row r="6821"/>
    <row r="6822"/>
    <row r="6823"/>
    <row r="6824"/>
    <row r="6825"/>
    <row r="6826"/>
    <row r="6827"/>
    <row r="6828"/>
    <row r="6829"/>
    <row r="6830"/>
    <row r="6831"/>
    <row r="6832"/>
    <row r="6833"/>
    <row r="6834"/>
    <row r="6835"/>
    <row r="6836"/>
    <row r="6837"/>
    <row r="6838"/>
    <row r="6839"/>
    <row r="6840"/>
    <row r="6841"/>
    <row r="6842"/>
    <row r="6843"/>
    <row r="6844"/>
    <row r="6845"/>
    <row r="6846"/>
    <row r="6847"/>
    <row r="6848"/>
    <row r="6849"/>
    <row r="6850"/>
    <row r="6851"/>
    <row r="6852"/>
    <row r="6853"/>
    <row r="6854"/>
    <row r="6855"/>
    <row r="6856"/>
    <row r="6857"/>
    <row r="6858"/>
    <row r="6859"/>
    <row r="6860"/>
    <row r="6861"/>
    <row r="6862"/>
    <row r="6863"/>
    <row r="6864"/>
    <row r="6865"/>
    <row r="6866"/>
    <row r="6867"/>
    <row r="6868"/>
    <row r="6869"/>
    <row r="6870"/>
    <row r="6871"/>
    <row r="6872"/>
    <row r="6873"/>
    <row r="6874"/>
    <row r="6875"/>
    <row r="6876"/>
    <row r="6877"/>
    <row r="6878"/>
    <row r="6879"/>
    <row r="6880"/>
    <row r="6881"/>
    <row r="6882"/>
    <row r="6883"/>
    <row r="6884"/>
    <row r="6885"/>
    <row r="6886"/>
    <row r="6887"/>
    <row r="6888"/>
    <row r="6889"/>
    <row r="6890"/>
    <row r="6891"/>
    <row r="6892"/>
    <row r="6893"/>
    <row r="6894"/>
    <row r="6895"/>
    <row r="6896"/>
    <row r="6897"/>
    <row r="6898"/>
    <row r="6899"/>
    <row r="6900"/>
    <row r="6901"/>
    <row r="6902"/>
    <row r="6903"/>
    <row r="6904"/>
    <row r="6905"/>
    <row r="6906"/>
    <row r="6907"/>
    <row r="6908"/>
    <row r="6909"/>
    <row r="6910"/>
    <row r="6911"/>
    <row r="6912"/>
    <row r="6913"/>
    <row r="6914"/>
    <row r="6915"/>
    <row r="6916"/>
    <row r="6917"/>
    <row r="6918"/>
    <row r="6919"/>
    <row r="6920"/>
    <row r="6921"/>
    <row r="6922"/>
    <row r="6923"/>
    <row r="6924"/>
    <row r="6925"/>
    <row r="6926"/>
    <row r="6927"/>
    <row r="6928"/>
    <row r="6929"/>
    <row r="6930"/>
    <row r="6931"/>
    <row r="6932"/>
    <row r="6933"/>
    <row r="6934"/>
    <row r="6935"/>
    <row r="6936"/>
    <row r="6937"/>
    <row r="6938"/>
    <row r="6939"/>
    <row r="6940"/>
    <row r="6941"/>
    <row r="6942"/>
    <row r="6943"/>
    <row r="6944"/>
    <row r="6945"/>
    <row r="6946"/>
    <row r="6947"/>
    <row r="6948"/>
    <row r="6949"/>
    <row r="6950"/>
    <row r="6951"/>
    <row r="6952"/>
    <row r="6953"/>
    <row r="6954"/>
    <row r="6955"/>
    <row r="6956"/>
    <row r="6957"/>
    <row r="6958"/>
    <row r="6959"/>
    <row r="6960"/>
    <row r="6961"/>
    <row r="6962"/>
    <row r="6963"/>
    <row r="6964"/>
    <row r="6965"/>
    <row r="6966"/>
    <row r="6967"/>
    <row r="6968"/>
    <row r="6969"/>
    <row r="6970"/>
    <row r="6971"/>
    <row r="6972"/>
    <row r="6973"/>
    <row r="6974"/>
    <row r="6975"/>
    <row r="6976"/>
    <row r="6977"/>
    <row r="6978"/>
    <row r="6979"/>
    <row r="6980"/>
    <row r="6981"/>
    <row r="6982"/>
    <row r="6983"/>
    <row r="6984"/>
    <row r="6985"/>
    <row r="6986"/>
    <row r="6987"/>
    <row r="6988"/>
    <row r="6989"/>
    <row r="6990"/>
    <row r="6991"/>
    <row r="6992"/>
    <row r="6993"/>
    <row r="6994"/>
    <row r="6995"/>
    <row r="6996"/>
    <row r="6997"/>
    <row r="6998"/>
    <row r="6999"/>
    <row r="7000"/>
    <row r="7001"/>
    <row r="7002"/>
    <row r="7003"/>
    <row r="7004"/>
    <row r="7005"/>
    <row r="7006"/>
    <row r="7007"/>
    <row r="7008"/>
    <row r="7009"/>
    <row r="7010"/>
    <row r="7011"/>
    <row r="7012"/>
    <row r="7013"/>
    <row r="7014"/>
    <row r="7015"/>
    <row r="7016"/>
    <row r="7017"/>
    <row r="7018"/>
    <row r="7019"/>
    <row r="7020"/>
    <row r="7021"/>
    <row r="7022"/>
    <row r="7023"/>
    <row r="7024"/>
    <row r="7025"/>
    <row r="7026"/>
    <row r="7027"/>
    <row r="7028"/>
    <row r="7029"/>
    <row r="7030"/>
    <row r="7031"/>
    <row r="7032"/>
    <row r="7033"/>
    <row r="7034"/>
    <row r="7035"/>
    <row r="7036"/>
    <row r="7037"/>
    <row r="7038"/>
    <row r="7039"/>
    <row r="7040"/>
    <row r="7041"/>
    <row r="7042"/>
    <row r="7043"/>
    <row r="7044"/>
    <row r="7045"/>
    <row r="7046"/>
    <row r="7047"/>
    <row r="7048"/>
    <row r="7049"/>
    <row r="7050"/>
    <row r="7051"/>
    <row r="7052"/>
    <row r="7053"/>
    <row r="7054"/>
    <row r="7055"/>
    <row r="7056"/>
    <row r="7057"/>
    <row r="7058"/>
    <row r="7059"/>
    <row r="7060"/>
    <row r="7061"/>
    <row r="7062"/>
    <row r="7063"/>
    <row r="7064"/>
    <row r="7065"/>
    <row r="7066"/>
    <row r="7067"/>
    <row r="7068"/>
    <row r="7069"/>
    <row r="7070"/>
    <row r="7071"/>
    <row r="7072"/>
    <row r="7073"/>
    <row r="7074"/>
    <row r="7075"/>
    <row r="7076"/>
    <row r="7077"/>
    <row r="7078"/>
    <row r="7079"/>
    <row r="7080"/>
    <row r="7081"/>
    <row r="7082"/>
    <row r="7083"/>
    <row r="7084"/>
    <row r="7085"/>
    <row r="7086"/>
    <row r="7087"/>
    <row r="7088"/>
    <row r="7089"/>
    <row r="7090"/>
    <row r="7091"/>
    <row r="7092"/>
    <row r="7093"/>
    <row r="7094"/>
    <row r="7095"/>
    <row r="7096"/>
    <row r="7097"/>
    <row r="7098"/>
    <row r="7099"/>
    <row r="7100"/>
    <row r="7101"/>
    <row r="7102"/>
    <row r="7103"/>
    <row r="7104"/>
    <row r="7105"/>
    <row r="7106"/>
    <row r="7107"/>
    <row r="7108"/>
    <row r="7109"/>
    <row r="7110"/>
    <row r="7111"/>
    <row r="7112"/>
    <row r="7113"/>
    <row r="7114"/>
    <row r="7115"/>
    <row r="7116"/>
    <row r="7117"/>
    <row r="7118"/>
    <row r="7119"/>
    <row r="7120"/>
    <row r="7121"/>
    <row r="7122"/>
    <row r="7123"/>
    <row r="7124"/>
    <row r="7125"/>
    <row r="7126"/>
    <row r="7127"/>
    <row r="7128"/>
    <row r="7129"/>
    <row r="7130"/>
    <row r="7131"/>
    <row r="7132"/>
    <row r="7133"/>
    <row r="7134"/>
    <row r="7135"/>
    <row r="7136"/>
    <row r="7137"/>
    <row r="7138"/>
    <row r="7139"/>
    <row r="7140"/>
    <row r="7141"/>
    <row r="7142"/>
    <row r="7143"/>
    <row r="7144"/>
    <row r="7145"/>
    <row r="7146"/>
    <row r="7147"/>
    <row r="7148"/>
    <row r="7149"/>
    <row r="7150"/>
    <row r="7151"/>
    <row r="7152"/>
    <row r="7153"/>
    <row r="7154"/>
    <row r="7155"/>
    <row r="7156"/>
    <row r="7157"/>
    <row r="7158"/>
    <row r="7159"/>
    <row r="7160"/>
    <row r="7161"/>
    <row r="7162"/>
    <row r="7163"/>
    <row r="7164"/>
    <row r="7165"/>
    <row r="7166"/>
    <row r="7167"/>
    <row r="7168"/>
    <row r="7169"/>
    <row r="7170"/>
    <row r="7171"/>
    <row r="7172"/>
    <row r="7173"/>
    <row r="7174"/>
    <row r="7175"/>
    <row r="7176"/>
    <row r="7177"/>
    <row r="7178"/>
    <row r="7179"/>
    <row r="7180"/>
    <row r="7181"/>
    <row r="7182"/>
    <row r="7183"/>
    <row r="7184"/>
    <row r="7185"/>
    <row r="7186"/>
    <row r="7187"/>
    <row r="7188"/>
    <row r="7189"/>
    <row r="7190"/>
    <row r="7191"/>
    <row r="7192"/>
    <row r="7193"/>
    <row r="7194"/>
    <row r="7195"/>
    <row r="7196"/>
    <row r="7197"/>
    <row r="7198"/>
    <row r="7199"/>
    <row r="7200"/>
    <row r="7201"/>
    <row r="7202"/>
    <row r="7203"/>
    <row r="7204"/>
    <row r="7205"/>
    <row r="7206"/>
    <row r="7207"/>
    <row r="7208"/>
    <row r="7209"/>
    <row r="7210"/>
    <row r="7211"/>
    <row r="7212"/>
    <row r="7213"/>
    <row r="7214"/>
    <row r="7215"/>
    <row r="7216"/>
    <row r="7217"/>
    <row r="7218"/>
    <row r="7219"/>
    <row r="7220"/>
    <row r="7221"/>
    <row r="7222"/>
    <row r="7223"/>
    <row r="7224"/>
    <row r="7225"/>
    <row r="7226"/>
    <row r="7227"/>
    <row r="7228"/>
    <row r="7229"/>
    <row r="7230"/>
    <row r="7231"/>
    <row r="7232"/>
    <row r="7233"/>
    <row r="7234"/>
    <row r="7235"/>
    <row r="7236"/>
    <row r="7237"/>
    <row r="7238"/>
    <row r="7239"/>
    <row r="7240"/>
    <row r="7241"/>
    <row r="7242"/>
    <row r="7243"/>
    <row r="7244"/>
    <row r="7245"/>
    <row r="7246"/>
    <row r="7247"/>
    <row r="7248"/>
    <row r="7249"/>
    <row r="7250"/>
    <row r="7251"/>
    <row r="7252"/>
    <row r="7253"/>
    <row r="7254"/>
    <row r="7255"/>
    <row r="7256"/>
    <row r="7257"/>
    <row r="7258"/>
    <row r="7259"/>
    <row r="7260"/>
    <row r="7261"/>
    <row r="7262"/>
    <row r="7263"/>
    <row r="7264"/>
    <row r="7265"/>
    <row r="7266"/>
    <row r="7267"/>
    <row r="7268"/>
    <row r="7269"/>
    <row r="7270"/>
    <row r="7271"/>
    <row r="7272"/>
    <row r="7273"/>
    <row r="7274"/>
    <row r="7275"/>
    <row r="7276"/>
    <row r="7277"/>
    <row r="7278"/>
    <row r="7279"/>
    <row r="7280"/>
    <row r="7281"/>
    <row r="7282"/>
    <row r="7283"/>
    <row r="7284"/>
    <row r="7285"/>
    <row r="7286"/>
    <row r="7287"/>
    <row r="7288"/>
    <row r="7289"/>
    <row r="7290"/>
    <row r="7291"/>
    <row r="7292"/>
    <row r="7293"/>
    <row r="7294"/>
    <row r="7295"/>
    <row r="7296"/>
    <row r="7297"/>
    <row r="7298"/>
    <row r="7299"/>
    <row r="7300"/>
    <row r="7301"/>
    <row r="7302"/>
    <row r="7303"/>
    <row r="7304"/>
    <row r="7305"/>
    <row r="7306"/>
    <row r="7307"/>
    <row r="7308"/>
    <row r="7309"/>
    <row r="7310"/>
    <row r="7311"/>
    <row r="7312"/>
    <row r="7313"/>
    <row r="7314"/>
    <row r="7315"/>
    <row r="7316"/>
    <row r="7317"/>
    <row r="7318"/>
    <row r="7319"/>
    <row r="7320"/>
    <row r="7321"/>
    <row r="7322"/>
    <row r="7323"/>
    <row r="7324"/>
    <row r="7325"/>
    <row r="7326"/>
    <row r="7327"/>
    <row r="7328"/>
    <row r="7329"/>
    <row r="7330"/>
    <row r="7331"/>
    <row r="7332"/>
    <row r="7333"/>
    <row r="7334"/>
    <row r="7335"/>
    <row r="7336"/>
    <row r="7337"/>
    <row r="7338"/>
    <row r="7339"/>
    <row r="7340"/>
    <row r="7341"/>
    <row r="7342"/>
    <row r="7343"/>
    <row r="7344"/>
    <row r="7345"/>
    <row r="7346"/>
    <row r="7347"/>
    <row r="7348"/>
    <row r="7349"/>
    <row r="7350"/>
    <row r="7351"/>
    <row r="7352"/>
    <row r="7353"/>
    <row r="7354"/>
    <row r="7355"/>
    <row r="7356"/>
    <row r="7357"/>
    <row r="7358"/>
    <row r="7359"/>
    <row r="7360"/>
    <row r="7361"/>
    <row r="7362"/>
    <row r="7363"/>
    <row r="7364"/>
    <row r="7365"/>
    <row r="7366"/>
    <row r="7367"/>
    <row r="7368"/>
    <row r="7369"/>
    <row r="7370"/>
    <row r="7371"/>
    <row r="7372"/>
    <row r="7373"/>
    <row r="7374"/>
    <row r="7375"/>
    <row r="7376"/>
    <row r="7377"/>
    <row r="7378"/>
    <row r="7379"/>
    <row r="7380"/>
    <row r="7381"/>
    <row r="7382"/>
    <row r="7383"/>
    <row r="7384"/>
    <row r="7385"/>
    <row r="7386"/>
    <row r="7387"/>
    <row r="7388"/>
    <row r="7389"/>
    <row r="7390"/>
    <row r="7391"/>
    <row r="7392"/>
    <row r="7393"/>
    <row r="7394"/>
    <row r="7395"/>
    <row r="7396"/>
    <row r="7397"/>
    <row r="7398"/>
    <row r="7399"/>
    <row r="7400"/>
    <row r="7401"/>
    <row r="7402"/>
    <row r="7403"/>
    <row r="7404"/>
    <row r="7405"/>
    <row r="7406"/>
    <row r="7407"/>
    <row r="7408"/>
    <row r="7409"/>
    <row r="7410"/>
    <row r="7411"/>
    <row r="7412"/>
    <row r="7413"/>
    <row r="7414"/>
    <row r="7415"/>
    <row r="7416"/>
    <row r="7417"/>
    <row r="7418"/>
    <row r="7419"/>
    <row r="7420"/>
    <row r="7421"/>
    <row r="7422"/>
    <row r="7423"/>
    <row r="7424"/>
    <row r="7425"/>
    <row r="7426"/>
    <row r="7427"/>
    <row r="7428"/>
    <row r="7429"/>
    <row r="7430"/>
    <row r="7431"/>
    <row r="7432"/>
    <row r="7433"/>
    <row r="7434"/>
    <row r="7435"/>
    <row r="7436"/>
    <row r="7437"/>
    <row r="7438"/>
    <row r="7439"/>
    <row r="7440"/>
    <row r="7441"/>
    <row r="7442"/>
    <row r="7443"/>
    <row r="7444"/>
    <row r="7445"/>
    <row r="7446"/>
    <row r="7447" ht="12.75" customHeight="1"/>
    <row r="7448" ht="12.75" customHeight="1"/>
    <row r="7449" ht="12.75" customHeight="1"/>
    <row r="7450" ht="12.75" customHeight="1"/>
    <row r="7451" ht="12.75" customHeight="1"/>
    <row r="7452" ht="12.75" customHeight="1"/>
    <row r="7453" ht="12.75" customHeight="1"/>
    <row r="7454" ht="12.75" customHeight="1"/>
    <row r="7455" ht="12.75" customHeight="1"/>
    <row r="7456" ht="12.75" customHeight="1"/>
    <row r="7457" ht="12.75" customHeight="1"/>
    <row r="7458" ht="12.75" customHeight="1"/>
    <row r="7459" ht="12.75" customHeight="1"/>
    <row r="7460" ht="12.75" customHeight="1"/>
    <row r="7461" ht="12.75" customHeight="1"/>
    <row r="7462" ht="12.75" customHeight="1"/>
    <row r="7463" ht="12.75" customHeight="1"/>
    <row r="7464" ht="12.75" customHeight="1"/>
    <row r="7465" ht="12.75" customHeight="1"/>
    <row r="7466" ht="12.75" customHeight="1"/>
    <row r="7467" ht="12.75" customHeight="1"/>
    <row r="7468" ht="12.75" customHeight="1"/>
    <row r="7469" ht="12.75" customHeight="1"/>
    <row r="7470" ht="12.75" customHeight="1"/>
    <row r="7471" ht="12.75" customHeight="1"/>
    <row r="7472" ht="12.75" customHeight="1"/>
    <row r="7473" ht="12.75" customHeight="1"/>
    <row r="7474" ht="12.75" customHeight="1"/>
    <row r="7475" ht="12.75" customHeight="1"/>
    <row r="7476" ht="12.75" customHeight="1"/>
    <row r="7477" ht="12.75" customHeight="1"/>
    <row r="7478" ht="12.75" customHeight="1"/>
    <row r="7479" ht="12.75" customHeight="1"/>
    <row r="7480" ht="12.75" customHeight="1"/>
    <row r="7481" ht="12.75" customHeight="1"/>
    <row r="7482" ht="12.75" customHeight="1"/>
    <row r="7483" ht="12.75" customHeight="1"/>
    <row r="7484" ht="12.75" customHeight="1"/>
    <row r="7485" ht="12.75" customHeight="1"/>
    <row r="7486" ht="12.75" customHeight="1"/>
    <row r="7487" ht="12.75" customHeight="1"/>
    <row r="7488" ht="12.75" customHeight="1"/>
    <row r="7489" ht="12.75" customHeight="1"/>
    <row r="7490" ht="12.75" customHeight="1"/>
    <row r="7491" ht="12.75" customHeight="1"/>
    <row r="7492" ht="12.75" customHeight="1"/>
    <row r="7493" ht="12.75" customHeight="1"/>
    <row r="7494" ht="12.75" customHeight="1"/>
    <row r="7495" ht="12.75" customHeight="1"/>
    <row r="7496" ht="12.75" customHeight="1"/>
    <row r="7497" ht="12.75" customHeight="1"/>
    <row r="7498" ht="12.75" customHeight="1"/>
    <row r="7499" ht="12.75" customHeight="1"/>
    <row r="7500" ht="12.75" customHeight="1"/>
    <row r="7501" ht="12.75" customHeight="1"/>
    <row r="7502" ht="12.75" customHeight="1"/>
    <row r="7503" ht="12.75" customHeight="1"/>
    <row r="7504" ht="12.75" customHeight="1"/>
    <row r="7505" ht="12.75" customHeight="1"/>
    <row r="7506" ht="12.75" customHeight="1"/>
    <row r="7507" ht="12.75" customHeight="1"/>
    <row r="7508" ht="12.75" customHeight="1"/>
    <row r="7509" ht="12.75" customHeight="1"/>
    <row r="7510" ht="12.75" customHeight="1"/>
    <row r="7511" ht="12.75" customHeight="1"/>
    <row r="7512" ht="12.75" customHeight="1"/>
    <row r="7513" ht="12.75" customHeight="1"/>
    <row r="7514" ht="12.75" customHeight="1"/>
    <row r="7515" ht="12.75" customHeight="1"/>
    <row r="7516" ht="12.75" customHeight="1"/>
    <row r="7517" ht="12.75" customHeight="1"/>
    <row r="7518" ht="12.75" customHeight="1"/>
    <row r="7519" ht="12.75" customHeight="1"/>
    <row r="7520" ht="12.75" customHeight="1"/>
    <row r="7521" ht="12.75" customHeight="1"/>
    <row r="7522" ht="12.75" customHeight="1"/>
    <row r="7523" ht="12.75" customHeight="1"/>
    <row r="7524" ht="12.75" customHeight="1"/>
    <row r="7525" ht="12.75" customHeight="1"/>
    <row r="7526" ht="12.75" customHeight="1"/>
    <row r="7527" ht="12.75" customHeight="1"/>
    <row r="7528"/>
    <row r="7529"/>
    <row r="7530"/>
    <row r="7531"/>
    <row r="7532"/>
    <row r="7533"/>
    <row r="7534"/>
    <row r="7535"/>
    <row r="7536"/>
    <row r="7537"/>
    <row r="7538"/>
    <row r="7539"/>
    <row r="7540"/>
    <row r="7541"/>
    <row r="7542"/>
    <row r="7543"/>
    <row r="7544"/>
    <row r="7545"/>
    <row r="7546"/>
    <row r="7547"/>
    <row r="7548"/>
    <row r="7549"/>
    <row r="7550"/>
    <row r="7551"/>
    <row r="7552"/>
    <row r="7553"/>
    <row r="7554"/>
    <row r="7555"/>
    <row r="7556"/>
    <row r="7557"/>
    <row r="7558"/>
    <row r="7559"/>
    <row r="7560"/>
    <row r="7561"/>
    <row r="7562"/>
    <row r="7563"/>
    <row r="7564"/>
    <row r="7565"/>
    <row r="7566"/>
    <row r="7567"/>
    <row r="7568"/>
    <row r="7569"/>
    <row r="7570"/>
    <row r="7571"/>
    <row r="7572"/>
    <row r="7573"/>
    <row r="7574"/>
    <row r="7575"/>
    <row r="7576"/>
    <row r="7577"/>
    <row r="7578"/>
    <row r="7579"/>
    <row r="7580"/>
    <row r="7581"/>
    <row r="7582"/>
    <row r="7583"/>
    <row r="7584"/>
    <row r="7585"/>
    <row r="7586"/>
    <row r="7587"/>
    <row r="7588"/>
    <row r="7589"/>
    <row r="7590"/>
    <row r="7591"/>
    <row r="7592"/>
    <row r="7593"/>
    <row r="7594"/>
    <row r="7595"/>
    <row r="7596"/>
    <row r="7597"/>
    <row r="7598"/>
    <row r="7599"/>
    <row r="7600"/>
    <row r="7601"/>
    <row r="7602"/>
    <row r="7603"/>
    <row r="7604"/>
    <row r="7605"/>
    <row r="7606"/>
    <row r="7607"/>
    <row r="7608"/>
    <row r="7609"/>
    <row r="7610"/>
    <row r="7611"/>
    <row r="7612"/>
    <row r="7613"/>
    <row r="7614"/>
    <row r="7615"/>
    <row r="7616"/>
    <row r="7617"/>
    <row r="7618"/>
    <row r="7619"/>
    <row r="7620"/>
    <row r="7621"/>
    <row r="7622"/>
    <row r="7623"/>
    <row r="7624"/>
    <row r="7625"/>
    <row r="7626"/>
    <row r="7627"/>
    <row r="7628"/>
    <row r="7629"/>
    <row r="7630"/>
    <row r="7631"/>
    <row r="7632"/>
    <row r="7633"/>
    <row r="7634"/>
    <row r="7635"/>
    <row r="7636"/>
    <row r="7637"/>
    <row r="7638"/>
    <row r="7639"/>
    <row r="7640"/>
    <row r="7641"/>
    <row r="7642"/>
    <row r="7643"/>
    <row r="7644"/>
    <row r="7645"/>
    <row r="7646"/>
    <row r="7647"/>
    <row r="7648"/>
    <row r="7649"/>
    <row r="7650"/>
    <row r="7651"/>
    <row r="7652"/>
    <row r="7653"/>
    <row r="7654"/>
    <row r="7655"/>
    <row r="7656"/>
    <row r="7657"/>
    <row r="7658"/>
    <row r="7659"/>
    <row r="7660"/>
    <row r="7661"/>
    <row r="7662"/>
    <row r="7663"/>
    <row r="7664"/>
    <row r="7665"/>
    <row r="7666"/>
    <row r="7667"/>
    <row r="7668"/>
    <row r="7669"/>
    <row r="7670"/>
    <row r="7671"/>
    <row r="7672"/>
    <row r="7673"/>
    <row r="7674"/>
    <row r="7675"/>
    <row r="7676"/>
    <row r="7677"/>
    <row r="7678"/>
    <row r="7679"/>
    <row r="7680"/>
    <row r="7681"/>
    <row r="7682"/>
    <row r="7683"/>
    <row r="7684"/>
    <row r="7685"/>
    <row r="7686"/>
    <row r="7687"/>
    <row r="7688"/>
    <row r="7689"/>
    <row r="7690"/>
    <row r="7691"/>
    <row r="7692"/>
    <row r="7693"/>
    <row r="7694"/>
    <row r="7695"/>
    <row r="7696"/>
    <row r="7697"/>
    <row r="7698"/>
    <row r="7699"/>
    <row r="7700"/>
    <row r="7701"/>
    <row r="7702"/>
    <row r="7703"/>
    <row r="7704"/>
    <row r="7705"/>
    <row r="7706"/>
    <row r="7707"/>
    <row r="7708"/>
    <row r="7709"/>
    <row r="7710"/>
    <row r="7711"/>
    <row r="7712"/>
    <row r="7713"/>
    <row r="7714"/>
    <row r="7715"/>
    <row r="7716"/>
    <row r="7717"/>
    <row r="7718"/>
    <row r="7719"/>
    <row r="7720"/>
    <row r="7721"/>
    <row r="7722"/>
    <row r="7723"/>
    <row r="7724"/>
    <row r="7725"/>
    <row r="7726"/>
    <row r="7727"/>
    <row r="7728"/>
    <row r="7729"/>
    <row r="7730"/>
    <row r="7731"/>
    <row r="7732"/>
    <row r="7733"/>
    <row r="7734"/>
    <row r="7735"/>
    <row r="7736"/>
    <row r="7737"/>
    <row r="7738"/>
    <row r="7739"/>
    <row r="7740"/>
    <row r="7741"/>
    <row r="7742"/>
    <row r="7743"/>
    <row r="7744"/>
    <row r="7745"/>
    <row r="7746"/>
    <row r="7747"/>
    <row r="7748"/>
    <row r="7749"/>
    <row r="7750"/>
    <row r="7751"/>
    <row r="7752"/>
    <row r="7753"/>
    <row r="7754"/>
    <row r="7755"/>
    <row r="7756"/>
    <row r="7757"/>
    <row r="7758"/>
    <row r="7759"/>
    <row r="7760"/>
    <row r="7761"/>
    <row r="7762"/>
    <row r="7763"/>
    <row r="7764"/>
    <row r="7765"/>
    <row r="7766"/>
    <row r="7767"/>
    <row r="7768"/>
    <row r="7769"/>
    <row r="7770"/>
    <row r="7771"/>
    <row r="7772"/>
    <row r="7773"/>
    <row r="7774"/>
    <row r="7775"/>
    <row r="7776"/>
    <row r="7777"/>
    <row r="7778"/>
    <row r="7779"/>
    <row r="7780"/>
    <row r="7781"/>
    <row r="7782"/>
    <row r="7783"/>
    <row r="7784"/>
    <row r="7785"/>
    <row r="7786"/>
    <row r="7787"/>
    <row r="7788"/>
    <row r="7789"/>
    <row r="7790"/>
    <row r="7791"/>
    <row r="7792"/>
    <row r="7793"/>
    <row r="7794"/>
    <row r="7795"/>
    <row r="7796"/>
    <row r="7797"/>
    <row r="7798"/>
    <row r="7799"/>
    <row r="7800"/>
    <row r="7801"/>
    <row r="7802"/>
    <row r="7803"/>
    <row r="7804"/>
    <row r="7805"/>
    <row r="7806"/>
    <row r="7807"/>
    <row r="7808"/>
    <row r="7809"/>
    <row r="7810"/>
    <row r="7811"/>
    <row r="7812"/>
    <row r="7813"/>
    <row r="7814"/>
    <row r="7815"/>
    <row r="7816"/>
    <row r="7817"/>
    <row r="7818"/>
    <row r="7819"/>
    <row r="7820"/>
    <row r="7821"/>
    <row r="7822"/>
    <row r="7823"/>
    <row r="7824"/>
    <row r="7825"/>
    <row r="7826"/>
    <row r="7827"/>
    <row r="7828"/>
    <row r="7829"/>
    <row r="7830"/>
    <row r="7831"/>
    <row r="7832"/>
    <row r="7833"/>
    <row r="7834"/>
    <row r="7835"/>
    <row r="7836"/>
    <row r="7837"/>
    <row r="7838"/>
    <row r="7839"/>
    <row r="7840"/>
    <row r="7841"/>
    <row r="7842"/>
    <row r="7843"/>
    <row r="7844"/>
    <row r="7845"/>
    <row r="7846"/>
    <row r="7847"/>
    <row r="7848"/>
    <row r="7849"/>
    <row r="7850"/>
    <row r="7851"/>
    <row r="7852"/>
    <row r="7853"/>
    <row r="7854"/>
    <row r="7855"/>
  </sheetData>
  <autoFilter ref="C10:AC36"/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2">
    <tabColor rgb="FF0000FF"/>
  </sheetPr>
  <dimension ref="A1:D116"/>
  <sheetViews>
    <sheetView topLeftCell="A79" workbookViewId="0">
      <selection activeCell="B8" sqref="B8:B10"/>
    </sheetView>
  </sheetViews>
  <sheetFormatPr defaultRowHeight="15"/>
  <cols>
    <col min="1" max="1" width="55.42578125" customWidth="1"/>
    <col min="2" max="2" width="11" customWidth="1"/>
    <col min="3" max="3" width="13" customWidth="1"/>
  </cols>
  <sheetData>
    <row r="1" spans="1:4">
      <c r="A1" s="97" t="s">
        <v>207</v>
      </c>
      <c r="B1" s="97" t="s">
        <v>208</v>
      </c>
    </row>
    <row r="2" spans="1:4">
      <c r="A2" s="98" t="s">
        <v>381</v>
      </c>
      <c r="B2" s="176">
        <v>0.01</v>
      </c>
      <c r="C2" s="176"/>
    </row>
    <row r="3" spans="1:4">
      <c r="A3" s="98" t="s">
        <v>382</v>
      </c>
      <c r="B3" s="176">
        <v>0.01</v>
      </c>
      <c r="C3" s="176"/>
    </row>
    <row r="4" spans="1:4">
      <c r="A4" s="98" t="s">
        <v>383</v>
      </c>
      <c r="B4" s="176">
        <v>0.01</v>
      </c>
      <c r="C4" s="176"/>
    </row>
    <row r="6" spans="1:4">
      <c r="A6" s="98" t="s">
        <v>209</v>
      </c>
      <c r="B6" s="177">
        <f>MAX(B2:B4)</f>
        <v>0.01</v>
      </c>
      <c r="C6" t="s">
        <v>384</v>
      </c>
    </row>
    <row r="7" spans="1:4">
      <c r="A7" s="98"/>
      <c r="B7" s="177"/>
    </row>
    <row r="8" spans="1:4">
      <c r="A8" s="98" t="s">
        <v>3339</v>
      </c>
      <c r="B8" s="590">
        <v>0.1</v>
      </c>
      <c r="C8" t="s">
        <v>3340</v>
      </c>
      <c r="D8" s="162" t="s">
        <v>3341</v>
      </c>
    </row>
    <row r="9" spans="1:4">
      <c r="A9" s="98" t="s">
        <v>3342</v>
      </c>
      <c r="B9" s="590">
        <v>0.1</v>
      </c>
      <c r="C9" t="s">
        <v>3343</v>
      </c>
    </row>
    <row r="10" spans="1:4">
      <c r="A10" s="98" t="s">
        <v>3344</v>
      </c>
      <c r="B10" s="590">
        <v>0.1</v>
      </c>
      <c r="C10" t="s">
        <v>3345</v>
      </c>
    </row>
    <row r="11" spans="1:4">
      <c r="A11" s="98"/>
      <c r="B11" s="177"/>
    </row>
    <row r="12" spans="1:4">
      <c r="A12" s="98" t="s">
        <v>3346</v>
      </c>
      <c r="B12" s="470">
        <f>B8</f>
        <v>0.1</v>
      </c>
      <c r="C12" t="s">
        <v>3347</v>
      </c>
      <c r="D12" s="162" t="s">
        <v>3348</v>
      </c>
    </row>
    <row r="13" spans="1:4">
      <c r="A13" s="98"/>
      <c r="B13" s="146"/>
    </row>
    <row r="15" spans="1:4">
      <c r="A15" s="98"/>
      <c r="B15" s="146"/>
    </row>
    <row r="16" spans="1:4">
      <c r="A16" s="98" t="s">
        <v>227</v>
      </c>
      <c r="B16" s="147">
        <v>36</v>
      </c>
    </row>
    <row r="17" spans="1:3">
      <c r="A17" s="98" t="s">
        <v>228</v>
      </c>
      <c r="B17" s="147">
        <v>36</v>
      </c>
    </row>
    <row r="18" spans="1:3">
      <c r="A18" s="98" t="s">
        <v>224</v>
      </c>
      <c r="B18" s="147">
        <v>36</v>
      </c>
    </row>
    <row r="19" spans="1:3">
      <c r="A19" s="98" t="s">
        <v>225</v>
      </c>
      <c r="B19" s="147">
        <v>48</v>
      </c>
    </row>
    <row r="20" spans="1:3">
      <c r="A20" s="98" t="s">
        <v>226</v>
      </c>
      <c r="B20" s="147">
        <v>60</v>
      </c>
    </row>
    <row r="21" spans="1:3">
      <c r="A21" s="99"/>
      <c r="B21" s="99"/>
    </row>
    <row r="22" spans="1:3">
      <c r="A22" s="97" t="s">
        <v>210</v>
      </c>
      <c r="B22" s="97" t="s">
        <v>208</v>
      </c>
    </row>
    <row r="23" spans="1:3">
      <c r="A23" s="100" t="s">
        <v>305</v>
      </c>
      <c r="B23" s="568">
        <v>0</v>
      </c>
      <c r="C23" s="162" t="s">
        <v>306</v>
      </c>
    </row>
    <row r="24" spans="1:3">
      <c r="A24" s="100" t="s">
        <v>311</v>
      </c>
      <c r="B24" s="568">
        <v>0</v>
      </c>
      <c r="C24" s="162" t="s">
        <v>307</v>
      </c>
    </row>
    <row r="25" spans="1:3">
      <c r="A25" s="100" t="s">
        <v>312</v>
      </c>
      <c r="B25" s="568">
        <v>0</v>
      </c>
      <c r="C25" s="162" t="s">
        <v>308</v>
      </c>
    </row>
    <row r="26" spans="1:3">
      <c r="A26" s="100" t="s">
        <v>313</v>
      </c>
      <c r="B26" s="568">
        <v>0</v>
      </c>
      <c r="C26" s="162" t="s">
        <v>309</v>
      </c>
    </row>
    <row r="27" spans="1:3">
      <c r="A27" s="100" t="s">
        <v>314</v>
      </c>
      <c r="B27" s="568">
        <v>0</v>
      </c>
      <c r="C27" s="162" t="s">
        <v>310</v>
      </c>
    </row>
    <row r="28" spans="1:3">
      <c r="A28" s="207" t="s">
        <v>2158</v>
      </c>
      <c r="B28" s="568">
        <v>0</v>
      </c>
      <c r="C28" s="162" t="s">
        <v>2163</v>
      </c>
    </row>
    <row r="29" spans="1:3">
      <c r="A29" s="207" t="s">
        <v>2159</v>
      </c>
      <c r="B29" s="568">
        <v>0</v>
      </c>
      <c r="C29" s="162" t="s">
        <v>2163</v>
      </c>
    </row>
    <row r="30" spans="1:3">
      <c r="A30" s="207" t="s">
        <v>2160</v>
      </c>
      <c r="B30" s="568">
        <v>0</v>
      </c>
      <c r="C30" s="162" t="s">
        <v>2163</v>
      </c>
    </row>
    <row r="31" spans="1:3">
      <c r="A31" s="207" t="s">
        <v>2161</v>
      </c>
      <c r="B31" s="568">
        <v>0</v>
      </c>
      <c r="C31" s="162" t="s">
        <v>2163</v>
      </c>
    </row>
    <row r="32" spans="1:3">
      <c r="A32" s="207" t="s">
        <v>2162</v>
      </c>
      <c r="B32" s="568">
        <v>0</v>
      </c>
      <c r="C32" s="162" t="s">
        <v>2163</v>
      </c>
    </row>
    <row r="33" spans="1:3">
      <c r="A33" s="100" t="s">
        <v>315</v>
      </c>
      <c r="B33" s="568">
        <v>0</v>
      </c>
      <c r="C33" s="162" t="s">
        <v>306</v>
      </c>
    </row>
    <row r="34" spans="1:3">
      <c r="A34" s="100" t="s">
        <v>316</v>
      </c>
      <c r="B34" s="568">
        <v>0</v>
      </c>
      <c r="C34" s="162" t="s">
        <v>307</v>
      </c>
    </row>
    <row r="35" spans="1:3">
      <c r="A35" s="100" t="s">
        <v>317</v>
      </c>
      <c r="B35" s="568">
        <v>0</v>
      </c>
      <c r="C35" s="162" t="s">
        <v>308</v>
      </c>
    </row>
    <row r="36" spans="1:3">
      <c r="A36" s="100" t="s">
        <v>318</v>
      </c>
      <c r="B36" s="568">
        <v>0</v>
      </c>
      <c r="C36" s="162" t="s">
        <v>309</v>
      </c>
    </row>
    <row r="37" spans="1:3">
      <c r="A37" s="100" t="s">
        <v>319</v>
      </c>
      <c r="B37" s="568">
        <v>0</v>
      </c>
      <c r="C37" s="162" t="s">
        <v>310</v>
      </c>
    </row>
    <row r="38" spans="1:3">
      <c r="A38" s="207" t="s">
        <v>2164</v>
      </c>
      <c r="B38" s="568">
        <v>0</v>
      </c>
      <c r="C38" s="162" t="s">
        <v>2163</v>
      </c>
    </row>
    <row r="39" spans="1:3">
      <c r="A39" s="207" t="s">
        <v>2165</v>
      </c>
      <c r="B39" s="568">
        <v>0</v>
      </c>
      <c r="C39" s="162" t="s">
        <v>2163</v>
      </c>
    </row>
    <row r="40" spans="1:3">
      <c r="A40" s="207" t="s">
        <v>2166</v>
      </c>
      <c r="B40" s="568">
        <v>0</v>
      </c>
      <c r="C40" s="162" t="s">
        <v>2163</v>
      </c>
    </row>
    <row r="41" spans="1:3">
      <c r="A41" s="207" t="s">
        <v>2167</v>
      </c>
      <c r="B41" s="568">
        <v>0</v>
      </c>
      <c r="C41" s="162" t="s">
        <v>2163</v>
      </c>
    </row>
    <row r="42" spans="1:3">
      <c r="A42" s="207" t="s">
        <v>2168</v>
      </c>
      <c r="B42" s="568">
        <v>0</v>
      </c>
      <c r="C42" s="162" t="s">
        <v>2163</v>
      </c>
    </row>
    <row r="43" spans="1:3">
      <c r="A43" s="100" t="s">
        <v>320</v>
      </c>
      <c r="B43" s="568">
        <v>0</v>
      </c>
      <c r="C43" s="162" t="s">
        <v>306</v>
      </c>
    </row>
    <row r="44" spans="1:3">
      <c r="A44" s="100" t="s">
        <v>321</v>
      </c>
      <c r="B44" s="568">
        <v>0</v>
      </c>
      <c r="C44" s="162" t="s">
        <v>307</v>
      </c>
    </row>
    <row r="45" spans="1:3">
      <c r="A45" s="100" t="s">
        <v>322</v>
      </c>
      <c r="B45" s="568">
        <v>0</v>
      </c>
      <c r="C45" s="162" t="s">
        <v>308</v>
      </c>
    </row>
    <row r="46" spans="1:3">
      <c r="A46" s="100" t="s">
        <v>323</v>
      </c>
      <c r="B46" s="568">
        <v>0</v>
      </c>
      <c r="C46" s="162" t="s">
        <v>309</v>
      </c>
    </row>
    <row r="47" spans="1:3">
      <c r="A47" s="100" t="s">
        <v>324</v>
      </c>
      <c r="B47" s="568">
        <v>0</v>
      </c>
      <c r="C47" s="162" t="s">
        <v>310</v>
      </c>
    </row>
    <row r="48" spans="1:3">
      <c r="A48" s="100" t="s">
        <v>325</v>
      </c>
      <c r="B48" s="568">
        <v>0</v>
      </c>
      <c r="C48" s="162" t="s">
        <v>306</v>
      </c>
    </row>
    <row r="49" spans="1:3">
      <c r="A49" s="100" t="s">
        <v>326</v>
      </c>
      <c r="B49" s="568">
        <v>0</v>
      </c>
      <c r="C49" s="162" t="s">
        <v>307</v>
      </c>
    </row>
    <row r="50" spans="1:3">
      <c r="A50" s="100" t="s">
        <v>327</v>
      </c>
      <c r="B50" s="568">
        <v>0</v>
      </c>
      <c r="C50" s="162" t="s">
        <v>308</v>
      </c>
    </row>
    <row r="51" spans="1:3">
      <c r="A51" s="100" t="s">
        <v>328</v>
      </c>
      <c r="B51" s="568">
        <v>0</v>
      </c>
      <c r="C51" s="162" t="s">
        <v>309</v>
      </c>
    </row>
    <row r="52" spans="1:3">
      <c r="A52" s="100" t="s">
        <v>329</v>
      </c>
      <c r="B52" s="568">
        <v>0</v>
      </c>
      <c r="C52" s="162" t="s">
        <v>310</v>
      </c>
    </row>
    <row r="54" spans="1:3">
      <c r="A54" s="97" t="s">
        <v>345</v>
      </c>
      <c r="B54" s="97" t="s">
        <v>208</v>
      </c>
    </row>
    <row r="55" spans="1:3">
      <c r="A55" s="167" t="s">
        <v>373</v>
      </c>
      <c r="B55" s="163">
        <v>0</v>
      </c>
      <c r="C55" s="162"/>
    </row>
    <row r="56" spans="1:3">
      <c r="A56" s="167" t="s">
        <v>374</v>
      </c>
      <c r="B56" s="163">
        <v>0</v>
      </c>
      <c r="C56" s="162"/>
    </row>
    <row r="57" spans="1:3">
      <c r="A57" s="99"/>
      <c r="B57" s="99"/>
    </row>
    <row r="59" spans="1:3">
      <c r="A59" s="97" t="s">
        <v>342</v>
      </c>
      <c r="B59" s="97" t="s">
        <v>208</v>
      </c>
    </row>
    <row r="60" spans="1:3">
      <c r="A60" s="100" t="s">
        <v>340</v>
      </c>
      <c r="B60" s="569">
        <v>0</v>
      </c>
    </row>
    <row r="61" spans="1:3">
      <c r="A61" s="207" t="s">
        <v>2174</v>
      </c>
      <c r="B61" s="569">
        <v>0</v>
      </c>
      <c r="C61" s="162" t="s">
        <v>2163</v>
      </c>
    </row>
    <row r="62" spans="1:3">
      <c r="A62" s="100" t="s">
        <v>341</v>
      </c>
      <c r="B62" s="569">
        <v>0</v>
      </c>
    </row>
    <row r="63" spans="1:3">
      <c r="A63" s="100" t="s">
        <v>330</v>
      </c>
      <c r="B63" s="569">
        <v>0</v>
      </c>
      <c r="C63" s="162" t="s">
        <v>306</v>
      </c>
    </row>
    <row r="64" spans="1:3">
      <c r="A64" s="100" t="s">
        <v>331</v>
      </c>
      <c r="B64" s="569">
        <v>0</v>
      </c>
      <c r="C64" s="162" t="s">
        <v>307</v>
      </c>
    </row>
    <row r="65" spans="1:4">
      <c r="A65" s="100" t="s">
        <v>332</v>
      </c>
      <c r="B65" s="569">
        <v>0</v>
      </c>
      <c r="C65" s="162" t="s">
        <v>308</v>
      </c>
    </row>
    <row r="66" spans="1:4">
      <c r="A66" s="100" t="s">
        <v>333</v>
      </c>
      <c r="B66" s="569">
        <v>0</v>
      </c>
      <c r="C66" s="162" t="s">
        <v>309</v>
      </c>
    </row>
    <row r="67" spans="1:4">
      <c r="A67" s="100" t="s">
        <v>334</v>
      </c>
      <c r="B67" s="569">
        <v>0</v>
      </c>
      <c r="C67" s="162" t="s">
        <v>310</v>
      </c>
    </row>
    <row r="68" spans="1:4">
      <c r="A68" s="207" t="s">
        <v>2169</v>
      </c>
      <c r="B68" s="569">
        <v>0</v>
      </c>
      <c r="C68" s="162" t="s">
        <v>2163</v>
      </c>
    </row>
    <row r="69" spans="1:4">
      <c r="A69" s="207" t="s">
        <v>2170</v>
      </c>
      <c r="B69" s="569">
        <v>0</v>
      </c>
      <c r="C69" s="162" t="s">
        <v>2163</v>
      </c>
    </row>
    <row r="70" spans="1:4">
      <c r="A70" s="207" t="s">
        <v>2171</v>
      </c>
      <c r="B70" s="569">
        <v>0</v>
      </c>
      <c r="C70" s="162" t="s">
        <v>2163</v>
      </c>
    </row>
    <row r="71" spans="1:4">
      <c r="A71" s="207" t="s">
        <v>2172</v>
      </c>
      <c r="B71" s="569">
        <v>0</v>
      </c>
      <c r="C71" s="162" t="s">
        <v>2163</v>
      </c>
    </row>
    <row r="72" spans="1:4">
      <c r="A72" s="207" t="s">
        <v>2173</v>
      </c>
      <c r="B72" s="569">
        <v>0</v>
      </c>
      <c r="C72" s="162" t="s">
        <v>2163</v>
      </c>
    </row>
    <row r="73" spans="1:4">
      <c r="A73" s="100" t="s">
        <v>335</v>
      </c>
      <c r="B73" s="569">
        <v>0</v>
      </c>
      <c r="C73" s="162" t="s">
        <v>306</v>
      </c>
    </row>
    <row r="74" spans="1:4">
      <c r="A74" s="100" t="s">
        <v>336</v>
      </c>
      <c r="B74" s="569">
        <v>0</v>
      </c>
      <c r="C74" s="162" t="s">
        <v>307</v>
      </c>
    </row>
    <row r="75" spans="1:4">
      <c r="A75" s="100" t="s">
        <v>337</v>
      </c>
      <c r="B75" s="569">
        <v>0</v>
      </c>
      <c r="C75" s="162" t="s">
        <v>308</v>
      </c>
    </row>
    <row r="76" spans="1:4">
      <c r="A76" s="100" t="s">
        <v>338</v>
      </c>
      <c r="B76" s="569">
        <v>0</v>
      </c>
      <c r="C76" s="162" t="s">
        <v>309</v>
      </c>
    </row>
    <row r="77" spans="1:4">
      <c r="A77" s="100" t="s">
        <v>339</v>
      </c>
      <c r="B77" s="569">
        <v>0</v>
      </c>
      <c r="C77" s="162" t="s">
        <v>310</v>
      </c>
    </row>
    <row r="80" spans="1:4">
      <c r="A80" t="s">
        <v>385</v>
      </c>
      <c r="B80" s="570">
        <v>0</v>
      </c>
      <c r="C80" t="s">
        <v>386</v>
      </c>
      <c r="D80" t="s">
        <v>306</v>
      </c>
    </row>
    <row r="81" spans="1:4">
      <c r="A81" t="s">
        <v>387</v>
      </c>
      <c r="B81" s="570">
        <v>0</v>
      </c>
      <c r="C81" t="s">
        <v>386</v>
      </c>
      <c r="D81" t="s">
        <v>307</v>
      </c>
    </row>
    <row r="82" spans="1:4">
      <c r="A82" t="s">
        <v>388</v>
      </c>
      <c r="B82" s="570">
        <v>0</v>
      </c>
      <c r="C82" t="s">
        <v>386</v>
      </c>
      <c r="D82" t="s">
        <v>308</v>
      </c>
    </row>
    <row r="83" spans="1:4">
      <c r="A83" t="s">
        <v>389</v>
      </c>
      <c r="B83" s="570">
        <v>0</v>
      </c>
      <c r="C83" t="s">
        <v>386</v>
      </c>
      <c r="D83" t="s">
        <v>309</v>
      </c>
    </row>
    <row r="84" spans="1:4">
      <c r="A84" t="s">
        <v>390</v>
      </c>
      <c r="B84" s="570">
        <v>0</v>
      </c>
      <c r="C84" t="s">
        <v>386</v>
      </c>
      <c r="D84" t="s">
        <v>310</v>
      </c>
    </row>
    <row r="86" spans="1:4">
      <c r="A86" t="s">
        <v>435</v>
      </c>
      <c r="B86" t="s">
        <v>208</v>
      </c>
      <c r="C86" t="s">
        <v>391</v>
      </c>
    </row>
    <row r="87" spans="1:4">
      <c r="A87" t="s">
        <v>392</v>
      </c>
      <c r="B87" s="570">
        <v>0</v>
      </c>
      <c r="C87" t="s">
        <v>393</v>
      </c>
    </row>
    <row r="88" spans="1:4">
      <c r="A88" t="s">
        <v>394</v>
      </c>
      <c r="B88" s="570">
        <v>0</v>
      </c>
      <c r="C88" t="s">
        <v>393</v>
      </c>
    </row>
    <row r="89" spans="1:4">
      <c r="A89" t="s">
        <v>395</v>
      </c>
      <c r="B89" s="570">
        <v>0</v>
      </c>
      <c r="C89" t="s">
        <v>393</v>
      </c>
    </row>
    <row r="90" spans="1:4">
      <c r="A90" t="s">
        <v>396</v>
      </c>
      <c r="B90" s="570">
        <v>0</v>
      </c>
      <c r="C90" t="s">
        <v>393</v>
      </c>
    </row>
    <row r="91" spans="1:4">
      <c r="A91" t="s">
        <v>397</v>
      </c>
      <c r="B91" s="570">
        <v>0</v>
      </c>
      <c r="C91" t="s">
        <v>393</v>
      </c>
    </row>
    <row r="92" spans="1:4">
      <c r="A92" t="s">
        <v>398</v>
      </c>
      <c r="B92" s="570">
        <v>0</v>
      </c>
      <c r="C92" t="s">
        <v>393</v>
      </c>
    </row>
    <row r="93" spans="1:4">
      <c r="A93" t="s">
        <v>399</v>
      </c>
      <c r="B93" s="570">
        <v>0</v>
      </c>
      <c r="C93" t="s">
        <v>393</v>
      </c>
    </row>
    <row r="94" spans="1:4">
      <c r="A94" t="s">
        <v>400</v>
      </c>
      <c r="B94" s="570">
        <v>0</v>
      </c>
      <c r="C94" t="s">
        <v>393</v>
      </c>
    </row>
    <row r="95" spans="1:4">
      <c r="A95" t="s">
        <v>401</v>
      </c>
      <c r="B95" s="570">
        <v>0</v>
      </c>
      <c r="C95" t="s">
        <v>393</v>
      </c>
    </row>
    <row r="96" spans="1:4">
      <c r="A96" t="s">
        <v>402</v>
      </c>
      <c r="B96" s="570">
        <v>0</v>
      </c>
      <c r="C96" t="s">
        <v>393</v>
      </c>
    </row>
    <row r="97" spans="1:4">
      <c r="A97" t="s">
        <v>403</v>
      </c>
      <c r="B97" s="570">
        <v>0</v>
      </c>
      <c r="C97" t="s">
        <v>393</v>
      </c>
    </row>
    <row r="98" spans="1:4">
      <c r="A98" t="s">
        <v>404</v>
      </c>
      <c r="B98" s="570">
        <v>0</v>
      </c>
      <c r="C98" t="s">
        <v>393</v>
      </c>
    </row>
    <row r="99" spans="1:4">
      <c r="A99" t="s">
        <v>405</v>
      </c>
      <c r="B99" s="570">
        <v>0</v>
      </c>
      <c r="C99" t="s">
        <v>393</v>
      </c>
    </row>
    <row r="103" spans="1:4">
      <c r="A103" s="238" t="s">
        <v>3094</v>
      </c>
      <c r="B103" s="238"/>
      <c r="C103" t="s">
        <v>3083</v>
      </c>
    </row>
    <row r="105" spans="1:4">
      <c r="A105" t="s">
        <v>3084</v>
      </c>
      <c r="B105" s="572">
        <v>2250</v>
      </c>
      <c r="C105" t="s">
        <v>3085</v>
      </c>
    </row>
    <row r="107" spans="1:4">
      <c r="B107" t="s">
        <v>3086</v>
      </c>
      <c r="C107" t="s">
        <v>3087</v>
      </c>
      <c r="D107" t="s">
        <v>3088</v>
      </c>
    </row>
    <row r="108" spans="1:4">
      <c r="A108" t="s">
        <v>3089</v>
      </c>
      <c r="B108" s="571">
        <v>1</v>
      </c>
      <c r="C108" s="208">
        <f>'Tarieven W&amp;O'!H9</f>
        <v>350</v>
      </c>
    </row>
    <row r="109" spans="1:4">
      <c r="A109" t="s">
        <v>3090</v>
      </c>
      <c r="B109" s="571">
        <v>0</v>
      </c>
      <c r="C109" s="208">
        <f>'Tarieven W&amp;O'!H9</f>
        <v>350</v>
      </c>
    </row>
    <row r="110" spans="1:4">
      <c r="A110" t="s">
        <v>3091</v>
      </c>
      <c r="B110" s="571">
        <v>0</v>
      </c>
      <c r="C110" s="208">
        <f>'Tarieven W&amp;O'!H16</f>
        <v>850</v>
      </c>
    </row>
    <row r="111" spans="1:4">
      <c r="A111" t="s">
        <v>3092</v>
      </c>
      <c r="B111" s="571">
        <v>0</v>
      </c>
      <c r="C111" s="183">
        <f>B105+C108</f>
        <v>2600</v>
      </c>
    </row>
    <row r="112" spans="1:4">
      <c r="A112" t="s">
        <v>3093</v>
      </c>
      <c r="B112" s="571">
        <v>0</v>
      </c>
    </row>
    <row r="114" spans="1:4">
      <c r="A114" t="s">
        <v>3095</v>
      </c>
      <c r="C114" s="208">
        <f>SUMPRODUCT(B108:B112,C108:C112)</f>
        <v>350</v>
      </c>
      <c r="D114" s="208">
        <f>C114/36</f>
        <v>9.7222222222222214</v>
      </c>
    </row>
    <row r="115" spans="1:4">
      <c r="C115" s="208"/>
      <c r="D115" s="208"/>
    </row>
    <row r="116" spans="1:4">
      <c r="C116" s="208"/>
      <c r="D116" s="208"/>
    </row>
  </sheetData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00FF"/>
  </sheetPr>
  <dimension ref="B1:X34"/>
  <sheetViews>
    <sheetView workbookViewId="0">
      <selection activeCell="A12" sqref="A12"/>
    </sheetView>
  </sheetViews>
  <sheetFormatPr defaultRowHeight="15"/>
  <cols>
    <col min="2" max="2" width="11" customWidth="1"/>
    <col min="3" max="3" width="15" customWidth="1"/>
    <col min="4" max="13" width="9.85546875" customWidth="1"/>
    <col min="16" max="24" width="11.28515625" customWidth="1"/>
  </cols>
  <sheetData>
    <row r="1" spans="2:24" ht="15.75" thickBot="1"/>
    <row r="2" spans="2:24" ht="15.75" thickBot="1">
      <c r="B2" s="617" t="s">
        <v>3349</v>
      </c>
      <c r="C2" s="618"/>
      <c r="D2" s="622"/>
      <c r="E2" s="623"/>
      <c r="F2" s="624"/>
      <c r="G2" s="622"/>
      <c r="H2" s="623"/>
      <c r="I2" s="624"/>
      <c r="J2" s="622"/>
      <c r="K2" s="623"/>
      <c r="L2" s="624"/>
      <c r="M2" s="622"/>
      <c r="N2" s="623"/>
      <c r="O2" s="624"/>
      <c r="P2" s="622"/>
      <c r="Q2" s="623"/>
      <c r="R2" s="624"/>
      <c r="S2" s="614"/>
      <c r="T2" s="615"/>
      <c r="U2" s="616"/>
      <c r="V2" s="614"/>
      <c r="W2" s="615"/>
      <c r="X2" s="616"/>
    </row>
    <row r="3" spans="2:24" ht="15.75" thickBot="1">
      <c r="B3" s="617"/>
      <c r="C3" s="618"/>
      <c r="D3" s="619"/>
      <c r="E3" s="619"/>
      <c r="F3" s="620"/>
      <c r="G3" s="621"/>
      <c r="H3" s="619"/>
      <c r="I3" s="620"/>
      <c r="J3" s="621"/>
      <c r="K3" s="619"/>
      <c r="L3" s="620"/>
      <c r="M3" s="621"/>
      <c r="N3" s="619"/>
      <c r="O3" s="620"/>
      <c r="P3" s="621"/>
      <c r="Q3" s="619"/>
      <c r="R3" s="620"/>
      <c r="S3" s="621"/>
      <c r="T3" s="619"/>
      <c r="U3" s="620"/>
      <c r="V3" s="621"/>
      <c r="W3" s="619"/>
      <c r="X3" s="620"/>
    </row>
    <row r="4" spans="2:24" ht="15.75" thickBot="1">
      <c r="B4" s="612" t="s">
        <v>3350</v>
      </c>
      <c r="C4" s="613"/>
      <c r="D4" s="610"/>
      <c r="E4" s="610"/>
      <c r="F4" s="611"/>
      <c r="G4" s="609"/>
      <c r="H4" s="610"/>
      <c r="I4" s="611"/>
      <c r="J4" s="609"/>
      <c r="K4" s="610"/>
      <c r="L4" s="611"/>
      <c r="M4" s="609"/>
      <c r="N4" s="610"/>
      <c r="O4" s="611"/>
      <c r="P4" s="609"/>
      <c r="Q4" s="610"/>
      <c r="R4" s="611"/>
      <c r="S4" s="609"/>
      <c r="T4" s="610"/>
      <c r="U4" s="611"/>
      <c r="V4" s="609"/>
      <c r="W4" s="610"/>
      <c r="X4" s="611"/>
    </row>
    <row r="5" spans="2:24" ht="15.75" thickBot="1">
      <c r="B5" s="409" t="s">
        <v>3351</v>
      </c>
      <c r="C5" s="409" t="s">
        <v>3352</v>
      </c>
      <c r="D5" s="596"/>
      <c r="E5" s="597"/>
      <c r="F5" s="597"/>
      <c r="G5" s="596"/>
      <c r="H5" s="597"/>
      <c r="I5" s="597"/>
      <c r="J5" s="596"/>
      <c r="K5" s="597"/>
      <c r="L5" s="597"/>
      <c r="M5" s="596"/>
      <c r="N5" s="597"/>
      <c r="O5" s="597"/>
      <c r="P5" s="596"/>
      <c r="Q5" s="597"/>
      <c r="R5" s="597"/>
      <c r="S5" s="596"/>
      <c r="T5" s="597"/>
      <c r="U5" s="597"/>
      <c r="V5" s="596"/>
      <c r="W5" s="597"/>
      <c r="X5" s="597"/>
    </row>
    <row r="6" spans="2:24" ht="15.75" thickBot="1">
      <c r="B6" s="598"/>
      <c r="C6" s="599"/>
      <c r="D6" s="534"/>
      <c r="E6" s="535"/>
      <c r="F6" s="536"/>
      <c r="G6" s="537"/>
      <c r="H6" s="538"/>
      <c r="I6" s="536"/>
      <c r="J6" s="537"/>
      <c r="K6" s="538"/>
      <c r="L6" s="539"/>
      <c r="M6" s="537"/>
      <c r="N6" s="537"/>
      <c r="O6" s="536"/>
      <c r="P6" s="540"/>
      <c r="Q6" s="540"/>
      <c r="R6" s="541"/>
      <c r="S6" s="540"/>
      <c r="T6" s="540"/>
      <c r="U6" s="541"/>
      <c r="V6" s="540"/>
      <c r="W6" s="540"/>
      <c r="X6" s="541"/>
    </row>
    <row r="7" spans="2:24" ht="15.75" thickBot="1">
      <c r="B7" s="600"/>
      <c r="C7" s="600"/>
      <c r="D7" s="537"/>
      <c r="E7" s="537"/>
      <c r="F7" s="542"/>
      <c r="G7" s="537"/>
      <c r="H7" s="538"/>
      <c r="I7" s="542"/>
      <c r="J7" s="537"/>
      <c r="K7" s="538"/>
      <c r="L7" s="542"/>
      <c r="M7" s="537"/>
      <c r="N7" s="538"/>
      <c r="O7" s="542"/>
      <c r="P7" s="540"/>
      <c r="Q7" s="543"/>
      <c r="R7" s="544"/>
      <c r="S7" s="540"/>
      <c r="T7" s="543"/>
      <c r="U7" s="544"/>
      <c r="V7" s="540"/>
      <c r="W7" s="543"/>
      <c r="X7" s="544"/>
    </row>
    <row r="8" spans="2:24" ht="15.75" thickBot="1">
      <c r="B8" s="600"/>
      <c r="C8" s="598"/>
      <c r="D8" s="537"/>
      <c r="E8" s="537"/>
      <c r="F8" s="542"/>
      <c r="G8" s="537"/>
      <c r="H8" s="538"/>
      <c r="I8" s="542"/>
      <c r="J8" s="537"/>
      <c r="K8" s="538"/>
      <c r="L8" s="545"/>
      <c r="M8" s="537"/>
      <c r="N8" s="538"/>
      <c r="O8" s="542"/>
      <c r="P8" s="540"/>
      <c r="Q8" s="543"/>
      <c r="R8" s="544"/>
      <c r="S8" s="540"/>
      <c r="T8" s="543"/>
      <c r="U8" s="544"/>
      <c r="V8" s="540"/>
      <c r="W8" s="543"/>
      <c r="X8" s="544"/>
    </row>
    <row r="9" spans="2:24" ht="15.75" thickBot="1">
      <c r="B9" s="600"/>
      <c r="C9" s="600"/>
      <c r="D9" s="537"/>
      <c r="E9" s="537"/>
      <c r="F9" s="542"/>
      <c r="G9" s="537"/>
      <c r="H9" s="538"/>
      <c r="I9" s="542"/>
      <c r="J9" s="537"/>
      <c r="K9" s="538"/>
      <c r="L9" s="545"/>
      <c r="M9" s="537"/>
      <c r="N9" s="538"/>
      <c r="O9" s="542"/>
      <c r="P9" s="540"/>
      <c r="Q9" s="543"/>
      <c r="R9" s="544"/>
      <c r="S9" s="540"/>
      <c r="T9" s="543"/>
      <c r="U9" s="544"/>
      <c r="V9" s="540"/>
      <c r="W9" s="543"/>
      <c r="X9" s="544"/>
    </row>
    <row r="10" spans="2:24" ht="15.75" thickBot="1">
      <c r="B10" s="600"/>
      <c r="C10" s="600"/>
      <c r="D10" s="537"/>
      <c r="E10" s="537"/>
      <c r="F10" s="542"/>
      <c r="G10" s="537"/>
      <c r="H10" s="538"/>
      <c r="I10" s="542"/>
      <c r="J10" s="537"/>
      <c r="K10" s="538"/>
      <c r="L10" s="545"/>
      <c r="M10" s="537"/>
      <c r="N10" s="538"/>
      <c r="O10" s="542"/>
      <c r="P10" s="540"/>
      <c r="Q10" s="543"/>
      <c r="R10" s="544"/>
      <c r="S10" s="540"/>
      <c r="T10" s="543"/>
      <c r="U10" s="544"/>
      <c r="V10" s="540"/>
      <c r="W10" s="543"/>
      <c r="X10" s="544"/>
    </row>
    <row r="11" spans="2:24" s="410" customFormat="1" ht="15.75" thickBot="1">
      <c r="B11" s="600"/>
      <c r="C11" s="600"/>
      <c r="D11" s="546"/>
      <c r="E11" s="546"/>
      <c r="F11" s="547"/>
      <c r="G11" s="546"/>
      <c r="H11" s="548"/>
      <c r="I11" s="547"/>
      <c r="J11" s="546"/>
      <c r="K11" s="548"/>
      <c r="L11" s="549"/>
      <c r="M11" s="546"/>
      <c r="N11" s="548"/>
      <c r="O11" s="547"/>
      <c r="P11" s="550"/>
      <c r="Q11" s="551"/>
      <c r="R11" s="552"/>
      <c r="S11" s="550"/>
      <c r="T11" s="551"/>
      <c r="U11" s="552"/>
      <c r="V11" s="550"/>
      <c r="W11" s="551"/>
      <c r="X11" s="552"/>
    </row>
    <row r="12" spans="2:24" ht="15.75" thickBot="1">
      <c r="B12" s="600" t="s">
        <v>3353</v>
      </c>
      <c r="C12" s="598" t="s">
        <v>3354</v>
      </c>
      <c r="D12" s="537"/>
      <c r="E12" s="537"/>
      <c r="F12" s="542">
        <v>0</v>
      </c>
      <c r="G12" s="537"/>
      <c r="H12" s="538"/>
      <c r="I12" s="542">
        <v>0.01</v>
      </c>
      <c r="J12" s="537"/>
      <c r="K12" s="538"/>
      <c r="L12" s="545">
        <v>0</v>
      </c>
      <c r="M12" s="537"/>
      <c r="N12" s="538"/>
      <c r="O12" s="542">
        <v>0.1</v>
      </c>
      <c r="P12" s="540"/>
      <c r="Q12" s="543"/>
      <c r="R12" s="544">
        <v>0</v>
      </c>
      <c r="S12" s="540"/>
      <c r="T12" s="543"/>
      <c r="U12" s="544">
        <v>0</v>
      </c>
      <c r="V12" s="540"/>
      <c r="W12" s="543"/>
      <c r="X12" s="544">
        <v>0</v>
      </c>
    </row>
    <row r="13" spans="2:24" ht="15.75" thickBot="1">
      <c r="B13" s="600"/>
      <c r="C13" s="600"/>
      <c r="D13" s="553"/>
      <c r="E13" s="554"/>
      <c r="F13" s="555"/>
      <c r="G13" s="554"/>
      <c r="H13" s="556"/>
      <c r="I13" s="555"/>
      <c r="J13" s="553"/>
      <c r="K13" s="556"/>
      <c r="L13" s="555"/>
      <c r="M13" s="554"/>
      <c r="N13" s="556"/>
      <c r="O13" s="555"/>
      <c r="P13" s="557"/>
      <c r="Q13" s="558"/>
      <c r="R13" s="559"/>
      <c r="S13" s="540"/>
      <c r="T13" s="543"/>
      <c r="U13" s="544"/>
      <c r="V13" s="540"/>
      <c r="W13" s="543"/>
      <c r="X13" s="544"/>
    </row>
    <row r="14" spans="2:24" ht="15.75" thickBot="1">
      <c r="B14" s="600"/>
      <c r="C14" s="600"/>
      <c r="D14" s="560"/>
      <c r="E14" s="561"/>
      <c r="F14" s="562"/>
      <c r="G14" s="561"/>
      <c r="H14" s="563"/>
      <c r="I14" s="562"/>
      <c r="J14" s="560"/>
      <c r="K14" s="563"/>
      <c r="L14" s="562"/>
      <c r="M14" s="561"/>
      <c r="N14" s="563"/>
      <c r="O14" s="562"/>
      <c r="P14" s="564"/>
      <c r="Q14" s="565"/>
      <c r="R14" s="566"/>
      <c r="S14" s="567"/>
      <c r="T14" s="565"/>
      <c r="U14" s="566"/>
      <c r="V14" s="564"/>
      <c r="W14" s="565"/>
      <c r="X14" s="566"/>
    </row>
    <row r="17" ht="15" customHeight="1"/>
    <row r="22" ht="15" customHeight="1"/>
    <row r="34" spans="10:10">
      <c r="J34" s="411"/>
    </row>
  </sheetData>
  <mergeCells count="24">
    <mergeCell ref="S2:U2"/>
    <mergeCell ref="V2:X2"/>
    <mergeCell ref="B3:C3"/>
    <mergeCell ref="D3:F3"/>
    <mergeCell ref="G3:I3"/>
    <mergeCell ref="J3:L3"/>
    <mergeCell ref="M3:O3"/>
    <mergeCell ref="P3:R3"/>
    <mergeCell ref="S3:U3"/>
    <mergeCell ref="V3:X3"/>
    <mergeCell ref="B2:C2"/>
    <mergeCell ref="D2:F2"/>
    <mergeCell ref="G2:I2"/>
    <mergeCell ref="J2:L2"/>
    <mergeCell ref="M2:O2"/>
    <mergeCell ref="P2:R2"/>
    <mergeCell ref="S4:U4"/>
    <mergeCell ref="V4:X4"/>
    <mergeCell ref="B4:C4"/>
    <mergeCell ref="D4:F4"/>
    <mergeCell ref="G4:I4"/>
    <mergeCell ref="J4:L4"/>
    <mergeCell ref="M4:O4"/>
    <mergeCell ref="P4:R4"/>
  </mergeCells>
  <pageMargins left="0.7" right="0.7" top="0.75" bottom="0.75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Blad8">
    <tabColor rgb="FF0000FF"/>
  </sheetPr>
  <dimension ref="B3:K169"/>
  <sheetViews>
    <sheetView topLeftCell="A148" zoomScale="85" zoomScaleNormal="85" workbookViewId="0">
      <selection activeCell="B13" sqref="B13"/>
    </sheetView>
  </sheetViews>
  <sheetFormatPr defaultRowHeight="15" outlineLevelCol="1"/>
  <cols>
    <col min="1" max="1" width="7.140625" customWidth="1"/>
    <col min="2" max="2" width="71.7109375" customWidth="1"/>
    <col min="3" max="3" width="33.85546875" bestFit="1" customWidth="1" outlineLevel="1"/>
    <col min="4" max="4" width="31.85546875" bestFit="1" customWidth="1" outlineLevel="1"/>
    <col min="5" max="5" width="22" customWidth="1" outlineLevel="1"/>
    <col min="6" max="6" width="14.140625" customWidth="1" outlineLevel="1"/>
    <col min="7" max="7" width="4.28515625" customWidth="1"/>
    <col min="8" max="8" width="29.42578125" customWidth="1"/>
    <col min="9" max="9" width="26.140625" customWidth="1"/>
    <col min="10" max="10" width="30.140625" customWidth="1"/>
    <col min="11" max="11" width="18.28515625" customWidth="1"/>
    <col min="12" max="12" width="10.85546875" customWidth="1"/>
  </cols>
  <sheetData>
    <row r="3" spans="2:11" ht="18">
      <c r="B3" s="66" t="s">
        <v>437</v>
      </c>
    </row>
    <row r="5" spans="2:11" ht="26.25">
      <c r="B5" s="73" t="s">
        <v>202</v>
      </c>
      <c r="C5" s="73" t="s">
        <v>436</v>
      </c>
      <c r="D5" s="73" t="s">
        <v>208</v>
      </c>
      <c r="E5" s="73"/>
      <c r="F5" s="73"/>
      <c r="H5" s="90" t="s">
        <v>406</v>
      </c>
      <c r="I5" s="237" t="s">
        <v>3081</v>
      </c>
      <c r="J5" s="73"/>
      <c r="K5" s="90"/>
    </row>
    <row r="6" spans="2:11">
      <c r="B6" s="191" t="str">
        <f t="shared" ref="B6:B24" si="0">C6&amp;D6&amp;E6&amp;F6</f>
        <v>ZM Bandbreedte1</v>
      </c>
      <c r="C6" s="152" t="s">
        <v>301</v>
      </c>
      <c r="D6" s="152">
        <v>1</v>
      </c>
      <c r="E6" s="73"/>
      <c r="F6" s="73"/>
      <c r="H6" s="192">
        <v>1</v>
      </c>
      <c r="I6" s="249" t="b">
        <v>1</v>
      </c>
      <c r="J6" s="73" t="s">
        <v>3082</v>
      </c>
      <c r="K6" s="90"/>
    </row>
    <row r="7" spans="2:11">
      <c r="B7" s="191" t="str">
        <f t="shared" si="0"/>
        <v>ZM Bandbreedte2</v>
      </c>
      <c r="C7" s="152" t="s">
        <v>301</v>
      </c>
      <c r="D7" s="152">
        <v>2</v>
      </c>
      <c r="E7" s="73"/>
      <c r="F7" s="73"/>
      <c r="H7" s="192">
        <v>2</v>
      </c>
      <c r="I7" s="249" t="b">
        <v>1</v>
      </c>
      <c r="J7" s="73" t="s">
        <v>3082</v>
      </c>
      <c r="K7" s="90"/>
    </row>
    <row r="8" spans="2:11">
      <c r="B8" s="191" t="str">
        <f t="shared" si="0"/>
        <v>ZM Bandbreedte3</v>
      </c>
      <c r="C8" s="152" t="s">
        <v>301</v>
      </c>
      <c r="D8" s="152">
        <v>3</v>
      </c>
      <c r="E8" s="73"/>
      <c r="F8" s="73"/>
      <c r="H8" s="192">
        <v>3</v>
      </c>
      <c r="I8" s="249" t="b">
        <v>0</v>
      </c>
      <c r="J8" s="73"/>
      <c r="K8" s="90"/>
    </row>
    <row r="9" spans="2:11">
      <c r="B9" s="191" t="str">
        <f t="shared" si="0"/>
        <v>ZM Bandbreedte4</v>
      </c>
      <c r="C9" s="152" t="s">
        <v>301</v>
      </c>
      <c r="D9" s="152">
        <v>4</v>
      </c>
      <c r="E9" s="73"/>
      <c r="F9" s="73"/>
      <c r="H9" s="192">
        <v>4</v>
      </c>
      <c r="I9" s="249" t="b">
        <v>0</v>
      </c>
      <c r="J9" s="73"/>
      <c r="K9" s="90"/>
    </row>
    <row r="10" spans="2:11">
      <c r="B10" s="191" t="str">
        <f t="shared" si="0"/>
        <v>ZM Bandbreedte5</v>
      </c>
      <c r="C10" s="152" t="s">
        <v>301</v>
      </c>
      <c r="D10" s="152">
        <v>5</v>
      </c>
      <c r="E10" s="73"/>
      <c r="F10" s="73"/>
      <c r="H10" s="192">
        <v>5</v>
      </c>
      <c r="I10" s="249" t="b">
        <v>0</v>
      </c>
      <c r="J10" s="73"/>
      <c r="K10" s="90"/>
    </row>
    <row r="11" spans="2:11">
      <c r="B11" s="191" t="str">
        <f t="shared" si="0"/>
        <v>ZM Bandbreedte6</v>
      </c>
      <c r="C11" s="152" t="s">
        <v>301</v>
      </c>
      <c r="D11" s="152">
        <v>6</v>
      </c>
      <c r="E11" s="73"/>
      <c r="F11" s="73"/>
      <c r="H11" s="192">
        <v>6</v>
      </c>
      <c r="I11" s="249" t="b">
        <v>0</v>
      </c>
      <c r="J11" s="73"/>
      <c r="K11" s="90"/>
    </row>
    <row r="12" spans="2:11">
      <c r="B12" s="191" t="str">
        <f t="shared" si="0"/>
        <v>ZM Bandbreedte8</v>
      </c>
      <c r="C12" s="152" t="s">
        <v>301</v>
      </c>
      <c r="D12" s="152">
        <v>8</v>
      </c>
      <c r="E12" s="73"/>
      <c r="F12" s="73"/>
      <c r="H12" s="192">
        <v>8</v>
      </c>
      <c r="I12" s="249" t="b">
        <v>0</v>
      </c>
      <c r="J12" s="73"/>
      <c r="K12" s="90"/>
    </row>
    <row r="13" spans="2:11">
      <c r="B13" s="191" t="str">
        <f t="shared" si="0"/>
        <v>ZM Bandbreedte10</v>
      </c>
      <c r="C13" s="152" t="s">
        <v>301</v>
      </c>
      <c r="D13" s="152">
        <v>10</v>
      </c>
      <c r="E13" s="73"/>
      <c r="F13" s="73"/>
      <c r="H13" s="192">
        <v>10</v>
      </c>
      <c r="I13" s="249" t="b">
        <v>0</v>
      </c>
      <c r="J13" s="73"/>
      <c r="K13" s="90"/>
    </row>
    <row r="14" spans="2:11">
      <c r="B14" s="191" t="str">
        <f t="shared" si="0"/>
        <v>ZM Bandbreedte15</v>
      </c>
      <c r="C14" s="152" t="s">
        <v>301</v>
      </c>
      <c r="D14" s="152">
        <v>15</v>
      </c>
      <c r="E14" s="73"/>
      <c r="F14" s="73"/>
      <c r="H14" s="192">
        <v>15</v>
      </c>
      <c r="I14" s="249" t="b">
        <v>0</v>
      </c>
      <c r="J14" s="73"/>
      <c r="K14" s="90"/>
    </row>
    <row r="15" spans="2:11">
      <c r="B15" s="191" t="str">
        <f t="shared" si="0"/>
        <v>ZM Bandbreedte20</v>
      </c>
      <c r="C15" s="152" t="s">
        <v>301</v>
      </c>
      <c r="D15" s="152">
        <v>20</v>
      </c>
      <c r="E15" s="73"/>
      <c r="F15" s="73"/>
      <c r="H15" s="192">
        <v>20</v>
      </c>
      <c r="I15" s="249" t="b">
        <v>0</v>
      </c>
      <c r="J15" s="73"/>
      <c r="K15" s="90"/>
    </row>
    <row r="16" spans="2:11">
      <c r="B16" s="191" t="str">
        <f t="shared" si="0"/>
        <v>ZM Bandbreedte30</v>
      </c>
      <c r="C16" s="152" t="s">
        <v>301</v>
      </c>
      <c r="D16" s="152">
        <v>30</v>
      </c>
      <c r="E16" s="73"/>
      <c r="F16" s="73"/>
      <c r="H16" s="192">
        <v>30</v>
      </c>
      <c r="I16" s="249" t="b">
        <v>0</v>
      </c>
      <c r="J16" s="73"/>
      <c r="K16" s="90"/>
    </row>
    <row r="17" spans="2:11">
      <c r="B17" s="191" t="str">
        <f t="shared" si="0"/>
        <v>ZM Bandbreedte50</v>
      </c>
      <c r="C17" s="152" t="s">
        <v>301</v>
      </c>
      <c r="D17" s="152">
        <v>50</v>
      </c>
      <c r="E17" s="73"/>
      <c r="F17" s="73"/>
      <c r="H17" s="192">
        <v>50</v>
      </c>
      <c r="I17" s="249" t="b">
        <v>0</v>
      </c>
      <c r="J17" s="73"/>
      <c r="K17" s="90"/>
    </row>
    <row r="18" spans="2:11">
      <c r="B18" s="191" t="str">
        <f t="shared" si="0"/>
        <v>ZM Bandbreedte80</v>
      </c>
      <c r="C18" s="152" t="s">
        <v>301</v>
      </c>
      <c r="D18" s="152">
        <v>80</v>
      </c>
      <c r="E18" s="73"/>
      <c r="F18" s="73"/>
      <c r="H18" s="192">
        <v>80</v>
      </c>
      <c r="I18" s="249" t="b">
        <v>0</v>
      </c>
      <c r="J18" s="73"/>
      <c r="K18" s="90"/>
    </row>
    <row r="19" spans="2:11">
      <c r="B19" s="191" t="str">
        <f t="shared" si="0"/>
        <v>ZM Bandbreedte100</v>
      </c>
      <c r="C19" s="152" t="s">
        <v>301</v>
      </c>
      <c r="D19" s="152">
        <v>100</v>
      </c>
      <c r="E19" s="73"/>
      <c r="F19" s="73"/>
      <c r="H19" s="192">
        <v>100</v>
      </c>
      <c r="I19" s="249" t="b">
        <v>0</v>
      </c>
      <c r="J19" s="73"/>
      <c r="K19" s="90"/>
    </row>
    <row r="20" spans="2:11">
      <c r="B20" s="191" t="str">
        <f t="shared" si="0"/>
        <v>ZM Bandbreedte200</v>
      </c>
      <c r="C20" s="152" t="s">
        <v>301</v>
      </c>
      <c r="D20" s="152">
        <v>200</v>
      </c>
      <c r="E20" s="73"/>
      <c r="F20" s="73"/>
      <c r="H20" s="192">
        <v>200</v>
      </c>
      <c r="I20" s="249" t="b">
        <v>0</v>
      </c>
      <c r="J20" s="73"/>
      <c r="K20" s="90"/>
    </row>
    <row r="21" spans="2:11">
      <c r="B21" s="191" t="str">
        <f t="shared" si="0"/>
        <v>ZM Bandbreedte300</v>
      </c>
      <c r="C21" s="152" t="s">
        <v>301</v>
      </c>
      <c r="D21" s="152">
        <v>300</v>
      </c>
      <c r="E21" s="73"/>
      <c r="F21" s="73"/>
      <c r="H21" s="192">
        <v>300</v>
      </c>
      <c r="I21" s="249" t="b">
        <v>0</v>
      </c>
      <c r="J21" s="73"/>
      <c r="K21" s="90"/>
    </row>
    <row r="22" spans="2:11">
      <c r="B22" s="191" t="str">
        <f t="shared" si="0"/>
        <v>ZM Bandbreedte500</v>
      </c>
      <c r="C22" s="152" t="s">
        <v>301</v>
      </c>
      <c r="D22" s="152">
        <v>500</v>
      </c>
      <c r="E22" s="73"/>
      <c r="F22" s="73"/>
      <c r="H22" s="192">
        <v>500</v>
      </c>
      <c r="I22" s="249" t="b">
        <v>0</v>
      </c>
      <c r="J22" s="73"/>
      <c r="K22" s="90"/>
    </row>
    <row r="23" spans="2:11">
      <c r="B23" s="191" t="str">
        <f t="shared" si="0"/>
        <v>ZM Bandbreedte800</v>
      </c>
      <c r="C23" s="152" t="s">
        <v>301</v>
      </c>
      <c r="D23" s="152">
        <v>800</v>
      </c>
      <c r="E23" s="73"/>
      <c r="F23" s="73"/>
      <c r="H23" s="192">
        <v>800</v>
      </c>
      <c r="I23" s="249" t="b">
        <v>0</v>
      </c>
      <c r="J23" s="73"/>
      <c r="K23" s="90"/>
    </row>
    <row r="24" spans="2:11">
      <c r="B24" s="191" t="str">
        <f t="shared" si="0"/>
        <v>ZM Bandbreedte1000</v>
      </c>
      <c r="C24" s="152" t="s">
        <v>301</v>
      </c>
      <c r="D24" s="152">
        <v>1000</v>
      </c>
      <c r="E24" s="73"/>
      <c r="F24" s="73"/>
      <c r="H24" s="192">
        <v>1000</v>
      </c>
      <c r="I24" s="249" t="b">
        <v>0</v>
      </c>
      <c r="J24" s="73"/>
      <c r="K24" s="90"/>
    </row>
    <row r="25" spans="2:11">
      <c r="B25" s="73"/>
      <c r="C25" s="73"/>
      <c r="D25" s="73"/>
      <c r="E25" s="73"/>
      <c r="F25" s="73"/>
      <c r="H25" s="73"/>
      <c r="I25" s="90"/>
      <c r="J25" s="73"/>
      <c r="K25" s="90"/>
    </row>
    <row r="26" spans="2:11" s="130" customFormat="1">
      <c r="B26" s="129" t="s">
        <v>202</v>
      </c>
      <c r="C26" s="73" t="s">
        <v>436</v>
      </c>
      <c r="D26" s="101" t="s">
        <v>241</v>
      </c>
      <c r="H26" s="73" t="s">
        <v>240</v>
      </c>
      <c r="I26" s="73"/>
      <c r="J26" s="101"/>
      <c r="K26" s="131"/>
    </row>
    <row r="27" spans="2:11">
      <c r="B27" s="191" t="str">
        <f t="shared" ref="B27:B29" si="1">C27&amp;D27&amp;E27&amp;F27</f>
        <v>ZM BereikCity</v>
      </c>
      <c r="C27" s="75" t="s">
        <v>241</v>
      </c>
      <c r="D27" s="75" t="s">
        <v>262</v>
      </c>
      <c r="H27" s="193" t="s">
        <v>282</v>
      </c>
      <c r="I27" s="75"/>
      <c r="J27" s="75"/>
      <c r="K27" s="75"/>
    </row>
    <row r="28" spans="2:11">
      <c r="B28" s="191" t="str">
        <f t="shared" si="1"/>
        <v>ZM BereikRegionaal</v>
      </c>
      <c r="C28" s="75" t="s">
        <v>241</v>
      </c>
      <c r="D28" s="75" t="s">
        <v>265</v>
      </c>
      <c r="H28" s="193" t="s">
        <v>282</v>
      </c>
      <c r="I28" s="75"/>
      <c r="J28" s="75"/>
      <c r="K28" s="75"/>
    </row>
    <row r="29" spans="2:11">
      <c r="B29" s="191" t="str">
        <f t="shared" si="1"/>
        <v>ZM BereikNationaal</v>
      </c>
      <c r="C29" s="75" t="s">
        <v>241</v>
      </c>
      <c r="D29" s="75" t="s">
        <v>266</v>
      </c>
      <c r="H29" s="193" t="s">
        <v>282</v>
      </c>
      <c r="I29" s="75"/>
      <c r="J29" s="75"/>
    </row>
    <row r="30" spans="2:11">
      <c r="B30" s="102"/>
      <c r="C30" s="75"/>
      <c r="D30" s="75"/>
      <c r="H30" s="102"/>
      <c r="I30" s="75"/>
      <c r="J30" s="75"/>
    </row>
    <row r="31" spans="2:11">
      <c r="B31" s="129" t="s">
        <v>202</v>
      </c>
      <c r="C31" s="73" t="s">
        <v>436</v>
      </c>
      <c r="D31" s="101" t="s">
        <v>241</v>
      </c>
      <c r="H31" s="182" t="s">
        <v>424</v>
      </c>
      <c r="I31" s="75"/>
      <c r="J31" s="75"/>
    </row>
    <row r="32" spans="2:11">
      <c r="B32" s="191" t="str">
        <f t="shared" ref="B32:B34" si="2">C32&amp;D32&amp;E32&amp;F32</f>
        <v>WO BackboneCity</v>
      </c>
      <c r="C32" s="75" t="s">
        <v>425</v>
      </c>
      <c r="D32" s="75" t="s">
        <v>262</v>
      </c>
      <c r="H32" s="190" t="s">
        <v>426</v>
      </c>
      <c r="I32" s="75"/>
      <c r="J32" s="75"/>
    </row>
    <row r="33" spans="2:11">
      <c r="B33" s="191" t="str">
        <f t="shared" si="2"/>
        <v>WO BackboneRegionaal</v>
      </c>
      <c r="C33" s="75" t="s">
        <v>425</v>
      </c>
      <c r="D33" s="75" t="s">
        <v>265</v>
      </c>
      <c r="H33" s="190" t="s">
        <v>427</v>
      </c>
      <c r="I33" s="75" t="s">
        <v>2156</v>
      </c>
      <c r="J33" s="75"/>
    </row>
    <row r="34" spans="2:11">
      <c r="B34" s="191" t="str">
        <f t="shared" si="2"/>
        <v>WO BackboneNationaal</v>
      </c>
      <c r="C34" s="75" t="s">
        <v>425</v>
      </c>
      <c r="D34" s="75" t="s">
        <v>266</v>
      </c>
      <c r="H34" s="190" t="s">
        <v>427</v>
      </c>
    </row>
    <row r="35" spans="2:11">
      <c r="C35" s="75"/>
    </row>
    <row r="36" spans="2:11" ht="18">
      <c r="B36" s="79" t="s">
        <v>204</v>
      </c>
      <c r="C36" s="81"/>
      <c r="D36" s="82"/>
      <c r="E36" s="82"/>
    </row>
    <row r="38" spans="2:11">
      <c r="B38" s="73" t="s">
        <v>202</v>
      </c>
      <c r="C38" s="73" t="s">
        <v>436</v>
      </c>
      <c r="D38" s="73" t="s">
        <v>212</v>
      </c>
      <c r="H38" s="95" t="s">
        <v>213</v>
      </c>
      <c r="I38" s="71"/>
    </row>
    <row r="39" spans="2:11">
      <c r="B39" s="191" t="str">
        <f t="shared" ref="B39:B40" si="3">C39&amp;D39&amp;E39&amp;F39</f>
        <v>ZM VPN kwaliteitEntry</v>
      </c>
      <c r="C39" s="77" t="s">
        <v>212</v>
      </c>
      <c r="D39" s="77" t="s">
        <v>45</v>
      </c>
      <c r="E39" s="77"/>
      <c r="H39" s="194" t="s">
        <v>283</v>
      </c>
      <c r="I39" s="77"/>
    </row>
    <row r="40" spans="2:11">
      <c r="B40" s="191" t="str">
        <f t="shared" si="3"/>
        <v>ZM VPN kwaliteitPremium</v>
      </c>
      <c r="C40" s="77" t="s">
        <v>212</v>
      </c>
      <c r="D40" s="77" t="s">
        <v>267</v>
      </c>
      <c r="E40" s="77"/>
      <c r="H40" s="194" t="s">
        <v>267</v>
      </c>
      <c r="I40" s="77"/>
    </row>
    <row r="41" spans="2:11">
      <c r="B41" s="102"/>
      <c r="C41" s="75"/>
      <c r="D41" s="75"/>
      <c r="E41" s="75"/>
      <c r="I41" s="76"/>
    </row>
    <row r="42" spans="2:11">
      <c r="C42" s="77"/>
      <c r="I42" s="75"/>
    </row>
    <row r="43" spans="2:11">
      <c r="B43" s="73" t="s">
        <v>202</v>
      </c>
      <c r="C43" s="73" t="s">
        <v>436</v>
      </c>
      <c r="D43" s="73" t="s">
        <v>439</v>
      </c>
      <c r="H43" s="95" t="s">
        <v>216</v>
      </c>
      <c r="I43" s="75"/>
    </row>
    <row r="44" spans="2:11">
      <c r="B44" s="191" t="str">
        <f t="shared" ref="B44" si="4">C44&amp;D44&amp;E44&amp;F44</f>
        <v>PVC type2e PVC</v>
      </c>
      <c r="C44" s="75" t="s">
        <v>439</v>
      </c>
      <c r="D44" s="75" t="s">
        <v>440</v>
      </c>
      <c r="E44" s="75"/>
      <c r="H44" s="194" t="s">
        <v>287</v>
      </c>
      <c r="I44" s="76"/>
    </row>
    <row r="46" spans="2:11" ht="18">
      <c r="B46" s="79" t="s">
        <v>205</v>
      </c>
      <c r="C46" s="71"/>
      <c r="D46" s="63"/>
      <c r="E46" s="63"/>
    </row>
    <row r="47" spans="2:11">
      <c r="B47" s="80"/>
      <c r="C47" s="71"/>
      <c r="D47" s="71"/>
      <c r="E47" s="71"/>
    </row>
    <row r="48" spans="2:11">
      <c r="B48" s="73" t="s">
        <v>202</v>
      </c>
      <c r="C48" s="73" t="s">
        <v>436</v>
      </c>
      <c r="D48" s="73" t="s">
        <v>211</v>
      </c>
      <c r="H48" s="101" t="s">
        <v>298</v>
      </c>
      <c r="I48" s="101"/>
      <c r="J48" s="101"/>
      <c r="K48" s="90"/>
    </row>
    <row r="49" spans="2:11">
      <c r="B49" s="191" t="str">
        <f t="shared" ref="B49:B52" si="5">C49&amp;D49&amp;E49&amp;F49</f>
        <v>ZM VPN Service LevelEntry</v>
      </c>
      <c r="C49" s="77" t="s">
        <v>211</v>
      </c>
      <c r="D49" s="77" t="s">
        <v>45</v>
      </c>
      <c r="E49" s="75"/>
      <c r="H49" s="195" t="s">
        <v>297</v>
      </c>
      <c r="I49" s="76"/>
      <c r="J49" s="76"/>
      <c r="K49" s="76"/>
    </row>
    <row r="50" spans="2:11">
      <c r="B50" s="191" t="str">
        <f t="shared" si="5"/>
        <v>ZM VPN Service LevelPremium</v>
      </c>
      <c r="C50" s="77" t="s">
        <v>211</v>
      </c>
      <c r="D50" s="77" t="s">
        <v>267</v>
      </c>
      <c r="H50" s="195" t="s">
        <v>297</v>
      </c>
      <c r="I50" s="76"/>
      <c r="J50" s="76"/>
    </row>
    <row r="51" spans="2:11">
      <c r="B51" s="102" t="str">
        <f t="shared" si="5"/>
        <v/>
      </c>
      <c r="C51" s="75"/>
      <c r="D51" s="75"/>
      <c r="I51" s="76"/>
      <c r="J51" s="76"/>
    </row>
    <row r="52" spans="2:11">
      <c r="B52" s="102" t="str">
        <f t="shared" si="5"/>
        <v/>
      </c>
      <c r="C52" s="75"/>
      <c r="D52" s="75"/>
      <c r="I52" s="76"/>
      <c r="J52" s="76"/>
    </row>
    <row r="53" spans="2:11">
      <c r="B53" s="74"/>
      <c r="C53" s="75"/>
      <c r="D53" s="75"/>
      <c r="I53" s="76"/>
      <c r="J53" s="76"/>
    </row>
    <row r="54" spans="2:11">
      <c r="H54" s="102"/>
      <c r="I54" s="76"/>
      <c r="J54" s="76"/>
      <c r="K54" s="76"/>
    </row>
    <row r="55" spans="2:11" ht="18">
      <c r="B55" s="79" t="s">
        <v>217</v>
      </c>
    </row>
    <row r="56" spans="2:11" ht="18">
      <c r="B56" s="79"/>
    </row>
    <row r="57" spans="2:11">
      <c r="B57" s="73" t="s">
        <v>202</v>
      </c>
      <c r="C57" s="73" t="s">
        <v>436</v>
      </c>
      <c r="D57" s="73" t="s">
        <v>218</v>
      </c>
      <c r="H57" s="101" t="s">
        <v>219</v>
      </c>
      <c r="J57" s="73"/>
    </row>
    <row r="58" spans="2:11">
      <c r="B58" s="196" t="str">
        <f t="shared" ref="B58:B59" si="6">C58&amp;D58&amp;E58&amp;F58</f>
        <v>ZM Contractduur1</v>
      </c>
      <c r="C58" s="75" t="s">
        <v>180</v>
      </c>
      <c r="D58" s="75">
        <v>1</v>
      </c>
      <c r="E58" s="75"/>
      <c r="H58" s="194">
        <v>1</v>
      </c>
      <c r="I58" s="76"/>
      <c r="J58" s="76"/>
    </row>
    <row r="59" spans="2:11">
      <c r="B59" s="196" t="str">
        <f t="shared" si="6"/>
        <v>ZM Contractduur2</v>
      </c>
      <c r="C59" s="75" t="s">
        <v>180</v>
      </c>
      <c r="D59" s="75">
        <v>2</v>
      </c>
      <c r="E59" s="75"/>
      <c r="H59" s="194">
        <v>1</v>
      </c>
      <c r="I59" s="76"/>
      <c r="J59" s="76"/>
    </row>
    <row r="60" spans="2:11">
      <c r="B60" s="196" t="str">
        <f t="shared" ref="B60:B62" si="7">C60&amp;D60&amp;E60&amp;F60</f>
        <v>ZM Contractduur3</v>
      </c>
      <c r="C60" s="75" t="s">
        <v>180</v>
      </c>
      <c r="D60" s="75">
        <v>3</v>
      </c>
      <c r="E60" s="75"/>
      <c r="H60" s="194">
        <v>1</v>
      </c>
      <c r="I60" s="76"/>
      <c r="J60" s="76"/>
    </row>
    <row r="61" spans="2:11">
      <c r="B61" s="196" t="str">
        <f t="shared" si="7"/>
        <v>ZM Contractduur4</v>
      </c>
      <c r="C61" s="75" t="s">
        <v>180</v>
      </c>
      <c r="D61" s="75">
        <v>4</v>
      </c>
      <c r="E61" s="75"/>
      <c r="H61" s="194">
        <v>1</v>
      </c>
      <c r="I61" s="76"/>
      <c r="J61" s="76"/>
    </row>
    <row r="62" spans="2:11">
      <c r="B62" s="196" t="str">
        <f t="shared" si="7"/>
        <v>ZM Contractduur5</v>
      </c>
      <c r="C62" s="75" t="s">
        <v>180</v>
      </c>
      <c r="D62" s="75">
        <v>5</v>
      </c>
      <c r="E62" s="75"/>
      <c r="H62" s="194">
        <v>1</v>
      </c>
      <c r="I62" s="76"/>
      <c r="J62" s="76"/>
    </row>
    <row r="65" spans="2:10">
      <c r="B65" s="74"/>
      <c r="C65" s="75"/>
      <c r="H65" s="74"/>
      <c r="I65" s="75"/>
    </row>
    <row r="66" spans="2:10">
      <c r="B66" s="74"/>
      <c r="C66" s="75"/>
      <c r="H66" s="74"/>
      <c r="I66" s="75"/>
    </row>
    <row r="67" spans="2:10" ht="18">
      <c r="B67" s="79" t="s">
        <v>347</v>
      </c>
    </row>
    <row r="68" spans="2:10" ht="18">
      <c r="B68" s="79"/>
    </row>
    <row r="69" spans="2:10">
      <c r="B69" s="73" t="s">
        <v>202</v>
      </c>
      <c r="C69" s="73" t="s">
        <v>350</v>
      </c>
      <c r="D69" s="73" t="s">
        <v>348</v>
      </c>
      <c r="H69" s="73" t="s">
        <v>349</v>
      </c>
      <c r="I69" s="73"/>
      <c r="J69" s="73"/>
    </row>
    <row r="70" spans="2:10">
      <c r="B70" s="196" t="str">
        <f t="shared" ref="B70:B84" si="8">C70&amp;D70&amp;E70&amp;F70</f>
        <v>Standard Access koper 3mbHoog</v>
      </c>
      <c r="C70" s="75" t="s">
        <v>268</v>
      </c>
      <c r="D70" s="75" t="s">
        <v>274</v>
      </c>
      <c r="H70" s="194" t="s">
        <v>361</v>
      </c>
      <c r="I70" s="75"/>
    </row>
    <row r="71" spans="2:10">
      <c r="B71" s="196" t="str">
        <f t="shared" si="8"/>
        <v>Standard Access koper 5mbHoog</v>
      </c>
      <c r="C71" s="75" t="s">
        <v>276</v>
      </c>
      <c r="D71" s="75" t="s">
        <v>274</v>
      </c>
      <c r="H71" s="194" t="s">
        <v>361</v>
      </c>
      <c r="I71" s="75"/>
    </row>
    <row r="72" spans="2:10">
      <c r="B72" s="196" t="str">
        <f t="shared" si="8"/>
        <v>Standard Access koper 10mbHoog</v>
      </c>
      <c r="C72" s="75" t="s">
        <v>277</v>
      </c>
      <c r="D72" s="75" t="s">
        <v>274</v>
      </c>
      <c r="H72" s="194" t="s">
        <v>361</v>
      </c>
      <c r="I72" s="75"/>
    </row>
    <row r="73" spans="2:10">
      <c r="B73" s="196" t="str">
        <f t="shared" si="8"/>
        <v>Standard Access koper 15mbHoog</v>
      </c>
      <c r="C73" s="75" t="s">
        <v>278</v>
      </c>
      <c r="D73" s="75" t="s">
        <v>274</v>
      </c>
      <c r="H73" s="194" t="s">
        <v>361</v>
      </c>
      <c r="I73" s="75"/>
    </row>
    <row r="74" spans="2:10">
      <c r="B74" s="196" t="str">
        <f t="shared" si="8"/>
        <v>Standard Access koper 20mbHoog</v>
      </c>
      <c r="C74" s="75" t="s">
        <v>279</v>
      </c>
      <c r="D74" s="75" t="s">
        <v>274</v>
      </c>
      <c r="H74" s="194" t="s">
        <v>361</v>
      </c>
      <c r="I74" s="75"/>
    </row>
    <row r="75" spans="2:10">
      <c r="B75" s="196" t="str">
        <f t="shared" si="8"/>
        <v>Standard Access koper 3mbMiddel</v>
      </c>
      <c r="C75" s="75" t="s">
        <v>268</v>
      </c>
      <c r="D75" s="75" t="s">
        <v>280</v>
      </c>
      <c r="H75" s="194" t="s">
        <v>361</v>
      </c>
      <c r="I75" s="75"/>
    </row>
    <row r="76" spans="2:10">
      <c r="B76" s="196" t="str">
        <f t="shared" si="8"/>
        <v>Standard Access koper 5mbMiddel</v>
      </c>
      <c r="C76" s="75" t="s">
        <v>276</v>
      </c>
      <c r="D76" s="75" t="s">
        <v>280</v>
      </c>
      <c r="H76" s="194" t="s">
        <v>361</v>
      </c>
      <c r="I76" s="75"/>
    </row>
    <row r="77" spans="2:10">
      <c r="B77" s="196" t="str">
        <f t="shared" si="8"/>
        <v>Standard Access koper 10mbMiddel</v>
      </c>
      <c r="C77" s="75" t="s">
        <v>277</v>
      </c>
      <c r="D77" s="75" t="s">
        <v>280</v>
      </c>
      <c r="H77" s="194" t="s">
        <v>361</v>
      </c>
      <c r="I77" s="75"/>
    </row>
    <row r="78" spans="2:10">
      <c r="B78" s="196" t="str">
        <f t="shared" si="8"/>
        <v>Standard Access koper 15mbMiddel</v>
      </c>
      <c r="C78" s="75" t="s">
        <v>278</v>
      </c>
      <c r="D78" s="75" t="s">
        <v>280</v>
      </c>
      <c r="H78" s="194" t="s">
        <v>361</v>
      </c>
      <c r="I78" s="75"/>
    </row>
    <row r="79" spans="2:10">
      <c r="B79" s="196" t="str">
        <f t="shared" si="8"/>
        <v>Standard Access koper 20mbMiddel</v>
      </c>
      <c r="C79" s="75" t="s">
        <v>279</v>
      </c>
      <c r="D79" s="75" t="s">
        <v>280</v>
      </c>
      <c r="H79" s="194" t="s">
        <v>361</v>
      </c>
      <c r="I79" s="75"/>
    </row>
    <row r="80" spans="2:10">
      <c r="B80" s="196" t="str">
        <f t="shared" si="8"/>
        <v>Standard Access koper 3mbLaag</v>
      </c>
      <c r="C80" s="75" t="s">
        <v>268</v>
      </c>
      <c r="D80" s="75" t="s">
        <v>275</v>
      </c>
      <c r="H80" s="194" t="s">
        <v>361</v>
      </c>
      <c r="I80" s="75"/>
    </row>
    <row r="81" spans="2:10">
      <c r="B81" s="196" t="str">
        <f t="shared" si="8"/>
        <v>Standard Access koper 5mbLaag</v>
      </c>
      <c r="C81" s="75" t="s">
        <v>276</v>
      </c>
      <c r="D81" s="75" t="s">
        <v>275</v>
      </c>
      <c r="H81" s="194" t="s">
        <v>361</v>
      </c>
      <c r="I81" s="75"/>
    </row>
    <row r="82" spans="2:10">
      <c r="B82" s="196" t="str">
        <f t="shared" si="8"/>
        <v>Standard Access koper 10mbLaag</v>
      </c>
      <c r="C82" s="75" t="s">
        <v>277</v>
      </c>
      <c r="D82" s="75" t="s">
        <v>275</v>
      </c>
      <c r="H82" s="194" t="s">
        <v>361</v>
      </c>
      <c r="I82" s="75"/>
    </row>
    <row r="83" spans="2:10">
      <c r="B83" s="196" t="str">
        <f t="shared" si="8"/>
        <v>Standard Access koper 15mbLaag</v>
      </c>
      <c r="C83" s="75" t="s">
        <v>278</v>
      </c>
      <c r="D83" s="75" t="s">
        <v>275</v>
      </c>
      <c r="H83" s="194" t="s">
        <v>361</v>
      </c>
      <c r="I83" s="75"/>
    </row>
    <row r="84" spans="2:10">
      <c r="B84" s="196" t="str">
        <f t="shared" si="8"/>
        <v>Standard Access koper 20mbLaag</v>
      </c>
      <c r="C84" s="75" t="s">
        <v>279</v>
      </c>
      <c r="D84" s="75" t="s">
        <v>275</v>
      </c>
      <c r="H84" s="194" t="s">
        <v>361</v>
      </c>
      <c r="I84" s="75"/>
    </row>
    <row r="86" spans="2:10" ht="18">
      <c r="B86" s="79" t="s">
        <v>346</v>
      </c>
      <c r="C86" s="75"/>
    </row>
    <row r="88" spans="2:10">
      <c r="B88" s="74" t="str">
        <f t="shared" ref="B88" si="9">C88&amp;D88&amp;E88&amp;F88</f>
        <v>nvt</v>
      </c>
      <c r="C88" s="75" t="s">
        <v>194</v>
      </c>
      <c r="H88" s="197" t="s">
        <v>194</v>
      </c>
      <c r="I88" s="75"/>
    </row>
    <row r="90" spans="2:10" ht="18">
      <c r="B90" s="66" t="s">
        <v>352</v>
      </c>
    </row>
    <row r="92" spans="2:10">
      <c r="C92" s="75"/>
      <c r="D92" s="75"/>
    </row>
    <row r="93" spans="2:10">
      <c r="C93" s="75"/>
      <c r="D93" s="75"/>
    </row>
    <row r="94" spans="2:10">
      <c r="B94" s="73" t="s">
        <v>202</v>
      </c>
      <c r="C94" s="73" t="s">
        <v>436</v>
      </c>
      <c r="D94" s="73" t="s">
        <v>350</v>
      </c>
      <c r="H94" s="73" t="s">
        <v>351</v>
      </c>
      <c r="I94" s="73"/>
      <c r="J94" s="73"/>
    </row>
    <row r="95" spans="2:10">
      <c r="B95" s="191" t="str">
        <f t="shared" ref="B95:B99" si="10">C95&amp;D95&amp;E95&amp;F95</f>
        <v>ZM Network AccessStandard Access koper 3mb</v>
      </c>
      <c r="C95" s="75" t="s">
        <v>350</v>
      </c>
      <c r="D95" s="75" t="s">
        <v>268</v>
      </c>
      <c r="H95" s="190" t="s">
        <v>368</v>
      </c>
      <c r="I95" s="148"/>
      <c r="J95" s="148"/>
    </row>
    <row r="96" spans="2:10">
      <c r="B96" s="191" t="str">
        <f t="shared" si="10"/>
        <v>ZM Network AccessStandard Access koper 5mb</v>
      </c>
      <c r="C96" s="75" t="s">
        <v>350</v>
      </c>
      <c r="D96" s="75" t="s">
        <v>276</v>
      </c>
      <c r="H96" s="190" t="s">
        <v>369</v>
      </c>
      <c r="I96" s="148"/>
      <c r="J96" s="148"/>
    </row>
    <row r="97" spans="2:10">
      <c r="B97" s="191" t="str">
        <f t="shared" si="10"/>
        <v>ZM Network AccessStandard Access koper 10mb</v>
      </c>
      <c r="C97" s="75" t="s">
        <v>350</v>
      </c>
      <c r="D97" s="75" t="s">
        <v>277</v>
      </c>
      <c r="H97" s="190" t="s">
        <v>370</v>
      </c>
      <c r="I97" s="148"/>
      <c r="J97" s="148"/>
    </row>
    <row r="98" spans="2:10">
      <c r="B98" s="191" t="str">
        <f t="shared" si="10"/>
        <v>ZM Network AccessStandard Access koper 15mb</v>
      </c>
      <c r="C98" s="75" t="s">
        <v>350</v>
      </c>
      <c r="D98" s="75" t="s">
        <v>278</v>
      </c>
      <c r="H98" s="190" t="s">
        <v>371</v>
      </c>
      <c r="I98" s="148"/>
      <c r="J98" s="148"/>
    </row>
    <row r="99" spans="2:10">
      <c r="B99" s="191" t="str">
        <f t="shared" si="10"/>
        <v>ZM Network AccessStandard Access koper 20mb</v>
      </c>
      <c r="C99" s="75" t="s">
        <v>350</v>
      </c>
      <c r="D99" s="75" t="s">
        <v>279</v>
      </c>
      <c r="H99" s="190" t="s">
        <v>372</v>
      </c>
      <c r="I99" s="148"/>
      <c r="J99" s="148"/>
    </row>
    <row r="100" spans="2:10">
      <c r="C100" s="75"/>
      <c r="D100" s="75"/>
    </row>
    <row r="101" spans="2:10" ht="18">
      <c r="B101" s="66" t="s">
        <v>356</v>
      </c>
    </row>
    <row r="103" spans="2:10">
      <c r="B103" s="73" t="s">
        <v>202</v>
      </c>
      <c r="C103" s="73" t="s">
        <v>2175</v>
      </c>
      <c r="D103" s="73" t="s">
        <v>350</v>
      </c>
      <c r="H103" s="73" t="s">
        <v>357</v>
      </c>
      <c r="I103" s="73"/>
      <c r="J103" t="s">
        <v>2157</v>
      </c>
    </row>
    <row r="104" spans="2:10">
      <c r="B104" s="191" t="str">
        <f t="shared" ref="B104:B108" si="11">C104&amp;D104&amp;E104&amp;F104</f>
        <v>FactorWOStandard Access koper 3mb</v>
      </c>
      <c r="C104" s="75" t="s">
        <v>357</v>
      </c>
      <c r="D104" s="75" t="s">
        <v>268</v>
      </c>
      <c r="H104" s="190">
        <v>1</v>
      </c>
      <c r="J104" s="209" t="s">
        <v>2179</v>
      </c>
    </row>
    <row r="105" spans="2:10">
      <c r="B105" s="191" t="str">
        <f t="shared" si="11"/>
        <v>FactorWOStandard Access koper 5mb</v>
      </c>
      <c r="C105" s="75" t="s">
        <v>357</v>
      </c>
      <c r="D105" s="75" t="s">
        <v>276</v>
      </c>
      <c r="H105" s="190">
        <v>1</v>
      </c>
      <c r="J105" s="209" t="s">
        <v>2179</v>
      </c>
    </row>
    <row r="106" spans="2:10">
      <c r="B106" s="191" t="str">
        <f t="shared" si="11"/>
        <v>FactorWOStandard Access koper 10mb</v>
      </c>
      <c r="C106" s="75" t="s">
        <v>357</v>
      </c>
      <c r="D106" s="75" t="s">
        <v>277</v>
      </c>
      <c r="H106" s="190">
        <v>1</v>
      </c>
      <c r="J106" s="209" t="s">
        <v>2179</v>
      </c>
    </row>
    <row r="107" spans="2:10">
      <c r="B107" s="191" t="str">
        <f t="shared" si="11"/>
        <v>FactorWOStandard Access koper 15mb</v>
      </c>
      <c r="C107" s="75" t="s">
        <v>357</v>
      </c>
      <c r="D107" s="75" t="s">
        <v>278</v>
      </c>
      <c r="H107" s="190">
        <v>1</v>
      </c>
      <c r="J107" s="209" t="s">
        <v>2179</v>
      </c>
    </row>
    <row r="108" spans="2:10">
      <c r="B108" s="191" t="str">
        <f t="shared" si="11"/>
        <v>FactorWOStandard Access koper 20mb</v>
      </c>
      <c r="C108" s="75" t="s">
        <v>357</v>
      </c>
      <c r="D108" s="75" t="s">
        <v>279</v>
      </c>
      <c r="H108" s="190">
        <v>1</v>
      </c>
      <c r="J108" s="209" t="s">
        <v>2179</v>
      </c>
    </row>
    <row r="109" spans="2:10">
      <c r="B109" s="102"/>
      <c r="C109" s="75"/>
      <c r="D109" s="75"/>
      <c r="H109" s="102"/>
      <c r="I109" s="148"/>
      <c r="J109" s="148"/>
    </row>
    <row r="110" spans="2:10" ht="18">
      <c r="B110" s="66" t="s">
        <v>2177</v>
      </c>
      <c r="I110" s="148"/>
      <c r="J110" s="148"/>
    </row>
    <row r="111" spans="2:10">
      <c r="I111" s="148"/>
      <c r="J111" s="148"/>
    </row>
    <row r="112" spans="2:10">
      <c r="B112" s="73" t="s">
        <v>202</v>
      </c>
      <c r="C112" s="73" t="s">
        <v>2175</v>
      </c>
      <c r="D112" s="73" t="s">
        <v>350</v>
      </c>
      <c r="H112" s="73" t="s">
        <v>2176</v>
      </c>
      <c r="I112" s="148"/>
      <c r="J112" t="s">
        <v>2157</v>
      </c>
    </row>
    <row r="113" spans="2:10">
      <c r="B113" s="191" t="str">
        <f t="shared" ref="B113:B117" si="12">C113&amp;D113&amp;E113&amp;F113</f>
        <v>Aantal legsStandard Access koper 3mb</v>
      </c>
      <c r="C113" s="75" t="s">
        <v>2176</v>
      </c>
      <c r="D113" s="75" t="s">
        <v>268</v>
      </c>
      <c r="H113" s="190">
        <v>1</v>
      </c>
      <c r="I113" s="148"/>
      <c r="J113" s="209" t="s">
        <v>2180</v>
      </c>
    </row>
    <row r="114" spans="2:10">
      <c r="B114" s="191" t="str">
        <f t="shared" si="12"/>
        <v>Aantal legsStandard Access koper 5mb</v>
      </c>
      <c r="C114" s="75" t="s">
        <v>2176</v>
      </c>
      <c r="D114" s="75" t="s">
        <v>276</v>
      </c>
      <c r="H114" s="190">
        <v>1</v>
      </c>
      <c r="I114" s="148"/>
      <c r="J114" s="209" t="s">
        <v>2180</v>
      </c>
    </row>
    <row r="115" spans="2:10">
      <c r="B115" s="191" t="str">
        <f t="shared" si="12"/>
        <v>Aantal legsStandard Access koper 10mb</v>
      </c>
      <c r="C115" s="75" t="s">
        <v>2176</v>
      </c>
      <c r="D115" s="75" t="s">
        <v>277</v>
      </c>
      <c r="H115" s="190">
        <v>1</v>
      </c>
      <c r="I115" s="148"/>
      <c r="J115" s="209" t="s">
        <v>2180</v>
      </c>
    </row>
    <row r="116" spans="2:10">
      <c r="B116" s="191" t="str">
        <f t="shared" si="12"/>
        <v>Aantal legsStandard Access koper 15mb</v>
      </c>
      <c r="C116" s="75" t="s">
        <v>2176</v>
      </c>
      <c r="D116" s="75" t="s">
        <v>278</v>
      </c>
      <c r="H116" s="190">
        <v>1</v>
      </c>
      <c r="I116" s="148"/>
      <c r="J116" s="209" t="s">
        <v>2180</v>
      </c>
    </row>
    <row r="117" spans="2:10">
      <c r="B117" s="191" t="str">
        <f t="shared" si="12"/>
        <v>Aantal legsStandard Access koper 20mb</v>
      </c>
      <c r="C117" s="75" t="s">
        <v>2176</v>
      </c>
      <c r="D117" s="75" t="s">
        <v>279</v>
      </c>
      <c r="H117" s="190">
        <v>1</v>
      </c>
      <c r="I117" s="148"/>
      <c r="J117" s="209" t="s">
        <v>2180</v>
      </c>
    </row>
    <row r="118" spans="2:10">
      <c r="B118" s="102"/>
      <c r="C118" s="75"/>
      <c r="H118" s="102"/>
      <c r="I118" s="148"/>
      <c r="J118" s="148"/>
    </row>
    <row r="119" spans="2:10">
      <c r="B119" s="102"/>
      <c r="C119" s="75"/>
      <c r="D119" s="75"/>
      <c r="H119" s="102"/>
      <c r="I119" s="148"/>
      <c r="J119" s="148"/>
    </row>
    <row r="120" spans="2:10">
      <c r="B120" s="102"/>
      <c r="C120" s="75"/>
      <c r="D120" s="75"/>
      <c r="H120" s="102"/>
      <c r="I120" s="148"/>
      <c r="J120" s="148"/>
    </row>
    <row r="121" spans="2:10">
      <c r="B121" s="102"/>
      <c r="C121" s="75"/>
      <c r="D121" s="75"/>
      <c r="H121" s="102"/>
      <c r="I121" s="148"/>
      <c r="J121" s="148"/>
    </row>
    <row r="122" spans="2:10">
      <c r="B122" s="102"/>
      <c r="C122" s="75"/>
      <c r="D122" s="75"/>
      <c r="H122" s="102"/>
      <c r="I122" s="148"/>
      <c r="J122" s="148"/>
    </row>
    <row r="123" spans="2:10" ht="18">
      <c r="B123" s="66" t="s">
        <v>353</v>
      </c>
    </row>
    <row r="125" spans="2:10">
      <c r="C125" s="75"/>
      <c r="D125" s="75"/>
    </row>
    <row r="126" spans="2:10">
      <c r="C126" s="75"/>
      <c r="D126" s="75"/>
    </row>
    <row r="127" spans="2:10">
      <c r="B127" s="73" t="s">
        <v>202</v>
      </c>
      <c r="C127" s="73" t="s">
        <v>436</v>
      </c>
      <c r="D127" s="73" t="s">
        <v>354</v>
      </c>
      <c r="H127" s="73" t="s">
        <v>355</v>
      </c>
      <c r="I127" s="73"/>
      <c r="J127" s="73"/>
    </row>
    <row r="128" spans="2:10">
      <c r="B128" s="191" t="str">
        <f t="shared" ref="B128:B130" si="13">C128&amp;D128&amp;E128&amp;F128</f>
        <v>ZM access typeEoK</v>
      </c>
      <c r="C128" s="75" t="s">
        <v>438</v>
      </c>
      <c r="D128" s="75" t="s">
        <v>303</v>
      </c>
      <c r="H128" s="190" t="s">
        <v>303</v>
      </c>
      <c r="I128" s="75"/>
    </row>
    <row r="129" spans="2:11">
      <c r="B129" s="102" t="str">
        <f t="shared" si="13"/>
        <v/>
      </c>
    </row>
    <row r="130" spans="2:11">
      <c r="B130" s="102" t="str">
        <f t="shared" si="13"/>
        <v/>
      </c>
    </row>
    <row r="132" spans="2:11" ht="18">
      <c r="B132" s="66" t="s">
        <v>358</v>
      </c>
    </row>
    <row r="134" spans="2:11">
      <c r="C134" s="75"/>
      <c r="D134" s="75"/>
    </row>
    <row r="135" spans="2:11">
      <c r="C135" s="75"/>
      <c r="D135" s="75"/>
    </row>
    <row r="136" spans="2:11">
      <c r="B136" s="73" t="s">
        <v>202</v>
      </c>
      <c r="C136" s="73" t="s">
        <v>354</v>
      </c>
      <c r="D136" s="73" t="s">
        <v>359</v>
      </c>
      <c r="H136" s="73" t="s">
        <v>364</v>
      </c>
      <c r="I136" s="73" t="s">
        <v>3401</v>
      </c>
      <c r="J136" s="73" t="s">
        <v>3400</v>
      </c>
    </row>
    <row r="137" spans="2:11">
      <c r="B137" s="191" t="str">
        <f t="shared" ref="B137:B146" si="14">C137&amp;D137&amp;E137&amp;F137</f>
        <v>Standard Access koper 3mbOn-net (NLS1, 2)</v>
      </c>
      <c r="C137" s="148" t="s">
        <v>268</v>
      </c>
      <c r="D137" s="148" t="s">
        <v>281</v>
      </c>
      <c r="H137" s="190" t="s">
        <v>281</v>
      </c>
      <c r="I137" s="148" t="s">
        <v>194</v>
      </c>
      <c r="J137" s="190" t="str">
        <f t="shared" ref="J137:J151" si="15">C137&amp;I137</f>
        <v>Standard Access koper 3mbnvt</v>
      </c>
      <c r="K137" s="148"/>
    </row>
    <row r="138" spans="2:11">
      <c r="B138" s="191" t="str">
        <f t="shared" si="14"/>
        <v>Standard Access koper 5mbOn-net (NLS1, 2)</v>
      </c>
      <c r="C138" s="148" t="s">
        <v>276</v>
      </c>
      <c r="D138" s="148" t="s">
        <v>281</v>
      </c>
      <c r="H138" s="190" t="s">
        <v>281</v>
      </c>
      <c r="I138" s="148" t="s">
        <v>194</v>
      </c>
      <c r="J138" s="190" t="str">
        <f t="shared" si="15"/>
        <v>Standard Access koper 5mbnvt</v>
      </c>
      <c r="K138" s="148"/>
    </row>
    <row r="139" spans="2:11">
      <c r="B139" s="191" t="str">
        <f t="shared" si="14"/>
        <v>Standard Access koper 10mbOn-net (NLS1, 2)</v>
      </c>
      <c r="C139" s="148" t="s">
        <v>277</v>
      </c>
      <c r="D139" s="148" t="s">
        <v>281</v>
      </c>
      <c r="H139" s="190" t="s">
        <v>281</v>
      </c>
      <c r="I139" s="148" t="s">
        <v>194</v>
      </c>
      <c r="J139" s="190" t="str">
        <f t="shared" si="15"/>
        <v>Standard Access koper 10mbnvt</v>
      </c>
      <c r="K139" s="148"/>
    </row>
    <row r="140" spans="2:11">
      <c r="B140" s="191" t="str">
        <f t="shared" si="14"/>
        <v>Standard Access koper 15mbOn-net (NLS1, 2)</v>
      </c>
      <c r="C140" s="148" t="s">
        <v>278</v>
      </c>
      <c r="D140" s="148" t="s">
        <v>281</v>
      </c>
      <c r="H140" s="190" t="s">
        <v>281</v>
      </c>
      <c r="I140" s="148" t="s">
        <v>194</v>
      </c>
      <c r="J140" s="190" t="str">
        <f t="shared" si="15"/>
        <v>Standard Access koper 15mbnvt</v>
      </c>
      <c r="K140" s="148"/>
    </row>
    <row r="141" spans="2:11">
      <c r="B141" s="191" t="str">
        <f t="shared" si="14"/>
        <v>Standard Access koper 20mbOn-net (NLS1, 2)</v>
      </c>
      <c r="C141" s="148" t="s">
        <v>279</v>
      </c>
      <c r="D141" s="148" t="s">
        <v>281</v>
      </c>
      <c r="H141" s="190" t="s">
        <v>281</v>
      </c>
      <c r="I141" s="148" t="s">
        <v>194</v>
      </c>
      <c r="J141" s="190" t="str">
        <f t="shared" si="15"/>
        <v>Standard Access koper 20mbnvt</v>
      </c>
      <c r="K141" s="148"/>
    </row>
    <row r="142" spans="2:11">
      <c r="B142" s="191" t="str">
        <f t="shared" si="14"/>
        <v>Standard Access koper 3mbOn-net (NLS3)</v>
      </c>
      <c r="C142" s="148" t="s">
        <v>268</v>
      </c>
      <c r="D142" s="179" t="s">
        <v>3398</v>
      </c>
      <c r="H142" s="190" t="s">
        <v>3398</v>
      </c>
      <c r="I142" s="148" t="s">
        <v>194</v>
      </c>
      <c r="J142" s="190" t="str">
        <f t="shared" si="15"/>
        <v>Standard Access koper 3mbnvt</v>
      </c>
      <c r="K142" s="148"/>
    </row>
    <row r="143" spans="2:11">
      <c r="B143" s="191" t="str">
        <f t="shared" si="14"/>
        <v>Standard Access koper 5mbOn-net (NLS3)</v>
      </c>
      <c r="C143" s="148" t="s">
        <v>276</v>
      </c>
      <c r="D143" s="179" t="s">
        <v>3398</v>
      </c>
      <c r="H143" s="190" t="s">
        <v>3398</v>
      </c>
      <c r="I143" s="148" t="s">
        <v>194</v>
      </c>
      <c r="J143" s="190" t="str">
        <f t="shared" si="15"/>
        <v>Standard Access koper 5mbnvt</v>
      </c>
      <c r="K143" s="148"/>
    </row>
    <row r="144" spans="2:11">
      <c r="B144" s="191" t="str">
        <f t="shared" si="14"/>
        <v>Standard Access koper 10mbOn-net (NLS3)</v>
      </c>
      <c r="C144" s="148" t="s">
        <v>277</v>
      </c>
      <c r="D144" s="179" t="s">
        <v>3398</v>
      </c>
      <c r="H144" s="190" t="s">
        <v>3398</v>
      </c>
      <c r="I144" s="148" t="s">
        <v>194</v>
      </c>
      <c r="J144" s="190" t="str">
        <f t="shared" si="15"/>
        <v>Standard Access koper 10mbnvt</v>
      </c>
      <c r="K144" s="148"/>
    </row>
    <row r="145" spans="2:11">
      <c r="B145" s="191" t="str">
        <f t="shared" si="14"/>
        <v>Standard Access koper 15mbOn-net (NLS3)</v>
      </c>
      <c r="C145" s="148" t="s">
        <v>278</v>
      </c>
      <c r="D145" s="179" t="s">
        <v>3398</v>
      </c>
      <c r="H145" s="190" t="s">
        <v>3398</v>
      </c>
      <c r="I145" s="148" t="s">
        <v>194</v>
      </c>
      <c r="J145" s="190" t="str">
        <f t="shared" si="15"/>
        <v>Standard Access koper 15mbnvt</v>
      </c>
      <c r="K145" s="148"/>
    </row>
    <row r="146" spans="2:11">
      <c r="B146" s="191" t="str">
        <f t="shared" si="14"/>
        <v>Standard Access koper 20mbOn-net (NLS3)</v>
      </c>
      <c r="C146" s="148" t="s">
        <v>279</v>
      </c>
      <c r="D146" s="179" t="s">
        <v>3398</v>
      </c>
      <c r="H146" s="190" t="s">
        <v>3398</v>
      </c>
      <c r="I146" s="148" t="s">
        <v>194</v>
      </c>
      <c r="J146" s="190" t="str">
        <f t="shared" si="15"/>
        <v>Standard Access koper 20mbnvt</v>
      </c>
      <c r="K146" s="148"/>
    </row>
    <row r="147" spans="2:11">
      <c r="B147" s="191" t="str">
        <f t="shared" ref="B147:B151" si="16">C147&amp;D147&amp;E147&amp;F147</f>
        <v>Standard Access koper 3mb&lt; 250 meter</v>
      </c>
      <c r="C147" s="148" t="s">
        <v>268</v>
      </c>
      <c r="D147" s="179" t="s">
        <v>3397</v>
      </c>
      <c r="H147" s="190" t="s">
        <v>3399</v>
      </c>
      <c r="I147" s="148" t="s">
        <v>194</v>
      </c>
      <c r="J147" s="190" t="str">
        <f t="shared" si="15"/>
        <v>Standard Access koper 3mbnvt</v>
      </c>
      <c r="K147" s="148"/>
    </row>
    <row r="148" spans="2:11">
      <c r="B148" s="191" t="str">
        <f t="shared" si="16"/>
        <v>Standard Access koper 5mb&lt; 250 meter</v>
      </c>
      <c r="C148" s="148" t="s">
        <v>276</v>
      </c>
      <c r="D148" s="179" t="s">
        <v>3397</v>
      </c>
      <c r="H148" s="190" t="s">
        <v>3399</v>
      </c>
      <c r="I148" s="148" t="s">
        <v>194</v>
      </c>
      <c r="J148" s="190" t="str">
        <f t="shared" si="15"/>
        <v>Standard Access koper 5mbnvt</v>
      </c>
      <c r="K148" s="148"/>
    </row>
    <row r="149" spans="2:11">
      <c r="B149" s="191" t="str">
        <f t="shared" si="16"/>
        <v>Standard Access koper 10mb&lt; 250 meter</v>
      </c>
      <c r="C149" s="148" t="s">
        <v>277</v>
      </c>
      <c r="D149" s="179" t="s">
        <v>3397</v>
      </c>
      <c r="H149" s="190" t="s">
        <v>3399</v>
      </c>
      <c r="I149" s="148" t="s">
        <v>194</v>
      </c>
      <c r="J149" s="190" t="str">
        <f t="shared" si="15"/>
        <v>Standard Access koper 10mbnvt</v>
      </c>
      <c r="K149" s="148"/>
    </row>
    <row r="150" spans="2:11">
      <c r="B150" s="191" t="str">
        <f t="shared" si="16"/>
        <v>Standard Access koper 15mb&lt; 250 meter</v>
      </c>
      <c r="C150" s="148" t="s">
        <v>278</v>
      </c>
      <c r="D150" s="179" t="s">
        <v>3397</v>
      </c>
      <c r="H150" s="190" t="s">
        <v>3399</v>
      </c>
      <c r="I150" s="148" t="s">
        <v>194</v>
      </c>
      <c r="J150" s="190" t="str">
        <f t="shared" si="15"/>
        <v>Standard Access koper 15mbnvt</v>
      </c>
      <c r="K150" s="148"/>
    </row>
    <row r="151" spans="2:11">
      <c r="B151" s="191" t="str">
        <f t="shared" si="16"/>
        <v>Standard Access koper 20mb&lt; 250 meter</v>
      </c>
      <c r="C151" s="148" t="s">
        <v>279</v>
      </c>
      <c r="D151" s="179" t="s">
        <v>3397</v>
      </c>
      <c r="H151" s="190" t="s">
        <v>3399</v>
      </c>
      <c r="I151" s="148" t="s">
        <v>194</v>
      </c>
      <c r="J151" s="190" t="str">
        <f t="shared" si="15"/>
        <v>Standard Access koper 20mbnvt</v>
      </c>
      <c r="K151" s="148"/>
    </row>
    <row r="154" spans="2:11">
      <c r="B154" s="73" t="s">
        <v>202</v>
      </c>
      <c r="C154" s="73" t="s">
        <v>354</v>
      </c>
      <c r="D154" s="73" t="s">
        <v>360</v>
      </c>
      <c r="E154" s="73" t="s">
        <v>366</v>
      </c>
      <c r="H154" s="73" t="s">
        <v>365</v>
      </c>
      <c r="I154" s="73"/>
      <c r="J154" s="165"/>
    </row>
    <row r="155" spans="2:11">
      <c r="B155" s="191" t="str">
        <f t="shared" ref="B155:B164" si="17">C155&amp;D155&amp;E155&amp;F155</f>
        <v>Standard Access koper 3mbOn-net (NLS1, 2)graafafstand</v>
      </c>
      <c r="C155" s="148" t="s">
        <v>268</v>
      </c>
      <c r="D155" s="148" t="s">
        <v>281</v>
      </c>
      <c r="E155" s="148" t="s">
        <v>367</v>
      </c>
      <c r="H155" s="190">
        <v>0</v>
      </c>
      <c r="I155" s="102"/>
      <c r="J155" s="166"/>
    </row>
    <row r="156" spans="2:11">
      <c r="B156" s="191" t="str">
        <f t="shared" si="17"/>
        <v>Standard Access koper 5mbOn-net (NLS1, 2)graafafstand</v>
      </c>
      <c r="C156" s="148" t="s">
        <v>276</v>
      </c>
      <c r="D156" s="148" t="s">
        <v>281</v>
      </c>
      <c r="E156" s="148" t="s">
        <v>367</v>
      </c>
      <c r="H156" s="190">
        <v>0</v>
      </c>
      <c r="I156" s="102"/>
      <c r="J156" s="166"/>
    </row>
    <row r="157" spans="2:11">
      <c r="B157" s="191" t="str">
        <f t="shared" si="17"/>
        <v>Standard Access koper 10mbOn-net (NLS1, 2)graafafstand</v>
      </c>
      <c r="C157" s="148" t="s">
        <v>277</v>
      </c>
      <c r="D157" s="148" t="s">
        <v>281</v>
      </c>
      <c r="E157" s="148" t="s">
        <v>367</v>
      </c>
      <c r="H157" s="190">
        <v>0</v>
      </c>
      <c r="I157" s="102"/>
      <c r="J157" s="166"/>
    </row>
    <row r="158" spans="2:11">
      <c r="B158" s="191" t="str">
        <f t="shared" si="17"/>
        <v>Standard Access koper 15mbOn-net (NLS1, 2)graafafstand</v>
      </c>
      <c r="C158" s="148" t="s">
        <v>278</v>
      </c>
      <c r="D158" s="148" t="s">
        <v>281</v>
      </c>
      <c r="E158" s="148" t="s">
        <v>367</v>
      </c>
      <c r="H158" s="190">
        <v>0</v>
      </c>
      <c r="I158" s="102"/>
      <c r="J158" s="166"/>
    </row>
    <row r="159" spans="2:11">
      <c r="B159" s="191" t="str">
        <f t="shared" si="17"/>
        <v>Standard Access koper 20mbOn-net (NLS1, 2)graafafstand</v>
      </c>
      <c r="C159" s="148" t="s">
        <v>279</v>
      </c>
      <c r="D159" s="148" t="s">
        <v>281</v>
      </c>
      <c r="E159" s="148" t="s">
        <v>367</v>
      </c>
      <c r="H159" s="190">
        <v>0</v>
      </c>
      <c r="I159" s="102"/>
      <c r="J159" s="166"/>
    </row>
    <row r="160" spans="2:11">
      <c r="B160" s="191" t="str">
        <f t="shared" si="17"/>
        <v>Standard Access koper 3mbOn-net (NLS3)graafafstand</v>
      </c>
      <c r="C160" s="148" t="s">
        <v>268</v>
      </c>
      <c r="D160" s="148" t="s">
        <v>3398</v>
      </c>
      <c r="E160" s="148" t="s">
        <v>367</v>
      </c>
      <c r="H160" s="190" t="s">
        <v>194</v>
      </c>
      <c r="I160" s="102"/>
      <c r="J160" s="166"/>
    </row>
    <row r="161" spans="2:10">
      <c r="B161" s="191" t="str">
        <f t="shared" si="17"/>
        <v>Standard Access koper 5mbOn-net (NLS3)graafafstand</v>
      </c>
      <c r="C161" s="148" t="s">
        <v>276</v>
      </c>
      <c r="D161" s="148" t="s">
        <v>3398</v>
      </c>
      <c r="E161" s="148" t="s">
        <v>367</v>
      </c>
      <c r="H161" s="190" t="s">
        <v>194</v>
      </c>
      <c r="I161" s="102"/>
      <c r="J161" s="166"/>
    </row>
    <row r="162" spans="2:10">
      <c r="B162" s="191" t="str">
        <f t="shared" si="17"/>
        <v>Standard Access koper 10mbOn-net (NLS3)graafafstand</v>
      </c>
      <c r="C162" s="148" t="s">
        <v>277</v>
      </c>
      <c r="D162" s="148" t="s">
        <v>3398</v>
      </c>
      <c r="E162" s="148" t="s">
        <v>367</v>
      </c>
      <c r="H162" s="190" t="s">
        <v>194</v>
      </c>
      <c r="I162" s="102"/>
      <c r="J162" s="166"/>
    </row>
    <row r="163" spans="2:10">
      <c r="B163" s="191" t="str">
        <f t="shared" si="17"/>
        <v>Standard Access koper 15mbOn-net (NLS3)graafafstand</v>
      </c>
      <c r="C163" s="148" t="s">
        <v>278</v>
      </c>
      <c r="D163" s="148" t="s">
        <v>3398</v>
      </c>
      <c r="E163" s="148" t="s">
        <v>367</v>
      </c>
      <c r="H163" s="190" t="s">
        <v>194</v>
      </c>
      <c r="I163" s="102"/>
      <c r="J163" s="166"/>
    </row>
    <row r="164" spans="2:10">
      <c r="B164" s="191" t="str">
        <f t="shared" si="17"/>
        <v>Standard Access koper 20mbOn-net (NLS3)graafafstand</v>
      </c>
      <c r="C164" s="148" t="s">
        <v>279</v>
      </c>
      <c r="D164" s="148" t="s">
        <v>3398</v>
      </c>
      <c r="E164" s="148" t="s">
        <v>367</v>
      </c>
      <c r="H164" s="190" t="s">
        <v>194</v>
      </c>
      <c r="I164" s="102"/>
      <c r="J164" s="166"/>
    </row>
    <row r="165" spans="2:10">
      <c r="B165" s="191" t="str">
        <f t="shared" ref="B165:B169" si="18">C165&amp;D165&amp;E165&amp;F165</f>
        <v>Standard Access koper 3mb&lt; 250 metergraafafstand</v>
      </c>
      <c r="C165" s="148" t="s">
        <v>268</v>
      </c>
      <c r="D165" s="148" t="s">
        <v>3397</v>
      </c>
      <c r="E165" s="148" t="s">
        <v>367</v>
      </c>
      <c r="H165" s="190" t="s">
        <v>194</v>
      </c>
      <c r="I165" s="102"/>
      <c r="J165" s="166"/>
    </row>
    <row r="166" spans="2:10">
      <c r="B166" s="191" t="str">
        <f t="shared" si="18"/>
        <v>Standard Access koper 5mb&lt; 250 metergraafafstand</v>
      </c>
      <c r="C166" s="148" t="s">
        <v>276</v>
      </c>
      <c r="D166" s="148" t="s">
        <v>3397</v>
      </c>
      <c r="E166" s="148" t="s">
        <v>367</v>
      </c>
      <c r="H166" s="190" t="s">
        <v>194</v>
      </c>
      <c r="I166" s="102"/>
      <c r="J166" s="166"/>
    </row>
    <row r="167" spans="2:10">
      <c r="B167" s="191" t="str">
        <f t="shared" si="18"/>
        <v>Standard Access koper 10mb&lt; 250 metergraafafstand</v>
      </c>
      <c r="C167" s="148" t="s">
        <v>277</v>
      </c>
      <c r="D167" s="148" t="s">
        <v>3397</v>
      </c>
      <c r="E167" s="148" t="s">
        <v>367</v>
      </c>
      <c r="H167" s="190" t="s">
        <v>194</v>
      </c>
      <c r="I167" s="102"/>
      <c r="J167" s="166"/>
    </row>
    <row r="168" spans="2:10">
      <c r="B168" s="191" t="str">
        <f t="shared" si="18"/>
        <v>Standard Access koper 15mb&lt; 250 metergraafafstand</v>
      </c>
      <c r="C168" s="148" t="s">
        <v>278</v>
      </c>
      <c r="D168" s="148" t="s">
        <v>3397</v>
      </c>
      <c r="E168" s="148" t="s">
        <v>367</v>
      </c>
      <c r="H168" s="190" t="s">
        <v>194</v>
      </c>
      <c r="I168" s="102"/>
      <c r="J168" s="166"/>
    </row>
    <row r="169" spans="2:10">
      <c r="B169" s="191" t="str">
        <f t="shared" si="18"/>
        <v>Standard Access koper 20mb&lt; 250 metergraafafstand</v>
      </c>
      <c r="C169" s="148" t="s">
        <v>279</v>
      </c>
      <c r="D169" s="148" t="s">
        <v>3397</v>
      </c>
      <c r="E169" s="148" t="s">
        <v>367</v>
      </c>
      <c r="H169" s="190" t="s">
        <v>194</v>
      </c>
      <c r="I169" s="102"/>
      <c r="J169" s="166"/>
    </row>
  </sheetData>
  <pageMargins left="0.7" right="0.7" top="0.75" bottom="0.75" header="0.3" footer="0.3"/>
  <pageSetup paperSize="9" orientation="portrait" r:id="rId1"/>
  <legacy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7">
    <tabColor rgb="FF0000FF"/>
  </sheetPr>
  <dimension ref="B3:E6"/>
  <sheetViews>
    <sheetView workbookViewId="0">
      <selection activeCell="E4" sqref="E4"/>
    </sheetView>
  </sheetViews>
  <sheetFormatPr defaultRowHeight="15"/>
  <cols>
    <col min="2" max="2" width="22.7109375" bestFit="1" customWidth="1"/>
    <col min="3" max="3" width="17.140625" bestFit="1" customWidth="1"/>
    <col min="4" max="4" width="21.28515625" customWidth="1"/>
    <col min="5" max="5" width="25.28515625" customWidth="1"/>
    <col min="6" max="6" width="24.7109375" customWidth="1"/>
  </cols>
  <sheetData>
    <row r="3" spans="2:5">
      <c r="B3" s="95" t="s">
        <v>434</v>
      </c>
      <c r="C3" s="95" t="s">
        <v>71</v>
      </c>
      <c r="D3" s="95" t="s">
        <v>433</v>
      </c>
      <c r="E3" s="95" t="s">
        <v>431</v>
      </c>
    </row>
    <row r="4" spans="2:5">
      <c r="B4" s="196" t="str">
        <f t="shared" ref="B4:B6" si="0">C4&amp;D4</f>
        <v>EoKMetro - Regionaal</v>
      </c>
      <c r="C4" s="148" t="s">
        <v>303</v>
      </c>
      <c r="D4" s="148" t="s">
        <v>426</v>
      </c>
      <c r="E4" s="189">
        <f>'EDC Minus'!H146</f>
        <v>1</v>
      </c>
    </row>
    <row r="5" spans="2:5">
      <c r="B5" s="196" t="str">
        <f t="shared" si="0"/>
        <v>EoKRegionaal-Nationaal</v>
      </c>
      <c r="C5" s="148" t="s">
        <v>303</v>
      </c>
      <c r="D5" s="148" t="s">
        <v>432</v>
      </c>
      <c r="E5" s="189">
        <f>'EDC Minus'!H147</f>
        <v>1</v>
      </c>
    </row>
    <row r="6" spans="2:5">
      <c r="B6" s="196" t="str">
        <f t="shared" si="0"/>
        <v>EoKMetro - Nationaal</v>
      </c>
      <c r="C6" s="148" t="s">
        <v>303</v>
      </c>
      <c r="D6" s="148" t="s">
        <v>427</v>
      </c>
      <c r="E6" s="206">
        <f>SUM(E4:E5)</f>
        <v>2</v>
      </c>
    </row>
  </sheetData>
  <pageMargins left="0.7" right="0.7" top="0.75" bottom="0.75" header="0.3" footer="0.3"/>
  <pageSetup paperSize="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3">
    <tabColor rgb="FFFFFF00"/>
  </sheetPr>
  <dimension ref="B1:J217"/>
  <sheetViews>
    <sheetView workbookViewId="0">
      <selection activeCell="B1" sqref="B1"/>
    </sheetView>
  </sheetViews>
  <sheetFormatPr defaultRowHeight="15"/>
  <cols>
    <col min="2" max="2" width="66.85546875" style="62" customWidth="1"/>
    <col min="3" max="3" width="26.42578125" style="86" customWidth="1"/>
    <col min="4" max="4" width="31.140625" style="86" customWidth="1"/>
    <col min="5" max="5" width="22.85546875" style="86" customWidth="1"/>
    <col min="6" max="6" width="28" style="86" customWidth="1"/>
    <col min="7" max="7" width="19.7109375" style="87" bestFit="1" customWidth="1"/>
    <col min="8" max="8" width="15" style="87" bestFit="1" customWidth="1"/>
    <col min="9" max="9" width="26.42578125" bestFit="1" customWidth="1"/>
  </cols>
  <sheetData>
    <row r="1" spans="2:9">
      <c r="B1" s="144" t="s">
        <v>259</v>
      </c>
      <c r="C1" s="145"/>
    </row>
    <row r="4" spans="2:9">
      <c r="C4" s="63"/>
      <c r="D4" s="63"/>
      <c r="E4" s="64"/>
      <c r="F4" s="64"/>
      <c r="G4" s="65"/>
      <c r="H4" s="65"/>
    </row>
    <row r="5" spans="2:9" ht="18">
      <c r="B5" s="66" t="s">
        <v>261</v>
      </c>
      <c r="C5" s="67"/>
      <c r="D5" s="66"/>
      <c r="E5" s="68"/>
      <c r="F5" s="68"/>
      <c r="G5" s="69"/>
      <c r="H5" s="69"/>
    </row>
    <row r="6" spans="2:9">
      <c r="B6" s="70"/>
      <c r="C6" s="71"/>
      <c r="D6" s="72"/>
      <c r="E6" s="72"/>
      <c r="F6" s="72"/>
      <c r="G6" s="65"/>
      <c r="H6" s="65"/>
    </row>
    <row r="7" spans="2:9">
      <c r="B7" s="73" t="s">
        <v>202</v>
      </c>
      <c r="C7" s="73" t="s">
        <v>263</v>
      </c>
      <c r="D7" s="73" t="s">
        <v>439</v>
      </c>
      <c r="E7" s="73" t="s">
        <v>264</v>
      </c>
      <c r="F7" s="73" t="s">
        <v>203</v>
      </c>
      <c r="G7" s="94" t="s">
        <v>187</v>
      </c>
      <c r="H7" s="94" t="s">
        <v>188</v>
      </c>
    </row>
    <row r="8" spans="2:9">
      <c r="B8" s="196" t="str">
        <f>C8&amp;D8&amp;E8&amp;F8</f>
        <v>EntryCity1</v>
      </c>
      <c r="C8" s="75" t="s">
        <v>45</v>
      </c>
      <c r="D8" s="75"/>
      <c r="E8" s="75" t="s">
        <v>262</v>
      </c>
      <c r="F8" s="152">
        <v>1</v>
      </c>
      <c r="G8" s="533">
        <v>1000</v>
      </c>
      <c r="H8" s="533">
        <v>1000</v>
      </c>
      <c r="I8" t="s">
        <v>2153</v>
      </c>
    </row>
    <row r="9" spans="2:9">
      <c r="B9" s="196" t="str">
        <f t="shared" ref="B9:B26" si="0">C9&amp;D9&amp;E9&amp;F9</f>
        <v>EntryCity2</v>
      </c>
      <c r="C9" s="75" t="s">
        <v>45</v>
      </c>
      <c r="D9" s="75"/>
      <c r="E9" s="75" t="s">
        <v>262</v>
      </c>
      <c r="F9" s="152">
        <v>2</v>
      </c>
      <c r="G9" s="533">
        <v>1000</v>
      </c>
      <c r="H9" s="533">
        <v>1000</v>
      </c>
    </row>
    <row r="10" spans="2:9">
      <c r="B10" s="196" t="str">
        <f t="shared" si="0"/>
        <v>EntryCity3</v>
      </c>
      <c r="C10" s="75" t="s">
        <v>45</v>
      </c>
      <c r="D10" s="75"/>
      <c r="E10" s="75" t="s">
        <v>262</v>
      </c>
      <c r="F10" s="152">
        <v>3</v>
      </c>
      <c r="G10" s="533">
        <v>1000</v>
      </c>
      <c r="H10" s="533">
        <v>1000</v>
      </c>
    </row>
    <row r="11" spans="2:9">
      <c r="B11" s="196" t="str">
        <f t="shared" si="0"/>
        <v>EntryCity4</v>
      </c>
      <c r="C11" s="75" t="s">
        <v>45</v>
      </c>
      <c r="D11" s="75"/>
      <c r="E11" s="75" t="s">
        <v>262</v>
      </c>
      <c r="F11" s="152">
        <v>4</v>
      </c>
      <c r="G11" s="533">
        <v>1000</v>
      </c>
      <c r="H11" s="533">
        <v>1000</v>
      </c>
    </row>
    <row r="12" spans="2:9">
      <c r="B12" s="196" t="str">
        <f t="shared" si="0"/>
        <v>EntryCity5</v>
      </c>
      <c r="C12" s="75" t="s">
        <v>45</v>
      </c>
      <c r="D12" s="75"/>
      <c r="E12" s="75" t="s">
        <v>262</v>
      </c>
      <c r="F12" s="152">
        <v>5</v>
      </c>
      <c r="G12" s="533">
        <v>1000</v>
      </c>
      <c r="H12" s="533">
        <v>1000</v>
      </c>
    </row>
    <row r="13" spans="2:9">
      <c r="B13" s="196" t="str">
        <f t="shared" si="0"/>
        <v>EntryCity6</v>
      </c>
      <c r="C13" s="75" t="s">
        <v>45</v>
      </c>
      <c r="D13" s="75"/>
      <c r="E13" s="75" t="s">
        <v>262</v>
      </c>
      <c r="F13" s="152">
        <v>6</v>
      </c>
      <c r="G13" s="533">
        <v>1000</v>
      </c>
      <c r="H13" s="533">
        <v>1000</v>
      </c>
    </row>
    <row r="14" spans="2:9">
      <c r="B14" s="196" t="str">
        <f t="shared" si="0"/>
        <v>EntryCity8</v>
      </c>
      <c r="C14" s="75" t="s">
        <v>45</v>
      </c>
      <c r="D14" s="75"/>
      <c r="E14" s="75" t="s">
        <v>262</v>
      </c>
      <c r="F14" s="152">
        <v>8</v>
      </c>
      <c r="G14" s="533">
        <v>1000</v>
      </c>
      <c r="H14" s="533">
        <v>1000</v>
      </c>
    </row>
    <row r="15" spans="2:9">
      <c r="B15" s="196" t="str">
        <f t="shared" si="0"/>
        <v>EntryCity10</v>
      </c>
      <c r="C15" s="75" t="s">
        <v>45</v>
      </c>
      <c r="D15" s="75"/>
      <c r="E15" s="75" t="s">
        <v>262</v>
      </c>
      <c r="F15" s="152">
        <v>10</v>
      </c>
      <c r="G15" s="533">
        <v>1000</v>
      </c>
      <c r="H15" s="533">
        <v>1000</v>
      </c>
    </row>
    <row r="16" spans="2:9">
      <c r="B16" s="196" t="str">
        <f t="shared" si="0"/>
        <v>EntryCity15</v>
      </c>
      <c r="C16" s="75" t="s">
        <v>45</v>
      </c>
      <c r="D16" s="75"/>
      <c r="E16" s="75" t="s">
        <v>262</v>
      </c>
      <c r="F16" s="152">
        <v>15</v>
      </c>
      <c r="G16" s="533">
        <v>1000</v>
      </c>
      <c r="H16" s="533">
        <v>1000</v>
      </c>
    </row>
    <row r="17" spans="2:9">
      <c r="B17" s="196" t="str">
        <f t="shared" si="0"/>
        <v>EntryCity20</v>
      </c>
      <c r="C17" s="75" t="s">
        <v>45</v>
      </c>
      <c r="D17" s="75"/>
      <c r="E17" s="75" t="s">
        <v>262</v>
      </c>
      <c r="F17" s="152">
        <v>20</v>
      </c>
      <c r="G17" s="533">
        <v>1000</v>
      </c>
      <c r="H17" s="533">
        <v>1000</v>
      </c>
    </row>
    <row r="18" spans="2:9">
      <c r="B18" s="196" t="str">
        <f t="shared" si="0"/>
        <v>EntryCity30</v>
      </c>
      <c r="C18" s="75" t="s">
        <v>45</v>
      </c>
      <c r="D18" s="75"/>
      <c r="E18" s="75" t="s">
        <v>262</v>
      </c>
      <c r="F18" s="152">
        <v>30</v>
      </c>
      <c r="G18" s="533">
        <v>1000</v>
      </c>
      <c r="H18" s="533">
        <v>1000</v>
      </c>
    </row>
    <row r="19" spans="2:9">
      <c r="B19" s="196" t="str">
        <f t="shared" si="0"/>
        <v>EntryCity50</v>
      </c>
      <c r="C19" s="75" t="s">
        <v>45</v>
      </c>
      <c r="D19" s="75"/>
      <c r="E19" s="75" t="s">
        <v>262</v>
      </c>
      <c r="F19" s="152">
        <v>50</v>
      </c>
      <c r="G19" s="533">
        <v>1000</v>
      </c>
      <c r="H19" s="533">
        <v>1000</v>
      </c>
    </row>
    <row r="20" spans="2:9">
      <c r="B20" s="196" t="str">
        <f t="shared" si="0"/>
        <v>EntryCity80</v>
      </c>
      <c r="C20" s="75" t="s">
        <v>45</v>
      </c>
      <c r="D20" s="75"/>
      <c r="E20" s="75" t="s">
        <v>262</v>
      </c>
      <c r="F20" s="152">
        <v>80</v>
      </c>
      <c r="G20" s="533">
        <v>1000</v>
      </c>
      <c r="H20" s="533">
        <v>1000</v>
      </c>
    </row>
    <row r="21" spans="2:9">
      <c r="B21" s="196" t="str">
        <f t="shared" si="0"/>
        <v>EntryCity100</v>
      </c>
      <c r="C21" s="75" t="s">
        <v>45</v>
      </c>
      <c r="D21" s="75"/>
      <c r="E21" s="75" t="s">
        <v>262</v>
      </c>
      <c r="F21" s="152">
        <v>100</v>
      </c>
      <c r="G21" s="533">
        <v>1000</v>
      </c>
      <c r="H21" s="533">
        <v>1000</v>
      </c>
    </row>
    <row r="22" spans="2:9">
      <c r="B22" s="196" t="str">
        <f t="shared" si="0"/>
        <v>EntryCity200</v>
      </c>
      <c r="C22" s="75" t="s">
        <v>45</v>
      </c>
      <c r="D22" s="75"/>
      <c r="E22" s="75" t="s">
        <v>262</v>
      </c>
      <c r="F22" s="152">
        <v>200</v>
      </c>
      <c r="G22" s="533">
        <v>1000</v>
      </c>
      <c r="H22" s="533">
        <v>1000</v>
      </c>
    </row>
    <row r="23" spans="2:9">
      <c r="B23" s="196" t="str">
        <f t="shared" si="0"/>
        <v>EntryCity300</v>
      </c>
      <c r="C23" s="75" t="s">
        <v>45</v>
      </c>
      <c r="D23" s="75"/>
      <c r="E23" s="75" t="s">
        <v>262</v>
      </c>
      <c r="F23" s="152">
        <v>300</v>
      </c>
      <c r="G23" s="533">
        <v>1000</v>
      </c>
      <c r="H23" s="533">
        <v>1000</v>
      </c>
    </row>
    <row r="24" spans="2:9">
      <c r="B24" s="196" t="str">
        <f t="shared" si="0"/>
        <v>EntryCity500</v>
      </c>
      <c r="C24" s="75" t="s">
        <v>45</v>
      </c>
      <c r="D24" s="75"/>
      <c r="E24" s="75" t="s">
        <v>262</v>
      </c>
      <c r="F24" s="152">
        <v>500</v>
      </c>
      <c r="G24" s="533">
        <v>1000</v>
      </c>
      <c r="H24" s="533">
        <v>1000</v>
      </c>
    </row>
    <row r="25" spans="2:9">
      <c r="B25" s="196" t="str">
        <f t="shared" si="0"/>
        <v>EntryCity800</v>
      </c>
      <c r="C25" s="75" t="s">
        <v>45</v>
      </c>
      <c r="D25" s="75"/>
      <c r="E25" s="75" t="s">
        <v>262</v>
      </c>
      <c r="F25" s="152">
        <v>800</v>
      </c>
      <c r="G25" s="533">
        <v>1000</v>
      </c>
      <c r="H25" s="533">
        <v>1000</v>
      </c>
    </row>
    <row r="26" spans="2:9">
      <c r="B26" s="196" t="str">
        <f t="shared" si="0"/>
        <v>EntryCity1000</v>
      </c>
      <c r="C26" s="75" t="s">
        <v>45</v>
      </c>
      <c r="D26" s="75"/>
      <c r="E26" s="75" t="s">
        <v>262</v>
      </c>
      <c r="F26" s="152">
        <v>1000</v>
      </c>
      <c r="G26" s="533">
        <v>1000</v>
      </c>
      <c r="H26" s="533">
        <v>1000</v>
      </c>
    </row>
    <row r="27" spans="2:9">
      <c r="B27" s="196" t="str">
        <f>C27&amp;D27&amp;E27&amp;F27</f>
        <v>EntryRegionaal1</v>
      </c>
      <c r="C27" s="75" t="s">
        <v>45</v>
      </c>
      <c r="D27" s="75"/>
      <c r="E27" s="75" t="s">
        <v>265</v>
      </c>
      <c r="F27" s="152">
        <v>1</v>
      </c>
      <c r="G27" s="533">
        <v>1000</v>
      </c>
      <c r="H27" s="533">
        <v>1000</v>
      </c>
      <c r="I27" t="s">
        <v>2153</v>
      </c>
    </row>
    <row r="28" spans="2:9">
      <c r="B28" s="196" t="str">
        <f t="shared" ref="B28:B45" si="1">C28&amp;D28&amp;E28&amp;F28</f>
        <v>EntryRegionaal2</v>
      </c>
      <c r="C28" s="75" t="s">
        <v>45</v>
      </c>
      <c r="D28" s="75"/>
      <c r="E28" s="75" t="s">
        <v>265</v>
      </c>
      <c r="F28" s="152">
        <v>2</v>
      </c>
      <c r="G28" s="533">
        <v>1000</v>
      </c>
      <c r="H28" s="533">
        <v>1000</v>
      </c>
    </row>
    <row r="29" spans="2:9">
      <c r="B29" s="196" t="str">
        <f t="shared" si="1"/>
        <v>EntryRegionaal3</v>
      </c>
      <c r="C29" s="75" t="s">
        <v>45</v>
      </c>
      <c r="D29" s="75"/>
      <c r="E29" s="75" t="s">
        <v>265</v>
      </c>
      <c r="F29" s="152">
        <v>3</v>
      </c>
      <c r="G29" s="533">
        <v>1000</v>
      </c>
      <c r="H29" s="533">
        <v>1000</v>
      </c>
    </row>
    <row r="30" spans="2:9">
      <c r="B30" s="196" t="str">
        <f t="shared" si="1"/>
        <v>EntryRegionaal4</v>
      </c>
      <c r="C30" s="75" t="s">
        <v>45</v>
      </c>
      <c r="D30" s="75"/>
      <c r="E30" s="75" t="s">
        <v>265</v>
      </c>
      <c r="F30" s="152">
        <v>4</v>
      </c>
      <c r="G30" s="533">
        <v>1000</v>
      </c>
      <c r="H30" s="533">
        <v>1000</v>
      </c>
    </row>
    <row r="31" spans="2:9">
      <c r="B31" s="196" t="str">
        <f t="shared" si="1"/>
        <v>EntryRegionaal5</v>
      </c>
      <c r="C31" s="75" t="s">
        <v>45</v>
      </c>
      <c r="D31" s="75"/>
      <c r="E31" s="75" t="s">
        <v>265</v>
      </c>
      <c r="F31" s="152">
        <v>5</v>
      </c>
      <c r="G31" s="533">
        <v>1000</v>
      </c>
      <c r="H31" s="533">
        <v>1000</v>
      </c>
    </row>
    <row r="32" spans="2:9">
      <c r="B32" s="196" t="str">
        <f t="shared" si="1"/>
        <v>EntryRegionaal6</v>
      </c>
      <c r="C32" s="75" t="s">
        <v>45</v>
      </c>
      <c r="D32" s="75"/>
      <c r="E32" s="75" t="s">
        <v>265</v>
      </c>
      <c r="F32" s="152">
        <v>6</v>
      </c>
      <c r="G32" s="533">
        <v>1000</v>
      </c>
      <c r="H32" s="533">
        <v>1000</v>
      </c>
    </row>
    <row r="33" spans="2:9">
      <c r="B33" s="196" t="str">
        <f t="shared" si="1"/>
        <v>EntryRegionaal8</v>
      </c>
      <c r="C33" s="75" t="s">
        <v>45</v>
      </c>
      <c r="D33" s="75"/>
      <c r="E33" s="75" t="s">
        <v>265</v>
      </c>
      <c r="F33" s="152">
        <v>8</v>
      </c>
      <c r="G33" s="533">
        <v>1000</v>
      </c>
      <c r="H33" s="533">
        <v>1000</v>
      </c>
    </row>
    <row r="34" spans="2:9">
      <c r="B34" s="196" t="str">
        <f t="shared" si="1"/>
        <v>EntryRegionaal10</v>
      </c>
      <c r="C34" s="75" t="s">
        <v>45</v>
      </c>
      <c r="D34" s="75"/>
      <c r="E34" s="75" t="s">
        <v>265</v>
      </c>
      <c r="F34" s="152">
        <v>10</v>
      </c>
      <c r="G34" s="533">
        <v>1000</v>
      </c>
      <c r="H34" s="533">
        <v>1000</v>
      </c>
    </row>
    <row r="35" spans="2:9">
      <c r="B35" s="196" t="str">
        <f t="shared" si="1"/>
        <v>EntryRegionaal15</v>
      </c>
      <c r="C35" s="75" t="s">
        <v>45</v>
      </c>
      <c r="D35" s="75"/>
      <c r="E35" s="75" t="s">
        <v>265</v>
      </c>
      <c r="F35" s="152">
        <v>15</v>
      </c>
      <c r="G35" s="533">
        <v>1000</v>
      </c>
      <c r="H35" s="533">
        <v>1000</v>
      </c>
    </row>
    <row r="36" spans="2:9">
      <c r="B36" s="196" t="str">
        <f t="shared" si="1"/>
        <v>EntryRegionaal20</v>
      </c>
      <c r="C36" s="75" t="s">
        <v>45</v>
      </c>
      <c r="D36" s="75"/>
      <c r="E36" s="75" t="s">
        <v>265</v>
      </c>
      <c r="F36" s="152">
        <v>20</v>
      </c>
      <c r="G36" s="533">
        <v>1000</v>
      </c>
      <c r="H36" s="533">
        <v>1000</v>
      </c>
    </row>
    <row r="37" spans="2:9">
      <c r="B37" s="196" t="str">
        <f t="shared" si="1"/>
        <v>EntryRegionaal30</v>
      </c>
      <c r="C37" s="75" t="s">
        <v>45</v>
      </c>
      <c r="D37" s="75"/>
      <c r="E37" s="75" t="s">
        <v>265</v>
      </c>
      <c r="F37" s="152">
        <v>30</v>
      </c>
      <c r="G37" s="533">
        <v>1000</v>
      </c>
      <c r="H37" s="533">
        <v>1000</v>
      </c>
    </row>
    <row r="38" spans="2:9">
      <c r="B38" s="196" t="str">
        <f t="shared" si="1"/>
        <v>EntryRegionaal50</v>
      </c>
      <c r="C38" s="75" t="s">
        <v>45</v>
      </c>
      <c r="D38" s="75"/>
      <c r="E38" s="75" t="s">
        <v>265</v>
      </c>
      <c r="F38" s="152">
        <v>50</v>
      </c>
      <c r="G38" s="533">
        <v>1000</v>
      </c>
      <c r="H38" s="533">
        <v>1000</v>
      </c>
    </row>
    <row r="39" spans="2:9">
      <c r="B39" s="196" t="str">
        <f t="shared" si="1"/>
        <v>EntryRegionaal80</v>
      </c>
      <c r="C39" s="75" t="s">
        <v>45</v>
      </c>
      <c r="D39" s="75"/>
      <c r="E39" s="75" t="s">
        <v>265</v>
      </c>
      <c r="F39" s="152">
        <v>80</v>
      </c>
      <c r="G39" s="533">
        <v>1000</v>
      </c>
      <c r="H39" s="533">
        <v>1000</v>
      </c>
    </row>
    <row r="40" spans="2:9">
      <c r="B40" s="196" t="str">
        <f t="shared" si="1"/>
        <v>EntryRegionaal100</v>
      </c>
      <c r="C40" s="75" t="s">
        <v>45</v>
      </c>
      <c r="D40" s="75"/>
      <c r="E40" s="75" t="s">
        <v>265</v>
      </c>
      <c r="F40" s="152">
        <v>100</v>
      </c>
      <c r="G40" s="533">
        <v>1000</v>
      </c>
      <c r="H40" s="533">
        <v>1000</v>
      </c>
    </row>
    <row r="41" spans="2:9">
      <c r="B41" s="196" t="str">
        <f t="shared" si="1"/>
        <v>EntryRegionaal200</v>
      </c>
      <c r="C41" s="75" t="s">
        <v>45</v>
      </c>
      <c r="D41" s="75"/>
      <c r="E41" s="75" t="s">
        <v>265</v>
      </c>
      <c r="F41" s="152">
        <v>200</v>
      </c>
      <c r="G41" s="533">
        <v>1000</v>
      </c>
      <c r="H41" s="533">
        <v>1000</v>
      </c>
    </row>
    <row r="42" spans="2:9">
      <c r="B42" s="196" t="str">
        <f t="shared" si="1"/>
        <v>EntryRegionaal300</v>
      </c>
      <c r="C42" s="75" t="s">
        <v>45</v>
      </c>
      <c r="D42" s="75"/>
      <c r="E42" s="75" t="s">
        <v>265</v>
      </c>
      <c r="F42" s="152">
        <v>300</v>
      </c>
      <c r="G42" s="533">
        <v>1000</v>
      </c>
      <c r="H42" s="533">
        <v>1000</v>
      </c>
    </row>
    <row r="43" spans="2:9">
      <c r="B43" s="196" t="str">
        <f t="shared" si="1"/>
        <v>EntryRegionaal500</v>
      </c>
      <c r="C43" s="75" t="s">
        <v>45</v>
      </c>
      <c r="D43" s="75"/>
      <c r="E43" s="75" t="s">
        <v>265</v>
      </c>
      <c r="F43" s="152">
        <v>500</v>
      </c>
      <c r="G43" s="533">
        <v>1000</v>
      </c>
      <c r="H43" s="533">
        <v>1000</v>
      </c>
    </row>
    <row r="44" spans="2:9">
      <c r="B44" s="196" t="str">
        <f t="shared" si="1"/>
        <v>EntryRegionaal800</v>
      </c>
      <c r="C44" s="75" t="s">
        <v>45</v>
      </c>
      <c r="D44" s="75"/>
      <c r="E44" s="75" t="s">
        <v>265</v>
      </c>
      <c r="F44" s="152">
        <v>800</v>
      </c>
      <c r="G44" s="533">
        <v>1000</v>
      </c>
      <c r="H44" s="533">
        <v>1000</v>
      </c>
    </row>
    <row r="45" spans="2:9">
      <c r="B45" s="196" t="str">
        <f t="shared" si="1"/>
        <v>EntryRegionaal1000</v>
      </c>
      <c r="C45" s="75" t="s">
        <v>45</v>
      </c>
      <c r="D45" s="75"/>
      <c r="E45" s="75" t="s">
        <v>265</v>
      </c>
      <c r="F45" s="152">
        <v>1000</v>
      </c>
      <c r="G45" s="533">
        <v>1000</v>
      </c>
      <c r="H45" s="533">
        <v>1000</v>
      </c>
    </row>
    <row r="46" spans="2:9">
      <c r="B46" s="196" t="str">
        <f>C46&amp;D46&amp;E46&amp;F46</f>
        <v>EntryNationaal1</v>
      </c>
      <c r="C46" s="75" t="s">
        <v>45</v>
      </c>
      <c r="D46" s="75"/>
      <c r="E46" s="75" t="s">
        <v>266</v>
      </c>
      <c r="F46" s="152">
        <v>1</v>
      </c>
      <c r="G46" s="533">
        <v>1000</v>
      </c>
      <c r="H46" s="533">
        <v>1000</v>
      </c>
      <c r="I46" t="s">
        <v>2153</v>
      </c>
    </row>
    <row r="47" spans="2:9">
      <c r="B47" s="196" t="str">
        <f t="shared" ref="B47:B64" si="2">C47&amp;D47&amp;E47&amp;F47</f>
        <v>EntryNationaal2</v>
      </c>
      <c r="C47" s="75" t="s">
        <v>45</v>
      </c>
      <c r="D47" s="75"/>
      <c r="E47" s="75" t="s">
        <v>266</v>
      </c>
      <c r="F47" s="152">
        <v>2</v>
      </c>
      <c r="G47" s="533">
        <v>1000</v>
      </c>
      <c r="H47" s="533">
        <v>1000</v>
      </c>
    </row>
    <row r="48" spans="2:9">
      <c r="B48" s="196" t="str">
        <f t="shared" si="2"/>
        <v>EntryNationaal3</v>
      </c>
      <c r="C48" s="75" t="s">
        <v>45</v>
      </c>
      <c r="D48" s="75"/>
      <c r="E48" s="75" t="s">
        <v>266</v>
      </c>
      <c r="F48" s="152">
        <v>3</v>
      </c>
      <c r="G48" s="533">
        <v>1000</v>
      </c>
      <c r="H48" s="533">
        <v>1000</v>
      </c>
    </row>
    <row r="49" spans="2:8">
      <c r="B49" s="196" t="str">
        <f t="shared" si="2"/>
        <v>EntryNationaal4</v>
      </c>
      <c r="C49" s="75" t="s">
        <v>45</v>
      </c>
      <c r="D49" s="75"/>
      <c r="E49" s="75" t="s">
        <v>266</v>
      </c>
      <c r="F49" s="152">
        <v>4</v>
      </c>
      <c r="G49" s="533">
        <v>1000</v>
      </c>
      <c r="H49" s="533">
        <v>1000</v>
      </c>
    </row>
    <row r="50" spans="2:8">
      <c r="B50" s="196" t="str">
        <f t="shared" si="2"/>
        <v>EntryNationaal5</v>
      </c>
      <c r="C50" s="75" t="s">
        <v>45</v>
      </c>
      <c r="D50" s="75"/>
      <c r="E50" s="75" t="s">
        <v>266</v>
      </c>
      <c r="F50" s="152">
        <v>5</v>
      </c>
      <c r="G50" s="533">
        <v>1000</v>
      </c>
      <c r="H50" s="533">
        <v>1000</v>
      </c>
    </row>
    <row r="51" spans="2:8">
      <c r="B51" s="196" t="str">
        <f t="shared" si="2"/>
        <v>EntryNationaal6</v>
      </c>
      <c r="C51" s="75" t="s">
        <v>45</v>
      </c>
      <c r="D51" s="75"/>
      <c r="E51" s="75" t="s">
        <v>266</v>
      </c>
      <c r="F51" s="152">
        <v>6</v>
      </c>
      <c r="G51" s="533">
        <v>1000</v>
      </c>
      <c r="H51" s="533">
        <v>1000</v>
      </c>
    </row>
    <row r="52" spans="2:8">
      <c r="B52" s="196" t="str">
        <f t="shared" si="2"/>
        <v>EntryNationaal8</v>
      </c>
      <c r="C52" s="75" t="s">
        <v>45</v>
      </c>
      <c r="D52" s="75"/>
      <c r="E52" s="75" t="s">
        <v>266</v>
      </c>
      <c r="F52" s="152">
        <v>8</v>
      </c>
      <c r="G52" s="533">
        <v>1000</v>
      </c>
      <c r="H52" s="533">
        <v>1000</v>
      </c>
    </row>
    <row r="53" spans="2:8">
      <c r="B53" s="196" t="str">
        <f t="shared" si="2"/>
        <v>EntryNationaal10</v>
      </c>
      <c r="C53" s="75" t="s">
        <v>45</v>
      </c>
      <c r="D53" s="75"/>
      <c r="E53" s="75" t="s">
        <v>266</v>
      </c>
      <c r="F53" s="152">
        <v>10</v>
      </c>
      <c r="G53" s="533">
        <v>1000</v>
      </c>
      <c r="H53" s="533">
        <v>1000</v>
      </c>
    </row>
    <row r="54" spans="2:8">
      <c r="B54" s="196" t="str">
        <f t="shared" si="2"/>
        <v>EntryNationaal15</v>
      </c>
      <c r="C54" s="75" t="s">
        <v>45</v>
      </c>
      <c r="D54" s="75"/>
      <c r="E54" s="75" t="s">
        <v>266</v>
      </c>
      <c r="F54" s="152">
        <v>15</v>
      </c>
      <c r="G54" s="533">
        <v>1000</v>
      </c>
      <c r="H54" s="533">
        <v>1000</v>
      </c>
    </row>
    <row r="55" spans="2:8">
      <c r="B55" s="196" t="str">
        <f t="shared" si="2"/>
        <v>EntryNationaal20</v>
      </c>
      <c r="C55" s="75" t="s">
        <v>45</v>
      </c>
      <c r="D55" s="75"/>
      <c r="E55" s="75" t="s">
        <v>266</v>
      </c>
      <c r="F55" s="152">
        <v>20</v>
      </c>
      <c r="G55" s="533">
        <v>1000</v>
      </c>
      <c r="H55" s="533">
        <v>1000</v>
      </c>
    </row>
    <row r="56" spans="2:8">
      <c r="B56" s="196" t="str">
        <f t="shared" si="2"/>
        <v>EntryNationaal30</v>
      </c>
      <c r="C56" s="75" t="s">
        <v>45</v>
      </c>
      <c r="D56" s="75"/>
      <c r="E56" s="75" t="s">
        <v>266</v>
      </c>
      <c r="F56" s="152">
        <v>30</v>
      </c>
      <c r="G56" s="533">
        <v>1000</v>
      </c>
      <c r="H56" s="533">
        <v>1000</v>
      </c>
    </row>
    <row r="57" spans="2:8">
      <c r="B57" s="196" t="str">
        <f t="shared" si="2"/>
        <v>EntryNationaal50</v>
      </c>
      <c r="C57" s="75" t="s">
        <v>45</v>
      </c>
      <c r="D57" s="75"/>
      <c r="E57" s="75" t="s">
        <v>266</v>
      </c>
      <c r="F57" s="152">
        <v>50</v>
      </c>
      <c r="G57" s="533">
        <v>1000</v>
      </c>
      <c r="H57" s="533">
        <v>1000</v>
      </c>
    </row>
    <row r="58" spans="2:8">
      <c r="B58" s="196" t="str">
        <f t="shared" si="2"/>
        <v>EntryNationaal80</v>
      </c>
      <c r="C58" s="75" t="s">
        <v>45</v>
      </c>
      <c r="D58" s="75"/>
      <c r="E58" s="75" t="s">
        <v>266</v>
      </c>
      <c r="F58" s="152">
        <v>80</v>
      </c>
      <c r="G58" s="533">
        <v>1000</v>
      </c>
      <c r="H58" s="533">
        <v>1000</v>
      </c>
    </row>
    <row r="59" spans="2:8">
      <c r="B59" s="196" t="str">
        <f t="shared" si="2"/>
        <v>EntryNationaal100</v>
      </c>
      <c r="C59" s="75" t="s">
        <v>45</v>
      </c>
      <c r="D59" s="75"/>
      <c r="E59" s="75" t="s">
        <v>266</v>
      </c>
      <c r="F59" s="152">
        <v>100</v>
      </c>
      <c r="G59" s="533">
        <v>1000</v>
      </c>
      <c r="H59" s="533">
        <v>1000</v>
      </c>
    </row>
    <row r="60" spans="2:8">
      <c r="B60" s="196" t="str">
        <f t="shared" si="2"/>
        <v>EntryNationaal200</v>
      </c>
      <c r="C60" s="75" t="s">
        <v>45</v>
      </c>
      <c r="D60" s="75"/>
      <c r="E60" s="75" t="s">
        <v>266</v>
      </c>
      <c r="F60" s="152">
        <v>200</v>
      </c>
      <c r="G60" s="533">
        <v>1000</v>
      </c>
      <c r="H60" s="533">
        <v>1000</v>
      </c>
    </row>
    <row r="61" spans="2:8">
      <c r="B61" s="196" t="str">
        <f t="shared" si="2"/>
        <v>EntryNationaal300</v>
      </c>
      <c r="C61" s="75" t="s">
        <v>45</v>
      </c>
      <c r="D61" s="75"/>
      <c r="E61" s="75" t="s">
        <v>266</v>
      </c>
      <c r="F61" s="152">
        <v>300</v>
      </c>
      <c r="G61" s="533">
        <v>1000</v>
      </c>
      <c r="H61" s="533">
        <v>1000</v>
      </c>
    </row>
    <row r="62" spans="2:8">
      <c r="B62" s="196" t="str">
        <f t="shared" si="2"/>
        <v>EntryNationaal500</v>
      </c>
      <c r="C62" s="75" t="s">
        <v>45</v>
      </c>
      <c r="D62" s="75"/>
      <c r="E62" s="75" t="s">
        <v>266</v>
      </c>
      <c r="F62" s="152">
        <v>500</v>
      </c>
      <c r="G62" s="533">
        <v>1000</v>
      </c>
      <c r="H62" s="533">
        <v>1000</v>
      </c>
    </row>
    <row r="63" spans="2:8">
      <c r="B63" s="196" t="str">
        <f t="shared" si="2"/>
        <v>EntryNationaal800</v>
      </c>
      <c r="C63" s="75" t="s">
        <v>45</v>
      </c>
      <c r="D63" s="75"/>
      <c r="E63" s="75" t="s">
        <v>266</v>
      </c>
      <c r="F63" s="152">
        <v>800</v>
      </c>
      <c r="G63" s="533">
        <v>1000</v>
      </c>
      <c r="H63" s="533">
        <v>1000</v>
      </c>
    </row>
    <row r="64" spans="2:8">
      <c r="B64" s="196" t="str">
        <f t="shared" si="2"/>
        <v>EntryNationaal1000</v>
      </c>
      <c r="C64" s="75" t="s">
        <v>45</v>
      </c>
      <c r="D64" s="75"/>
      <c r="E64" s="75" t="s">
        <v>266</v>
      </c>
      <c r="F64" s="152">
        <v>1000</v>
      </c>
      <c r="G64" s="533">
        <v>1000</v>
      </c>
      <c r="H64" s="533">
        <v>1000</v>
      </c>
    </row>
    <row r="65" spans="2:9">
      <c r="B65" s="196" t="str">
        <f>C65&amp;D65&amp;E65&amp;F65</f>
        <v>PremiumCity1</v>
      </c>
      <c r="C65" s="75" t="s">
        <v>267</v>
      </c>
      <c r="D65" s="75"/>
      <c r="E65" s="75" t="s">
        <v>262</v>
      </c>
      <c r="F65" s="152">
        <v>1</v>
      </c>
      <c r="G65" s="533">
        <v>1000</v>
      </c>
      <c r="H65" s="533">
        <v>1000</v>
      </c>
      <c r="I65" t="s">
        <v>2153</v>
      </c>
    </row>
    <row r="66" spans="2:9">
      <c r="B66" s="196" t="str">
        <f t="shared" ref="B66:B83" si="3">C66&amp;D66&amp;E66&amp;F66</f>
        <v>PremiumCity2</v>
      </c>
      <c r="C66" s="75" t="s">
        <v>267</v>
      </c>
      <c r="D66" s="75"/>
      <c r="E66" s="75" t="s">
        <v>262</v>
      </c>
      <c r="F66" s="152">
        <v>2</v>
      </c>
      <c r="G66" s="533">
        <v>1000</v>
      </c>
      <c r="H66" s="533">
        <v>1000</v>
      </c>
    </row>
    <row r="67" spans="2:9">
      <c r="B67" s="196" t="str">
        <f t="shared" si="3"/>
        <v>PremiumCity3</v>
      </c>
      <c r="C67" s="75" t="s">
        <v>267</v>
      </c>
      <c r="D67" s="75"/>
      <c r="E67" s="75" t="s">
        <v>262</v>
      </c>
      <c r="F67" s="152">
        <v>3</v>
      </c>
      <c r="G67" s="533">
        <v>1000</v>
      </c>
      <c r="H67" s="533">
        <v>1000</v>
      </c>
    </row>
    <row r="68" spans="2:9">
      <c r="B68" s="196" t="str">
        <f t="shared" si="3"/>
        <v>PremiumCity4</v>
      </c>
      <c r="C68" s="75" t="s">
        <v>267</v>
      </c>
      <c r="D68" s="75"/>
      <c r="E68" s="75" t="s">
        <v>262</v>
      </c>
      <c r="F68" s="152">
        <v>4</v>
      </c>
      <c r="G68" s="533">
        <v>1000</v>
      </c>
      <c r="H68" s="533">
        <v>1000</v>
      </c>
    </row>
    <row r="69" spans="2:9">
      <c r="B69" s="196" t="str">
        <f t="shared" si="3"/>
        <v>PremiumCity5</v>
      </c>
      <c r="C69" s="75" t="s">
        <v>267</v>
      </c>
      <c r="D69" s="75"/>
      <c r="E69" s="75" t="s">
        <v>262</v>
      </c>
      <c r="F69" s="152">
        <v>5</v>
      </c>
      <c r="G69" s="533">
        <v>1000</v>
      </c>
      <c r="H69" s="533">
        <v>1000</v>
      </c>
    </row>
    <row r="70" spans="2:9">
      <c r="B70" s="196" t="str">
        <f t="shared" si="3"/>
        <v>PremiumCity6</v>
      </c>
      <c r="C70" s="75" t="s">
        <v>267</v>
      </c>
      <c r="D70" s="75"/>
      <c r="E70" s="75" t="s">
        <v>262</v>
      </c>
      <c r="F70" s="152">
        <v>6</v>
      </c>
      <c r="G70" s="533">
        <v>1000</v>
      </c>
      <c r="H70" s="533">
        <v>1000</v>
      </c>
    </row>
    <row r="71" spans="2:9">
      <c r="B71" s="196" t="str">
        <f t="shared" si="3"/>
        <v>PremiumCity8</v>
      </c>
      <c r="C71" s="75" t="s">
        <v>267</v>
      </c>
      <c r="D71" s="75"/>
      <c r="E71" s="75" t="s">
        <v>262</v>
      </c>
      <c r="F71" s="152">
        <v>8</v>
      </c>
      <c r="G71" s="533">
        <v>1000</v>
      </c>
      <c r="H71" s="533">
        <v>1000</v>
      </c>
    </row>
    <row r="72" spans="2:9">
      <c r="B72" s="196" t="str">
        <f t="shared" si="3"/>
        <v>PremiumCity10</v>
      </c>
      <c r="C72" s="75" t="s">
        <v>267</v>
      </c>
      <c r="D72" s="75"/>
      <c r="E72" s="75" t="s">
        <v>262</v>
      </c>
      <c r="F72" s="152">
        <v>10</v>
      </c>
      <c r="G72" s="533">
        <v>1000</v>
      </c>
      <c r="H72" s="533">
        <v>1000</v>
      </c>
    </row>
    <row r="73" spans="2:9">
      <c r="B73" s="196" t="str">
        <f t="shared" si="3"/>
        <v>PremiumCity15</v>
      </c>
      <c r="C73" s="75" t="s">
        <v>267</v>
      </c>
      <c r="D73" s="75"/>
      <c r="E73" s="75" t="s">
        <v>262</v>
      </c>
      <c r="F73" s="152">
        <v>15</v>
      </c>
      <c r="G73" s="533">
        <v>1000</v>
      </c>
      <c r="H73" s="533">
        <v>1000</v>
      </c>
    </row>
    <row r="74" spans="2:9">
      <c r="B74" s="196" t="str">
        <f t="shared" si="3"/>
        <v>PremiumCity20</v>
      </c>
      <c r="C74" s="75" t="s">
        <v>267</v>
      </c>
      <c r="D74" s="75"/>
      <c r="E74" s="75" t="s">
        <v>262</v>
      </c>
      <c r="F74" s="152">
        <v>20</v>
      </c>
      <c r="G74" s="533">
        <v>1000</v>
      </c>
      <c r="H74" s="533">
        <v>1000</v>
      </c>
    </row>
    <row r="75" spans="2:9">
      <c r="B75" s="196" t="str">
        <f t="shared" si="3"/>
        <v>PremiumCity30</v>
      </c>
      <c r="C75" s="75" t="s">
        <v>267</v>
      </c>
      <c r="D75" s="75"/>
      <c r="E75" s="75" t="s">
        <v>262</v>
      </c>
      <c r="F75" s="152">
        <v>30</v>
      </c>
      <c r="G75" s="533">
        <v>1000</v>
      </c>
      <c r="H75" s="533">
        <v>1000</v>
      </c>
    </row>
    <row r="76" spans="2:9">
      <c r="B76" s="196" t="str">
        <f t="shared" si="3"/>
        <v>PremiumCity50</v>
      </c>
      <c r="C76" s="75" t="s">
        <v>267</v>
      </c>
      <c r="D76" s="75"/>
      <c r="E76" s="75" t="s">
        <v>262</v>
      </c>
      <c r="F76" s="152">
        <v>50</v>
      </c>
      <c r="G76" s="533">
        <v>1000</v>
      </c>
      <c r="H76" s="533">
        <v>1000</v>
      </c>
    </row>
    <row r="77" spans="2:9">
      <c r="B77" s="196" t="str">
        <f t="shared" si="3"/>
        <v>PremiumCity80</v>
      </c>
      <c r="C77" s="75" t="s">
        <v>267</v>
      </c>
      <c r="D77" s="75"/>
      <c r="E77" s="75" t="s">
        <v>262</v>
      </c>
      <c r="F77" s="152">
        <v>80</v>
      </c>
      <c r="G77" s="533">
        <v>1000</v>
      </c>
      <c r="H77" s="533">
        <v>1000</v>
      </c>
    </row>
    <row r="78" spans="2:9">
      <c r="B78" s="196" t="str">
        <f t="shared" si="3"/>
        <v>PremiumCity100</v>
      </c>
      <c r="C78" s="75" t="s">
        <v>267</v>
      </c>
      <c r="D78" s="75"/>
      <c r="E78" s="75" t="s">
        <v>262</v>
      </c>
      <c r="F78" s="152">
        <v>100</v>
      </c>
      <c r="G78" s="533">
        <v>1000</v>
      </c>
      <c r="H78" s="533">
        <v>1000</v>
      </c>
    </row>
    <row r="79" spans="2:9">
      <c r="B79" s="196" t="str">
        <f t="shared" si="3"/>
        <v>PremiumCity200</v>
      </c>
      <c r="C79" s="75" t="s">
        <v>267</v>
      </c>
      <c r="D79" s="75"/>
      <c r="E79" s="75" t="s">
        <v>262</v>
      </c>
      <c r="F79" s="152">
        <v>200</v>
      </c>
      <c r="G79" s="533">
        <v>1000</v>
      </c>
      <c r="H79" s="533">
        <v>1000</v>
      </c>
    </row>
    <row r="80" spans="2:9">
      <c r="B80" s="196" t="str">
        <f t="shared" si="3"/>
        <v>PremiumCity300</v>
      </c>
      <c r="C80" s="75" t="s">
        <v>267</v>
      </c>
      <c r="D80" s="75"/>
      <c r="E80" s="75" t="s">
        <v>262</v>
      </c>
      <c r="F80" s="152">
        <v>300</v>
      </c>
      <c r="G80" s="533">
        <v>1000</v>
      </c>
      <c r="H80" s="533">
        <v>1000</v>
      </c>
    </row>
    <row r="81" spans="2:9">
      <c r="B81" s="196" t="str">
        <f t="shared" si="3"/>
        <v>PremiumCity500</v>
      </c>
      <c r="C81" s="75" t="s">
        <v>267</v>
      </c>
      <c r="D81" s="75"/>
      <c r="E81" s="75" t="s">
        <v>262</v>
      </c>
      <c r="F81" s="152">
        <v>500</v>
      </c>
      <c r="G81" s="533">
        <v>1000</v>
      </c>
      <c r="H81" s="533">
        <v>1000</v>
      </c>
    </row>
    <row r="82" spans="2:9">
      <c r="B82" s="196" t="str">
        <f t="shared" si="3"/>
        <v>PremiumCity800</v>
      </c>
      <c r="C82" s="75" t="s">
        <v>267</v>
      </c>
      <c r="D82" s="75"/>
      <c r="E82" s="75" t="s">
        <v>262</v>
      </c>
      <c r="F82" s="152">
        <v>800</v>
      </c>
      <c r="G82" s="533">
        <v>1000</v>
      </c>
      <c r="H82" s="533">
        <v>1000</v>
      </c>
    </row>
    <row r="83" spans="2:9">
      <c r="B83" s="196" t="str">
        <f t="shared" si="3"/>
        <v>PremiumCity1000</v>
      </c>
      <c r="C83" s="75" t="s">
        <v>267</v>
      </c>
      <c r="D83" s="75"/>
      <c r="E83" s="75" t="s">
        <v>262</v>
      </c>
      <c r="F83" s="152">
        <v>1000</v>
      </c>
      <c r="G83" s="533">
        <v>1000</v>
      </c>
      <c r="H83" s="533">
        <v>1000</v>
      </c>
    </row>
    <row r="84" spans="2:9">
      <c r="B84" s="196" t="str">
        <f>C84&amp;D84&amp;E84&amp;F84</f>
        <v>PremiumRegionaal1</v>
      </c>
      <c r="C84" s="75" t="s">
        <v>267</v>
      </c>
      <c r="D84" s="75"/>
      <c r="E84" s="75" t="s">
        <v>265</v>
      </c>
      <c r="F84" s="152">
        <v>1</v>
      </c>
      <c r="G84" s="533">
        <v>1000</v>
      </c>
      <c r="H84" s="533">
        <v>1000</v>
      </c>
      <c r="I84" t="s">
        <v>2153</v>
      </c>
    </row>
    <row r="85" spans="2:9">
      <c r="B85" s="196" t="str">
        <f t="shared" ref="B85:B102" si="4">C85&amp;D85&amp;E85&amp;F85</f>
        <v>PremiumRegionaal2</v>
      </c>
      <c r="C85" s="75" t="s">
        <v>267</v>
      </c>
      <c r="D85" s="75"/>
      <c r="E85" s="75" t="s">
        <v>265</v>
      </c>
      <c r="F85" s="152">
        <v>2</v>
      </c>
      <c r="G85" s="533">
        <v>1000</v>
      </c>
      <c r="H85" s="533">
        <v>1000</v>
      </c>
    </row>
    <row r="86" spans="2:9">
      <c r="B86" s="196" t="str">
        <f t="shared" si="4"/>
        <v>PremiumRegionaal3</v>
      </c>
      <c r="C86" s="75" t="s">
        <v>267</v>
      </c>
      <c r="D86" s="75"/>
      <c r="E86" s="75" t="s">
        <v>265</v>
      </c>
      <c r="F86" s="152">
        <v>3</v>
      </c>
      <c r="G86" s="533">
        <v>1000</v>
      </c>
      <c r="H86" s="533">
        <v>1000</v>
      </c>
    </row>
    <row r="87" spans="2:9">
      <c r="B87" s="196" t="str">
        <f t="shared" si="4"/>
        <v>PremiumRegionaal4</v>
      </c>
      <c r="C87" s="75" t="s">
        <v>267</v>
      </c>
      <c r="D87" s="75"/>
      <c r="E87" s="75" t="s">
        <v>265</v>
      </c>
      <c r="F87" s="152">
        <v>4</v>
      </c>
      <c r="G87" s="533">
        <v>1000</v>
      </c>
      <c r="H87" s="533">
        <v>1000</v>
      </c>
    </row>
    <row r="88" spans="2:9">
      <c r="B88" s="196" t="str">
        <f t="shared" si="4"/>
        <v>PremiumRegionaal5</v>
      </c>
      <c r="C88" s="75" t="s">
        <v>267</v>
      </c>
      <c r="D88" s="75"/>
      <c r="E88" s="75" t="s">
        <v>265</v>
      </c>
      <c r="F88" s="152">
        <v>5</v>
      </c>
      <c r="G88" s="533">
        <v>1000</v>
      </c>
      <c r="H88" s="533">
        <v>1000</v>
      </c>
    </row>
    <row r="89" spans="2:9">
      <c r="B89" s="196" t="str">
        <f t="shared" si="4"/>
        <v>PremiumRegionaal6</v>
      </c>
      <c r="C89" s="75" t="s">
        <v>267</v>
      </c>
      <c r="D89" s="75"/>
      <c r="E89" s="75" t="s">
        <v>265</v>
      </c>
      <c r="F89" s="152">
        <v>6</v>
      </c>
      <c r="G89" s="533">
        <v>1000</v>
      </c>
      <c r="H89" s="533">
        <v>1000</v>
      </c>
    </row>
    <row r="90" spans="2:9">
      <c r="B90" s="196" t="str">
        <f t="shared" si="4"/>
        <v>PremiumRegionaal8</v>
      </c>
      <c r="C90" s="75" t="s">
        <v>267</v>
      </c>
      <c r="D90" s="75"/>
      <c r="E90" s="75" t="s">
        <v>265</v>
      </c>
      <c r="F90" s="152">
        <v>8</v>
      </c>
      <c r="G90" s="533">
        <v>1000</v>
      </c>
      <c r="H90" s="533">
        <v>1000</v>
      </c>
    </row>
    <row r="91" spans="2:9">
      <c r="B91" s="196" t="str">
        <f t="shared" si="4"/>
        <v>PremiumRegionaal10</v>
      </c>
      <c r="C91" s="75" t="s">
        <v>267</v>
      </c>
      <c r="D91" s="75"/>
      <c r="E91" s="75" t="s">
        <v>265</v>
      </c>
      <c r="F91" s="152">
        <v>10</v>
      </c>
      <c r="G91" s="533">
        <v>1000</v>
      </c>
      <c r="H91" s="533">
        <v>1000</v>
      </c>
    </row>
    <row r="92" spans="2:9">
      <c r="B92" s="196" t="str">
        <f t="shared" si="4"/>
        <v>PremiumRegionaal15</v>
      </c>
      <c r="C92" s="75" t="s">
        <v>267</v>
      </c>
      <c r="D92" s="75"/>
      <c r="E92" s="75" t="s">
        <v>265</v>
      </c>
      <c r="F92" s="152">
        <v>15</v>
      </c>
      <c r="G92" s="533">
        <v>1000</v>
      </c>
      <c r="H92" s="533">
        <v>1000</v>
      </c>
    </row>
    <row r="93" spans="2:9">
      <c r="B93" s="196" t="str">
        <f t="shared" si="4"/>
        <v>PremiumRegionaal20</v>
      </c>
      <c r="C93" s="75" t="s">
        <v>267</v>
      </c>
      <c r="D93" s="75"/>
      <c r="E93" s="75" t="s">
        <v>265</v>
      </c>
      <c r="F93" s="152">
        <v>20</v>
      </c>
      <c r="G93" s="533">
        <v>1000</v>
      </c>
      <c r="H93" s="533">
        <v>1000</v>
      </c>
    </row>
    <row r="94" spans="2:9">
      <c r="B94" s="196" t="str">
        <f t="shared" si="4"/>
        <v>PremiumRegionaal30</v>
      </c>
      <c r="C94" s="75" t="s">
        <v>267</v>
      </c>
      <c r="D94" s="75"/>
      <c r="E94" s="75" t="s">
        <v>265</v>
      </c>
      <c r="F94" s="152">
        <v>30</v>
      </c>
      <c r="G94" s="533">
        <v>1000</v>
      </c>
      <c r="H94" s="533">
        <v>1000</v>
      </c>
    </row>
    <row r="95" spans="2:9">
      <c r="B95" s="196" t="str">
        <f t="shared" si="4"/>
        <v>PremiumRegionaal50</v>
      </c>
      <c r="C95" s="75" t="s">
        <v>267</v>
      </c>
      <c r="D95" s="75"/>
      <c r="E95" s="75" t="s">
        <v>265</v>
      </c>
      <c r="F95" s="152">
        <v>50</v>
      </c>
      <c r="G95" s="533">
        <v>1000</v>
      </c>
      <c r="H95" s="533">
        <v>1000</v>
      </c>
    </row>
    <row r="96" spans="2:9">
      <c r="B96" s="196" t="str">
        <f t="shared" si="4"/>
        <v>PremiumRegionaal80</v>
      </c>
      <c r="C96" s="75" t="s">
        <v>267</v>
      </c>
      <c r="D96" s="75"/>
      <c r="E96" s="75" t="s">
        <v>265</v>
      </c>
      <c r="F96" s="152">
        <v>80</v>
      </c>
      <c r="G96" s="533">
        <v>1000</v>
      </c>
      <c r="H96" s="533">
        <v>1000</v>
      </c>
    </row>
    <row r="97" spans="2:9">
      <c r="B97" s="196" t="str">
        <f t="shared" si="4"/>
        <v>PremiumRegionaal100</v>
      </c>
      <c r="C97" s="75" t="s">
        <v>267</v>
      </c>
      <c r="D97" s="75"/>
      <c r="E97" s="75" t="s">
        <v>265</v>
      </c>
      <c r="F97" s="152">
        <v>100</v>
      </c>
      <c r="G97" s="533">
        <v>1000</v>
      </c>
      <c r="H97" s="533">
        <v>1000</v>
      </c>
    </row>
    <row r="98" spans="2:9">
      <c r="B98" s="196" t="str">
        <f t="shared" si="4"/>
        <v>PremiumRegionaal200</v>
      </c>
      <c r="C98" s="75" t="s">
        <v>267</v>
      </c>
      <c r="D98" s="75"/>
      <c r="E98" s="75" t="s">
        <v>265</v>
      </c>
      <c r="F98" s="152">
        <v>200</v>
      </c>
      <c r="G98" s="533">
        <v>1000</v>
      </c>
      <c r="H98" s="533">
        <v>1000</v>
      </c>
    </row>
    <row r="99" spans="2:9">
      <c r="B99" s="196" t="str">
        <f t="shared" si="4"/>
        <v>PremiumRegionaal300</v>
      </c>
      <c r="C99" s="75" t="s">
        <v>267</v>
      </c>
      <c r="D99" s="75"/>
      <c r="E99" s="75" t="s">
        <v>265</v>
      </c>
      <c r="F99" s="152">
        <v>300</v>
      </c>
      <c r="G99" s="533">
        <v>1000</v>
      </c>
      <c r="H99" s="533">
        <v>1000</v>
      </c>
    </row>
    <row r="100" spans="2:9">
      <c r="B100" s="196" t="str">
        <f t="shared" si="4"/>
        <v>PremiumRegionaal500</v>
      </c>
      <c r="C100" s="75" t="s">
        <v>267</v>
      </c>
      <c r="D100" s="75"/>
      <c r="E100" s="75" t="s">
        <v>265</v>
      </c>
      <c r="F100" s="152">
        <v>500</v>
      </c>
      <c r="G100" s="533">
        <v>1000</v>
      </c>
      <c r="H100" s="533">
        <v>1000</v>
      </c>
    </row>
    <row r="101" spans="2:9">
      <c r="B101" s="196" t="str">
        <f t="shared" si="4"/>
        <v>PremiumRegionaal800</v>
      </c>
      <c r="C101" s="75" t="s">
        <v>267</v>
      </c>
      <c r="D101" s="75"/>
      <c r="E101" s="75" t="s">
        <v>265</v>
      </c>
      <c r="F101" s="152">
        <v>800</v>
      </c>
      <c r="G101" s="533">
        <v>1000</v>
      </c>
      <c r="H101" s="533">
        <v>1000</v>
      </c>
    </row>
    <row r="102" spans="2:9">
      <c r="B102" s="196" t="str">
        <f t="shared" si="4"/>
        <v>PremiumRegionaal1000</v>
      </c>
      <c r="C102" s="75" t="s">
        <v>267</v>
      </c>
      <c r="D102" s="75"/>
      <c r="E102" s="75" t="s">
        <v>265</v>
      </c>
      <c r="F102" s="152">
        <v>1000</v>
      </c>
      <c r="G102" s="533">
        <v>1000</v>
      </c>
      <c r="H102" s="533">
        <v>1000</v>
      </c>
    </row>
    <row r="103" spans="2:9">
      <c r="B103" s="196" t="str">
        <f>C103&amp;D103&amp;E103&amp;F103</f>
        <v>PremiumNationaal1</v>
      </c>
      <c r="C103" s="75" t="s">
        <v>267</v>
      </c>
      <c r="D103" s="75"/>
      <c r="E103" s="75" t="s">
        <v>266</v>
      </c>
      <c r="F103" s="152">
        <v>1</v>
      </c>
      <c r="G103" s="533">
        <v>1000</v>
      </c>
      <c r="H103" s="533">
        <v>1000</v>
      </c>
      <c r="I103" t="s">
        <v>2153</v>
      </c>
    </row>
    <row r="104" spans="2:9">
      <c r="B104" s="196" t="str">
        <f t="shared" ref="B104:B131" si="5">C104&amp;D104&amp;E104&amp;F104</f>
        <v>PremiumNationaal2</v>
      </c>
      <c r="C104" s="75" t="s">
        <v>267</v>
      </c>
      <c r="D104" s="75"/>
      <c r="E104" s="75" t="s">
        <v>266</v>
      </c>
      <c r="F104" s="152">
        <v>2</v>
      </c>
      <c r="G104" s="533">
        <v>1000</v>
      </c>
      <c r="H104" s="533">
        <v>1000</v>
      </c>
    </row>
    <row r="105" spans="2:9">
      <c r="B105" s="196" t="str">
        <f t="shared" si="5"/>
        <v>PremiumNationaal3</v>
      </c>
      <c r="C105" s="75" t="s">
        <v>267</v>
      </c>
      <c r="D105" s="75"/>
      <c r="E105" s="75" t="s">
        <v>266</v>
      </c>
      <c r="F105" s="152">
        <v>3</v>
      </c>
      <c r="G105" s="533">
        <v>1000</v>
      </c>
      <c r="H105" s="533">
        <v>1000</v>
      </c>
    </row>
    <row r="106" spans="2:9">
      <c r="B106" s="196" t="str">
        <f t="shared" si="5"/>
        <v>PremiumNationaal4</v>
      </c>
      <c r="C106" s="75" t="s">
        <v>267</v>
      </c>
      <c r="D106" s="75"/>
      <c r="E106" s="75" t="s">
        <v>266</v>
      </c>
      <c r="F106" s="152">
        <v>4</v>
      </c>
      <c r="G106" s="533">
        <v>1000</v>
      </c>
      <c r="H106" s="533">
        <v>1000</v>
      </c>
    </row>
    <row r="107" spans="2:9">
      <c r="B107" s="196" t="str">
        <f t="shared" si="5"/>
        <v>PremiumNationaal5</v>
      </c>
      <c r="C107" s="75" t="s">
        <v>267</v>
      </c>
      <c r="D107" s="75"/>
      <c r="E107" s="75" t="s">
        <v>266</v>
      </c>
      <c r="F107" s="152">
        <v>5</v>
      </c>
      <c r="G107" s="533">
        <v>1000</v>
      </c>
      <c r="H107" s="533">
        <v>1000</v>
      </c>
    </row>
    <row r="108" spans="2:9">
      <c r="B108" s="196" t="str">
        <f t="shared" si="5"/>
        <v>PremiumNationaal6</v>
      </c>
      <c r="C108" s="75" t="s">
        <v>267</v>
      </c>
      <c r="D108" s="75"/>
      <c r="E108" s="75" t="s">
        <v>266</v>
      </c>
      <c r="F108" s="152">
        <v>6</v>
      </c>
      <c r="G108" s="533">
        <v>1000</v>
      </c>
      <c r="H108" s="533">
        <v>1000</v>
      </c>
    </row>
    <row r="109" spans="2:9">
      <c r="B109" s="196" t="str">
        <f t="shared" si="5"/>
        <v>PremiumNationaal8</v>
      </c>
      <c r="C109" s="75" t="s">
        <v>267</v>
      </c>
      <c r="D109" s="75"/>
      <c r="E109" s="75" t="s">
        <v>266</v>
      </c>
      <c r="F109" s="152">
        <v>8</v>
      </c>
      <c r="G109" s="533">
        <v>1000</v>
      </c>
      <c r="H109" s="533">
        <v>1000</v>
      </c>
    </row>
    <row r="110" spans="2:9">
      <c r="B110" s="196" t="str">
        <f t="shared" si="5"/>
        <v>PremiumNationaal10</v>
      </c>
      <c r="C110" s="75" t="s">
        <v>267</v>
      </c>
      <c r="D110" s="75"/>
      <c r="E110" s="75" t="s">
        <v>266</v>
      </c>
      <c r="F110" s="152">
        <v>10</v>
      </c>
      <c r="G110" s="533">
        <v>1000</v>
      </c>
      <c r="H110" s="533">
        <v>1000</v>
      </c>
    </row>
    <row r="111" spans="2:9">
      <c r="B111" s="196" t="str">
        <f t="shared" si="5"/>
        <v>PremiumNationaal15</v>
      </c>
      <c r="C111" s="75" t="s">
        <v>267</v>
      </c>
      <c r="D111" s="75"/>
      <c r="E111" s="75" t="s">
        <v>266</v>
      </c>
      <c r="F111" s="152">
        <v>15</v>
      </c>
      <c r="G111" s="533">
        <v>1000</v>
      </c>
      <c r="H111" s="533">
        <v>1000</v>
      </c>
    </row>
    <row r="112" spans="2:9">
      <c r="B112" s="196" t="str">
        <f t="shared" si="5"/>
        <v>PremiumNationaal20</v>
      </c>
      <c r="C112" s="75" t="s">
        <v>267</v>
      </c>
      <c r="D112" s="75"/>
      <c r="E112" s="75" t="s">
        <v>266</v>
      </c>
      <c r="F112" s="152">
        <v>20</v>
      </c>
      <c r="G112" s="533">
        <v>1000</v>
      </c>
      <c r="H112" s="533">
        <v>1000</v>
      </c>
    </row>
    <row r="113" spans="2:8">
      <c r="B113" s="196" t="str">
        <f t="shared" si="5"/>
        <v>PremiumNationaal30</v>
      </c>
      <c r="C113" s="75" t="s">
        <v>267</v>
      </c>
      <c r="D113" s="75"/>
      <c r="E113" s="75" t="s">
        <v>266</v>
      </c>
      <c r="F113" s="152">
        <v>30</v>
      </c>
      <c r="G113" s="533">
        <v>1000</v>
      </c>
      <c r="H113" s="533">
        <v>1000</v>
      </c>
    </row>
    <row r="114" spans="2:8">
      <c r="B114" s="196" t="str">
        <f t="shared" si="5"/>
        <v>PremiumNationaal50</v>
      </c>
      <c r="C114" s="75" t="s">
        <v>267</v>
      </c>
      <c r="D114" s="75"/>
      <c r="E114" s="75" t="s">
        <v>266</v>
      </c>
      <c r="F114" s="152">
        <v>50</v>
      </c>
      <c r="G114" s="533">
        <v>1000</v>
      </c>
      <c r="H114" s="533">
        <v>1000</v>
      </c>
    </row>
    <row r="115" spans="2:8">
      <c r="B115" s="196" t="str">
        <f t="shared" si="5"/>
        <v>PremiumNationaal80</v>
      </c>
      <c r="C115" s="75" t="s">
        <v>267</v>
      </c>
      <c r="D115" s="75"/>
      <c r="E115" s="75" t="s">
        <v>266</v>
      </c>
      <c r="F115" s="152">
        <v>80</v>
      </c>
      <c r="G115" s="533">
        <v>1000</v>
      </c>
      <c r="H115" s="533">
        <v>1000</v>
      </c>
    </row>
    <row r="116" spans="2:8">
      <c r="B116" s="196" t="str">
        <f t="shared" si="5"/>
        <v>PremiumNationaal100</v>
      </c>
      <c r="C116" s="75" t="s">
        <v>267</v>
      </c>
      <c r="D116" s="75"/>
      <c r="E116" s="75" t="s">
        <v>266</v>
      </c>
      <c r="F116" s="152">
        <v>100</v>
      </c>
      <c r="G116" s="533">
        <v>1000</v>
      </c>
      <c r="H116" s="533">
        <v>1000</v>
      </c>
    </row>
    <row r="117" spans="2:8">
      <c r="B117" s="196" t="str">
        <f t="shared" si="5"/>
        <v>PremiumNationaal200</v>
      </c>
      <c r="C117" s="75" t="s">
        <v>267</v>
      </c>
      <c r="D117" s="75"/>
      <c r="E117" s="75" t="s">
        <v>266</v>
      </c>
      <c r="F117" s="152">
        <v>200</v>
      </c>
      <c r="G117" s="533">
        <v>1000</v>
      </c>
      <c r="H117" s="533">
        <v>1000</v>
      </c>
    </row>
    <row r="118" spans="2:8">
      <c r="B118" s="196" t="str">
        <f t="shared" si="5"/>
        <v>PremiumNationaal300</v>
      </c>
      <c r="C118" s="75" t="s">
        <v>267</v>
      </c>
      <c r="D118" s="75"/>
      <c r="E118" s="75" t="s">
        <v>266</v>
      </c>
      <c r="F118" s="152">
        <v>300</v>
      </c>
      <c r="G118" s="533">
        <v>1000</v>
      </c>
      <c r="H118" s="533">
        <v>1000</v>
      </c>
    </row>
    <row r="119" spans="2:8">
      <c r="B119" s="196" t="str">
        <f t="shared" si="5"/>
        <v>PremiumNationaal500</v>
      </c>
      <c r="C119" s="75" t="s">
        <v>267</v>
      </c>
      <c r="D119" s="75"/>
      <c r="E119" s="75" t="s">
        <v>266</v>
      </c>
      <c r="F119" s="152">
        <v>500</v>
      </c>
      <c r="G119" s="533">
        <v>1000</v>
      </c>
      <c r="H119" s="533">
        <v>1000</v>
      </c>
    </row>
    <row r="120" spans="2:8">
      <c r="B120" s="196" t="str">
        <f t="shared" si="5"/>
        <v>PremiumNationaal800</v>
      </c>
      <c r="C120" s="75" t="s">
        <v>267</v>
      </c>
      <c r="D120" s="75"/>
      <c r="E120" s="75" t="s">
        <v>266</v>
      </c>
      <c r="F120" s="152">
        <v>800</v>
      </c>
      <c r="G120" s="533">
        <v>1000</v>
      </c>
      <c r="H120" s="533">
        <v>1000</v>
      </c>
    </row>
    <row r="121" spans="2:8">
      <c r="B121" s="196" t="str">
        <f t="shared" si="5"/>
        <v>PremiumNationaal1000</v>
      </c>
      <c r="C121" s="75" t="s">
        <v>267</v>
      </c>
      <c r="D121" s="75"/>
      <c r="E121" s="75" t="s">
        <v>266</v>
      </c>
      <c r="F121" s="152">
        <v>1000</v>
      </c>
      <c r="G121" s="533">
        <v>1000</v>
      </c>
      <c r="H121" s="533">
        <v>1000</v>
      </c>
    </row>
    <row r="122" spans="2:8">
      <c r="B122" s="74"/>
      <c r="C122" s="75"/>
      <c r="D122" s="75"/>
      <c r="E122" s="75"/>
      <c r="F122"/>
      <c r="G122" s="183"/>
      <c r="H122" s="183"/>
    </row>
    <row r="123" spans="2:8">
      <c r="B123" s="196" t="str">
        <f t="shared" si="5"/>
        <v>Premium2e PVCCity1</v>
      </c>
      <c r="C123" s="75" t="s">
        <v>267</v>
      </c>
      <c r="D123" s="75" t="s">
        <v>440</v>
      </c>
      <c r="E123" s="75" t="s">
        <v>262</v>
      </c>
      <c r="F123" s="152">
        <v>1</v>
      </c>
      <c r="G123" s="533">
        <v>1000</v>
      </c>
      <c r="H123" s="533">
        <v>1000</v>
      </c>
    </row>
    <row r="124" spans="2:8">
      <c r="B124" s="196" t="str">
        <f t="shared" si="5"/>
        <v>Premium2e PVCCity2</v>
      </c>
      <c r="C124" s="75" t="s">
        <v>267</v>
      </c>
      <c r="D124" s="75" t="s">
        <v>440</v>
      </c>
      <c r="E124" s="75" t="s">
        <v>262</v>
      </c>
      <c r="F124" s="152">
        <v>2</v>
      </c>
      <c r="G124" s="533">
        <v>1000</v>
      </c>
      <c r="H124" s="533">
        <v>1000</v>
      </c>
    </row>
    <row r="125" spans="2:8">
      <c r="B125" s="196" t="str">
        <f t="shared" si="5"/>
        <v>Premium2e PVCCity4</v>
      </c>
      <c r="C125" s="75" t="s">
        <v>267</v>
      </c>
      <c r="D125" s="75" t="s">
        <v>440</v>
      </c>
      <c r="E125" s="75" t="s">
        <v>262</v>
      </c>
      <c r="F125" s="152">
        <v>4</v>
      </c>
      <c r="G125" s="533">
        <v>1000</v>
      </c>
      <c r="H125" s="533">
        <v>1000</v>
      </c>
    </row>
    <row r="126" spans="2:8">
      <c r="B126" s="196" t="str">
        <f t="shared" si="5"/>
        <v>Premium2e PVCRegionaal1</v>
      </c>
      <c r="C126" s="75" t="s">
        <v>267</v>
      </c>
      <c r="D126" s="75" t="s">
        <v>440</v>
      </c>
      <c r="E126" s="75" t="s">
        <v>265</v>
      </c>
      <c r="F126" s="152">
        <v>1</v>
      </c>
      <c r="G126" s="533">
        <v>1000</v>
      </c>
      <c r="H126" s="533">
        <v>1000</v>
      </c>
    </row>
    <row r="127" spans="2:8">
      <c r="B127" s="196" t="str">
        <f t="shared" si="5"/>
        <v>Premium2e PVCRegionaal2</v>
      </c>
      <c r="C127" s="75" t="s">
        <v>267</v>
      </c>
      <c r="D127" s="75" t="s">
        <v>440</v>
      </c>
      <c r="E127" s="75" t="s">
        <v>265</v>
      </c>
      <c r="F127" s="152">
        <v>2</v>
      </c>
      <c r="G127" s="533">
        <v>1000</v>
      </c>
      <c r="H127" s="533">
        <v>1000</v>
      </c>
    </row>
    <row r="128" spans="2:8">
      <c r="B128" s="196" t="str">
        <f t="shared" si="5"/>
        <v>Premium2e PVCRegionaal4</v>
      </c>
      <c r="C128" s="75" t="s">
        <v>267</v>
      </c>
      <c r="D128" s="75" t="s">
        <v>440</v>
      </c>
      <c r="E128" s="75" t="s">
        <v>265</v>
      </c>
      <c r="F128" s="152">
        <v>4</v>
      </c>
      <c r="G128" s="533">
        <v>1000</v>
      </c>
      <c r="H128" s="533">
        <v>1000</v>
      </c>
    </row>
    <row r="129" spans="2:10">
      <c r="B129" s="196" t="str">
        <f t="shared" si="5"/>
        <v>Premium2e PVCNationaal1</v>
      </c>
      <c r="C129" s="75" t="s">
        <v>267</v>
      </c>
      <c r="D129" s="75" t="s">
        <v>440</v>
      </c>
      <c r="E129" s="75" t="s">
        <v>266</v>
      </c>
      <c r="F129" s="152">
        <v>1</v>
      </c>
      <c r="G129" s="533">
        <v>1000</v>
      </c>
      <c r="H129" s="533">
        <v>1000</v>
      </c>
    </row>
    <row r="130" spans="2:10">
      <c r="B130" s="196" t="str">
        <f t="shared" si="5"/>
        <v>Premium2e PVCNationaal2</v>
      </c>
      <c r="C130" s="75" t="s">
        <v>267</v>
      </c>
      <c r="D130" s="75" t="s">
        <v>440</v>
      </c>
      <c r="E130" s="75" t="s">
        <v>266</v>
      </c>
      <c r="F130" s="152">
        <v>2</v>
      </c>
      <c r="G130" s="533">
        <v>1000</v>
      </c>
      <c r="H130" s="533">
        <v>1000</v>
      </c>
    </row>
    <row r="131" spans="2:10">
      <c r="B131" s="196" t="str">
        <f t="shared" si="5"/>
        <v>Premium2e PVCNationaal4</v>
      </c>
      <c r="C131" s="75" t="s">
        <v>267</v>
      </c>
      <c r="D131" s="75" t="s">
        <v>440</v>
      </c>
      <c r="E131" s="75" t="s">
        <v>266</v>
      </c>
      <c r="F131" s="152">
        <v>4</v>
      </c>
      <c r="G131" s="533">
        <v>1000</v>
      </c>
      <c r="H131" s="533">
        <v>1000</v>
      </c>
    </row>
    <row r="132" spans="2:10">
      <c r="B132" s="74"/>
      <c r="C132" s="75"/>
      <c r="D132" s="75"/>
      <c r="E132" s="152"/>
      <c r="F132"/>
      <c r="G132" s="183"/>
      <c r="H132" s="183"/>
    </row>
    <row r="133" spans="2:10">
      <c r="B133" s="78"/>
      <c r="C133" s="71"/>
      <c r="D133" s="63"/>
      <c r="E133" s="63"/>
      <c r="F133" s="63"/>
      <c r="G133" s="160"/>
      <c r="H133" s="160"/>
    </row>
    <row r="134" spans="2:10" ht="18">
      <c r="B134" s="79" t="s">
        <v>258</v>
      </c>
      <c r="C134" s="81"/>
      <c r="D134" s="82"/>
      <c r="E134" s="82"/>
      <c r="F134" s="82"/>
      <c r="G134" s="199"/>
      <c r="H134" s="199"/>
    </row>
    <row r="135" spans="2:10">
      <c r="B135" s="70"/>
      <c r="C135" s="84"/>
      <c r="D135" s="72"/>
      <c r="E135" s="72"/>
      <c r="F135" s="72"/>
      <c r="G135" s="200"/>
      <c r="H135" s="200"/>
    </row>
    <row r="136" spans="2:10">
      <c r="B136" s="73" t="s">
        <v>202</v>
      </c>
      <c r="C136" s="73" t="s">
        <v>354</v>
      </c>
      <c r="D136" s="73" t="s">
        <v>271</v>
      </c>
      <c r="E136" s="71" t="s">
        <v>273</v>
      </c>
      <c r="F136" s="86" t="s">
        <v>272</v>
      </c>
      <c r="G136" s="201" t="s">
        <v>187</v>
      </c>
      <c r="H136" s="201" t="s">
        <v>188</v>
      </c>
      <c r="J136" s="95"/>
    </row>
    <row r="137" spans="2:10">
      <c r="B137" s="196" t="str">
        <f t="shared" ref="B137:B141" si="6">C137&amp;D137&amp;E137&amp;F137</f>
        <v>EoKStandard Access koper 3mbHoogOn-net (NLS1, 2)</v>
      </c>
      <c r="C137" s="75" t="s">
        <v>303</v>
      </c>
      <c r="D137" s="75" t="s">
        <v>268</v>
      </c>
      <c r="E137" s="77" t="s">
        <v>274</v>
      </c>
      <c r="F137" s="75" t="s">
        <v>281</v>
      </c>
      <c r="G137" s="533">
        <v>1000</v>
      </c>
      <c r="H137" s="533">
        <v>1000</v>
      </c>
    </row>
    <row r="138" spans="2:10">
      <c r="B138" s="196" t="str">
        <f t="shared" si="6"/>
        <v>EoKStandard Access koper 5mbHoogOn-net (NLS1, 2)</v>
      </c>
      <c r="C138" s="75" t="s">
        <v>303</v>
      </c>
      <c r="D138" s="75" t="s">
        <v>276</v>
      </c>
      <c r="E138" s="77" t="s">
        <v>274</v>
      </c>
      <c r="F138" s="75" t="s">
        <v>281</v>
      </c>
      <c r="G138" s="533">
        <v>1000</v>
      </c>
      <c r="H138" s="533">
        <v>1000</v>
      </c>
    </row>
    <row r="139" spans="2:10">
      <c r="B139" s="196" t="str">
        <f t="shared" si="6"/>
        <v>EoKStandard Access koper 10mbHoogOn-net (NLS1, 2)</v>
      </c>
      <c r="C139" s="75" t="s">
        <v>303</v>
      </c>
      <c r="D139" s="75" t="s">
        <v>277</v>
      </c>
      <c r="E139" s="77" t="s">
        <v>274</v>
      </c>
      <c r="F139" s="75" t="s">
        <v>281</v>
      </c>
      <c r="G139" s="533">
        <v>1000</v>
      </c>
      <c r="H139" s="533">
        <v>1000</v>
      </c>
    </row>
    <row r="140" spans="2:10">
      <c r="B140" s="196" t="str">
        <f t="shared" si="6"/>
        <v>EoKStandard Access koper 15mbHoogOn-net (NLS1, 2)</v>
      </c>
      <c r="C140" s="75" t="s">
        <v>303</v>
      </c>
      <c r="D140" s="75" t="s">
        <v>278</v>
      </c>
      <c r="E140" s="77" t="s">
        <v>274</v>
      </c>
      <c r="F140" s="75" t="s">
        <v>281</v>
      </c>
      <c r="G140" s="533">
        <v>1000</v>
      </c>
      <c r="H140" s="533">
        <v>1000</v>
      </c>
    </row>
    <row r="141" spans="2:10">
      <c r="B141" s="196" t="str">
        <f t="shared" si="6"/>
        <v>EoKStandard Access koper 20mbHoogOn-net (NLS1, 2)</v>
      </c>
      <c r="C141" s="75" t="s">
        <v>303</v>
      </c>
      <c r="D141" s="75" t="s">
        <v>279</v>
      </c>
      <c r="E141" s="77" t="s">
        <v>274</v>
      </c>
      <c r="F141" s="75" t="s">
        <v>281</v>
      </c>
      <c r="G141" s="533">
        <v>1000</v>
      </c>
      <c r="H141" s="533">
        <v>1000</v>
      </c>
    </row>
    <row r="142" spans="2:10">
      <c r="B142" s="75"/>
      <c r="C142" s="75"/>
      <c r="D142" s="75"/>
      <c r="E142" s="77"/>
      <c r="F142" s="75"/>
      <c r="G142" s="75"/>
      <c r="H142" s="75"/>
    </row>
    <row r="143" spans="2:10">
      <c r="B143" s="75"/>
      <c r="C143" s="75"/>
      <c r="D143" s="75"/>
      <c r="E143" s="77"/>
      <c r="F143" s="75"/>
      <c r="G143" s="75"/>
      <c r="H143" s="75"/>
    </row>
    <row r="144" spans="2:10">
      <c r="B144" s="196" t="str">
        <f t="shared" ref="B144:B153" si="7">C144&amp;D144&amp;E144&amp;F144</f>
        <v>EoKStandard Access koper 3mbHoogOn-net (NLS3)</v>
      </c>
      <c r="C144" s="75" t="s">
        <v>303</v>
      </c>
      <c r="D144" s="75" t="s">
        <v>268</v>
      </c>
      <c r="E144" s="77" t="s">
        <v>274</v>
      </c>
      <c r="F144" s="75" t="s">
        <v>3398</v>
      </c>
      <c r="G144" s="533">
        <f>G137</f>
        <v>1000</v>
      </c>
      <c r="H144" s="533">
        <f>H137+525*0</f>
        <v>1000</v>
      </c>
    </row>
    <row r="145" spans="2:8">
      <c r="B145" s="196" t="str">
        <f t="shared" si="7"/>
        <v>EoKStandard Access koper 5mbHoogOn-net (NLS3)</v>
      </c>
      <c r="C145" s="75" t="s">
        <v>303</v>
      </c>
      <c r="D145" s="75" t="s">
        <v>276</v>
      </c>
      <c r="E145" s="77" t="s">
        <v>274</v>
      </c>
      <c r="F145" s="75" t="s">
        <v>3398</v>
      </c>
      <c r="G145" s="533">
        <f>G138</f>
        <v>1000</v>
      </c>
      <c r="H145" s="533">
        <f>H138+525*0</f>
        <v>1000</v>
      </c>
    </row>
    <row r="146" spans="2:8">
      <c r="B146" s="196" t="str">
        <f t="shared" si="7"/>
        <v>EoKStandard Access koper 10mbHoogOn-net (NLS3)</v>
      </c>
      <c r="C146" s="75" t="s">
        <v>303</v>
      </c>
      <c r="D146" s="75" t="s">
        <v>277</v>
      </c>
      <c r="E146" s="77" t="s">
        <v>274</v>
      </c>
      <c r="F146" s="75" t="s">
        <v>3398</v>
      </c>
      <c r="G146" s="533">
        <f>G139</f>
        <v>1000</v>
      </c>
      <c r="H146" s="533">
        <f>H139+525*0</f>
        <v>1000</v>
      </c>
    </row>
    <row r="147" spans="2:8">
      <c r="B147" s="196" t="str">
        <f t="shared" si="7"/>
        <v>EoKStandard Access koper 15mbHoogOn-net (NLS3)</v>
      </c>
      <c r="C147" s="75" t="s">
        <v>303</v>
      </c>
      <c r="D147" s="75" t="s">
        <v>278</v>
      </c>
      <c r="E147" s="77" t="s">
        <v>274</v>
      </c>
      <c r="F147" s="75" t="s">
        <v>3398</v>
      </c>
      <c r="G147" s="533">
        <f>G140</f>
        <v>1000</v>
      </c>
      <c r="H147" s="533">
        <f>H140+525*0</f>
        <v>1000</v>
      </c>
    </row>
    <row r="148" spans="2:8">
      <c r="B148" s="196" t="str">
        <f t="shared" si="7"/>
        <v>EoKStandard Access koper 20mbHoogOn-net (NLS3)</v>
      </c>
      <c r="C148" s="75" t="s">
        <v>303</v>
      </c>
      <c r="D148" s="75" t="s">
        <v>279</v>
      </c>
      <c r="E148" s="77" t="s">
        <v>274</v>
      </c>
      <c r="F148" s="75" t="s">
        <v>3398</v>
      </c>
      <c r="G148" s="533">
        <f>G141</f>
        <v>1000</v>
      </c>
      <c r="H148" s="533">
        <f>H141+525*0</f>
        <v>1000</v>
      </c>
    </row>
    <row r="149" spans="2:8">
      <c r="B149" s="196" t="str">
        <f t="shared" si="7"/>
        <v>EoKStandard Access koper 3mbHoog&lt; 250 meter</v>
      </c>
      <c r="C149" s="75" t="s">
        <v>303</v>
      </c>
      <c r="D149" s="75" t="s">
        <v>268</v>
      </c>
      <c r="E149" s="77" t="s">
        <v>274</v>
      </c>
      <c r="F149" s="75" t="s">
        <v>3397</v>
      </c>
      <c r="G149" s="533">
        <f>G137</f>
        <v>1000</v>
      </c>
      <c r="H149" s="533">
        <f>H137+525*0</f>
        <v>1000</v>
      </c>
    </row>
    <row r="150" spans="2:8">
      <c r="B150" s="196" t="str">
        <f t="shared" si="7"/>
        <v>EoKStandard Access koper 5mbHoog&lt; 250 meter</v>
      </c>
      <c r="C150" s="75" t="s">
        <v>303</v>
      </c>
      <c r="D150" s="75" t="s">
        <v>276</v>
      </c>
      <c r="E150" s="77" t="s">
        <v>274</v>
      </c>
      <c r="F150" s="75" t="s">
        <v>3397</v>
      </c>
      <c r="G150" s="533">
        <f>G138</f>
        <v>1000</v>
      </c>
      <c r="H150" s="533">
        <f>H138+525*0</f>
        <v>1000</v>
      </c>
    </row>
    <row r="151" spans="2:8">
      <c r="B151" s="196" t="str">
        <f t="shared" si="7"/>
        <v>EoKStandard Access koper 10mbHoog&lt; 250 meter</v>
      </c>
      <c r="C151" s="75" t="s">
        <v>303</v>
      </c>
      <c r="D151" s="75" t="s">
        <v>277</v>
      </c>
      <c r="E151" s="77" t="s">
        <v>274</v>
      </c>
      <c r="F151" s="75" t="s">
        <v>3397</v>
      </c>
      <c r="G151" s="533">
        <f>G139</f>
        <v>1000</v>
      </c>
      <c r="H151" s="533">
        <f>H139+525*0</f>
        <v>1000</v>
      </c>
    </row>
    <row r="152" spans="2:8">
      <c r="B152" s="196" t="str">
        <f t="shared" si="7"/>
        <v>EoKStandard Access koper 15mbHoog&lt; 250 meter</v>
      </c>
      <c r="C152" s="75" t="s">
        <v>303</v>
      </c>
      <c r="D152" s="75" t="s">
        <v>278</v>
      </c>
      <c r="E152" s="77" t="s">
        <v>274</v>
      </c>
      <c r="F152" s="75" t="s">
        <v>3397</v>
      </c>
      <c r="G152" s="533">
        <f>G140</f>
        <v>1000</v>
      </c>
      <c r="H152" s="533">
        <f>H140+525*0</f>
        <v>1000</v>
      </c>
    </row>
    <row r="153" spans="2:8">
      <c r="B153" s="196" t="str">
        <f t="shared" si="7"/>
        <v>EoKStandard Access koper 20mbHoog&lt; 250 meter</v>
      </c>
      <c r="C153" s="75" t="s">
        <v>303</v>
      </c>
      <c r="D153" s="75" t="s">
        <v>279</v>
      </c>
      <c r="E153" s="77" t="s">
        <v>274</v>
      </c>
      <c r="F153" s="75" t="s">
        <v>3397</v>
      </c>
      <c r="G153" s="533">
        <f>G141</f>
        <v>1000</v>
      </c>
      <c r="H153" s="533">
        <f>H141+525*0</f>
        <v>1000</v>
      </c>
    </row>
    <row r="154" spans="2:8">
      <c r="B154" s="196" t="str">
        <f t="shared" ref="B154:B170" si="8">C154&amp;D154&amp;E154&amp;F154</f>
        <v>EoKStandard Access koper 3mbMiddelOn-net (NLS1, 2)</v>
      </c>
      <c r="C154" s="75" t="s">
        <v>303</v>
      </c>
      <c r="D154" s="75" t="s">
        <v>268</v>
      </c>
      <c r="E154" s="77" t="s">
        <v>280</v>
      </c>
      <c r="F154" s="75" t="s">
        <v>281</v>
      </c>
      <c r="G154" s="533">
        <v>1000</v>
      </c>
      <c r="H154" s="533">
        <v>1000</v>
      </c>
    </row>
    <row r="155" spans="2:8">
      <c r="B155" s="196" t="str">
        <f t="shared" si="8"/>
        <v>EoKStandard Access koper 5mbMiddelOn-net (NLS1, 2)</v>
      </c>
      <c r="C155" s="75" t="s">
        <v>303</v>
      </c>
      <c r="D155" s="75" t="s">
        <v>276</v>
      </c>
      <c r="E155" s="77" t="s">
        <v>280</v>
      </c>
      <c r="F155" s="75" t="s">
        <v>281</v>
      </c>
      <c r="G155" s="533">
        <v>1000</v>
      </c>
      <c r="H155" s="533">
        <v>1000</v>
      </c>
    </row>
    <row r="156" spans="2:8">
      <c r="B156" s="196" t="str">
        <f t="shared" si="8"/>
        <v>EoKStandard Access koper 10mbMiddelOn-net (NLS1, 2)</v>
      </c>
      <c r="C156" s="75" t="s">
        <v>303</v>
      </c>
      <c r="D156" s="75" t="s">
        <v>277</v>
      </c>
      <c r="E156" s="77" t="s">
        <v>280</v>
      </c>
      <c r="F156" s="75" t="s">
        <v>281</v>
      </c>
      <c r="G156" s="533">
        <v>1000</v>
      </c>
      <c r="H156" s="533">
        <v>1000</v>
      </c>
    </row>
    <row r="157" spans="2:8">
      <c r="B157" s="196" t="str">
        <f t="shared" si="8"/>
        <v>EoKStandard Access koper 15mbMiddelOn-net (NLS1, 2)</v>
      </c>
      <c r="C157" s="75" t="s">
        <v>303</v>
      </c>
      <c r="D157" s="75" t="s">
        <v>278</v>
      </c>
      <c r="E157" s="77" t="s">
        <v>280</v>
      </c>
      <c r="F157" s="75" t="s">
        <v>281</v>
      </c>
      <c r="G157" s="533">
        <v>1000</v>
      </c>
      <c r="H157" s="533">
        <v>1000</v>
      </c>
    </row>
    <row r="158" spans="2:8">
      <c r="B158" s="196" t="str">
        <f t="shared" si="8"/>
        <v>EoKStandard Access koper 20mbMiddelOn-net (NLS1, 2)</v>
      </c>
      <c r="C158" s="75" t="s">
        <v>303</v>
      </c>
      <c r="D158" s="75" t="s">
        <v>279</v>
      </c>
      <c r="E158" s="77" t="s">
        <v>280</v>
      </c>
      <c r="F158" s="75" t="s">
        <v>281</v>
      </c>
      <c r="G158" s="533">
        <v>1000</v>
      </c>
      <c r="H158" s="533">
        <v>1000</v>
      </c>
    </row>
    <row r="159" spans="2:8">
      <c r="B159" s="75"/>
      <c r="C159" s="75"/>
      <c r="D159" s="75"/>
      <c r="E159" s="77"/>
      <c r="F159" s="75"/>
      <c r="G159" s="75"/>
      <c r="H159" s="75"/>
    </row>
    <row r="160" spans="2:8">
      <c r="B160" s="75"/>
      <c r="C160" s="75"/>
      <c r="D160" s="75"/>
      <c r="E160" s="77"/>
      <c r="F160" s="75"/>
      <c r="G160" s="75"/>
      <c r="H160" s="75"/>
    </row>
    <row r="161" spans="2:8">
      <c r="B161" s="196" t="str">
        <f t="shared" si="8"/>
        <v>EoKStandard Access koper 3mbMiddelOn-net (NLS3)</v>
      </c>
      <c r="C161" s="75" t="s">
        <v>303</v>
      </c>
      <c r="D161" s="75" t="s">
        <v>268</v>
      </c>
      <c r="E161" s="77" t="s">
        <v>280</v>
      </c>
      <c r="F161" s="75" t="s">
        <v>3398</v>
      </c>
      <c r="G161" s="533">
        <f>G154</f>
        <v>1000</v>
      </c>
      <c r="H161" s="533">
        <f t="shared" ref="H161:H170" si="9">H144</f>
        <v>1000</v>
      </c>
    </row>
    <row r="162" spans="2:8">
      <c r="B162" s="196" t="str">
        <f t="shared" si="8"/>
        <v>EoKStandard Access koper 5mbMiddelOn-net (NLS3)</v>
      </c>
      <c r="C162" s="75" t="s">
        <v>303</v>
      </c>
      <c r="D162" s="75" t="s">
        <v>276</v>
      </c>
      <c r="E162" s="77" t="s">
        <v>280</v>
      </c>
      <c r="F162" s="75" t="s">
        <v>3398</v>
      </c>
      <c r="G162" s="533">
        <f>G155</f>
        <v>1000</v>
      </c>
      <c r="H162" s="533">
        <f t="shared" si="9"/>
        <v>1000</v>
      </c>
    </row>
    <row r="163" spans="2:8">
      <c r="B163" s="196" t="str">
        <f t="shared" si="8"/>
        <v>EoKStandard Access koper 10mbMiddelOn-net (NLS3)</v>
      </c>
      <c r="C163" s="75" t="s">
        <v>303</v>
      </c>
      <c r="D163" s="75" t="s">
        <v>277</v>
      </c>
      <c r="E163" s="77" t="s">
        <v>280</v>
      </c>
      <c r="F163" s="75" t="s">
        <v>3398</v>
      </c>
      <c r="G163" s="533">
        <f>G156</f>
        <v>1000</v>
      </c>
      <c r="H163" s="533">
        <f t="shared" si="9"/>
        <v>1000</v>
      </c>
    </row>
    <row r="164" spans="2:8">
      <c r="B164" s="196" t="str">
        <f t="shared" si="8"/>
        <v>EoKStandard Access koper 15mbMiddelOn-net (NLS3)</v>
      </c>
      <c r="C164" s="75" t="s">
        <v>303</v>
      </c>
      <c r="D164" s="75" t="s">
        <v>278</v>
      </c>
      <c r="E164" s="77" t="s">
        <v>280</v>
      </c>
      <c r="F164" s="75" t="s">
        <v>3398</v>
      </c>
      <c r="G164" s="533">
        <f>G157</f>
        <v>1000</v>
      </c>
      <c r="H164" s="533">
        <f t="shared" si="9"/>
        <v>1000</v>
      </c>
    </row>
    <row r="165" spans="2:8">
      <c r="B165" s="196" t="str">
        <f t="shared" si="8"/>
        <v>EoKStandard Access koper 20mbMiddelOn-net (NLS3)</v>
      </c>
      <c r="C165" s="75" t="s">
        <v>303</v>
      </c>
      <c r="D165" s="75" t="s">
        <v>279</v>
      </c>
      <c r="E165" s="77" t="s">
        <v>280</v>
      </c>
      <c r="F165" s="75" t="s">
        <v>3398</v>
      </c>
      <c r="G165" s="533">
        <f>G158</f>
        <v>1000</v>
      </c>
      <c r="H165" s="533">
        <f t="shared" si="9"/>
        <v>1000</v>
      </c>
    </row>
    <row r="166" spans="2:8">
      <c r="B166" s="196" t="str">
        <f t="shared" si="8"/>
        <v>EoKStandard Access koper 3mbMiddel&lt; 250 meter</v>
      </c>
      <c r="C166" s="75" t="s">
        <v>303</v>
      </c>
      <c r="D166" s="75" t="s">
        <v>268</v>
      </c>
      <c r="E166" s="77" t="s">
        <v>280</v>
      </c>
      <c r="F166" s="75" t="s">
        <v>3397</v>
      </c>
      <c r="G166" s="533">
        <f>G154</f>
        <v>1000</v>
      </c>
      <c r="H166" s="533">
        <f t="shared" si="9"/>
        <v>1000</v>
      </c>
    </row>
    <row r="167" spans="2:8">
      <c r="B167" s="196" t="str">
        <f t="shared" si="8"/>
        <v>EoKStandard Access koper 5mbMiddel&lt; 250 meter</v>
      </c>
      <c r="C167" s="75" t="s">
        <v>303</v>
      </c>
      <c r="D167" s="75" t="s">
        <v>276</v>
      </c>
      <c r="E167" s="77" t="s">
        <v>280</v>
      </c>
      <c r="F167" s="75" t="s">
        <v>3397</v>
      </c>
      <c r="G167" s="533">
        <f>G155</f>
        <v>1000</v>
      </c>
      <c r="H167" s="533">
        <f t="shared" si="9"/>
        <v>1000</v>
      </c>
    </row>
    <row r="168" spans="2:8">
      <c r="B168" s="196" t="str">
        <f t="shared" si="8"/>
        <v>EoKStandard Access koper 10mbMiddel&lt; 250 meter</v>
      </c>
      <c r="C168" s="75" t="s">
        <v>303</v>
      </c>
      <c r="D168" s="75" t="s">
        <v>277</v>
      </c>
      <c r="E168" s="77" t="s">
        <v>280</v>
      </c>
      <c r="F168" s="75" t="s">
        <v>3397</v>
      </c>
      <c r="G168" s="533">
        <f>G156</f>
        <v>1000</v>
      </c>
      <c r="H168" s="533">
        <f t="shared" si="9"/>
        <v>1000</v>
      </c>
    </row>
    <row r="169" spans="2:8">
      <c r="B169" s="196" t="str">
        <f t="shared" si="8"/>
        <v>EoKStandard Access koper 15mbMiddel&lt; 250 meter</v>
      </c>
      <c r="C169" s="75" t="s">
        <v>303</v>
      </c>
      <c r="D169" s="75" t="s">
        <v>278</v>
      </c>
      <c r="E169" s="77" t="s">
        <v>280</v>
      </c>
      <c r="F169" s="75" t="s">
        <v>3397</v>
      </c>
      <c r="G169" s="533">
        <f>G157</f>
        <v>1000</v>
      </c>
      <c r="H169" s="533">
        <f t="shared" si="9"/>
        <v>1000</v>
      </c>
    </row>
    <row r="170" spans="2:8">
      <c r="B170" s="196" t="str">
        <f t="shared" si="8"/>
        <v>EoKStandard Access koper 20mbMiddel&lt; 250 meter</v>
      </c>
      <c r="C170" s="75" t="s">
        <v>303</v>
      </c>
      <c r="D170" s="75" t="s">
        <v>279</v>
      </c>
      <c r="E170" s="77" t="s">
        <v>280</v>
      </c>
      <c r="F170" s="75" t="s">
        <v>3397</v>
      </c>
      <c r="G170" s="533">
        <f>G158</f>
        <v>1000</v>
      </c>
      <c r="H170" s="533">
        <f t="shared" si="9"/>
        <v>1000</v>
      </c>
    </row>
    <row r="171" spans="2:8">
      <c r="B171" s="196" t="str">
        <f t="shared" ref="B171:B187" si="10">C171&amp;D171&amp;E171&amp;F171</f>
        <v>EoKStandard Access koper 3mbLaagOn-net (NLS1, 2)</v>
      </c>
      <c r="C171" s="75" t="s">
        <v>303</v>
      </c>
      <c r="D171" s="75" t="s">
        <v>268</v>
      </c>
      <c r="E171" s="77" t="s">
        <v>275</v>
      </c>
      <c r="F171" s="75" t="s">
        <v>281</v>
      </c>
      <c r="G171" s="533">
        <v>1000</v>
      </c>
      <c r="H171" s="533">
        <v>1000</v>
      </c>
    </row>
    <row r="172" spans="2:8">
      <c r="B172" s="196" t="str">
        <f t="shared" si="10"/>
        <v>EoKStandard Access koper 5mbLaagOn-net (NLS1, 2)</v>
      </c>
      <c r="C172" s="75" t="s">
        <v>303</v>
      </c>
      <c r="D172" s="75" t="s">
        <v>276</v>
      </c>
      <c r="E172" s="77" t="s">
        <v>275</v>
      </c>
      <c r="F172" s="75" t="s">
        <v>281</v>
      </c>
      <c r="G172" s="533">
        <v>1000</v>
      </c>
      <c r="H172" s="533">
        <v>1000</v>
      </c>
    </row>
    <row r="173" spans="2:8">
      <c r="B173" s="196" t="str">
        <f t="shared" si="10"/>
        <v>EoKStandard Access koper 10mbLaagOn-net (NLS1, 2)</v>
      </c>
      <c r="C173" s="75" t="s">
        <v>303</v>
      </c>
      <c r="D173" s="75" t="s">
        <v>277</v>
      </c>
      <c r="E173" s="77" t="s">
        <v>275</v>
      </c>
      <c r="F173" s="75" t="s">
        <v>281</v>
      </c>
      <c r="G173" s="533">
        <v>1000</v>
      </c>
      <c r="H173" s="533">
        <v>1000</v>
      </c>
    </row>
    <row r="174" spans="2:8">
      <c r="B174" s="196" t="str">
        <f t="shared" si="10"/>
        <v>EoKStandard Access koper 15mbLaagOn-net (NLS1, 2)</v>
      </c>
      <c r="C174" s="75" t="s">
        <v>303</v>
      </c>
      <c r="D174" s="75" t="s">
        <v>278</v>
      </c>
      <c r="E174" s="77" t="s">
        <v>275</v>
      </c>
      <c r="F174" s="75" t="s">
        <v>281</v>
      </c>
      <c r="G174" s="533">
        <v>1000</v>
      </c>
      <c r="H174" s="533">
        <v>1000</v>
      </c>
    </row>
    <row r="175" spans="2:8">
      <c r="B175" s="196" t="str">
        <f t="shared" si="10"/>
        <v>EoKStandard Access koper 20mbLaagOn-net (NLS1, 2)</v>
      </c>
      <c r="C175" s="75" t="s">
        <v>303</v>
      </c>
      <c r="D175" s="75" t="s">
        <v>279</v>
      </c>
      <c r="E175" s="77" t="s">
        <v>275</v>
      </c>
      <c r="F175" s="75" t="s">
        <v>281</v>
      </c>
      <c r="G175" s="533">
        <v>1000</v>
      </c>
      <c r="H175" s="533">
        <v>1000</v>
      </c>
    </row>
    <row r="176" spans="2:8">
      <c r="B176" s="75"/>
      <c r="C176" s="75"/>
      <c r="D176" s="75"/>
      <c r="E176" s="77"/>
      <c r="F176" s="75"/>
      <c r="G176" s="75"/>
      <c r="H176" s="75"/>
    </row>
    <row r="177" spans="2:8">
      <c r="B177" s="75"/>
      <c r="C177" s="75"/>
      <c r="D177" s="75"/>
      <c r="E177" s="77"/>
      <c r="F177" s="75"/>
      <c r="G177" s="75"/>
      <c r="H177" s="75"/>
    </row>
    <row r="178" spans="2:8">
      <c r="B178" s="196" t="str">
        <f t="shared" si="10"/>
        <v>EoKStandard Access koper 3mbLaagOn-net (NLS3)</v>
      </c>
      <c r="C178" s="75" t="s">
        <v>303</v>
      </c>
      <c r="D178" s="75" t="s">
        <v>268</v>
      </c>
      <c r="E178" s="77" t="s">
        <v>275</v>
      </c>
      <c r="F178" s="75" t="s">
        <v>3398</v>
      </c>
      <c r="G178" s="533">
        <f>G171</f>
        <v>1000</v>
      </c>
      <c r="H178" s="533">
        <f t="shared" ref="H178:H187" si="11">H144</f>
        <v>1000</v>
      </c>
    </row>
    <row r="179" spans="2:8">
      <c r="B179" s="196" t="str">
        <f t="shared" si="10"/>
        <v>EoKStandard Access koper 5mbLaagOn-net (NLS3)</v>
      </c>
      <c r="C179" s="75" t="s">
        <v>303</v>
      </c>
      <c r="D179" s="75" t="s">
        <v>276</v>
      </c>
      <c r="E179" s="77" t="s">
        <v>275</v>
      </c>
      <c r="F179" s="75" t="s">
        <v>3398</v>
      </c>
      <c r="G179" s="533">
        <f>G172</f>
        <v>1000</v>
      </c>
      <c r="H179" s="533">
        <f t="shared" si="11"/>
        <v>1000</v>
      </c>
    </row>
    <row r="180" spans="2:8">
      <c r="B180" s="196" t="str">
        <f t="shared" si="10"/>
        <v>EoKStandard Access koper 10mbLaagOn-net (NLS3)</v>
      </c>
      <c r="C180" s="75" t="s">
        <v>303</v>
      </c>
      <c r="D180" s="75" t="s">
        <v>277</v>
      </c>
      <c r="E180" s="77" t="s">
        <v>275</v>
      </c>
      <c r="F180" s="75" t="s">
        <v>3398</v>
      </c>
      <c r="G180" s="533">
        <f>G173</f>
        <v>1000</v>
      </c>
      <c r="H180" s="533">
        <f t="shared" si="11"/>
        <v>1000</v>
      </c>
    </row>
    <row r="181" spans="2:8">
      <c r="B181" s="196" t="str">
        <f t="shared" si="10"/>
        <v>EoKStandard Access koper 15mbLaagOn-net (NLS3)</v>
      </c>
      <c r="C181" s="75" t="s">
        <v>303</v>
      </c>
      <c r="D181" s="75" t="s">
        <v>278</v>
      </c>
      <c r="E181" s="77" t="s">
        <v>275</v>
      </c>
      <c r="F181" s="75" t="s">
        <v>3398</v>
      </c>
      <c r="G181" s="533">
        <f>G174</f>
        <v>1000</v>
      </c>
      <c r="H181" s="533">
        <f t="shared" si="11"/>
        <v>1000</v>
      </c>
    </row>
    <row r="182" spans="2:8">
      <c r="B182" s="196" t="str">
        <f t="shared" si="10"/>
        <v>EoKStandard Access koper 20mbLaagOn-net (NLS3)</v>
      </c>
      <c r="C182" s="75" t="s">
        <v>303</v>
      </c>
      <c r="D182" s="75" t="s">
        <v>279</v>
      </c>
      <c r="E182" s="77" t="s">
        <v>275</v>
      </c>
      <c r="F182" s="75" t="s">
        <v>3398</v>
      </c>
      <c r="G182" s="533">
        <f>G175</f>
        <v>1000</v>
      </c>
      <c r="H182" s="533">
        <f t="shared" si="11"/>
        <v>1000</v>
      </c>
    </row>
    <row r="183" spans="2:8">
      <c r="B183" s="196" t="str">
        <f t="shared" si="10"/>
        <v>EoKStandard Access koper 3mbLaag&lt; 250 meter</v>
      </c>
      <c r="C183" s="75" t="s">
        <v>303</v>
      </c>
      <c r="D183" s="75" t="s">
        <v>268</v>
      </c>
      <c r="E183" s="77" t="s">
        <v>275</v>
      </c>
      <c r="F183" s="75" t="s">
        <v>3397</v>
      </c>
      <c r="G183" s="533">
        <f>G171</f>
        <v>1000</v>
      </c>
      <c r="H183" s="533">
        <f t="shared" si="11"/>
        <v>1000</v>
      </c>
    </row>
    <row r="184" spans="2:8">
      <c r="B184" s="196" t="str">
        <f t="shared" si="10"/>
        <v>EoKStandard Access koper 5mbLaag&lt; 250 meter</v>
      </c>
      <c r="C184" s="75" t="s">
        <v>303</v>
      </c>
      <c r="D184" s="75" t="s">
        <v>276</v>
      </c>
      <c r="E184" s="77" t="s">
        <v>275</v>
      </c>
      <c r="F184" s="75" t="s">
        <v>3397</v>
      </c>
      <c r="G184" s="533">
        <f>G172</f>
        <v>1000</v>
      </c>
      <c r="H184" s="533">
        <f t="shared" si="11"/>
        <v>1000</v>
      </c>
    </row>
    <row r="185" spans="2:8">
      <c r="B185" s="196" t="str">
        <f t="shared" si="10"/>
        <v>EoKStandard Access koper 10mbLaag&lt; 250 meter</v>
      </c>
      <c r="C185" s="75" t="s">
        <v>303</v>
      </c>
      <c r="D185" s="75" t="s">
        <v>277</v>
      </c>
      <c r="E185" s="77" t="s">
        <v>275</v>
      </c>
      <c r="F185" s="75" t="s">
        <v>3397</v>
      </c>
      <c r="G185" s="533">
        <f>G173</f>
        <v>1000</v>
      </c>
      <c r="H185" s="533">
        <f t="shared" si="11"/>
        <v>1000</v>
      </c>
    </row>
    <row r="186" spans="2:8">
      <c r="B186" s="196" t="str">
        <f t="shared" si="10"/>
        <v>EoKStandard Access koper 15mbLaag&lt; 250 meter</v>
      </c>
      <c r="C186" s="75" t="s">
        <v>303</v>
      </c>
      <c r="D186" s="75" t="s">
        <v>278</v>
      </c>
      <c r="E186" s="77" t="s">
        <v>275</v>
      </c>
      <c r="F186" s="75" t="s">
        <v>3397</v>
      </c>
      <c r="G186" s="533">
        <f>G174</f>
        <v>1000</v>
      </c>
      <c r="H186" s="533">
        <f t="shared" si="11"/>
        <v>1000</v>
      </c>
    </row>
    <row r="187" spans="2:8">
      <c r="B187" s="196" t="str">
        <f t="shared" si="10"/>
        <v>EoKStandard Access koper 20mbLaag&lt; 250 meter</v>
      </c>
      <c r="C187" s="75" t="s">
        <v>303</v>
      </c>
      <c r="D187" s="75" t="s">
        <v>279</v>
      </c>
      <c r="E187" s="77" t="s">
        <v>275</v>
      </c>
      <c r="F187" s="75" t="s">
        <v>3397</v>
      </c>
      <c r="G187" s="533">
        <f>G175</f>
        <v>1000</v>
      </c>
      <c r="H187" s="533">
        <f t="shared" si="11"/>
        <v>1000</v>
      </c>
    </row>
    <row r="188" spans="2:8" ht="15" customHeight="1"/>
    <row r="189" spans="2:8" ht="15" customHeight="1"/>
    <row r="190" spans="2:8" ht="15" customHeight="1"/>
    <row r="191" spans="2:8" ht="15" customHeight="1"/>
    <row r="192" spans="2:8" ht="15" customHeight="1"/>
    <row r="193" ht="15" customHeight="1"/>
    <row r="194" ht="15" customHeight="1"/>
    <row r="195" ht="15" customHeight="1"/>
    <row r="196" ht="15" customHeight="1"/>
    <row r="197" ht="15" customHeight="1"/>
    <row r="198" ht="15" customHeight="1"/>
    <row r="199" ht="15" customHeight="1"/>
    <row r="200" ht="15" customHeight="1"/>
    <row r="201" ht="15" customHeight="1"/>
    <row r="202" ht="15" customHeight="1"/>
    <row r="203" ht="15" customHeight="1"/>
    <row r="204" ht="15" customHeight="1"/>
    <row r="205" ht="15" customHeight="1"/>
    <row r="206" ht="15" customHeight="1"/>
    <row r="207" ht="15" customHeight="1"/>
    <row r="208" ht="15" customHeight="1"/>
    <row r="209" ht="15" customHeight="1"/>
    <row r="210" ht="15" customHeight="1"/>
    <row r="211" ht="15" customHeight="1"/>
    <row r="212" ht="15" customHeight="1"/>
    <row r="213" ht="15" customHeight="1"/>
    <row r="214" ht="15" customHeight="1"/>
    <row r="215" ht="15" customHeight="1"/>
    <row r="216" ht="15" customHeight="1"/>
    <row r="217" ht="15" customHeight="1"/>
  </sheetData>
  <autoFilter ref="B136:J187"/>
  <conditionalFormatting sqref="G8:H121">
    <cfRule type="expression" dxfId="33" priority="25" stopIfTrue="1">
      <formula>#REF!=""</formula>
    </cfRule>
    <cfRule type="expression" dxfId="32" priority="26" stopIfTrue="1">
      <formula>C10=""</formula>
    </cfRule>
  </conditionalFormatting>
  <conditionalFormatting sqref="G178:H187 G161:H170 G144:H153">
    <cfRule type="expression" dxfId="31" priority="15" stopIfTrue="1">
      <formula>#REF!=""</formula>
    </cfRule>
    <cfRule type="expression" dxfId="30" priority="16" stopIfTrue="1">
      <formula>C146=""</formula>
    </cfRule>
  </conditionalFormatting>
  <conditionalFormatting sqref="G123:H131">
    <cfRule type="expression" dxfId="29" priority="7" stopIfTrue="1">
      <formula>#REF!=""</formula>
    </cfRule>
    <cfRule type="expression" dxfId="28" priority="8" stopIfTrue="1">
      <formula>C125=""</formula>
    </cfRule>
  </conditionalFormatting>
  <conditionalFormatting sqref="G137:H141">
    <cfRule type="expression" dxfId="27" priority="5" stopIfTrue="1">
      <formula>#REF!=""</formula>
    </cfRule>
    <cfRule type="expression" dxfId="26" priority="6" stopIfTrue="1">
      <formula>C139=""</formula>
    </cfRule>
  </conditionalFormatting>
  <conditionalFormatting sqref="G154:H158">
    <cfRule type="expression" dxfId="25" priority="3" stopIfTrue="1">
      <formula>#REF!=""</formula>
    </cfRule>
    <cfRule type="expression" dxfId="24" priority="4" stopIfTrue="1">
      <formula>C156=""</formula>
    </cfRule>
  </conditionalFormatting>
  <conditionalFormatting sqref="G171:H175">
    <cfRule type="expression" dxfId="23" priority="1" stopIfTrue="1">
      <formula>#REF!=""</formula>
    </cfRule>
    <cfRule type="expression" dxfId="22" priority="2" stopIfTrue="1">
      <formula>C173=""</formula>
    </cfRule>
  </conditionalFormatting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Blad4">
    <tabColor rgb="FFFFFF00"/>
  </sheetPr>
  <dimension ref="B1:K124"/>
  <sheetViews>
    <sheetView zoomScale="70" zoomScaleNormal="70" workbookViewId="0">
      <selection activeCell="B12" sqref="B12"/>
    </sheetView>
  </sheetViews>
  <sheetFormatPr defaultRowHeight="15" outlineLevelRow="1"/>
  <cols>
    <col min="1" max="1" width="4.5703125" customWidth="1"/>
    <col min="2" max="2" width="79.42578125" style="105" customWidth="1"/>
    <col min="3" max="3" width="21" style="91" customWidth="1"/>
    <col min="4" max="4" width="25.42578125" style="91" customWidth="1"/>
    <col min="5" max="5" width="19.28515625" style="91" bestFit="1" customWidth="1"/>
    <col min="6" max="6" width="25.28515625" style="91" bestFit="1" customWidth="1"/>
    <col min="7" max="7" width="10.5703125" style="93" bestFit="1" customWidth="1"/>
    <col min="8" max="8" width="13.85546875" style="93" customWidth="1"/>
    <col min="9" max="9" width="16.28515625" style="93" customWidth="1"/>
    <col min="10" max="10" width="12.85546875" style="154" customWidth="1"/>
    <col min="11" max="11" width="24.28515625" customWidth="1"/>
  </cols>
  <sheetData>
    <row r="1" spans="2:11">
      <c r="B1" s="420" t="s">
        <v>260</v>
      </c>
      <c r="C1" s="418" t="s">
        <v>3446</v>
      </c>
      <c r="D1" s="418" t="s">
        <v>3423</v>
      </c>
      <c r="E1" s="419" t="s">
        <v>3447</v>
      </c>
    </row>
    <row r="2" spans="2:11">
      <c r="B2" s="420"/>
      <c r="C2" s="421" t="s">
        <v>295</v>
      </c>
      <c r="D2" s="421"/>
      <c r="E2" s="420"/>
      <c r="F2" s="88"/>
      <c r="G2" s="88"/>
      <c r="H2" s="88"/>
      <c r="I2" s="88"/>
      <c r="J2" s="155"/>
    </row>
    <row r="3" spans="2:11" outlineLevel="1">
      <c r="B3" s="420"/>
      <c r="C3" s="421"/>
      <c r="D3" s="421"/>
      <c r="E3" s="422"/>
      <c r="F3" s="88"/>
      <c r="G3" s="88"/>
      <c r="H3" s="88"/>
      <c r="I3" s="88"/>
      <c r="J3" s="155"/>
    </row>
    <row r="4" spans="2:11" outlineLevel="1">
      <c r="B4" s="88"/>
      <c r="C4" s="88"/>
      <c r="D4" s="88"/>
      <c r="E4" s="88"/>
      <c r="F4" s="88"/>
      <c r="G4" s="89"/>
      <c r="H4" s="89"/>
      <c r="I4" s="89"/>
      <c r="J4" s="156"/>
    </row>
    <row r="5" spans="2:11" ht="18">
      <c r="B5" s="79" t="s">
        <v>214</v>
      </c>
      <c r="D5" s="82"/>
      <c r="E5" s="81"/>
      <c r="F5" s="82"/>
      <c r="G5" s="83"/>
      <c r="H5" s="83"/>
      <c r="I5" s="83"/>
      <c r="J5" s="157"/>
    </row>
    <row r="6" spans="2:11">
      <c r="B6" s="103"/>
      <c r="C6" s="84"/>
      <c r="D6" s="72"/>
      <c r="E6" s="72"/>
      <c r="F6" s="85"/>
      <c r="G6"/>
      <c r="H6"/>
      <c r="I6" s="85"/>
      <c r="J6" s="158"/>
    </row>
    <row r="7" spans="2:11" ht="26.25" customHeight="1">
      <c r="B7" s="101" t="s">
        <v>216</v>
      </c>
      <c r="C7" s="73" t="s">
        <v>271</v>
      </c>
      <c r="D7" s="71" t="s">
        <v>293</v>
      </c>
      <c r="E7" s="71" t="s">
        <v>273</v>
      </c>
      <c r="F7" s="86" t="s">
        <v>272</v>
      </c>
      <c r="G7" s="94" t="s">
        <v>187</v>
      </c>
      <c r="H7" s="94" t="s">
        <v>189</v>
      </c>
      <c r="I7" s="94" t="s">
        <v>190</v>
      </c>
      <c r="J7" s="159"/>
      <c r="K7" s="95" t="s">
        <v>206</v>
      </c>
    </row>
    <row r="8" spans="2:11">
      <c r="B8" s="191" t="str">
        <f t="shared" ref="B8:B14" si="0">C8&amp;D8&amp;E8&amp;F8</f>
        <v>Copper Standard Access 1-2Mbit/sOn-net (NLS1, 2)</v>
      </c>
      <c r="C8" s="75" t="s">
        <v>294</v>
      </c>
      <c r="D8" s="107" t="s">
        <v>3098</v>
      </c>
      <c r="E8" s="77"/>
      <c r="F8" s="75" t="s">
        <v>281</v>
      </c>
      <c r="G8" s="425">
        <v>24.47</v>
      </c>
      <c r="H8" s="425">
        <v>24</v>
      </c>
      <c r="I8" s="414">
        <v>75</v>
      </c>
      <c r="J8" s="106"/>
    </row>
    <row r="9" spans="2:11">
      <c r="B9" s="191" t="str">
        <f t="shared" si="0"/>
        <v>Copper Standard Access 3Mbit/sOn-net (NLS1, 2)</v>
      </c>
      <c r="C9" s="75" t="s">
        <v>294</v>
      </c>
      <c r="D9" s="107" t="s">
        <v>288</v>
      </c>
      <c r="E9" s="77"/>
      <c r="F9" s="75" t="s">
        <v>281</v>
      </c>
      <c r="G9" s="425">
        <v>41.5</v>
      </c>
      <c r="H9" s="425">
        <v>350</v>
      </c>
      <c r="I9" s="414">
        <f>$I$8</f>
        <v>75</v>
      </c>
      <c r="J9" s="106"/>
    </row>
    <row r="10" spans="2:11">
      <c r="B10" s="191" t="str">
        <f t="shared" si="0"/>
        <v>Copper Standard Access 5Mbit/sOn-net (NLS1, 2)</v>
      </c>
      <c r="C10" s="75" t="s">
        <v>294</v>
      </c>
      <c r="D10" s="107" t="s">
        <v>289</v>
      </c>
      <c r="E10" s="77"/>
      <c r="F10" s="75" t="s">
        <v>281</v>
      </c>
      <c r="G10" s="425">
        <v>60.97</v>
      </c>
      <c r="H10" s="425">
        <v>750</v>
      </c>
      <c r="I10" s="414">
        <f t="shared" ref="I10:I13" si="1">$I$8</f>
        <v>75</v>
      </c>
      <c r="J10" s="106"/>
    </row>
    <row r="11" spans="2:11">
      <c r="B11" s="191" t="str">
        <f t="shared" si="0"/>
        <v>Copper Standard Access 10Mbit/sOn-net (NLS1, 2)</v>
      </c>
      <c r="C11" s="75" t="s">
        <v>294</v>
      </c>
      <c r="D11" s="107" t="s">
        <v>290</v>
      </c>
      <c r="E11" s="77"/>
      <c r="F11" s="75" t="s">
        <v>281</v>
      </c>
      <c r="G11" s="425">
        <v>83.59</v>
      </c>
      <c r="H11" s="425">
        <v>750</v>
      </c>
      <c r="I11" s="414">
        <f t="shared" si="1"/>
        <v>75</v>
      </c>
      <c r="J11" s="106"/>
    </row>
    <row r="12" spans="2:11">
      <c r="B12" s="191" t="str">
        <f t="shared" si="0"/>
        <v>Copper Standard Access 15Mbit/sOn-net (NLS1, 2)</v>
      </c>
      <c r="C12" s="75" t="s">
        <v>294</v>
      </c>
      <c r="D12" s="107" t="s">
        <v>291</v>
      </c>
      <c r="E12" s="77"/>
      <c r="F12" s="75" t="s">
        <v>281</v>
      </c>
      <c r="G12" s="425">
        <v>102.44</v>
      </c>
      <c r="H12" s="425">
        <v>750</v>
      </c>
      <c r="I12" s="414">
        <f t="shared" si="1"/>
        <v>75</v>
      </c>
      <c r="J12" s="106"/>
    </row>
    <row r="13" spans="2:11">
      <c r="B13" s="191" t="str">
        <f t="shared" si="0"/>
        <v>Copper Standard Access 20Mbit/sOn-net (NLS1, 2)</v>
      </c>
      <c r="C13" s="75" t="s">
        <v>294</v>
      </c>
      <c r="D13" s="107" t="s">
        <v>292</v>
      </c>
      <c r="E13" s="77"/>
      <c r="F13" s="75" t="s">
        <v>281</v>
      </c>
      <c r="G13" s="425">
        <v>121.28</v>
      </c>
      <c r="H13" s="425">
        <v>750</v>
      </c>
      <c r="I13" s="414">
        <f t="shared" si="1"/>
        <v>75</v>
      </c>
      <c r="J13" s="106"/>
    </row>
    <row r="14" spans="2:11">
      <c r="B14" s="102" t="str">
        <f t="shared" si="0"/>
        <v/>
      </c>
      <c r="C14" s="75"/>
      <c r="D14" s="107"/>
      <c r="E14" s="77"/>
      <c r="F14" s="75"/>
      <c r="G14" s="425"/>
      <c r="H14" s="425"/>
      <c r="I14" s="425"/>
      <c r="J14" s="106"/>
    </row>
    <row r="15" spans="2:11">
      <c r="B15" s="191" t="str">
        <f t="shared" ref="B15:B20" si="2">C15&amp;D15&amp;E15&amp;F15</f>
        <v>Copper Standard Access 1-2Mbit/sOn-net (NLS3)</v>
      </c>
      <c r="C15" s="75" t="s">
        <v>294</v>
      </c>
      <c r="D15" s="107" t="s">
        <v>3098</v>
      </c>
      <c r="E15" s="77"/>
      <c r="F15" s="75" t="s">
        <v>3398</v>
      </c>
      <c r="G15" s="414">
        <f t="shared" ref="G15:G20" si="3">G8</f>
        <v>24.47</v>
      </c>
      <c r="H15" s="425">
        <v>524</v>
      </c>
      <c r="I15" s="414">
        <f t="shared" ref="I15:I20" si="4">I8</f>
        <v>75</v>
      </c>
      <c r="J15" s="106"/>
    </row>
    <row r="16" spans="2:11">
      <c r="B16" s="191" t="str">
        <f t="shared" si="2"/>
        <v>Copper Standard Access 3Mbit/sOn-net (NLS3)</v>
      </c>
      <c r="C16" s="75" t="s">
        <v>294</v>
      </c>
      <c r="D16" s="107" t="s">
        <v>288</v>
      </c>
      <c r="E16" s="77"/>
      <c r="F16" s="75" t="s">
        <v>3398</v>
      </c>
      <c r="G16" s="414">
        <f t="shared" si="3"/>
        <v>41.5</v>
      </c>
      <c r="H16" s="425">
        <v>850</v>
      </c>
      <c r="I16" s="414">
        <f t="shared" si="4"/>
        <v>75</v>
      </c>
      <c r="J16" s="106"/>
    </row>
    <row r="17" spans="2:10">
      <c r="B17" s="191" t="str">
        <f t="shared" si="2"/>
        <v>Copper Standard Access 5Mbit/sOn-net (NLS3)</v>
      </c>
      <c r="C17" s="75" t="s">
        <v>294</v>
      </c>
      <c r="D17" s="107" t="s">
        <v>289</v>
      </c>
      <c r="E17" s="77"/>
      <c r="F17" s="75" t="s">
        <v>3398</v>
      </c>
      <c r="G17" s="414">
        <f t="shared" si="3"/>
        <v>60.97</v>
      </c>
      <c r="H17" s="425">
        <v>1250</v>
      </c>
      <c r="I17" s="414">
        <f t="shared" si="4"/>
        <v>75</v>
      </c>
      <c r="J17" s="106"/>
    </row>
    <row r="18" spans="2:10">
      <c r="B18" s="191" t="str">
        <f t="shared" si="2"/>
        <v>Copper Standard Access 10Mbit/sOn-net (NLS3)</v>
      </c>
      <c r="C18" s="75" t="s">
        <v>294</v>
      </c>
      <c r="D18" s="77" t="s">
        <v>290</v>
      </c>
      <c r="E18" s="77"/>
      <c r="F18" s="75" t="s">
        <v>3398</v>
      </c>
      <c r="G18" s="414">
        <f t="shared" si="3"/>
        <v>83.59</v>
      </c>
      <c r="H18" s="425">
        <v>1250</v>
      </c>
      <c r="I18" s="414">
        <f t="shared" si="4"/>
        <v>75</v>
      </c>
      <c r="J18" s="106"/>
    </row>
    <row r="19" spans="2:10">
      <c r="B19" s="191" t="str">
        <f t="shared" si="2"/>
        <v>Copper Standard Access 15Mbit/sOn-net (NLS3)</v>
      </c>
      <c r="C19" s="75" t="s">
        <v>294</v>
      </c>
      <c r="D19" s="77" t="s">
        <v>291</v>
      </c>
      <c r="E19" s="77"/>
      <c r="F19" s="75" t="s">
        <v>3398</v>
      </c>
      <c r="G19" s="414">
        <f t="shared" si="3"/>
        <v>102.44</v>
      </c>
      <c r="H19" s="425">
        <v>1250</v>
      </c>
      <c r="I19" s="414">
        <f t="shared" si="4"/>
        <v>75</v>
      </c>
      <c r="J19" s="106"/>
    </row>
    <row r="20" spans="2:10">
      <c r="B20" s="191" t="str">
        <f t="shared" si="2"/>
        <v>Copper Standard Access 20Mbit/sOn-net (NLS3)</v>
      </c>
      <c r="C20" s="75" t="s">
        <v>294</v>
      </c>
      <c r="D20" s="77" t="s">
        <v>292</v>
      </c>
      <c r="E20" s="77"/>
      <c r="F20" s="75" t="s">
        <v>3398</v>
      </c>
      <c r="G20" s="414">
        <f t="shared" si="3"/>
        <v>121.28</v>
      </c>
      <c r="H20" s="425">
        <v>1250</v>
      </c>
      <c r="I20" s="414">
        <f t="shared" si="4"/>
        <v>75</v>
      </c>
      <c r="J20" s="106"/>
    </row>
    <row r="21" spans="2:10">
      <c r="B21" s="102"/>
      <c r="C21" s="75"/>
      <c r="D21" s="77"/>
      <c r="E21" s="77"/>
      <c r="F21"/>
      <c r="G21"/>
      <c r="H21"/>
      <c r="I21"/>
      <c r="J21" s="106"/>
    </row>
    <row r="22" spans="2:10">
      <c r="B22" s="191" t="str">
        <f t="shared" ref="B22:B27" si="5">C22&amp;D22&amp;E22&amp;F22</f>
        <v>Copper Standard Access 1-2Mbit/sNearnet</v>
      </c>
      <c r="C22" s="75" t="s">
        <v>294</v>
      </c>
      <c r="D22" s="107" t="s">
        <v>3098</v>
      </c>
      <c r="E22" s="77"/>
      <c r="F22" s="75" t="s">
        <v>3399</v>
      </c>
      <c r="G22" s="414">
        <f t="shared" ref="G22:G27" si="6">G8</f>
        <v>24.47</v>
      </c>
      <c r="H22" s="414">
        <f t="shared" ref="H22:H27" si="7">H15</f>
        <v>524</v>
      </c>
      <c r="I22" s="414">
        <f t="shared" ref="I22:I27" si="8">I8</f>
        <v>75</v>
      </c>
      <c r="J22" s="106"/>
    </row>
    <row r="23" spans="2:10">
      <c r="B23" s="191" t="str">
        <f t="shared" si="5"/>
        <v>Copper Standard Access 3Mbit/sNearnet</v>
      </c>
      <c r="C23" s="75" t="s">
        <v>294</v>
      </c>
      <c r="D23" s="107" t="s">
        <v>288</v>
      </c>
      <c r="E23" s="77"/>
      <c r="F23" s="75" t="s">
        <v>3399</v>
      </c>
      <c r="G23" s="414">
        <f t="shared" si="6"/>
        <v>41.5</v>
      </c>
      <c r="H23" s="414">
        <f t="shared" si="7"/>
        <v>850</v>
      </c>
      <c r="I23" s="414">
        <f t="shared" si="8"/>
        <v>75</v>
      </c>
      <c r="J23" s="106"/>
    </row>
    <row r="24" spans="2:10">
      <c r="B24" s="191" t="str">
        <f t="shared" si="5"/>
        <v>Copper Standard Access 5Mbit/sNearnet</v>
      </c>
      <c r="C24" s="75" t="s">
        <v>294</v>
      </c>
      <c r="D24" s="107" t="s">
        <v>289</v>
      </c>
      <c r="E24" s="77"/>
      <c r="F24" s="75" t="s">
        <v>3399</v>
      </c>
      <c r="G24" s="414">
        <f t="shared" si="6"/>
        <v>60.97</v>
      </c>
      <c r="H24" s="414">
        <f t="shared" si="7"/>
        <v>1250</v>
      </c>
      <c r="I24" s="414">
        <f t="shared" si="8"/>
        <v>75</v>
      </c>
      <c r="J24" s="106"/>
    </row>
    <row r="25" spans="2:10">
      <c r="B25" s="191" t="str">
        <f t="shared" si="5"/>
        <v>Copper Standard Access 10Mbit/sNearnet</v>
      </c>
      <c r="C25" s="75" t="s">
        <v>294</v>
      </c>
      <c r="D25" s="77" t="s">
        <v>290</v>
      </c>
      <c r="E25" s="77"/>
      <c r="F25" s="75" t="s">
        <v>3399</v>
      </c>
      <c r="G25" s="414">
        <f t="shared" si="6"/>
        <v>83.59</v>
      </c>
      <c r="H25" s="414">
        <f t="shared" si="7"/>
        <v>1250</v>
      </c>
      <c r="I25" s="414">
        <f t="shared" si="8"/>
        <v>75</v>
      </c>
      <c r="J25" s="106"/>
    </row>
    <row r="26" spans="2:10">
      <c r="B26" s="191" t="str">
        <f t="shared" si="5"/>
        <v>Copper Standard Access 15Mbit/sNearnet</v>
      </c>
      <c r="C26" s="75" t="s">
        <v>294</v>
      </c>
      <c r="D26" s="77" t="s">
        <v>291</v>
      </c>
      <c r="E26" s="77"/>
      <c r="F26" s="75" t="s">
        <v>3399</v>
      </c>
      <c r="G26" s="414">
        <f t="shared" si="6"/>
        <v>102.44</v>
      </c>
      <c r="H26" s="414">
        <f t="shared" si="7"/>
        <v>1250</v>
      </c>
      <c r="I26" s="414">
        <f t="shared" si="8"/>
        <v>75</v>
      </c>
      <c r="J26" s="106"/>
    </row>
    <row r="27" spans="2:10">
      <c r="B27" s="191" t="str">
        <f t="shared" si="5"/>
        <v>Copper Standard Access 20Mbit/sNearnet</v>
      </c>
      <c r="C27" s="75" t="s">
        <v>294</v>
      </c>
      <c r="D27" s="77" t="s">
        <v>292</v>
      </c>
      <c r="E27" s="77"/>
      <c r="F27" s="75" t="s">
        <v>3399</v>
      </c>
      <c r="G27" s="414">
        <f t="shared" si="6"/>
        <v>121.28</v>
      </c>
      <c r="H27" s="414">
        <f t="shared" si="7"/>
        <v>1250</v>
      </c>
      <c r="I27" s="414">
        <f t="shared" si="8"/>
        <v>75</v>
      </c>
      <c r="J27" s="106"/>
    </row>
    <row r="28" spans="2:10">
      <c r="B28" s="102"/>
      <c r="C28" s="75"/>
      <c r="D28" s="77"/>
      <c r="E28" s="77"/>
      <c r="F28"/>
      <c r="G28"/>
      <c r="H28"/>
      <c r="I28"/>
      <c r="J28" s="106"/>
    </row>
    <row r="29" spans="2:10">
      <c r="B29" s="104"/>
      <c r="C29" s="75"/>
      <c r="D29" s="77"/>
      <c r="E29" s="75"/>
      <c r="G29" s="106"/>
      <c r="I29" s="106"/>
      <c r="J29" s="106"/>
    </row>
    <row r="30" spans="2:10" ht="18">
      <c r="B30" s="66"/>
      <c r="C30" s="67"/>
      <c r="D30" s="66"/>
      <c r="E30" s="68"/>
      <c r="F30" s="69"/>
      <c r="G30" s="69"/>
      <c r="H30"/>
      <c r="I30"/>
      <c r="J30" s="151"/>
    </row>
    <row r="31" spans="2:10">
      <c r="B31" s="70" t="s">
        <v>215</v>
      </c>
      <c r="C31" s="71"/>
      <c r="D31" s="72"/>
      <c r="E31" s="72"/>
      <c r="F31" s="65"/>
      <c r="G31" s="65"/>
      <c r="H31"/>
      <c r="I31"/>
      <c r="J31" s="151"/>
    </row>
    <row r="32" spans="2:10">
      <c r="B32" s="101"/>
      <c r="C32" s="73"/>
      <c r="D32" s="73"/>
      <c r="E32" s="73"/>
      <c r="F32" s="73"/>
      <c r="G32" s="90"/>
      <c r="H32" s="90"/>
      <c r="I32" s="90"/>
      <c r="J32" s="160"/>
    </row>
    <row r="33" spans="2:10">
      <c r="B33" s="191" t="s">
        <v>216</v>
      </c>
      <c r="C33" s="76" t="s">
        <v>263</v>
      </c>
      <c r="D33" s="76" t="s">
        <v>285</v>
      </c>
      <c r="E33" s="76" t="s">
        <v>264</v>
      </c>
      <c r="F33" s="76" t="s">
        <v>203</v>
      </c>
      <c r="G33" s="425" t="s">
        <v>187</v>
      </c>
      <c r="H33" s="426" t="s">
        <v>189</v>
      </c>
      <c r="I33" s="426" t="s">
        <v>190</v>
      </c>
      <c r="J33" s="160"/>
    </row>
    <row r="34" spans="2:10">
      <c r="B34" s="191" t="str">
        <f t="shared" ref="B34:B35" si="9">C34&amp;D34&amp;E34&amp;F34</f>
        <v>LiteMetro0,256</v>
      </c>
      <c r="C34" s="76" t="s">
        <v>283</v>
      </c>
      <c r="D34" s="76"/>
      <c r="E34" s="76" t="s">
        <v>282</v>
      </c>
      <c r="F34" s="76">
        <v>0.25600000000000001</v>
      </c>
      <c r="G34" s="425">
        <v>14.29</v>
      </c>
      <c r="H34" s="414">
        <v>0</v>
      </c>
      <c r="I34" s="414">
        <v>25</v>
      </c>
      <c r="J34" s="153"/>
    </row>
    <row r="35" spans="2:10">
      <c r="B35" s="191" t="str">
        <f t="shared" si="9"/>
        <v>LiteMetro0,512</v>
      </c>
      <c r="C35" s="76" t="s">
        <v>283</v>
      </c>
      <c r="D35" s="76"/>
      <c r="E35" s="76" t="s">
        <v>282</v>
      </c>
      <c r="F35" s="76">
        <v>0.51200000000000001</v>
      </c>
      <c r="G35" s="425">
        <v>14.29</v>
      </c>
      <c r="H35" s="414">
        <f>H$34</f>
        <v>0</v>
      </c>
      <c r="I35" s="414">
        <f>I$34</f>
        <v>25</v>
      </c>
      <c r="J35" s="153"/>
    </row>
    <row r="36" spans="2:10">
      <c r="B36" s="191" t="str">
        <f>C36&amp;D36&amp;E36&amp;F36</f>
        <v>LiteMetro1</v>
      </c>
      <c r="C36" s="76" t="s">
        <v>283</v>
      </c>
      <c r="D36" s="76"/>
      <c r="E36" s="76" t="s">
        <v>282</v>
      </c>
      <c r="F36" s="76">
        <v>1</v>
      </c>
      <c r="G36" s="425">
        <v>14.29</v>
      </c>
      <c r="H36" s="414">
        <f>H$34</f>
        <v>0</v>
      </c>
      <c r="I36" s="414">
        <f>I$34</f>
        <v>25</v>
      </c>
      <c r="J36" s="153"/>
    </row>
    <row r="37" spans="2:10">
      <c r="B37" s="191" t="str">
        <f t="shared" ref="B37:B101" si="10">C37&amp;D37&amp;E37&amp;F37</f>
        <v>LiteMetro2</v>
      </c>
      <c r="C37" s="76" t="s">
        <v>283</v>
      </c>
      <c r="D37" s="76"/>
      <c r="E37" s="76" t="s">
        <v>282</v>
      </c>
      <c r="F37" s="76">
        <v>2</v>
      </c>
      <c r="G37" s="425">
        <v>16.55</v>
      </c>
      <c r="H37" s="414">
        <f t="shared" ref="H37:I54" si="11">H$34</f>
        <v>0</v>
      </c>
      <c r="I37" s="414">
        <f t="shared" si="11"/>
        <v>25</v>
      </c>
      <c r="J37" s="153"/>
    </row>
    <row r="38" spans="2:10">
      <c r="B38" s="191" t="str">
        <f t="shared" si="10"/>
        <v>LiteMetro3</v>
      </c>
      <c r="C38" s="76" t="s">
        <v>283</v>
      </c>
      <c r="D38" s="76"/>
      <c r="E38" s="76" t="s">
        <v>282</v>
      </c>
      <c r="F38" s="76">
        <v>3</v>
      </c>
      <c r="G38" s="425">
        <v>18.47</v>
      </c>
      <c r="H38" s="414">
        <f t="shared" si="11"/>
        <v>0</v>
      </c>
      <c r="I38" s="414">
        <f t="shared" si="11"/>
        <v>25</v>
      </c>
      <c r="J38" s="153"/>
    </row>
    <row r="39" spans="2:10">
      <c r="B39" s="191" t="str">
        <f t="shared" si="10"/>
        <v>LiteMetro4</v>
      </c>
      <c r="C39" s="76" t="s">
        <v>283</v>
      </c>
      <c r="D39" s="76"/>
      <c r="E39" s="76" t="s">
        <v>282</v>
      </c>
      <c r="F39" s="76">
        <v>4</v>
      </c>
      <c r="G39" s="425">
        <v>18.47</v>
      </c>
      <c r="H39" s="414">
        <f t="shared" si="11"/>
        <v>0</v>
      </c>
      <c r="I39" s="414">
        <f t="shared" si="11"/>
        <v>25</v>
      </c>
      <c r="J39" s="153"/>
    </row>
    <row r="40" spans="2:10">
      <c r="B40" s="191" t="str">
        <f t="shared" si="10"/>
        <v>LiteMetro5</v>
      </c>
      <c r="C40" s="76" t="s">
        <v>283</v>
      </c>
      <c r="D40" s="76"/>
      <c r="E40" s="76" t="s">
        <v>282</v>
      </c>
      <c r="F40" s="76">
        <v>5</v>
      </c>
      <c r="G40" s="425">
        <v>18.47</v>
      </c>
      <c r="H40" s="414">
        <f t="shared" si="11"/>
        <v>0</v>
      </c>
      <c r="I40" s="414">
        <f t="shared" si="11"/>
        <v>25</v>
      </c>
      <c r="J40" s="153"/>
    </row>
    <row r="41" spans="2:10">
      <c r="B41" s="191" t="str">
        <f t="shared" si="10"/>
        <v>LiteMetro6</v>
      </c>
      <c r="C41" s="76" t="s">
        <v>283</v>
      </c>
      <c r="D41" s="76"/>
      <c r="E41" s="76" t="s">
        <v>282</v>
      </c>
      <c r="F41" s="76">
        <v>6</v>
      </c>
      <c r="G41" s="425">
        <v>18.47</v>
      </c>
      <c r="H41" s="414">
        <f t="shared" si="11"/>
        <v>0</v>
      </c>
      <c r="I41" s="414">
        <f t="shared" si="11"/>
        <v>25</v>
      </c>
      <c r="J41" s="153"/>
    </row>
    <row r="42" spans="2:10">
      <c r="B42" s="191" t="str">
        <f t="shared" si="10"/>
        <v>LiteMetro8</v>
      </c>
      <c r="C42" s="76" t="s">
        <v>283</v>
      </c>
      <c r="D42" s="76"/>
      <c r="E42" s="76" t="s">
        <v>282</v>
      </c>
      <c r="F42" s="76">
        <v>8</v>
      </c>
      <c r="G42" s="425">
        <v>18.47</v>
      </c>
      <c r="H42" s="414">
        <f t="shared" si="11"/>
        <v>0</v>
      </c>
      <c r="I42" s="414">
        <f t="shared" si="11"/>
        <v>25</v>
      </c>
      <c r="J42" s="153"/>
    </row>
    <row r="43" spans="2:10">
      <c r="B43" s="191" t="str">
        <f t="shared" si="10"/>
        <v>LiteMetro10</v>
      </c>
      <c r="C43" s="76" t="s">
        <v>283</v>
      </c>
      <c r="D43" s="76"/>
      <c r="E43" s="76" t="s">
        <v>282</v>
      </c>
      <c r="F43" s="76">
        <v>10</v>
      </c>
      <c r="G43" s="425">
        <v>18.47</v>
      </c>
      <c r="H43" s="414">
        <f t="shared" si="11"/>
        <v>0</v>
      </c>
      <c r="I43" s="414">
        <f t="shared" si="11"/>
        <v>25</v>
      </c>
      <c r="J43" s="153"/>
    </row>
    <row r="44" spans="2:10">
      <c r="B44" s="191" t="str">
        <f t="shared" si="10"/>
        <v>LiteMetro15</v>
      </c>
      <c r="C44" s="76" t="s">
        <v>283</v>
      </c>
      <c r="D44" s="76"/>
      <c r="E44" s="76" t="s">
        <v>282</v>
      </c>
      <c r="F44" s="76">
        <v>15</v>
      </c>
      <c r="G44" s="425">
        <v>22.24</v>
      </c>
      <c r="H44" s="414">
        <f t="shared" si="11"/>
        <v>0</v>
      </c>
      <c r="I44" s="414">
        <f t="shared" si="11"/>
        <v>25</v>
      </c>
      <c r="J44" s="153"/>
    </row>
    <row r="45" spans="2:10">
      <c r="B45" s="191" t="str">
        <f t="shared" si="10"/>
        <v>LiteMetro20</v>
      </c>
      <c r="C45" s="76" t="s">
        <v>283</v>
      </c>
      <c r="D45" s="76"/>
      <c r="E45" s="76" t="s">
        <v>282</v>
      </c>
      <c r="F45" s="76">
        <v>20</v>
      </c>
      <c r="G45" s="423">
        <v>29.78</v>
      </c>
      <c r="H45" s="424">
        <f t="shared" si="11"/>
        <v>0</v>
      </c>
      <c r="I45" s="424">
        <f t="shared" si="11"/>
        <v>25</v>
      </c>
      <c r="J45" s="153"/>
    </row>
    <row r="46" spans="2:10">
      <c r="B46" s="191" t="str">
        <f t="shared" si="10"/>
        <v>LiteMetro30</v>
      </c>
      <c r="C46" s="76" t="s">
        <v>283</v>
      </c>
      <c r="D46" s="76"/>
      <c r="E46" s="76" t="s">
        <v>282</v>
      </c>
      <c r="F46" s="76">
        <v>30</v>
      </c>
      <c r="G46" s="423">
        <v>33.54</v>
      </c>
      <c r="H46" s="424">
        <f t="shared" si="11"/>
        <v>0</v>
      </c>
      <c r="I46" s="424">
        <f t="shared" si="11"/>
        <v>25</v>
      </c>
      <c r="J46" s="153"/>
    </row>
    <row r="47" spans="2:10">
      <c r="B47" s="191" t="str">
        <f t="shared" si="10"/>
        <v>LiteMetro50</v>
      </c>
      <c r="C47" s="76" t="s">
        <v>283</v>
      </c>
      <c r="D47" s="76"/>
      <c r="E47" s="76" t="s">
        <v>282</v>
      </c>
      <c r="F47" s="76">
        <v>50</v>
      </c>
      <c r="G47" s="423">
        <v>48.62</v>
      </c>
      <c r="H47" s="424">
        <f t="shared" si="11"/>
        <v>0</v>
      </c>
      <c r="I47" s="424">
        <f t="shared" si="11"/>
        <v>25</v>
      </c>
      <c r="J47" s="153"/>
    </row>
    <row r="48" spans="2:10">
      <c r="B48" s="191" t="str">
        <f t="shared" si="10"/>
        <v>LiteMetro80</v>
      </c>
      <c r="C48" s="76" t="s">
        <v>283</v>
      </c>
      <c r="D48" s="76"/>
      <c r="E48" s="76" t="s">
        <v>282</v>
      </c>
      <c r="F48" s="76">
        <v>80</v>
      </c>
      <c r="G48" s="423">
        <v>63.7</v>
      </c>
      <c r="H48" s="424">
        <f t="shared" si="11"/>
        <v>0</v>
      </c>
      <c r="I48" s="424">
        <f t="shared" si="11"/>
        <v>25</v>
      </c>
      <c r="J48" s="153"/>
    </row>
    <row r="49" spans="2:10">
      <c r="B49" s="191" t="str">
        <f t="shared" si="10"/>
        <v>LiteMetro100</v>
      </c>
      <c r="C49" s="76" t="s">
        <v>283</v>
      </c>
      <c r="D49" s="76"/>
      <c r="E49" s="76" t="s">
        <v>282</v>
      </c>
      <c r="F49" s="76">
        <v>100</v>
      </c>
      <c r="G49" s="423">
        <v>71.239999999999995</v>
      </c>
      <c r="H49" s="424">
        <f t="shared" si="11"/>
        <v>0</v>
      </c>
      <c r="I49" s="424">
        <f t="shared" si="11"/>
        <v>25</v>
      </c>
      <c r="J49" s="153"/>
    </row>
    <row r="50" spans="2:10">
      <c r="B50" s="191" t="str">
        <f t="shared" si="10"/>
        <v>LiteMetro200</v>
      </c>
      <c r="C50" s="76" t="s">
        <v>283</v>
      </c>
      <c r="D50" s="76"/>
      <c r="E50" s="76" t="s">
        <v>282</v>
      </c>
      <c r="F50" s="76">
        <v>200</v>
      </c>
      <c r="G50" s="423">
        <v>108.93</v>
      </c>
      <c r="H50" s="424">
        <f t="shared" si="11"/>
        <v>0</v>
      </c>
      <c r="I50" s="424">
        <f t="shared" si="11"/>
        <v>25</v>
      </c>
      <c r="J50" s="153"/>
    </row>
    <row r="51" spans="2:10">
      <c r="B51" s="191" t="str">
        <f t="shared" si="10"/>
        <v>LiteMetro300</v>
      </c>
      <c r="C51" s="76" t="s">
        <v>283</v>
      </c>
      <c r="D51" s="76"/>
      <c r="E51" s="76" t="s">
        <v>282</v>
      </c>
      <c r="F51" s="76">
        <v>300</v>
      </c>
      <c r="G51" s="423">
        <v>127.77</v>
      </c>
      <c r="H51" s="424">
        <f t="shared" si="11"/>
        <v>0</v>
      </c>
      <c r="I51" s="424">
        <f t="shared" si="11"/>
        <v>25</v>
      </c>
      <c r="J51" s="153"/>
    </row>
    <row r="52" spans="2:10">
      <c r="B52" s="191" t="str">
        <f t="shared" si="10"/>
        <v>LiteMetro500</v>
      </c>
      <c r="C52" s="76" t="s">
        <v>283</v>
      </c>
      <c r="D52" s="76"/>
      <c r="E52" s="76" t="s">
        <v>282</v>
      </c>
      <c r="F52" s="76">
        <v>500</v>
      </c>
      <c r="G52" s="423">
        <v>161.69</v>
      </c>
      <c r="H52" s="424">
        <f t="shared" si="11"/>
        <v>0</v>
      </c>
      <c r="I52" s="424">
        <f t="shared" si="11"/>
        <v>25</v>
      </c>
      <c r="J52" s="153"/>
    </row>
    <row r="53" spans="2:10">
      <c r="B53" s="191" t="str">
        <f t="shared" si="10"/>
        <v>LiteMetro800</v>
      </c>
      <c r="C53" s="76" t="s">
        <v>283</v>
      </c>
      <c r="D53" s="76"/>
      <c r="E53" s="76" t="s">
        <v>282</v>
      </c>
      <c r="F53" s="76">
        <v>800</v>
      </c>
      <c r="G53" s="423">
        <v>184.31</v>
      </c>
      <c r="H53" s="424">
        <f t="shared" si="11"/>
        <v>0</v>
      </c>
      <c r="I53" s="424">
        <f t="shared" si="11"/>
        <v>25</v>
      </c>
      <c r="J53" s="153"/>
    </row>
    <row r="54" spans="2:10">
      <c r="B54" s="191" t="str">
        <f t="shared" si="10"/>
        <v>LiteMetro1000</v>
      </c>
      <c r="C54" s="76" t="s">
        <v>283</v>
      </c>
      <c r="D54" s="76"/>
      <c r="E54" s="76" t="s">
        <v>282</v>
      </c>
      <c r="F54" s="76">
        <v>1000</v>
      </c>
      <c r="G54" s="425">
        <v>203.15</v>
      </c>
      <c r="H54" s="426">
        <f t="shared" si="11"/>
        <v>0</v>
      </c>
      <c r="I54" s="426">
        <f t="shared" si="11"/>
        <v>25</v>
      </c>
      <c r="J54" s="153"/>
    </row>
    <row r="55" spans="2:10">
      <c r="B55" s="191" t="str">
        <f t="shared" si="10"/>
        <v>PremiumMetro0,256</v>
      </c>
      <c r="C55" s="76" t="s">
        <v>267</v>
      </c>
      <c r="D55" s="76"/>
      <c r="E55" s="76" t="s">
        <v>282</v>
      </c>
      <c r="F55" s="76">
        <v>0.25600000000000001</v>
      </c>
      <c r="G55" s="425">
        <v>14.29</v>
      </c>
      <c r="H55" s="414">
        <f t="shared" ref="H55:I56" si="12">H$34</f>
        <v>0</v>
      </c>
      <c r="I55" s="414">
        <f t="shared" si="12"/>
        <v>25</v>
      </c>
      <c r="J55" s="153"/>
    </row>
    <row r="56" spans="2:10">
      <c r="B56" s="191" t="str">
        <f t="shared" si="10"/>
        <v>PremiumMetro0,512</v>
      </c>
      <c r="C56" s="76" t="s">
        <v>267</v>
      </c>
      <c r="D56" s="76"/>
      <c r="E56" s="76" t="s">
        <v>282</v>
      </c>
      <c r="F56" s="76">
        <v>0.51200000000000001</v>
      </c>
      <c r="G56" s="425">
        <v>14.29</v>
      </c>
      <c r="H56" s="414">
        <f t="shared" si="12"/>
        <v>0</v>
      </c>
      <c r="I56" s="414">
        <f t="shared" si="12"/>
        <v>25</v>
      </c>
      <c r="J56" s="153"/>
    </row>
    <row r="57" spans="2:10">
      <c r="B57" s="191" t="str">
        <f t="shared" si="10"/>
        <v>PremiumMetro1</v>
      </c>
      <c r="C57" s="76" t="s">
        <v>267</v>
      </c>
      <c r="D57" s="76"/>
      <c r="E57" s="76" t="s">
        <v>282</v>
      </c>
      <c r="F57" s="76">
        <v>1</v>
      </c>
      <c r="G57" s="425">
        <v>14.29</v>
      </c>
      <c r="H57" s="414">
        <f t="shared" ref="H57:I75" si="13">H$34</f>
        <v>0</v>
      </c>
      <c r="I57" s="414">
        <f t="shared" si="13"/>
        <v>25</v>
      </c>
      <c r="J57" s="153"/>
    </row>
    <row r="58" spans="2:10">
      <c r="B58" s="191" t="str">
        <f t="shared" si="10"/>
        <v>PremiumMetro2</v>
      </c>
      <c r="C58" s="76" t="s">
        <v>267</v>
      </c>
      <c r="D58" s="76"/>
      <c r="E58" s="76" t="s">
        <v>282</v>
      </c>
      <c r="F58" s="76">
        <v>2</v>
      </c>
      <c r="G58" s="425">
        <v>16.55</v>
      </c>
      <c r="H58" s="414">
        <f t="shared" si="13"/>
        <v>0</v>
      </c>
      <c r="I58" s="414">
        <f t="shared" si="13"/>
        <v>25</v>
      </c>
      <c r="J58" s="153"/>
    </row>
    <row r="59" spans="2:10">
      <c r="B59" s="191" t="str">
        <f t="shared" si="10"/>
        <v>PremiumMetro3</v>
      </c>
      <c r="C59" s="76" t="s">
        <v>267</v>
      </c>
      <c r="D59" s="76"/>
      <c r="E59" s="76" t="s">
        <v>282</v>
      </c>
      <c r="F59" s="76">
        <v>3</v>
      </c>
      <c r="G59" s="425">
        <v>27.86</v>
      </c>
      <c r="H59" s="414">
        <f t="shared" si="13"/>
        <v>0</v>
      </c>
      <c r="I59" s="414">
        <f t="shared" si="13"/>
        <v>25</v>
      </c>
      <c r="J59" s="153"/>
    </row>
    <row r="60" spans="2:10">
      <c r="B60" s="191" t="str">
        <f t="shared" si="10"/>
        <v>PremiumMetro4</v>
      </c>
      <c r="C60" s="76" t="s">
        <v>267</v>
      </c>
      <c r="D60" s="76"/>
      <c r="E60" s="76" t="s">
        <v>282</v>
      </c>
      <c r="F60" s="76">
        <v>4</v>
      </c>
      <c r="G60" s="425">
        <v>42.94</v>
      </c>
      <c r="H60" s="414">
        <f t="shared" si="13"/>
        <v>0</v>
      </c>
      <c r="I60" s="414">
        <f t="shared" si="13"/>
        <v>25</v>
      </c>
      <c r="J60" s="153"/>
    </row>
    <row r="61" spans="2:10">
      <c r="B61" s="191" t="str">
        <f t="shared" si="10"/>
        <v>PremiumMetro5</v>
      </c>
      <c r="C61" s="76" t="s">
        <v>267</v>
      </c>
      <c r="D61" s="76"/>
      <c r="E61" s="76" t="s">
        <v>282</v>
      </c>
      <c r="F61" s="76">
        <v>5</v>
      </c>
      <c r="G61" s="425">
        <v>46.71</v>
      </c>
      <c r="H61" s="414">
        <f t="shared" si="13"/>
        <v>0</v>
      </c>
      <c r="I61" s="414">
        <f t="shared" si="13"/>
        <v>25</v>
      </c>
      <c r="J61" s="153"/>
    </row>
    <row r="62" spans="2:10">
      <c r="B62" s="191" t="str">
        <f t="shared" si="10"/>
        <v>PremiumMetro6</v>
      </c>
      <c r="C62" s="76" t="s">
        <v>267</v>
      </c>
      <c r="D62" s="76"/>
      <c r="E62" s="76" t="s">
        <v>282</v>
      </c>
      <c r="F62" s="76">
        <v>6</v>
      </c>
      <c r="G62" s="425">
        <v>50.48</v>
      </c>
      <c r="H62" s="414">
        <f t="shared" si="13"/>
        <v>0</v>
      </c>
      <c r="I62" s="414">
        <f t="shared" si="13"/>
        <v>25</v>
      </c>
      <c r="J62" s="153"/>
    </row>
    <row r="63" spans="2:10">
      <c r="B63" s="191" t="str">
        <f t="shared" si="10"/>
        <v>PremiumMetro8</v>
      </c>
      <c r="C63" s="76" t="s">
        <v>267</v>
      </c>
      <c r="D63" s="76"/>
      <c r="E63" s="76" t="s">
        <v>282</v>
      </c>
      <c r="F63" s="76">
        <v>8</v>
      </c>
      <c r="G63" s="425">
        <v>54.24</v>
      </c>
      <c r="H63" s="414">
        <f t="shared" si="13"/>
        <v>0</v>
      </c>
      <c r="I63" s="414">
        <f t="shared" si="13"/>
        <v>25</v>
      </c>
      <c r="J63" s="153"/>
    </row>
    <row r="64" spans="2:10">
      <c r="B64" s="191" t="str">
        <f t="shared" si="10"/>
        <v>PremiumMetro10</v>
      </c>
      <c r="C64" s="76" t="s">
        <v>267</v>
      </c>
      <c r="D64" s="76"/>
      <c r="E64" s="76" t="s">
        <v>282</v>
      </c>
      <c r="F64" s="76">
        <v>10</v>
      </c>
      <c r="G64" s="425">
        <v>58.01</v>
      </c>
      <c r="H64" s="414">
        <f t="shared" si="13"/>
        <v>0</v>
      </c>
      <c r="I64" s="414">
        <f t="shared" si="13"/>
        <v>25</v>
      </c>
      <c r="J64" s="153"/>
    </row>
    <row r="65" spans="2:10">
      <c r="B65" s="191" t="str">
        <f t="shared" si="10"/>
        <v>PremiumMetro15</v>
      </c>
      <c r="C65" s="76" t="s">
        <v>267</v>
      </c>
      <c r="D65" s="76"/>
      <c r="E65" s="76" t="s">
        <v>282</v>
      </c>
      <c r="F65" s="76">
        <v>15</v>
      </c>
      <c r="G65" s="425">
        <v>80.63</v>
      </c>
      <c r="H65" s="414">
        <f t="shared" si="13"/>
        <v>0</v>
      </c>
      <c r="I65" s="414">
        <f t="shared" si="13"/>
        <v>25</v>
      </c>
      <c r="J65" s="153"/>
    </row>
    <row r="66" spans="2:10">
      <c r="B66" s="191" t="str">
        <f t="shared" si="10"/>
        <v>PremiumMetro20</v>
      </c>
      <c r="C66" s="76" t="s">
        <v>267</v>
      </c>
      <c r="D66" s="76"/>
      <c r="E66" s="76" t="s">
        <v>282</v>
      </c>
      <c r="F66" s="76">
        <v>20</v>
      </c>
      <c r="G66" s="423">
        <v>88.17</v>
      </c>
      <c r="H66" s="424">
        <f t="shared" si="13"/>
        <v>0</v>
      </c>
      <c r="I66" s="424">
        <f t="shared" si="13"/>
        <v>25</v>
      </c>
      <c r="J66" s="153"/>
    </row>
    <row r="67" spans="2:10">
      <c r="B67" s="191" t="str">
        <f t="shared" si="10"/>
        <v>PremiumMetro30</v>
      </c>
      <c r="C67" s="76" t="s">
        <v>267</v>
      </c>
      <c r="D67" s="76"/>
      <c r="E67" s="76" t="s">
        <v>282</v>
      </c>
      <c r="F67" s="76">
        <v>30</v>
      </c>
      <c r="G67" s="423">
        <v>110.78</v>
      </c>
      <c r="H67" s="424">
        <f t="shared" si="13"/>
        <v>0</v>
      </c>
      <c r="I67" s="424">
        <f t="shared" si="13"/>
        <v>25</v>
      </c>
      <c r="J67" s="153"/>
    </row>
    <row r="68" spans="2:10">
      <c r="B68" s="191" t="str">
        <f t="shared" si="10"/>
        <v>PremiumMetro50</v>
      </c>
      <c r="C68" s="76" t="s">
        <v>267</v>
      </c>
      <c r="D68" s="76"/>
      <c r="E68" s="76" t="s">
        <v>282</v>
      </c>
      <c r="F68" s="76">
        <v>50</v>
      </c>
      <c r="G68" s="423">
        <v>133.4</v>
      </c>
      <c r="H68" s="424">
        <f t="shared" si="13"/>
        <v>0</v>
      </c>
      <c r="I68" s="424">
        <f t="shared" si="13"/>
        <v>25</v>
      </c>
      <c r="J68" s="153"/>
    </row>
    <row r="69" spans="2:10">
      <c r="B69" s="191" t="str">
        <f t="shared" si="10"/>
        <v>PremiumMetro80</v>
      </c>
      <c r="C69" s="76" t="s">
        <v>267</v>
      </c>
      <c r="D69" s="76"/>
      <c r="E69" s="76" t="s">
        <v>282</v>
      </c>
      <c r="F69" s="76">
        <v>80</v>
      </c>
      <c r="G69" s="423">
        <v>159.78</v>
      </c>
      <c r="H69" s="424">
        <f t="shared" si="13"/>
        <v>0</v>
      </c>
      <c r="I69" s="424">
        <f t="shared" si="13"/>
        <v>25</v>
      </c>
      <c r="J69" s="153"/>
    </row>
    <row r="70" spans="2:10">
      <c r="B70" s="191" t="str">
        <f t="shared" si="10"/>
        <v>PremiumMetro100</v>
      </c>
      <c r="C70" s="76" t="s">
        <v>267</v>
      </c>
      <c r="D70" s="76"/>
      <c r="E70" s="76" t="s">
        <v>282</v>
      </c>
      <c r="F70" s="76">
        <v>100</v>
      </c>
      <c r="G70" s="423">
        <v>178.63</v>
      </c>
      <c r="H70" s="424">
        <f t="shared" si="13"/>
        <v>0</v>
      </c>
      <c r="I70" s="424">
        <f t="shared" si="13"/>
        <v>25</v>
      </c>
      <c r="J70" s="153"/>
    </row>
    <row r="71" spans="2:10">
      <c r="B71" s="191" t="str">
        <f t="shared" si="10"/>
        <v>PremiumMetro200</v>
      </c>
      <c r="C71" s="76" t="s">
        <v>267</v>
      </c>
      <c r="D71" s="76"/>
      <c r="E71" s="76" t="s">
        <v>282</v>
      </c>
      <c r="F71" s="76">
        <v>200</v>
      </c>
      <c r="G71" s="423">
        <v>216.32</v>
      </c>
      <c r="H71" s="424">
        <f t="shared" si="13"/>
        <v>0</v>
      </c>
      <c r="I71" s="424">
        <f t="shared" si="13"/>
        <v>25</v>
      </c>
      <c r="J71" s="153"/>
    </row>
    <row r="72" spans="2:10">
      <c r="B72" s="191" t="str">
        <f t="shared" si="10"/>
        <v>PremiumMetro300</v>
      </c>
      <c r="C72" s="76" t="s">
        <v>267</v>
      </c>
      <c r="D72" s="76"/>
      <c r="E72" s="76" t="s">
        <v>282</v>
      </c>
      <c r="F72" s="76">
        <v>300</v>
      </c>
      <c r="G72" s="423">
        <v>254.01</v>
      </c>
      <c r="H72" s="424">
        <f t="shared" si="13"/>
        <v>0</v>
      </c>
      <c r="I72" s="424">
        <f t="shared" si="13"/>
        <v>25</v>
      </c>
      <c r="J72" s="153"/>
    </row>
    <row r="73" spans="2:10">
      <c r="B73" s="191" t="str">
        <f t="shared" si="10"/>
        <v>PremiumMetro500</v>
      </c>
      <c r="C73" s="76" t="s">
        <v>267</v>
      </c>
      <c r="D73" s="76"/>
      <c r="E73" s="76" t="s">
        <v>282</v>
      </c>
      <c r="F73" s="76">
        <v>500</v>
      </c>
      <c r="G73" s="423">
        <v>310.54000000000002</v>
      </c>
      <c r="H73" s="424">
        <f t="shared" si="13"/>
        <v>0</v>
      </c>
      <c r="I73" s="424">
        <f t="shared" si="13"/>
        <v>25</v>
      </c>
      <c r="J73" s="153"/>
    </row>
    <row r="74" spans="2:10">
      <c r="B74" s="191" t="str">
        <f t="shared" si="10"/>
        <v>PremiumMetro800</v>
      </c>
      <c r="C74" s="76" t="s">
        <v>267</v>
      </c>
      <c r="D74" s="76"/>
      <c r="E74" s="76" t="s">
        <v>282</v>
      </c>
      <c r="F74" s="76">
        <v>800</v>
      </c>
      <c r="G74" s="423">
        <v>348.23</v>
      </c>
      <c r="H74" s="424">
        <f t="shared" si="13"/>
        <v>0</v>
      </c>
      <c r="I74" s="424">
        <f t="shared" si="13"/>
        <v>25</v>
      </c>
      <c r="J74" s="153"/>
    </row>
    <row r="75" spans="2:10">
      <c r="B75" s="102" t="str">
        <f t="shared" si="10"/>
        <v>PremiumMetro1000</v>
      </c>
      <c r="C75" s="76" t="s">
        <v>267</v>
      </c>
      <c r="D75" s="76"/>
      <c r="E75" s="76" t="s">
        <v>282</v>
      </c>
      <c r="F75" s="76">
        <v>1000</v>
      </c>
      <c r="G75" s="426">
        <v>385.93</v>
      </c>
      <c r="H75" s="414">
        <f t="shared" si="13"/>
        <v>0</v>
      </c>
      <c r="I75" s="414">
        <f t="shared" si="13"/>
        <v>25</v>
      </c>
      <c r="J75" s="153"/>
    </row>
    <row r="76" spans="2:10">
      <c r="B76" s="191"/>
      <c r="C76" s="76"/>
      <c r="D76" s="76"/>
      <c r="E76" s="76"/>
      <c r="F76" s="76"/>
      <c r="G76" s="425"/>
      <c r="H76" s="426"/>
      <c r="I76" s="426"/>
      <c r="J76" s="153"/>
    </row>
    <row r="77" spans="2:10">
      <c r="B77" s="191" t="str">
        <f t="shared" ref="B77:B78" si="14">C77&amp;D77&amp;E77&amp;F77</f>
        <v>PremiumshadowMetro0,256</v>
      </c>
      <c r="C77" s="76" t="s">
        <v>267</v>
      </c>
      <c r="D77" s="76" t="s">
        <v>286</v>
      </c>
      <c r="E77" s="76" t="s">
        <v>282</v>
      </c>
      <c r="F77" s="76">
        <v>0.25600000000000001</v>
      </c>
      <c r="G77" s="425">
        <v>10.8</v>
      </c>
      <c r="H77" s="414">
        <f t="shared" ref="H77:I78" si="15">H$34</f>
        <v>0</v>
      </c>
      <c r="I77" s="414">
        <f t="shared" si="15"/>
        <v>25</v>
      </c>
      <c r="J77" s="153"/>
    </row>
    <row r="78" spans="2:10">
      <c r="B78" s="191" t="str">
        <f t="shared" si="14"/>
        <v>PremiumshadowMetro0,512</v>
      </c>
      <c r="C78" s="76" t="s">
        <v>267</v>
      </c>
      <c r="D78" s="76" t="s">
        <v>286</v>
      </c>
      <c r="E78" s="76" t="s">
        <v>282</v>
      </c>
      <c r="F78" s="76">
        <v>0.51200000000000001</v>
      </c>
      <c r="G78" s="425">
        <v>10.8</v>
      </c>
      <c r="H78" s="414">
        <f t="shared" si="15"/>
        <v>0</v>
      </c>
      <c r="I78" s="414">
        <f t="shared" si="15"/>
        <v>25</v>
      </c>
      <c r="J78" s="153"/>
    </row>
    <row r="79" spans="2:10">
      <c r="B79" s="191" t="str">
        <f t="shared" si="10"/>
        <v>PremiumshadowMetro1</v>
      </c>
      <c r="C79" s="76" t="s">
        <v>267</v>
      </c>
      <c r="D79" s="76" t="s">
        <v>286</v>
      </c>
      <c r="E79" s="76" t="s">
        <v>282</v>
      </c>
      <c r="F79" s="76">
        <v>1</v>
      </c>
      <c r="G79" s="425">
        <v>10.8</v>
      </c>
      <c r="H79" s="414">
        <f t="shared" ref="H79:I97" si="16">H$34</f>
        <v>0</v>
      </c>
      <c r="I79" s="414">
        <f t="shared" si="16"/>
        <v>25</v>
      </c>
      <c r="J79" s="153"/>
    </row>
    <row r="80" spans="2:10">
      <c r="B80" s="191" t="str">
        <f t="shared" si="10"/>
        <v>PremiumshadowMetro2</v>
      </c>
      <c r="C80" s="76" t="s">
        <v>267</v>
      </c>
      <c r="D80" s="76" t="s">
        <v>286</v>
      </c>
      <c r="E80" s="76" t="s">
        <v>282</v>
      </c>
      <c r="F80" s="76">
        <v>2</v>
      </c>
      <c r="G80" s="425">
        <v>10.8</v>
      </c>
      <c r="H80" s="414">
        <f t="shared" si="16"/>
        <v>0</v>
      </c>
      <c r="I80" s="414">
        <f t="shared" si="16"/>
        <v>25</v>
      </c>
      <c r="J80" s="153"/>
    </row>
    <row r="81" spans="2:10">
      <c r="B81" s="191" t="str">
        <f t="shared" si="10"/>
        <v>PremiumshadowMetro3</v>
      </c>
      <c r="C81" s="76" t="s">
        <v>267</v>
      </c>
      <c r="D81" s="76" t="s">
        <v>286</v>
      </c>
      <c r="E81" s="76" t="s">
        <v>282</v>
      </c>
      <c r="F81" s="76">
        <v>3</v>
      </c>
      <c r="G81" s="425">
        <v>10.8</v>
      </c>
      <c r="H81" s="414">
        <f t="shared" si="16"/>
        <v>0</v>
      </c>
      <c r="I81" s="414">
        <f t="shared" si="16"/>
        <v>25</v>
      </c>
      <c r="J81" s="153"/>
    </row>
    <row r="82" spans="2:10">
      <c r="B82" s="191" t="str">
        <f t="shared" si="10"/>
        <v>PremiumshadowMetro4</v>
      </c>
      <c r="C82" s="76" t="s">
        <v>267</v>
      </c>
      <c r="D82" s="76" t="s">
        <v>286</v>
      </c>
      <c r="E82" s="76" t="s">
        <v>282</v>
      </c>
      <c r="F82" s="76">
        <v>4</v>
      </c>
      <c r="G82" s="425">
        <v>10.8</v>
      </c>
      <c r="H82" s="414">
        <f t="shared" si="16"/>
        <v>0</v>
      </c>
      <c r="I82" s="414">
        <f t="shared" si="16"/>
        <v>25</v>
      </c>
      <c r="J82" s="153"/>
    </row>
    <row r="83" spans="2:10">
      <c r="B83" s="191" t="str">
        <f t="shared" si="10"/>
        <v>PremiumshadowMetro5</v>
      </c>
      <c r="C83" s="76" t="s">
        <v>267</v>
      </c>
      <c r="D83" s="76" t="s">
        <v>286</v>
      </c>
      <c r="E83" s="76" t="s">
        <v>282</v>
      </c>
      <c r="F83" s="76">
        <v>5</v>
      </c>
      <c r="G83" s="425">
        <v>10.8</v>
      </c>
      <c r="H83" s="414">
        <f t="shared" si="16"/>
        <v>0</v>
      </c>
      <c r="I83" s="414">
        <f t="shared" si="16"/>
        <v>25</v>
      </c>
      <c r="J83" s="153"/>
    </row>
    <row r="84" spans="2:10">
      <c r="B84" s="191" t="str">
        <f t="shared" si="10"/>
        <v>PremiumshadowMetro6</v>
      </c>
      <c r="C84" s="76" t="s">
        <v>267</v>
      </c>
      <c r="D84" s="76" t="s">
        <v>286</v>
      </c>
      <c r="E84" s="76" t="s">
        <v>282</v>
      </c>
      <c r="F84" s="76">
        <v>6</v>
      </c>
      <c r="G84" s="425">
        <v>10.8</v>
      </c>
      <c r="H84" s="414">
        <f t="shared" si="16"/>
        <v>0</v>
      </c>
      <c r="I84" s="414">
        <f t="shared" si="16"/>
        <v>25</v>
      </c>
      <c r="J84" s="153"/>
    </row>
    <row r="85" spans="2:10">
      <c r="B85" s="191" t="str">
        <f t="shared" si="10"/>
        <v>PremiumshadowMetro8</v>
      </c>
      <c r="C85" s="76" t="s">
        <v>267</v>
      </c>
      <c r="D85" s="76" t="s">
        <v>286</v>
      </c>
      <c r="E85" s="76" t="s">
        <v>282</v>
      </c>
      <c r="F85" s="76">
        <v>8</v>
      </c>
      <c r="G85" s="425">
        <v>10.8</v>
      </c>
      <c r="H85" s="414">
        <f t="shared" si="16"/>
        <v>0</v>
      </c>
      <c r="I85" s="414">
        <f t="shared" si="16"/>
        <v>25</v>
      </c>
      <c r="J85" s="153"/>
    </row>
    <row r="86" spans="2:10">
      <c r="B86" s="191" t="str">
        <f t="shared" si="10"/>
        <v>PremiumshadowMetro10</v>
      </c>
      <c r="C86" s="76" t="s">
        <v>267</v>
      </c>
      <c r="D86" s="76" t="s">
        <v>286</v>
      </c>
      <c r="E86" s="76" t="s">
        <v>282</v>
      </c>
      <c r="F86" s="76">
        <v>10</v>
      </c>
      <c r="G86" s="425">
        <v>10.8</v>
      </c>
      <c r="H86" s="414">
        <f t="shared" si="16"/>
        <v>0</v>
      </c>
      <c r="I86" s="414">
        <f t="shared" si="16"/>
        <v>25</v>
      </c>
      <c r="J86" s="153"/>
    </row>
    <row r="87" spans="2:10">
      <c r="B87" s="191" t="str">
        <f t="shared" si="10"/>
        <v>PremiumshadowMetro15</v>
      </c>
      <c r="C87" s="76" t="s">
        <v>267</v>
      </c>
      <c r="D87" s="76" t="s">
        <v>286</v>
      </c>
      <c r="E87" s="76" t="s">
        <v>282</v>
      </c>
      <c r="F87" s="76">
        <v>15</v>
      </c>
      <c r="G87" s="425">
        <v>11.7</v>
      </c>
      <c r="H87" s="414">
        <f t="shared" si="16"/>
        <v>0</v>
      </c>
      <c r="I87" s="414">
        <f t="shared" si="16"/>
        <v>25</v>
      </c>
      <c r="J87" s="153"/>
    </row>
    <row r="88" spans="2:10">
      <c r="B88" s="191" t="str">
        <f t="shared" si="10"/>
        <v>PremiumshadowMetro20</v>
      </c>
      <c r="C88" s="76" t="s">
        <v>267</v>
      </c>
      <c r="D88" s="76" t="s">
        <v>286</v>
      </c>
      <c r="E88" s="76" t="s">
        <v>282</v>
      </c>
      <c r="F88" s="76">
        <v>20</v>
      </c>
      <c r="G88" s="423">
        <v>12.6</v>
      </c>
      <c r="H88" s="424">
        <f t="shared" si="16"/>
        <v>0</v>
      </c>
      <c r="I88" s="424">
        <f t="shared" si="16"/>
        <v>25</v>
      </c>
      <c r="J88" s="153"/>
    </row>
    <row r="89" spans="2:10">
      <c r="B89" s="191" t="str">
        <f t="shared" si="10"/>
        <v>PremiumshadowMetro30</v>
      </c>
      <c r="C89" s="76" t="s">
        <v>267</v>
      </c>
      <c r="D89" s="76" t="s">
        <v>286</v>
      </c>
      <c r="E89" s="76" t="s">
        <v>282</v>
      </c>
      <c r="F89" s="76">
        <v>30</v>
      </c>
      <c r="G89" s="423">
        <v>14.4</v>
      </c>
      <c r="H89" s="424">
        <f t="shared" si="16"/>
        <v>0</v>
      </c>
      <c r="I89" s="424">
        <f t="shared" si="16"/>
        <v>25</v>
      </c>
      <c r="J89" s="153"/>
    </row>
    <row r="90" spans="2:10">
      <c r="B90" s="191" t="str">
        <f t="shared" si="10"/>
        <v>PremiumshadowMetro50</v>
      </c>
      <c r="C90" s="76" t="s">
        <v>267</v>
      </c>
      <c r="D90" s="76" t="s">
        <v>286</v>
      </c>
      <c r="E90" s="76" t="s">
        <v>282</v>
      </c>
      <c r="F90" s="76">
        <v>50</v>
      </c>
      <c r="G90" s="423">
        <v>18</v>
      </c>
      <c r="H90" s="424">
        <f t="shared" si="16"/>
        <v>0</v>
      </c>
      <c r="I90" s="424">
        <f t="shared" si="16"/>
        <v>25</v>
      </c>
      <c r="J90" s="153"/>
    </row>
    <row r="91" spans="2:10">
      <c r="B91" s="191" t="str">
        <f t="shared" si="10"/>
        <v>PremiumshadowMetro80</v>
      </c>
      <c r="C91" s="76" t="s">
        <v>267</v>
      </c>
      <c r="D91" s="76" t="s">
        <v>286</v>
      </c>
      <c r="E91" s="76" t="s">
        <v>282</v>
      </c>
      <c r="F91" s="76">
        <v>80</v>
      </c>
      <c r="G91" s="423">
        <v>23.4</v>
      </c>
      <c r="H91" s="424">
        <f t="shared" si="16"/>
        <v>0</v>
      </c>
      <c r="I91" s="424">
        <f t="shared" si="16"/>
        <v>25</v>
      </c>
      <c r="J91" s="153"/>
    </row>
    <row r="92" spans="2:10">
      <c r="B92" s="191" t="str">
        <f t="shared" si="10"/>
        <v>PremiumshadowMetro100</v>
      </c>
      <c r="C92" s="76" t="s">
        <v>267</v>
      </c>
      <c r="D92" s="76" t="s">
        <v>286</v>
      </c>
      <c r="E92" s="76" t="s">
        <v>282</v>
      </c>
      <c r="F92" s="76">
        <v>100</v>
      </c>
      <c r="G92" s="423">
        <v>27</v>
      </c>
      <c r="H92" s="424">
        <f t="shared" si="16"/>
        <v>0</v>
      </c>
      <c r="I92" s="424">
        <f t="shared" si="16"/>
        <v>25</v>
      </c>
      <c r="J92" s="153"/>
    </row>
    <row r="93" spans="2:10">
      <c r="B93" s="191" t="str">
        <f t="shared" si="10"/>
        <v>PremiumshadowMetro200</v>
      </c>
      <c r="C93" s="76" t="s">
        <v>267</v>
      </c>
      <c r="D93" s="76" t="s">
        <v>286</v>
      </c>
      <c r="E93" s="76" t="s">
        <v>282</v>
      </c>
      <c r="F93" s="76">
        <v>200</v>
      </c>
      <c r="G93" s="423" t="s">
        <v>284</v>
      </c>
      <c r="H93" s="424">
        <f t="shared" si="16"/>
        <v>0</v>
      </c>
      <c r="I93" s="424">
        <f t="shared" si="16"/>
        <v>25</v>
      </c>
      <c r="J93" s="153"/>
    </row>
    <row r="94" spans="2:10">
      <c r="B94" s="191" t="str">
        <f t="shared" si="10"/>
        <v>PremiumshadowMetro300</v>
      </c>
      <c r="C94" s="76" t="s">
        <v>267</v>
      </c>
      <c r="D94" s="76" t="s">
        <v>286</v>
      </c>
      <c r="E94" s="76" t="s">
        <v>282</v>
      </c>
      <c r="F94" s="76">
        <v>300</v>
      </c>
      <c r="G94" s="423" t="s">
        <v>284</v>
      </c>
      <c r="H94" s="424">
        <f t="shared" si="16"/>
        <v>0</v>
      </c>
      <c r="I94" s="424">
        <f t="shared" si="16"/>
        <v>25</v>
      </c>
      <c r="J94" s="153"/>
    </row>
    <row r="95" spans="2:10">
      <c r="B95" s="191" t="str">
        <f t="shared" si="10"/>
        <v>PremiumshadowMetro500</v>
      </c>
      <c r="C95" s="76" t="s">
        <v>267</v>
      </c>
      <c r="D95" s="76" t="s">
        <v>286</v>
      </c>
      <c r="E95" s="76" t="s">
        <v>282</v>
      </c>
      <c r="F95" s="76">
        <v>500</v>
      </c>
      <c r="G95" s="423" t="s">
        <v>284</v>
      </c>
      <c r="H95" s="424">
        <f t="shared" si="16"/>
        <v>0</v>
      </c>
      <c r="I95" s="424">
        <f t="shared" si="16"/>
        <v>25</v>
      </c>
      <c r="J95" s="153"/>
    </row>
    <row r="96" spans="2:10">
      <c r="B96" s="191" t="str">
        <f t="shared" si="10"/>
        <v>PremiumshadowMetro800</v>
      </c>
      <c r="C96" s="76" t="s">
        <v>267</v>
      </c>
      <c r="D96" s="76" t="s">
        <v>286</v>
      </c>
      <c r="E96" s="76" t="s">
        <v>282</v>
      </c>
      <c r="F96" s="76">
        <v>800</v>
      </c>
      <c r="G96" s="423" t="s">
        <v>284</v>
      </c>
      <c r="H96" s="424">
        <f t="shared" si="16"/>
        <v>0</v>
      </c>
      <c r="I96" s="424">
        <f t="shared" si="16"/>
        <v>25</v>
      </c>
      <c r="J96" s="153"/>
    </row>
    <row r="97" spans="2:11">
      <c r="B97" s="102" t="str">
        <f t="shared" si="10"/>
        <v>PremiumshadowMetro1000</v>
      </c>
      <c r="C97" s="76" t="s">
        <v>267</v>
      </c>
      <c r="D97" s="76" t="s">
        <v>286</v>
      </c>
      <c r="E97" s="76" t="s">
        <v>282</v>
      </c>
      <c r="F97" s="76">
        <v>1000</v>
      </c>
      <c r="G97" s="426" t="s">
        <v>284</v>
      </c>
      <c r="H97" s="414">
        <f t="shared" si="16"/>
        <v>0</v>
      </c>
      <c r="I97" s="414">
        <f t="shared" si="16"/>
        <v>25</v>
      </c>
      <c r="J97" s="153"/>
    </row>
    <row r="98" spans="2:11">
      <c r="B98" s="191"/>
      <c r="C98" s="76"/>
      <c r="D98" s="76"/>
      <c r="E98" s="76"/>
      <c r="F98" s="76"/>
      <c r="G98" s="426"/>
      <c r="H98" s="414"/>
      <c r="I98" s="414"/>
      <c r="J98" s="153"/>
    </row>
    <row r="99" spans="2:11">
      <c r="B99" s="191" t="str">
        <f t="shared" si="10"/>
        <v>PremiummultipleMetro1</v>
      </c>
      <c r="C99" s="76" t="s">
        <v>267</v>
      </c>
      <c r="D99" s="76" t="s">
        <v>287</v>
      </c>
      <c r="E99" s="76" t="s">
        <v>282</v>
      </c>
      <c r="F99" s="76">
        <v>1</v>
      </c>
      <c r="G99" s="426">
        <v>11.31</v>
      </c>
      <c r="H99" s="414">
        <f t="shared" ref="H99:I101" si="17">H$34</f>
        <v>0</v>
      </c>
      <c r="I99" s="414">
        <f t="shared" si="17"/>
        <v>25</v>
      </c>
      <c r="J99" s="153"/>
    </row>
    <row r="100" spans="2:11">
      <c r="B100" s="191" t="str">
        <f t="shared" si="10"/>
        <v>PremiummultipleMetro2</v>
      </c>
      <c r="C100" s="76" t="s">
        <v>267</v>
      </c>
      <c r="D100" s="76" t="s">
        <v>287</v>
      </c>
      <c r="E100" s="76" t="s">
        <v>282</v>
      </c>
      <c r="F100" s="76">
        <v>2</v>
      </c>
      <c r="G100" s="426">
        <v>23.37</v>
      </c>
      <c r="H100" s="414">
        <f t="shared" si="17"/>
        <v>0</v>
      </c>
      <c r="I100" s="414">
        <f t="shared" si="17"/>
        <v>25</v>
      </c>
      <c r="J100" s="153"/>
    </row>
    <row r="101" spans="2:11">
      <c r="B101" s="102" t="str">
        <f t="shared" si="10"/>
        <v>PremiummultipleMetro4</v>
      </c>
      <c r="C101" s="76" t="s">
        <v>267</v>
      </c>
      <c r="D101" s="76" t="s">
        <v>287</v>
      </c>
      <c r="E101" s="76" t="s">
        <v>282</v>
      </c>
      <c r="F101" s="76">
        <v>4</v>
      </c>
      <c r="G101" s="426">
        <v>45.98</v>
      </c>
      <c r="H101" s="426">
        <f t="shared" si="17"/>
        <v>0</v>
      </c>
      <c r="I101" s="426">
        <f t="shared" si="17"/>
        <v>25</v>
      </c>
      <c r="J101" s="153"/>
    </row>
    <row r="102" spans="2:11">
      <c r="B102" s="104"/>
      <c r="C102" s="75"/>
      <c r="D102" s="77"/>
      <c r="E102" s="75"/>
      <c r="G102" s="106"/>
      <c r="H102" s="106"/>
      <c r="I102" s="106"/>
      <c r="J102" s="106"/>
    </row>
    <row r="103" spans="2:11">
      <c r="F103" s="92"/>
    </row>
    <row r="104" spans="2:11" ht="18">
      <c r="B104" s="79"/>
      <c r="C104" s="75"/>
      <c r="D104" s="77"/>
      <c r="E104" s="75"/>
      <c r="G104" s="106"/>
      <c r="H104" s="106"/>
      <c r="I104" s="106"/>
      <c r="J104" s="106"/>
    </row>
    <row r="105" spans="2:11" ht="18">
      <c r="B105" s="79" t="s">
        <v>2154</v>
      </c>
      <c r="C105" s="75"/>
      <c r="D105" s="77"/>
      <c r="E105" s="75"/>
      <c r="G105" s="106"/>
      <c r="H105" s="106"/>
      <c r="I105" s="106"/>
      <c r="J105" s="106"/>
    </row>
    <row r="106" spans="2:11" ht="25.5" customHeight="1">
      <c r="B106" s="101"/>
      <c r="C106" s="161"/>
      <c r="F106" s="92"/>
      <c r="G106" s="94"/>
      <c r="H106" s="73"/>
      <c r="I106" s="94"/>
    </row>
    <row r="107" spans="2:11">
      <c r="B107" s="101" t="s">
        <v>216</v>
      </c>
      <c r="C107" s="161" t="s">
        <v>300</v>
      </c>
      <c r="F107" s="92"/>
      <c r="G107" s="94" t="s">
        <v>187</v>
      </c>
      <c r="H107" s="73" t="s">
        <v>189</v>
      </c>
      <c r="I107" s="94" t="s">
        <v>190</v>
      </c>
    </row>
    <row r="108" spans="2:11">
      <c r="B108" s="191" t="str">
        <f t="shared" ref="B108:B109" si="18">C108&amp;D108&amp;E108&amp;F108</f>
        <v>Dedicated / 1 Gbps LWAP at MC locations</v>
      </c>
      <c r="C108" s="202" t="s">
        <v>299</v>
      </c>
      <c r="F108" s="92"/>
      <c r="G108" s="426">
        <v>42</v>
      </c>
      <c r="H108" s="426">
        <v>925</v>
      </c>
      <c r="I108" s="426">
        <v>0</v>
      </c>
    </row>
    <row r="109" spans="2:11">
      <c r="B109" s="191" t="str">
        <f t="shared" si="18"/>
        <v>Dedicated / 10 Gbps LWAP at MC locations</v>
      </c>
      <c r="C109" s="202" t="s">
        <v>3448</v>
      </c>
      <c r="F109" s="92"/>
      <c r="G109" s="426">
        <v>42</v>
      </c>
      <c r="H109" s="426">
        <v>3000</v>
      </c>
      <c r="I109" s="426">
        <v>0</v>
      </c>
    </row>
    <row r="110" spans="2:11" ht="18">
      <c r="B110" s="79"/>
      <c r="F110" s="92"/>
    </row>
    <row r="111" spans="2:11">
      <c r="B111" s="250" t="s">
        <v>2155</v>
      </c>
      <c r="F111" s="92"/>
    </row>
    <row r="112" spans="2:11" ht="23.25" customHeight="1">
      <c r="B112" s="608" t="s">
        <v>3097</v>
      </c>
      <c r="C112" s="73"/>
      <c r="D112" s="90"/>
      <c r="E112" s="90"/>
      <c r="F112" s="90"/>
      <c r="G112" s="94"/>
      <c r="H112" s="73"/>
      <c r="I112" s="94"/>
      <c r="J112" s="159"/>
      <c r="K112" s="95"/>
    </row>
    <row r="113" spans="2:11">
      <c r="B113" s="101" t="s">
        <v>216</v>
      </c>
      <c r="C113" s="73" t="s">
        <v>263</v>
      </c>
      <c r="D113" s="90" t="s">
        <v>298</v>
      </c>
      <c r="E113" s="90"/>
      <c r="F113" s="90"/>
      <c r="G113" s="94" t="s">
        <v>187</v>
      </c>
      <c r="H113" s="73" t="s">
        <v>189</v>
      </c>
      <c r="I113" s="94" t="s">
        <v>190</v>
      </c>
      <c r="J113" s="106"/>
      <c r="K113" t="s">
        <v>206</v>
      </c>
    </row>
    <row r="114" spans="2:11">
      <c r="B114" s="191" t="str">
        <f t="shared" ref="B114" si="19">C114&amp;D114&amp;E114&amp;F114</f>
        <v>LiteStandard</v>
      </c>
      <c r="C114" s="203" t="s">
        <v>283</v>
      </c>
      <c r="D114" s="203" t="s">
        <v>296</v>
      </c>
      <c r="E114" s="76"/>
      <c r="F114" s="77"/>
      <c r="G114" s="425">
        <v>0</v>
      </c>
      <c r="H114" s="425">
        <v>0</v>
      </c>
      <c r="I114" s="425">
        <v>0</v>
      </c>
      <c r="J114" s="106"/>
    </row>
    <row r="115" spans="2:11">
      <c r="B115" s="191" t="str">
        <f t="shared" ref="B115:B117" si="20">C115&amp;D115&amp;E115&amp;F115</f>
        <v>PremiumStandard</v>
      </c>
      <c r="C115" s="203" t="s">
        <v>267</v>
      </c>
      <c r="D115" s="203" t="s">
        <v>296</v>
      </c>
      <c r="E115" s="76"/>
      <c r="F115" s="92"/>
      <c r="G115" s="425" t="s">
        <v>284</v>
      </c>
      <c r="H115" s="425">
        <v>0</v>
      </c>
      <c r="I115" s="425">
        <v>0</v>
      </c>
    </row>
    <row r="116" spans="2:11">
      <c r="B116" s="191" t="str">
        <f t="shared" si="20"/>
        <v>LiteAdvanced</v>
      </c>
      <c r="C116" s="203" t="s">
        <v>283</v>
      </c>
      <c r="D116" s="203" t="s">
        <v>297</v>
      </c>
      <c r="E116" s="92"/>
      <c r="G116" s="425">
        <v>5.25</v>
      </c>
      <c r="H116" s="425">
        <v>0</v>
      </c>
      <c r="I116" s="425">
        <v>0</v>
      </c>
    </row>
    <row r="117" spans="2:11">
      <c r="B117" s="191" t="str">
        <f t="shared" si="20"/>
        <v>PremiumAdvanced</v>
      </c>
      <c r="C117" s="203" t="s">
        <v>267</v>
      </c>
      <c r="D117" s="203" t="s">
        <v>297</v>
      </c>
      <c r="E117" s="92"/>
      <c r="G117" s="425">
        <v>0</v>
      </c>
      <c r="H117" s="425">
        <v>0</v>
      </c>
      <c r="I117" s="425">
        <v>0</v>
      </c>
    </row>
    <row r="118" spans="2:11">
      <c r="C118" s="92"/>
      <c r="D118" s="92"/>
      <c r="E118" s="92"/>
    </row>
    <row r="119" spans="2:11" ht="18">
      <c r="B119" s="79"/>
      <c r="C119" s="63"/>
      <c r="D119" s="96"/>
      <c r="E119"/>
      <c r="F119"/>
      <c r="G119"/>
      <c r="H119"/>
      <c r="I119"/>
    </row>
    <row r="120" spans="2:11" ht="18">
      <c r="B120" s="79" t="s">
        <v>256</v>
      </c>
      <c r="C120" s="63"/>
      <c r="D120" s="96"/>
      <c r="E120"/>
      <c r="F120"/>
      <c r="G120"/>
      <c r="H120"/>
      <c r="I120"/>
    </row>
    <row r="121" spans="2:11">
      <c r="B121" s="62"/>
      <c r="C121" s="86"/>
      <c r="D121" s="71"/>
      <c r="E121" s="71"/>
      <c r="F121" s="71"/>
      <c r="G121" s="65"/>
      <c r="H121" s="65"/>
      <c r="I121"/>
    </row>
    <row r="122" spans="2:11">
      <c r="B122" s="73"/>
      <c r="C122" s="73"/>
      <c r="D122" s="71"/>
      <c r="E122" s="71"/>
      <c r="F122" s="71"/>
      <c r="G122" s="94"/>
      <c r="H122" s="94"/>
      <c r="I122"/>
    </row>
    <row r="123" spans="2:11">
      <c r="B123" s="74" t="s">
        <v>202</v>
      </c>
      <c r="C123" s="75" t="s">
        <v>257</v>
      </c>
      <c r="D123" s="86"/>
      <c r="E123" s="86"/>
      <c r="F123" s="86"/>
      <c r="G123" s="425" t="s">
        <v>187</v>
      </c>
      <c r="H123" s="425" t="s">
        <v>188</v>
      </c>
      <c r="I123" s="425"/>
    </row>
    <row r="124" spans="2:11">
      <c r="B124" s="62"/>
      <c r="C124" s="86"/>
      <c r="D124" s="86"/>
      <c r="E124" s="86"/>
      <c r="F124" s="86"/>
      <c r="G124" s="87"/>
      <c r="H124" s="87"/>
      <c r="I124"/>
    </row>
  </sheetData>
  <pageMargins left="0.7" right="0.7" top="0.75" bottom="0.75" header="0.3" footer="0.3"/>
  <pageSetup paperSize="9" orientation="portrait" r:id="rId1"/>
  <legacy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Blad5">
    <tabColor rgb="FFFFFF00"/>
  </sheetPr>
  <dimension ref="A1:O335"/>
  <sheetViews>
    <sheetView topLeftCell="A305" zoomScale="85" zoomScaleNormal="85" workbookViewId="0">
      <selection activeCell="B311" sqref="B311"/>
    </sheetView>
  </sheetViews>
  <sheetFormatPr defaultRowHeight="15"/>
  <cols>
    <col min="1" max="3" width="16.28515625" customWidth="1"/>
    <col min="4" max="4" width="44.7109375" customWidth="1"/>
    <col min="5" max="6" width="16.28515625" customWidth="1"/>
    <col min="7" max="7" width="21" bestFit="1" customWidth="1"/>
    <col min="8" max="8" width="21.7109375" customWidth="1"/>
    <col min="9" max="9" width="16.28515625" customWidth="1"/>
    <col min="10" max="13" width="9.42578125" customWidth="1"/>
    <col min="14" max="14" width="8.85546875" customWidth="1"/>
  </cols>
  <sheetData>
    <row r="1" spans="1:15" ht="15.75">
      <c r="A1" s="1"/>
      <c r="B1" s="2"/>
      <c r="C1" s="1"/>
      <c r="D1" s="3"/>
      <c r="E1" s="3"/>
      <c r="F1" s="4"/>
      <c r="G1" s="1"/>
      <c r="H1" s="1" t="s">
        <v>0</v>
      </c>
      <c r="I1" s="1"/>
      <c r="J1" s="5"/>
      <c r="K1" s="5"/>
      <c r="L1" s="5"/>
      <c r="M1" s="5"/>
      <c r="N1" s="497" t="s">
        <v>3444</v>
      </c>
      <c r="O1" s="6"/>
    </row>
    <row r="2" spans="1:15" ht="15.75">
      <c r="A2" s="1"/>
      <c r="B2" s="7" t="s">
        <v>1</v>
      </c>
      <c r="C2" s="1"/>
      <c r="D2" s="8"/>
      <c r="E2" s="8"/>
      <c r="F2" s="9" t="s">
        <v>2</v>
      </c>
      <c r="G2" s="10" t="s">
        <v>3</v>
      </c>
      <c r="H2" s="1" t="s">
        <v>4</v>
      </c>
      <c r="I2" s="1"/>
      <c r="J2" s="5"/>
      <c r="K2" s="5"/>
      <c r="L2" s="5"/>
      <c r="M2" s="5"/>
    </row>
    <row r="3" spans="1:15" ht="15.75">
      <c r="A3" s="1"/>
      <c r="B3" s="2"/>
      <c r="C3" s="1"/>
      <c r="D3" s="3"/>
      <c r="E3" s="3"/>
      <c r="F3" s="4"/>
      <c r="G3" s="1"/>
      <c r="H3" s="1" t="s">
        <v>5</v>
      </c>
      <c r="I3" s="1"/>
      <c r="J3" s="5"/>
      <c r="K3" s="5"/>
      <c r="L3" s="5"/>
      <c r="M3" s="5"/>
    </row>
    <row r="4" spans="1:15" ht="15.75">
      <c r="A4" s="11"/>
      <c r="B4" s="12"/>
      <c r="C4" s="11"/>
      <c r="D4" s="13"/>
      <c r="E4" s="13"/>
      <c r="F4" s="14"/>
      <c r="G4" s="11"/>
      <c r="H4" s="1" t="s">
        <v>6</v>
      </c>
      <c r="I4" s="11"/>
      <c r="J4" s="5"/>
      <c r="K4" s="5"/>
      <c r="L4" s="5"/>
      <c r="M4" s="5"/>
    </row>
    <row r="5" spans="1:15" ht="15.75">
      <c r="A5" s="15"/>
      <c r="B5" s="15"/>
      <c r="C5" s="15"/>
      <c r="D5" s="16"/>
      <c r="E5" s="16"/>
      <c r="F5" s="17"/>
      <c r="G5" s="17"/>
      <c r="H5" s="17"/>
      <c r="I5" s="15"/>
      <c r="J5" s="5"/>
      <c r="K5" s="5"/>
      <c r="L5" s="5"/>
      <c r="M5" s="5"/>
    </row>
    <row r="6" spans="1:15" ht="15.75">
      <c r="A6" s="15"/>
      <c r="B6" s="15"/>
      <c r="C6" s="15"/>
      <c r="D6" s="16"/>
      <c r="E6" s="16"/>
      <c r="F6" s="17"/>
      <c r="G6" s="17"/>
      <c r="H6" s="17"/>
      <c r="I6" s="15"/>
      <c r="J6" s="5"/>
      <c r="K6" s="5"/>
      <c r="L6" s="5"/>
      <c r="M6" s="5"/>
    </row>
    <row r="7" spans="1:15" ht="15.75">
      <c r="A7" s="15"/>
      <c r="B7" s="15"/>
      <c r="C7" s="15"/>
      <c r="D7" s="16" t="s">
        <v>7</v>
      </c>
      <c r="E7" s="16"/>
      <c r="F7" s="17"/>
      <c r="G7" s="17"/>
      <c r="H7" s="17"/>
      <c r="I7" s="15"/>
      <c r="J7" s="5"/>
      <c r="K7" s="5"/>
      <c r="L7" s="5"/>
      <c r="M7" s="5"/>
    </row>
    <row r="8" spans="1:15" ht="15.75">
      <c r="A8" s="18"/>
      <c r="B8" s="19"/>
      <c r="C8" s="18"/>
      <c r="D8" s="20"/>
      <c r="E8" s="20"/>
      <c r="F8" s="498"/>
      <c r="G8" s="499"/>
      <c r="H8" s="499"/>
      <c r="I8" s="18"/>
      <c r="J8" s="5"/>
      <c r="K8" s="5"/>
      <c r="L8" s="5"/>
      <c r="M8" s="5"/>
    </row>
    <row r="9" spans="1:15" ht="15.75">
      <c r="A9" s="18"/>
      <c r="B9" s="19"/>
      <c r="C9" s="18"/>
      <c r="D9" s="16" t="s">
        <v>8</v>
      </c>
      <c r="E9" s="21" t="s">
        <v>9</v>
      </c>
      <c r="F9" s="22" t="s">
        <v>10</v>
      </c>
      <c r="G9" s="500"/>
      <c r="H9" s="500"/>
      <c r="I9" s="18"/>
      <c r="J9" s="499"/>
      <c r="K9" s="5"/>
      <c r="L9" s="5"/>
      <c r="M9" s="5"/>
    </row>
    <row r="10" spans="1:15" ht="15.75">
      <c r="A10" s="18"/>
      <c r="B10" s="19"/>
      <c r="C10" s="18"/>
      <c r="D10" s="23" t="s">
        <v>11</v>
      </c>
      <c r="E10" s="23" t="s">
        <v>12</v>
      </c>
      <c r="F10" s="24" t="s">
        <v>13</v>
      </c>
      <c r="G10" s="501" t="s">
        <v>14</v>
      </c>
      <c r="H10" s="591">
        <v>1</v>
      </c>
      <c r="I10" s="499" t="s">
        <v>15</v>
      </c>
      <c r="J10" s="5"/>
      <c r="K10" s="5"/>
      <c r="L10" s="5"/>
      <c r="M10" s="5"/>
    </row>
    <row r="11" spans="1:15" ht="15.75">
      <c r="A11" s="18"/>
      <c r="B11" s="19"/>
      <c r="C11" s="18"/>
      <c r="D11" s="23" t="s">
        <v>11</v>
      </c>
      <c r="E11" s="23"/>
      <c r="F11" s="24" t="s">
        <v>16</v>
      </c>
      <c r="G11" s="501" t="s">
        <v>14</v>
      </c>
      <c r="H11" s="591">
        <v>1</v>
      </c>
      <c r="I11" s="499" t="s">
        <v>15</v>
      </c>
      <c r="J11" s="5"/>
      <c r="K11" s="5"/>
      <c r="L11" s="5"/>
      <c r="M11" s="5"/>
    </row>
    <row r="12" spans="1:15" ht="15.75">
      <c r="A12" s="18"/>
      <c r="B12" s="19"/>
      <c r="C12" s="18"/>
      <c r="D12" s="23" t="s">
        <v>17</v>
      </c>
      <c r="E12" s="23"/>
      <c r="F12" s="24" t="s">
        <v>13</v>
      </c>
      <c r="G12" s="501" t="s">
        <v>14</v>
      </c>
      <c r="H12" s="591">
        <v>1</v>
      </c>
      <c r="I12" s="499" t="s">
        <v>18</v>
      </c>
      <c r="J12" s="5"/>
      <c r="K12" s="5"/>
      <c r="L12" s="5"/>
      <c r="M12" s="5"/>
    </row>
    <row r="13" spans="1:15" ht="15.75">
      <c r="A13" s="18"/>
      <c r="B13" s="19"/>
      <c r="C13" s="18"/>
      <c r="D13" s="23" t="s">
        <v>17</v>
      </c>
      <c r="E13" s="23"/>
      <c r="F13" s="24" t="s">
        <v>16</v>
      </c>
      <c r="G13" s="501" t="s">
        <v>14</v>
      </c>
      <c r="H13" s="591">
        <v>1</v>
      </c>
      <c r="I13" s="499" t="s">
        <v>18</v>
      </c>
      <c r="J13" s="25"/>
      <c r="K13" s="25"/>
      <c r="L13" s="25"/>
      <c r="M13" s="25"/>
    </row>
    <row r="14" spans="1:15" ht="15.75">
      <c r="A14" s="18"/>
      <c r="B14" s="19"/>
      <c r="C14" s="18"/>
      <c r="D14" s="23" t="s">
        <v>19</v>
      </c>
      <c r="E14" s="23" t="s">
        <v>12</v>
      </c>
      <c r="F14" s="24" t="s">
        <v>20</v>
      </c>
      <c r="G14" s="501" t="s">
        <v>14</v>
      </c>
      <c r="H14" s="591">
        <v>1</v>
      </c>
      <c r="I14" s="499" t="s">
        <v>15</v>
      </c>
      <c r="J14" s="5"/>
      <c r="K14" s="5"/>
      <c r="L14" s="5"/>
      <c r="M14" s="5"/>
    </row>
    <row r="15" spans="1:15" ht="15.75">
      <c r="A15" s="18"/>
      <c r="B15" s="19"/>
      <c r="C15" s="18"/>
      <c r="D15" s="23" t="s">
        <v>21</v>
      </c>
      <c r="E15" s="23" t="s">
        <v>22</v>
      </c>
      <c r="F15" s="24" t="s">
        <v>20</v>
      </c>
      <c r="G15" s="501" t="s">
        <v>14</v>
      </c>
      <c r="H15" s="591">
        <v>1</v>
      </c>
      <c r="I15" s="499" t="s">
        <v>15</v>
      </c>
      <c r="J15" s="5"/>
      <c r="K15" s="5"/>
      <c r="L15" s="5"/>
      <c r="M15" s="5"/>
    </row>
    <row r="16" spans="1:15" ht="15.75">
      <c r="A16" s="18"/>
      <c r="B16" s="19"/>
      <c r="C16" s="18"/>
      <c r="D16" s="23" t="s">
        <v>23</v>
      </c>
      <c r="E16" s="23" t="s">
        <v>24</v>
      </c>
      <c r="F16" s="24" t="s">
        <v>20</v>
      </c>
      <c r="G16" s="26" t="s">
        <v>25</v>
      </c>
      <c r="H16" s="591">
        <v>1</v>
      </c>
      <c r="I16" s="499" t="s">
        <v>15</v>
      </c>
      <c r="J16" s="5"/>
      <c r="K16" s="5"/>
      <c r="L16" s="5"/>
      <c r="M16" s="5"/>
    </row>
    <row r="17" spans="1:13" ht="15.75">
      <c r="A17" s="5"/>
      <c r="B17" s="27"/>
      <c r="C17" s="5"/>
      <c r="D17" s="28" t="s">
        <v>26</v>
      </c>
      <c r="E17" s="23" t="s">
        <v>27</v>
      </c>
      <c r="F17" s="24"/>
      <c r="G17" s="26" t="s">
        <v>25</v>
      </c>
      <c r="H17" s="592">
        <v>1</v>
      </c>
      <c r="I17" s="499" t="s">
        <v>15</v>
      </c>
      <c r="J17" s="5"/>
      <c r="K17" s="5"/>
      <c r="L17" s="5"/>
      <c r="M17" s="5"/>
    </row>
    <row r="18" spans="1:13" ht="15.75">
      <c r="A18" s="5"/>
      <c r="B18" s="27"/>
      <c r="C18" s="5"/>
      <c r="D18" s="28" t="s">
        <v>28</v>
      </c>
      <c r="E18" s="23" t="s">
        <v>29</v>
      </c>
      <c r="F18" s="24" t="s">
        <v>20</v>
      </c>
      <c r="G18" s="26" t="s">
        <v>25</v>
      </c>
      <c r="H18" s="592">
        <v>1</v>
      </c>
      <c r="I18" s="499" t="s">
        <v>18</v>
      </c>
      <c r="J18" s="499"/>
      <c r="K18" s="5"/>
      <c r="L18" s="5"/>
      <c r="M18" s="5"/>
    </row>
    <row r="19" spans="1:13" ht="15.75">
      <c r="A19" s="5"/>
      <c r="B19" s="27"/>
      <c r="C19" s="5"/>
      <c r="D19" s="29"/>
      <c r="E19" s="29"/>
      <c r="F19" s="30"/>
      <c r="G19" s="499"/>
      <c r="H19" s="499"/>
      <c r="I19" s="499"/>
      <c r="J19" s="499"/>
      <c r="K19" s="5"/>
      <c r="L19" s="5"/>
      <c r="M19" s="5"/>
    </row>
    <row r="20" spans="1:13" ht="15.75">
      <c r="A20" s="5"/>
      <c r="B20" s="27"/>
      <c r="C20" s="5"/>
      <c r="D20" s="16" t="s">
        <v>30</v>
      </c>
      <c r="E20" s="21" t="s">
        <v>9</v>
      </c>
      <c r="F20" s="22" t="s">
        <v>10</v>
      </c>
      <c r="G20" s="500"/>
      <c r="H20" s="500"/>
      <c r="I20" s="18"/>
      <c r="J20" s="499"/>
      <c r="K20" s="5"/>
      <c r="L20" s="5"/>
      <c r="M20" s="5"/>
    </row>
    <row r="21" spans="1:13" ht="15.75">
      <c r="A21" s="5"/>
      <c r="B21" s="27"/>
      <c r="C21" s="5"/>
      <c r="D21" s="23" t="s">
        <v>31</v>
      </c>
      <c r="E21" s="23" t="s">
        <v>12</v>
      </c>
      <c r="F21" s="24" t="s">
        <v>13</v>
      </c>
      <c r="G21" s="502" t="s">
        <v>32</v>
      </c>
      <c r="H21" s="502" t="s">
        <v>33</v>
      </c>
      <c r="I21" s="499" t="s">
        <v>15</v>
      </c>
      <c r="J21" s="5"/>
      <c r="K21" s="5"/>
      <c r="L21" s="5"/>
      <c r="M21" s="5"/>
    </row>
    <row r="22" spans="1:13" ht="15.75">
      <c r="A22" s="5"/>
      <c r="B22" s="27"/>
      <c r="C22" s="5"/>
      <c r="D22" s="23" t="s">
        <v>31</v>
      </c>
      <c r="E22" s="23"/>
      <c r="F22" s="24" t="s">
        <v>16</v>
      </c>
      <c r="G22" s="502" t="s">
        <v>32</v>
      </c>
      <c r="H22" s="502" t="s">
        <v>33</v>
      </c>
      <c r="I22" s="499" t="s">
        <v>15</v>
      </c>
      <c r="J22" s="5"/>
      <c r="K22" s="5"/>
      <c r="L22" s="5"/>
      <c r="M22" s="5"/>
    </row>
    <row r="23" spans="1:13" ht="15.75">
      <c r="A23" s="5"/>
      <c r="B23" s="27"/>
      <c r="C23" s="5"/>
      <c r="D23" s="23" t="s">
        <v>34</v>
      </c>
      <c r="E23" s="23" t="s">
        <v>12</v>
      </c>
      <c r="F23" s="24" t="s">
        <v>13</v>
      </c>
      <c r="G23" s="502" t="s">
        <v>32</v>
      </c>
      <c r="H23" s="502" t="s">
        <v>33</v>
      </c>
      <c r="I23" s="499" t="s">
        <v>15</v>
      </c>
      <c r="J23" s="5"/>
      <c r="K23" s="5"/>
      <c r="L23" s="5"/>
      <c r="M23" s="5"/>
    </row>
    <row r="24" spans="1:13" ht="15.75">
      <c r="A24" s="5"/>
      <c r="B24" s="27"/>
      <c r="C24" s="5"/>
      <c r="D24" s="23" t="s">
        <v>34</v>
      </c>
      <c r="E24" s="23"/>
      <c r="F24" s="24" t="s">
        <v>16</v>
      </c>
      <c r="G24" s="502" t="s">
        <v>32</v>
      </c>
      <c r="H24" s="502" t="s">
        <v>33</v>
      </c>
      <c r="I24" s="499" t="s">
        <v>15</v>
      </c>
      <c r="J24" s="5"/>
      <c r="K24" s="5"/>
      <c r="L24" s="5"/>
      <c r="M24" s="5"/>
    </row>
    <row r="25" spans="1:13" ht="15.75">
      <c r="A25" s="5"/>
      <c r="B25" s="27"/>
      <c r="C25" s="5"/>
      <c r="D25" s="23" t="s">
        <v>19</v>
      </c>
      <c r="E25" s="23" t="s">
        <v>12</v>
      </c>
      <c r="F25" s="24" t="s">
        <v>35</v>
      </c>
      <c r="G25" s="502" t="s">
        <v>32</v>
      </c>
      <c r="H25" s="592">
        <v>1</v>
      </c>
      <c r="I25" s="499" t="s">
        <v>15</v>
      </c>
      <c r="J25" s="5"/>
      <c r="K25" s="5"/>
      <c r="L25" s="5"/>
      <c r="M25" s="5"/>
    </row>
    <row r="26" spans="1:13" ht="15.75">
      <c r="A26" s="5"/>
      <c r="B26" s="27"/>
      <c r="C26" s="5"/>
      <c r="D26" s="23" t="s">
        <v>23</v>
      </c>
      <c r="E26" s="23" t="s">
        <v>24</v>
      </c>
      <c r="F26" s="24" t="s">
        <v>35</v>
      </c>
      <c r="G26" s="26" t="s">
        <v>25</v>
      </c>
      <c r="H26" s="592">
        <v>1</v>
      </c>
      <c r="I26" s="499" t="s">
        <v>15</v>
      </c>
      <c r="J26" s="5"/>
      <c r="K26" s="5"/>
      <c r="L26" s="5"/>
      <c r="M26" s="5"/>
    </row>
    <row r="27" spans="1:13" ht="15.75">
      <c r="A27" s="5"/>
      <c r="B27" s="27"/>
      <c r="C27" s="5"/>
      <c r="D27" s="23" t="s">
        <v>36</v>
      </c>
      <c r="E27" s="23"/>
      <c r="F27" s="24" t="s">
        <v>37</v>
      </c>
      <c r="G27" s="502" t="s">
        <v>32</v>
      </c>
      <c r="H27" s="592">
        <v>1</v>
      </c>
      <c r="I27" s="499" t="s">
        <v>15</v>
      </c>
      <c r="J27" s="5"/>
      <c r="K27" s="5"/>
      <c r="L27" s="5"/>
      <c r="M27" s="5"/>
    </row>
    <row r="28" spans="1:13" ht="15.75">
      <c r="A28" s="5"/>
      <c r="B28" s="27"/>
      <c r="C28" s="5"/>
      <c r="D28" s="28" t="s">
        <v>26</v>
      </c>
      <c r="E28" s="23" t="s">
        <v>27</v>
      </c>
      <c r="F28" s="24"/>
      <c r="G28" s="26" t="s">
        <v>25</v>
      </c>
      <c r="H28" s="592">
        <v>1</v>
      </c>
      <c r="I28" s="499" t="s">
        <v>15</v>
      </c>
      <c r="J28" s="5"/>
      <c r="K28" s="5"/>
      <c r="L28" s="5"/>
      <c r="M28" s="5"/>
    </row>
    <row r="29" spans="1:13" ht="15.75">
      <c r="A29" s="5"/>
      <c r="B29" s="27"/>
      <c r="C29" s="5"/>
      <c r="D29" s="28" t="s">
        <v>28</v>
      </c>
      <c r="E29" s="23" t="s">
        <v>29</v>
      </c>
      <c r="F29" s="24" t="s">
        <v>20</v>
      </c>
      <c r="G29" s="26" t="s">
        <v>25</v>
      </c>
      <c r="H29" s="592">
        <v>1</v>
      </c>
      <c r="I29" s="499" t="s">
        <v>18</v>
      </c>
      <c r="J29" s="5"/>
      <c r="K29" s="5"/>
      <c r="L29" s="5"/>
      <c r="M29" s="5"/>
    </row>
    <row r="30" spans="1:13" ht="15.75">
      <c r="A30" s="5"/>
      <c r="B30" s="27"/>
      <c r="C30" s="5"/>
      <c r="D30" s="18"/>
      <c r="E30" s="18"/>
      <c r="F30" s="30"/>
      <c r="G30" s="499"/>
      <c r="H30" s="499"/>
      <c r="I30" s="499"/>
      <c r="J30" s="5"/>
      <c r="K30" s="5"/>
      <c r="L30" s="5"/>
      <c r="M30" s="5"/>
    </row>
    <row r="31" spans="1:13" ht="15.75">
      <c r="A31" s="5"/>
      <c r="B31" s="27"/>
      <c r="C31" s="5"/>
      <c r="D31" s="31" t="s">
        <v>38</v>
      </c>
      <c r="E31" s="18"/>
      <c r="F31" s="30"/>
      <c r="G31" s="499"/>
      <c r="H31" s="499"/>
      <c r="I31" s="499"/>
      <c r="J31" s="5"/>
      <c r="K31" s="5"/>
      <c r="L31" s="5"/>
      <c r="M31" s="5"/>
    </row>
    <row r="32" spans="1:13" ht="15.75">
      <c r="A32" s="5"/>
      <c r="B32" s="27"/>
      <c r="C32" s="5"/>
      <c r="D32" s="18"/>
      <c r="E32" s="18"/>
      <c r="F32" s="30"/>
      <c r="G32" s="499"/>
      <c r="H32" s="499"/>
      <c r="I32" s="499"/>
      <c r="J32" s="5"/>
      <c r="K32" s="5"/>
      <c r="L32" s="5"/>
      <c r="M32" s="5"/>
    </row>
    <row r="33" spans="1:13" ht="15.75">
      <c r="A33" s="5"/>
      <c r="B33" s="27"/>
      <c r="C33" s="5"/>
      <c r="D33" s="16" t="s">
        <v>39</v>
      </c>
      <c r="E33" s="32"/>
      <c r="F33" s="33"/>
      <c r="G33" s="34"/>
      <c r="H33" s="35" t="s">
        <v>40</v>
      </c>
      <c r="I33" s="35" t="s">
        <v>41</v>
      </c>
      <c r="J33" s="36" t="s">
        <v>42</v>
      </c>
      <c r="K33" s="36" t="s">
        <v>43</v>
      </c>
      <c r="L33" s="36" t="s">
        <v>44</v>
      </c>
      <c r="M33" s="35" t="s">
        <v>45</v>
      </c>
    </row>
    <row r="34" spans="1:13" ht="15.75">
      <c r="A34" s="5"/>
      <c r="B34" s="27"/>
      <c r="C34" s="5"/>
      <c r="D34" s="23" t="s">
        <v>46</v>
      </c>
      <c r="E34" s="23"/>
      <c r="F34" s="24" t="s">
        <v>13</v>
      </c>
      <c r="G34" s="502" t="s">
        <v>32</v>
      </c>
      <c r="H34" s="503"/>
      <c r="I34" s="503"/>
      <c r="J34" s="503"/>
      <c r="K34" s="503"/>
      <c r="L34" s="503"/>
      <c r="M34" s="503"/>
    </row>
    <row r="35" spans="1:13" ht="15.75">
      <c r="A35" s="5"/>
      <c r="B35" s="27"/>
      <c r="C35" s="5"/>
      <c r="D35" s="23" t="s">
        <v>47</v>
      </c>
      <c r="E35" s="23"/>
      <c r="F35" s="24" t="s">
        <v>13</v>
      </c>
      <c r="G35" s="502" t="s">
        <v>32</v>
      </c>
      <c r="H35" s="503"/>
      <c r="I35" s="503"/>
      <c r="J35" s="503"/>
      <c r="K35" s="503"/>
      <c r="L35" s="503"/>
      <c r="M35" s="503"/>
    </row>
    <row r="36" spans="1:13" ht="15.75">
      <c r="A36" s="5"/>
      <c r="B36" s="27"/>
      <c r="C36" s="5"/>
      <c r="D36" s="23" t="s">
        <v>48</v>
      </c>
      <c r="E36" s="23"/>
      <c r="F36" s="24" t="s">
        <v>13</v>
      </c>
      <c r="G36" s="502" t="s">
        <v>32</v>
      </c>
      <c r="H36" s="503"/>
      <c r="I36" s="503"/>
      <c r="J36" s="503"/>
      <c r="K36" s="503"/>
      <c r="L36" s="503"/>
      <c r="M36" s="503"/>
    </row>
    <row r="37" spans="1:13" ht="15.75">
      <c r="A37" s="5"/>
      <c r="B37" s="27"/>
      <c r="C37" s="5"/>
      <c r="D37" s="23" t="s">
        <v>49</v>
      </c>
      <c r="E37" s="23"/>
      <c r="F37" s="24" t="s">
        <v>13</v>
      </c>
      <c r="G37" s="502" t="s">
        <v>32</v>
      </c>
      <c r="H37" s="503"/>
      <c r="I37" s="503"/>
      <c r="J37" s="503"/>
      <c r="K37" s="503"/>
      <c r="L37" s="503"/>
      <c r="M37" s="503"/>
    </row>
    <row r="38" spans="1:13" ht="15.75">
      <c r="A38" s="5"/>
      <c r="B38" s="27"/>
      <c r="C38" s="5"/>
      <c r="D38" s="23" t="s">
        <v>50</v>
      </c>
      <c r="E38" s="23"/>
      <c r="F38" s="24" t="s">
        <v>13</v>
      </c>
      <c r="G38" s="502" t="s">
        <v>32</v>
      </c>
      <c r="H38" s="503"/>
      <c r="I38" s="503"/>
      <c r="J38" s="503"/>
      <c r="K38" s="503"/>
      <c r="L38" s="503"/>
      <c r="M38" s="503"/>
    </row>
    <row r="39" spans="1:13" ht="15.75">
      <c r="A39" s="5"/>
      <c r="B39" s="27"/>
      <c r="C39" s="5"/>
      <c r="D39" s="23" t="s">
        <v>51</v>
      </c>
      <c r="E39" s="23"/>
      <c r="F39" s="24" t="s">
        <v>13</v>
      </c>
      <c r="G39" s="502" t="s">
        <v>32</v>
      </c>
      <c r="H39" s="503"/>
      <c r="I39" s="503"/>
      <c r="J39" s="503"/>
      <c r="K39" s="503"/>
      <c r="L39" s="503"/>
      <c r="M39" s="503"/>
    </row>
    <row r="40" spans="1:13" ht="15.75">
      <c r="A40" s="5"/>
      <c r="B40" s="27"/>
      <c r="C40" s="5"/>
      <c r="D40" s="23" t="s">
        <v>52</v>
      </c>
      <c r="E40" s="23"/>
      <c r="F40" s="24" t="s">
        <v>13</v>
      </c>
      <c r="G40" s="502" t="s">
        <v>32</v>
      </c>
      <c r="H40" s="503"/>
      <c r="I40" s="503"/>
      <c r="J40" s="503"/>
      <c r="K40" s="503"/>
      <c r="L40" s="503"/>
      <c r="M40" s="503"/>
    </row>
    <row r="41" spans="1:13" ht="15.75">
      <c r="A41" s="5"/>
      <c r="B41" s="27"/>
      <c r="C41" s="5"/>
      <c r="D41" s="23" t="s">
        <v>53</v>
      </c>
      <c r="E41" s="23"/>
      <c r="F41" s="24" t="s">
        <v>13</v>
      </c>
      <c r="G41" s="502" t="s">
        <v>32</v>
      </c>
      <c r="H41" s="503"/>
      <c r="I41" s="503"/>
      <c r="J41" s="503"/>
      <c r="K41" s="503"/>
      <c r="L41" s="503"/>
      <c r="M41" s="503"/>
    </row>
    <row r="42" spans="1:13" ht="15.75">
      <c r="A42" s="5"/>
      <c r="B42" s="27"/>
      <c r="C42" s="5"/>
      <c r="D42" s="23" t="s">
        <v>54</v>
      </c>
      <c r="E42" s="23"/>
      <c r="F42" s="24" t="s">
        <v>13</v>
      </c>
      <c r="G42" s="502" t="s">
        <v>32</v>
      </c>
      <c r="H42" s="503"/>
      <c r="I42" s="503"/>
      <c r="J42" s="503"/>
      <c r="K42" s="503"/>
      <c r="L42" s="503"/>
      <c r="M42" s="503"/>
    </row>
    <row r="43" spans="1:13" ht="15.75">
      <c r="A43" s="5"/>
      <c r="B43" s="27"/>
      <c r="C43" s="5"/>
      <c r="D43" s="23" t="s">
        <v>55</v>
      </c>
      <c r="E43" s="23"/>
      <c r="F43" s="24" t="s">
        <v>13</v>
      </c>
      <c r="G43" s="502" t="s">
        <v>32</v>
      </c>
      <c r="H43" s="503"/>
      <c r="I43" s="503"/>
      <c r="J43" s="503"/>
      <c r="K43" s="503"/>
      <c r="L43" s="503"/>
      <c r="M43" s="503"/>
    </row>
    <row r="44" spans="1:13" ht="15.75">
      <c r="A44" s="5"/>
      <c r="B44" s="27"/>
      <c r="C44" s="5"/>
      <c r="D44" s="23" t="s">
        <v>56</v>
      </c>
      <c r="E44" s="23"/>
      <c r="F44" s="24" t="s">
        <v>13</v>
      </c>
      <c r="G44" s="502" t="s">
        <v>32</v>
      </c>
      <c r="H44" s="503"/>
      <c r="I44" s="503"/>
      <c r="J44" s="503"/>
      <c r="K44" s="503"/>
      <c r="L44" s="503"/>
      <c r="M44" s="503"/>
    </row>
    <row r="45" spans="1:13" ht="15.75">
      <c r="A45" s="5"/>
      <c r="B45" s="27"/>
      <c r="C45" s="5"/>
      <c r="D45" s="23" t="s">
        <v>57</v>
      </c>
      <c r="E45" s="23"/>
      <c r="F45" s="24" t="s">
        <v>13</v>
      </c>
      <c r="G45" s="502" t="s">
        <v>32</v>
      </c>
      <c r="H45" s="503"/>
      <c r="I45" s="503"/>
      <c r="J45" s="503"/>
      <c r="K45" s="503"/>
      <c r="L45" s="503"/>
      <c r="M45" s="503"/>
    </row>
    <row r="46" spans="1:13" ht="15.75">
      <c r="A46" s="5"/>
      <c r="B46" s="27"/>
      <c r="C46" s="5"/>
      <c r="D46" s="23" t="s">
        <v>58</v>
      </c>
      <c r="E46" s="23"/>
      <c r="F46" s="24" t="s">
        <v>13</v>
      </c>
      <c r="G46" s="502" t="s">
        <v>32</v>
      </c>
      <c r="H46" s="503"/>
      <c r="I46" s="503"/>
      <c r="J46" s="503"/>
      <c r="K46" s="503"/>
      <c r="L46" s="503"/>
      <c r="M46" s="503"/>
    </row>
    <row r="47" spans="1:13" ht="15.75">
      <c r="A47" s="5"/>
      <c r="B47" s="27"/>
      <c r="C47" s="5"/>
      <c r="D47" s="23" t="s">
        <v>59</v>
      </c>
      <c r="E47" s="23"/>
      <c r="F47" s="24" t="s">
        <v>13</v>
      </c>
      <c r="G47" s="502" t="s">
        <v>32</v>
      </c>
      <c r="H47" s="503"/>
      <c r="I47" s="503"/>
      <c r="J47" s="503"/>
      <c r="K47" s="503"/>
      <c r="L47" s="503"/>
      <c r="M47" s="503"/>
    </row>
    <row r="48" spans="1:13" ht="15.75">
      <c r="A48" s="5"/>
      <c r="B48" s="27"/>
      <c r="C48" s="5"/>
      <c r="D48" s="23" t="s">
        <v>60</v>
      </c>
      <c r="E48" s="23"/>
      <c r="F48" s="24" t="s">
        <v>13</v>
      </c>
      <c r="G48" s="502" t="s">
        <v>32</v>
      </c>
      <c r="H48" s="503"/>
      <c r="I48" s="503"/>
      <c r="J48" s="503"/>
      <c r="K48" s="503"/>
      <c r="L48" s="503"/>
      <c r="M48" s="503"/>
    </row>
    <row r="49" spans="1:13" ht="15.75">
      <c r="A49" s="5"/>
      <c r="B49" s="27"/>
      <c r="C49" s="5"/>
      <c r="D49" s="23" t="s">
        <v>61</v>
      </c>
      <c r="E49" s="23"/>
      <c r="F49" s="24" t="s">
        <v>13</v>
      </c>
      <c r="G49" s="502" t="s">
        <v>32</v>
      </c>
      <c r="H49" s="503"/>
      <c r="I49" s="503"/>
      <c r="J49" s="503"/>
      <c r="K49" s="503"/>
      <c r="L49" s="503"/>
      <c r="M49" s="503"/>
    </row>
    <row r="50" spans="1:13" ht="15.75">
      <c r="A50" s="5"/>
      <c r="B50" s="27"/>
      <c r="C50" s="5"/>
      <c r="D50" s="23" t="s">
        <v>62</v>
      </c>
      <c r="E50" s="23"/>
      <c r="F50" s="24" t="s">
        <v>13</v>
      </c>
      <c r="G50" s="502" t="s">
        <v>32</v>
      </c>
      <c r="H50" s="503"/>
      <c r="I50" s="503"/>
      <c r="J50" s="503"/>
      <c r="K50" s="503"/>
      <c r="L50" s="503"/>
      <c r="M50" s="503"/>
    </row>
    <row r="51" spans="1:13" ht="15.75">
      <c r="A51" s="5"/>
      <c r="B51" s="27"/>
      <c r="C51" s="5"/>
      <c r="D51" s="23" t="s">
        <v>63</v>
      </c>
      <c r="E51" s="23"/>
      <c r="F51" s="24" t="s">
        <v>13</v>
      </c>
      <c r="G51" s="502" t="s">
        <v>32</v>
      </c>
      <c r="H51" s="503"/>
      <c r="I51" s="503"/>
      <c r="J51" s="503"/>
      <c r="K51" s="503"/>
      <c r="L51" s="503"/>
      <c r="M51" s="503"/>
    </row>
    <row r="52" spans="1:13" ht="15.75">
      <c r="A52" s="5"/>
      <c r="B52" s="27"/>
      <c r="C52" s="5"/>
      <c r="D52" s="23" t="s">
        <v>64</v>
      </c>
      <c r="E52" s="23"/>
      <c r="F52" s="24" t="s">
        <v>13</v>
      </c>
      <c r="G52" s="502" t="s">
        <v>32</v>
      </c>
      <c r="H52" s="503"/>
      <c r="I52" s="503"/>
      <c r="J52" s="503"/>
      <c r="K52" s="503"/>
      <c r="L52" s="503"/>
      <c r="M52" s="503"/>
    </row>
    <row r="53" spans="1:13" ht="15.75">
      <c r="A53" s="5"/>
      <c r="B53" s="27"/>
      <c r="C53" s="5"/>
      <c r="D53" s="23"/>
      <c r="E53" s="23"/>
      <c r="F53" s="37"/>
      <c r="G53" s="23"/>
      <c r="H53" s="504"/>
      <c r="I53" s="504"/>
      <c r="J53" s="505"/>
      <c r="K53" s="505"/>
      <c r="L53" s="505"/>
      <c r="M53" s="505"/>
    </row>
    <row r="54" spans="1:13" ht="15.75">
      <c r="A54" s="5"/>
      <c r="B54" s="27"/>
      <c r="C54" s="5"/>
      <c r="D54" s="23" t="s">
        <v>46</v>
      </c>
      <c r="E54" s="23"/>
      <c r="F54" s="24" t="s">
        <v>16</v>
      </c>
      <c r="G54" s="502" t="s">
        <v>32</v>
      </c>
      <c r="H54" s="593">
        <v>1</v>
      </c>
      <c r="I54" s="593">
        <v>1</v>
      </c>
      <c r="J54" s="593">
        <v>1</v>
      </c>
      <c r="K54" s="593">
        <v>1</v>
      </c>
      <c r="L54" s="593">
        <v>1</v>
      </c>
      <c r="M54" s="593"/>
    </row>
    <row r="55" spans="1:13" ht="15.75">
      <c r="A55" s="5"/>
      <c r="B55" s="27"/>
      <c r="C55" s="5"/>
      <c r="D55" s="23" t="s">
        <v>47</v>
      </c>
      <c r="E55" s="23"/>
      <c r="F55" s="24" t="s">
        <v>16</v>
      </c>
      <c r="G55" s="502" t="s">
        <v>32</v>
      </c>
      <c r="H55" s="593">
        <v>1</v>
      </c>
      <c r="I55" s="593"/>
      <c r="J55" s="593"/>
      <c r="K55" s="593"/>
      <c r="L55" s="593"/>
      <c r="M55" s="593"/>
    </row>
    <row r="56" spans="1:13" ht="15.75">
      <c r="A56" s="5"/>
      <c r="B56" s="27"/>
      <c r="C56" s="5"/>
      <c r="D56" s="23" t="s">
        <v>48</v>
      </c>
      <c r="E56" s="23"/>
      <c r="F56" s="24" t="s">
        <v>16</v>
      </c>
      <c r="G56" s="502" t="s">
        <v>32</v>
      </c>
      <c r="H56" s="593">
        <v>1</v>
      </c>
      <c r="I56" s="593"/>
      <c r="J56" s="593"/>
      <c r="K56" s="593"/>
      <c r="L56" s="593"/>
      <c r="M56" s="593"/>
    </row>
    <row r="57" spans="1:13" ht="15.75">
      <c r="A57" s="5"/>
      <c r="B57" s="27"/>
      <c r="C57" s="5"/>
      <c r="D57" s="23" t="s">
        <v>49</v>
      </c>
      <c r="E57" s="23"/>
      <c r="F57" s="24" t="s">
        <v>16</v>
      </c>
      <c r="G57" s="502" t="s">
        <v>32</v>
      </c>
      <c r="H57" s="593">
        <v>1</v>
      </c>
      <c r="I57" s="593">
        <v>1</v>
      </c>
      <c r="J57" s="593">
        <v>1</v>
      </c>
      <c r="K57" s="593">
        <v>1</v>
      </c>
      <c r="L57" s="593">
        <v>1</v>
      </c>
      <c r="M57" s="593">
        <v>1</v>
      </c>
    </row>
    <row r="58" spans="1:13" ht="15.75">
      <c r="A58" s="5"/>
      <c r="B58" s="27"/>
      <c r="C58" s="5"/>
      <c r="D58" s="23" t="s">
        <v>50</v>
      </c>
      <c r="E58" s="23"/>
      <c r="F58" s="24" t="s">
        <v>16</v>
      </c>
      <c r="G58" s="502" t="s">
        <v>32</v>
      </c>
      <c r="H58" s="593">
        <v>1</v>
      </c>
      <c r="I58" s="593"/>
      <c r="J58" s="593"/>
      <c r="K58" s="593"/>
      <c r="L58" s="593"/>
      <c r="M58" s="593"/>
    </row>
    <row r="59" spans="1:13" ht="15.75">
      <c r="A59" s="5"/>
      <c r="B59" s="27"/>
      <c r="C59" s="5"/>
      <c r="D59" s="23" t="s">
        <v>51</v>
      </c>
      <c r="E59" s="23"/>
      <c r="F59" s="24" t="s">
        <v>16</v>
      </c>
      <c r="G59" s="502" t="s">
        <v>32</v>
      </c>
      <c r="H59" s="593">
        <v>1</v>
      </c>
      <c r="I59" s="593"/>
      <c r="J59" s="593"/>
      <c r="K59" s="593"/>
      <c r="L59" s="593"/>
      <c r="M59" s="593"/>
    </row>
    <row r="60" spans="1:13" ht="15.75">
      <c r="A60" s="5"/>
      <c r="B60" s="27"/>
      <c r="C60" s="5"/>
      <c r="D60" s="23" t="s">
        <v>52</v>
      </c>
      <c r="E60" s="23"/>
      <c r="F60" s="24" t="s">
        <v>16</v>
      </c>
      <c r="G60" s="502" t="s">
        <v>32</v>
      </c>
      <c r="H60" s="593">
        <v>1</v>
      </c>
      <c r="I60" s="593">
        <v>1</v>
      </c>
      <c r="J60" s="593">
        <v>1</v>
      </c>
      <c r="K60" s="593">
        <v>1</v>
      </c>
      <c r="L60" s="593">
        <v>1</v>
      </c>
      <c r="M60" s="593"/>
    </row>
    <row r="61" spans="1:13" ht="15.75">
      <c r="A61" s="5"/>
      <c r="B61" s="27"/>
      <c r="C61" s="5"/>
      <c r="D61" s="23" t="s">
        <v>53</v>
      </c>
      <c r="E61" s="23"/>
      <c r="F61" s="24" t="s">
        <v>16</v>
      </c>
      <c r="G61" s="502" t="s">
        <v>32</v>
      </c>
      <c r="H61" s="593">
        <v>1</v>
      </c>
      <c r="I61" s="593">
        <v>1</v>
      </c>
      <c r="J61" s="593">
        <v>1</v>
      </c>
      <c r="K61" s="593">
        <v>1</v>
      </c>
      <c r="L61" s="593">
        <v>1</v>
      </c>
      <c r="M61" s="593">
        <v>1</v>
      </c>
    </row>
    <row r="62" spans="1:13" ht="15.75">
      <c r="A62" s="5"/>
      <c r="B62" s="27"/>
      <c r="C62" s="5"/>
      <c r="D62" s="23" t="s">
        <v>54</v>
      </c>
      <c r="E62" s="23"/>
      <c r="F62" s="24" t="s">
        <v>16</v>
      </c>
      <c r="G62" s="502" t="s">
        <v>32</v>
      </c>
      <c r="H62" s="593">
        <v>1</v>
      </c>
      <c r="I62" s="593">
        <v>1</v>
      </c>
      <c r="J62" s="593">
        <v>1</v>
      </c>
      <c r="K62" s="593">
        <v>1</v>
      </c>
      <c r="L62" s="593">
        <v>1</v>
      </c>
      <c r="M62" s="593">
        <v>0</v>
      </c>
    </row>
    <row r="63" spans="1:13" ht="15.75">
      <c r="A63" s="5"/>
      <c r="B63" s="27"/>
      <c r="C63" s="5"/>
      <c r="D63" s="23" t="s">
        <v>55</v>
      </c>
      <c r="E63" s="23"/>
      <c r="F63" s="24" t="s">
        <v>16</v>
      </c>
      <c r="G63" s="502" t="s">
        <v>32</v>
      </c>
      <c r="H63" s="593">
        <v>1</v>
      </c>
      <c r="I63" s="593">
        <v>1</v>
      </c>
      <c r="J63" s="593">
        <v>1</v>
      </c>
      <c r="K63" s="593">
        <v>1</v>
      </c>
      <c r="L63" s="593">
        <v>1</v>
      </c>
      <c r="M63" s="593">
        <v>1</v>
      </c>
    </row>
    <row r="64" spans="1:13" ht="15.75">
      <c r="A64" s="5"/>
      <c r="B64" s="27"/>
      <c r="C64" s="5"/>
      <c r="D64" s="23" t="s">
        <v>56</v>
      </c>
      <c r="E64" s="23"/>
      <c r="F64" s="24" t="s">
        <v>16</v>
      </c>
      <c r="G64" s="502" t="s">
        <v>32</v>
      </c>
      <c r="H64" s="593">
        <v>1</v>
      </c>
      <c r="I64" s="593">
        <v>1</v>
      </c>
      <c r="J64" s="593">
        <v>1</v>
      </c>
      <c r="K64" s="593">
        <v>1</v>
      </c>
      <c r="L64" s="593">
        <v>1</v>
      </c>
      <c r="M64" s="593"/>
    </row>
    <row r="65" spans="1:13" ht="15.75">
      <c r="A65" s="5"/>
      <c r="B65" s="27"/>
      <c r="C65" s="5"/>
      <c r="D65" s="23" t="s">
        <v>57</v>
      </c>
      <c r="E65" s="23"/>
      <c r="F65" s="24" t="s">
        <v>16</v>
      </c>
      <c r="G65" s="502" t="s">
        <v>32</v>
      </c>
      <c r="H65" s="593">
        <v>1</v>
      </c>
      <c r="I65" s="593"/>
      <c r="J65" s="593"/>
      <c r="K65" s="593"/>
      <c r="L65" s="593"/>
      <c r="M65" s="593"/>
    </row>
    <row r="66" spans="1:13" ht="15.75">
      <c r="A66" s="5"/>
      <c r="B66" s="27"/>
      <c r="C66" s="5"/>
      <c r="D66" s="23" t="s">
        <v>58</v>
      </c>
      <c r="E66" s="23"/>
      <c r="F66" s="24" t="s">
        <v>16</v>
      </c>
      <c r="G66" s="502" t="s">
        <v>32</v>
      </c>
      <c r="H66" s="593">
        <v>1</v>
      </c>
      <c r="I66" s="593">
        <v>1</v>
      </c>
      <c r="J66" s="593">
        <v>1</v>
      </c>
      <c r="K66" s="593">
        <v>1</v>
      </c>
      <c r="L66" s="593">
        <v>1</v>
      </c>
      <c r="M66" s="593"/>
    </row>
    <row r="67" spans="1:13" ht="15.75">
      <c r="A67" s="5"/>
      <c r="B67" s="27"/>
      <c r="C67" s="5"/>
      <c r="D67" s="23" t="s">
        <v>59</v>
      </c>
      <c r="E67" s="23"/>
      <c r="F67" s="24" t="s">
        <v>16</v>
      </c>
      <c r="G67" s="502" t="s">
        <v>32</v>
      </c>
      <c r="H67" s="593">
        <v>1</v>
      </c>
      <c r="I67" s="593">
        <v>1</v>
      </c>
      <c r="J67" s="593">
        <v>1</v>
      </c>
      <c r="K67" s="593">
        <v>1</v>
      </c>
      <c r="L67" s="593">
        <v>1</v>
      </c>
      <c r="M67" s="593">
        <v>1</v>
      </c>
    </row>
    <row r="68" spans="1:13" ht="15.75">
      <c r="A68" s="5"/>
      <c r="B68" s="27"/>
      <c r="C68" s="5"/>
      <c r="D68" s="23" t="s">
        <v>60</v>
      </c>
      <c r="E68" s="23"/>
      <c r="F68" s="24" t="s">
        <v>16</v>
      </c>
      <c r="G68" s="502" t="s">
        <v>32</v>
      </c>
      <c r="H68" s="593">
        <v>1</v>
      </c>
      <c r="I68" s="593">
        <v>1</v>
      </c>
      <c r="J68" s="593">
        <v>1</v>
      </c>
      <c r="K68" s="593">
        <v>1</v>
      </c>
      <c r="L68" s="593">
        <v>1</v>
      </c>
      <c r="M68" s="593"/>
    </row>
    <row r="69" spans="1:13" ht="15.75">
      <c r="A69" s="5"/>
      <c r="B69" s="27"/>
      <c r="C69" s="5"/>
      <c r="D69" s="23" t="s">
        <v>61</v>
      </c>
      <c r="E69" s="23"/>
      <c r="F69" s="24" t="s">
        <v>16</v>
      </c>
      <c r="G69" s="502" t="s">
        <v>32</v>
      </c>
      <c r="H69" s="593">
        <v>1</v>
      </c>
      <c r="I69" s="593">
        <v>1</v>
      </c>
      <c r="J69" s="593">
        <v>1</v>
      </c>
      <c r="K69" s="593">
        <v>1</v>
      </c>
      <c r="L69" s="593">
        <v>1</v>
      </c>
      <c r="M69" s="593"/>
    </row>
    <row r="70" spans="1:13" ht="15.75">
      <c r="A70" s="5"/>
      <c r="B70" s="27"/>
      <c r="C70" s="5"/>
      <c r="D70" s="23" t="s">
        <v>62</v>
      </c>
      <c r="E70" s="23"/>
      <c r="F70" s="24" t="s">
        <v>16</v>
      </c>
      <c r="G70" s="502" t="s">
        <v>32</v>
      </c>
      <c r="H70" s="593"/>
      <c r="I70" s="593"/>
      <c r="J70" s="593">
        <v>1</v>
      </c>
      <c r="K70" s="593">
        <v>1</v>
      </c>
      <c r="L70" s="593">
        <v>1</v>
      </c>
      <c r="M70" s="593">
        <v>1</v>
      </c>
    </row>
    <row r="71" spans="1:13" ht="15.75">
      <c r="A71" s="5"/>
      <c r="B71" s="27"/>
      <c r="C71" s="5"/>
      <c r="D71" s="23" t="s">
        <v>63</v>
      </c>
      <c r="E71" s="23"/>
      <c r="F71" s="24" t="s">
        <v>16</v>
      </c>
      <c r="G71" s="502" t="s">
        <v>32</v>
      </c>
      <c r="H71" s="593"/>
      <c r="I71" s="593"/>
      <c r="J71" s="593">
        <v>1</v>
      </c>
      <c r="K71" s="593">
        <v>1</v>
      </c>
      <c r="L71" s="593">
        <v>1</v>
      </c>
      <c r="M71" s="593">
        <v>1</v>
      </c>
    </row>
    <row r="72" spans="1:13" ht="15.75">
      <c r="A72" s="5"/>
      <c r="B72" s="27"/>
      <c r="C72" s="5"/>
      <c r="D72" s="23" t="s">
        <v>64</v>
      </c>
      <c r="E72" s="23"/>
      <c r="F72" s="24" t="s">
        <v>16</v>
      </c>
      <c r="G72" s="502" t="s">
        <v>32</v>
      </c>
      <c r="H72" s="593"/>
      <c r="I72" s="593"/>
      <c r="J72" s="593">
        <v>1</v>
      </c>
      <c r="K72" s="593">
        <v>1</v>
      </c>
      <c r="L72" s="593">
        <v>1</v>
      </c>
      <c r="M72" s="593">
        <v>1</v>
      </c>
    </row>
    <row r="73" spans="1:13" ht="15.75">
      <c r="A73" s="5"/>
      <c r="B73" s="27"/>
      <c r="C73" s="5"/>
      <c r="D73" s="23"/>
      <c r="E73" s="23"/>
      <c r="F73" s="37"/>
      <c r="G73" s="23"/>
      <c r="H73" s="504"/>
      <c r="I73" s="504"/>
      <c r="J73" s="505"/>
      <c r="K73" s="505"/>
      <c r="L73" s="505"/>
      <c r="M73" s="505"/>
    </row>
    <row r="74" spans="1:13" ht="15.75">
      <c r="A74" s="5"/>
      <c r="B74" s="27"/>
      <c r="C74" s="5"/>
      <c r="D74" s="23" t="s">
        <v>46</v>
      </c>
      <c r="E74" s="23"/>
      <c r="F74" s="24" t="s">
        <v>65</v>
      </c>
      <c r="G74" s="502" t="s">
        <v>32</v>
      </c>
      <c r="H74" s="593">
        <v>1</v>
      </c>
      <c r="I74" s="593">
        <v>1</v>
      </c>
      <c r="J74" s="593">
        <v>1</v>
      </c>
      <c r="K74" s="593">
        <v>1</v>
      </c>
      <c r="L74" s="593">
        <v>1</v>
      </c>
      <c r="M74" s="593"/>
    </row>
    <row r="75" spans="1:13" ht="15.75">
      <c r="A75" s="5"/>
      <c r="B75" s="27"/>
      <c r="C75" s="5"/>
      <c r="D75" s="23" t="s">
        <v>47</v>
      </c>
      <c r="E75" s="23"/>
      <c r="F75" s="24" t="s">
        <v>65</v>
      </c>
      <c r="G75" s="502" t="s">
        <v>32</v>
      </c>
      <c r="H75" s="593">
        <v>1</v>
      </c>
      <c r="I75" s="593"/>
      <c r="J75" s="593"/>
      <c r="K75" s="593"/>
      <c r="L75" s="593"/>
      <c r="M75" s="593"/>
    </row>
    <row r="76" spans="1:13" ht="15.75">
      <c r="A76" s="5"/>
      <c r="B76" s="27"/>
      <c r="C76" s="5"/>
      <c r="D76" s="23" t="s">
        <v>48</v>
      </c>
      <c r="E76" s="23"/>
      <c r="F76" s="24" t="s">
        <v>65</v>
      </c>
      <c r="G76" s="502" t="s">
        <v>32</v>
      </c>
      <c r="H76" s="593">
        <v>1</v>
      </c>
      <c r="I76" s="593"/>
      <c r="J76" s="593"/>
      <c r="K76" s="593"/>
      <c r="L76" s="593"/>
      <c r="M76" s="593"/>
    </row>
    <row r="77" spans="1:13" ht="15.75">
      <c r="A77" s="5"/>
      <c r="B77" s="27"/>
      <c r="C77" s="5"/>
      <c r="D77" s="23" t="s">
        <v>49</v>
      </c>
      <c r="E77" s="23"/>
      <c r="F77" s="24" t="s">
        <v>65</v>
      </c>
      <c r="G77" s="502" t="s">
        <v>32</v>
      </c>
      <c r="H77" s="593">
        <v>1</v>
      </c>
      <c r="I77" s="593">
        <v>1</v>
      </c>
      <c r="J77" s="593">
        <v>1</v>
      </c>
      <c r="K77" s="593">
        <v>1</v>
      </c>
      <c r="L77" s="593">
        <v>1</v>
      </c>
      <c r="M77" s="593">
        <v>1</v>
      </c>
    </row>
    <row r="78" spans="1:13" ht="15.75">
      <c r="A78" s="5"/>
      <c r="B78" s="27"/>
      <c r="C78" s="5"/>
      <c r="D78" s="23" t="s">
        <v>50</v>
      </c>
      <c r="E78" s="23"/>
      <c r="F78" s="24" t="s">
        <v>65</v>
      </c>
      <c r="G78" s="502" t="s">
        <v>32</v>
      </c>
      <c r="H78" s="593">
        <v>1</v>
      </c>
      <c r="I78" s="593"/>
      <c r="J78" s="593"/>
      <c r="K78" s="593"/>
      <c r="L78" s="593"/>
      <c r="M78" s="593"/>
    </row>
    <row r="79" spans="1:13" ht="15.75">
      <c r="A79" s="5"/>
      <c r="B79" s="27"/>
      <c r="C79" s="5"/>
      <c r="D79" s="23" t="s">
        <v>51</v>
      </c>
      <c r="E79" s="23"/>
      <c r="F79" s="24" t="s">
        <v>65</v>
      </c>
      <c r="G79" s="502" t="s">
        <v>32</v>
      </c>
      <c r="H79" s="593">
        <v>1</v>
      </c>
      <c r="I79" s="593"/>
      <c r="J79" s="593"/>
      <c r="K79" s="593"/>
      <c r="L79" s="593"/>
      <c r="M79" s="593"/>
    </row>
    <row r="80" spans="1:13" ht="15.75">
      <c r="A80" s="5"/>
      <c r="B80" s="27"/>
      <c r="C80" s="5"/>
      <c r="D80" s="23" t="s">
        <v>52</v>
      </c>
      <c r="E80" s="23"/>
      <c r="F80" s="24" t="s">
        <v>65</v>
      </c>
      <c r="G80" s="502" t="s">
        <v>32</v>
      </c>
      <c r="H80" s="593">
        <v>1</v>
      </c>
      <c r="I80" s="593">
        <v>1</v>
      </c>
      <c r="J80" s="593">
        <v>1</v>
      </c>
      <c r="K80" s="593">
        <v>1</v>
      </c>
      <c r="L80" s="593">
        <v>1</v>
      </c>
      <c r="M80" s="593"/>
    </row>
    <row r="81" spans="1:13">
      <c r="A81" s="18"/>
      <c r="B81" s="19"/>
      <c r="C81" s="18"/>
      <c r="D81" s="23" t="s">
        <v>53</v>
      </c>
      <c r="E81" s="23"/>
      <c r="F81" s="24" t="s">
        <v>65</v>
      </c>
      <c r="G81" s="502" t="s">
        <v>32</v>
      </c>
      <c r="H81" s="593">
        <v>1</v>
      </c>
      <c r="I81" s="593">
        <v>1</v>
      </c>
      <c r="J81" s="593">
        <v>1</v>
      </c>
      <c r="K81" s="593">
        <v>1</v>
      </c>
      <c r="L81" s="593">
        <v>1</v>
      </c>
      <c r="M81" s="593">
        <v>1</v>
      </c>
    </row>
    <row r="82" spans="1:13">
      <c r="A82" s="18"/>
      <c r="B82" s="19"/>
      <c r="C82" s="18"/>
      <c r="D82" s="23" t="s">
        <v>54</v>
      </c>
      <c r="E82" s="23"/>
      <c r="F82" s="24" t="s">
        <v>65</v>
      </c>
      <c r="G82" s="502" t="s">
        <v>32</v>
      </c>
      <c r="H82" s="593">
        <v>1</v>
      </c>
      <c r="I82" s="593">
        <v>1</v>
      </c>
      <c r="J82" s="593">
        <v>1</v>
      </c>
      <c r="K82" s="593">
        <v>1</v>
      </c>
      <c r="L82" s="593">
        <v>1</v>
      </c>
      <c r="M82" s="593">
        <v>0</v>
      </c>
    </row>
    <row r="83" spans="1:13">
      <c r="A83" s="18"/>
      <c r="B83" s="19"/>
      <c r="C83" s="18"/>
      <c r="D83" s="23" t="s">
        <v>55</v>
      </c>
      <c r="E83" s="23"/>
      <c r="F83" s="24" t="s">
        <v>65</v>
      </c>
      <c r="G83" s="502" t="s">
        <v>32</v>
      </c>
      <c r="H83" s="593">
        <v>1</v>
      </c>
      <c r="I83" s="593">
        <v>1</v>
      </c>
      <c r="J83" s="593">
        <v>1</v>
      </c>
      <c r="K83" s="593">
        <v>1</v>
      </c>
      <c r="L83" s="593">
        <v>1</v>
      </c>
      <c r="M83" s="593">
        <v>1</v>
      </c>
    </row>
    <row r="84" spans="1:13">
      <c r="A84" s="18"/>
      <c r="B84" s="19"/>
      <c r="C84" s="18"/>
      <c r="D84" s="23" t="s">
        <v>56</v>
      </c>
      <c r="E84" s="23"/>
      <c r="F84" s="24" t="s">
        <v>65</v>
      </c>
      <c r="G84" s="502" t="s">
        <v>32</v>
      </c>
      <c r="H84" s="593">
        <v>1</v>
      </c>
      <c r="I84" s="593">
        <v>1</v>
      </c>
      <c r="J84" s="593">
        <v>1</v>
      </c>
      <c r="K84" s="593">
        <v>1</v>
      </c>
      <c r="L84" s="593">
        <v>1</v>
      </c>
      <c r="M84" s="593"/>
    </row>
    <row r="85" spans="1:13">
      <c r="A85" s="18"/>
      <c r="B85" s="19"/>
      <c r="C85" s="18"/>
      <c r="D85" s="23" t="s">
        <v>57</v>
      </c>
      <c r="E85" s="23"/>
      <c r="F85" s="24" t="s">
        <v>65</v>
      </c>
      <c r="G85" s="502" t="s">
        <v>32</v>
      </c>
      <c r="H85" s="593">
        <v>1</v>
      </c>
      <c r="I85" s="593"/>
      <c r="J85" s="593"/>
      <c r="K85" s="593"/>
      <c r="L85" s="593"/>
      <c r="M85" s="593"/>
    </row>
    <row r="86" spans="1:13">
      <c r="A86" s="18"/>
      <c r="B86" s="19"/>
      <c r="C86" s="18"/>
      <c r="D86" s="23" t="s">
        <v>58</v>
      </c>
      <c r="E86" s="23"/>
      <c r="F86" s="24" t="s">
        <v>65</v>
      </c>
      <c r="G86" s="502" t="s">
        <v>32</v>
      </c>
      <c r="H86" s="593">
        <v>1</v>
      </c>
      <c r="I86" s="593">
        <v>1</v>
      </c>
      <c r="J86" s="593">
        <v>1</v>
      </c>
      <c r="K86" s="593">
        <v>1</v>
      </c>
      <c r="L86" s="593">
        <v>1</v>
      </c>
      <c r="M86" s="593"/>
    </row>
    <row r="87" spans="1:13">
      <c r="A87" s="18"/>
      <c r="B87" s="19"/>
      <c r="C87" s="18"/>
      <c r="D87" s="23" t="s">
        <v>59</v>
      </c>
      <c r="E87" s="23"/>
      <c r="F87" s="24" t="s">
        <v>65</v>
      </c>
      <c r="G87" s="502" t="s">
        <v>32</v>
      </c>
      <c r="H87" s="593">
        <v>1</v>
      </c>
      <c r="I87" s="593">
        <v>1</v>
      </c>
      <c r="J87" s="593">
        <v>1</v>
      </c>
      <c r="K87" s="593">
        <v>1</v>
      </c>
      <c r="L87" s="593">
        <v>1</v>
      </c>
      <c r="M87" s="593">
        <v>1</v>
      </c>
    </row>
    <row r="88" spans="1:13">
      <c r="A88" s="18"/>
      <c r="B88" s="19"/>
      <c r="C88" s="18"/>
      <c r="D88" s="23" t="s">
        <v>60</v>
      </c>
      <c r="E88" s="23"/>
      <c r="F88" s="24" t="s">
        <v>65</v>
      </c>
      <c r="G88" s="502" t="s">
        <v>32</v>
      </c>
      <c r="H88" s="593">
        <v>1</v>
      </c>
      <c r="I88" s="593">
        <v>1</v>
      </c>
      <c r="J88" s="593">
        <v>1</v>
      </c>
      <c r="K88" s="593">
        <v>1</v>
      </c>
      <c r="L88" s="593">
        <v>1</v>
      </c>
      <c r="M88" s="593"/>
    </row>
    <row r="89" spans="1:13">
      <c r="A89" s="18"/>
      <c r="B89" s="19"/>
      <c r="C89" s="18"/>
      <c r="D89" s="23" t="s">
        <v>61</v>
      </c>
      <c r="E89" s="23"/>
      <c r="F89" s="24" t="s">
        <v>65</v>
      </c>
      <c r="G89" s="502" t="s">
        <v>32</v>
      </c>
      <c r="H89" s="593">
        <v>1</v>
      </c>
      <c r="I89" s="593">
        <v>1</v>
      </c>
      <c r="J89" s="593">
        <v>1</v>
      </c>
      <c r="K89" s="593">
        <v>1</v>
      </c>
      <c r="L89" s="593">
        <v>1</v>
      </c>
      <c r="M89" s="593"/>
    </row>
    <row r="90" spans="1:13">
      <c r="A90" s="18"/>
      <c r="B90" s="19"/>
      <c r="C90" s="18"/>
      <c r="D90" s="23" t="s">
        <v>62</v>
      </c>
      <c r="E90" s="23"/>
      <c r="F90" s="24" t="s">
        <v>65</v>
      </c>
      <c r="G90" s="502" t="s">
        <v>32</v>
      </c>
      <c r="H90" s="593"/>
      <c r="I90" s="593"/>
      <c r="J90" s="593">
        <v>1</v>
      </c>
      <c r="K90" s="593">
        <v>1</v>
      </c>
      <c r="L90" s="593">
        <v>1</v>
      </c>
      <c r="M90" s="593">
        <v>1</v>
      </c>
    </row>
    <row r="91" spans="1:13">
      <c r="A91" s="18"/>
      <c r="B91" s="19"/>
      <c r="C91" s="18"/>
      <c r="D91" s="23" t="s">
        <v>63</v>
      </c>
      <c r="E91" s="23"/>
      <c r="F91" s="24" t="s">
        <v>65</v>
      </c>
      <c r="G91" s="502" t="s">
        <v>32</v>
      </c>
      <c r="H91" s="593"/>
      <c r="I91" s="593"/>
      <c r="J91" s="593">
        <v>1</v>
      </c>
      <c r="K91" s="593">
        <v>1</v>
      </c>
      <c r="L91" s="593">
        <v>1</v>
      </c>
      <c r="M91" s="593">
        <v>1</v>
      </c>
    </row>
    <row r="92" spans="1:13">
      <c r="A92" s="18"/>
      <c r="B92" s="19"/>
      <c r="C92" s="18"/>
      <c r="D92" s="23" t="s">
        <v>64</v>
      </c>
      <c r="E92" s="23"/>
      <c r="F92" s="24" t="s">
        <v>65</v>
      </c>
      <c r="G92" s="502" t="s">
        <v>32</v>
      </c>
      <c r="H92" s="593"/>
      <c r="I92" s="593"/>
      <c r="J92" s="593">
        <v>1</v>
      </c>
      <c r="K92" s="593">
        <v>1</v>
      </c>
      <c r="L92" s="593">
        <v>1</v>
      </c>
      <c r="M92" s="593">
        <v>1</v>
      </c>
    </row>
    <row r="93" spans="1:13" ht="15.75">
      <c r="A93" s="18"/>
      <c r="B93" s="38"/>
      <c r="C93" s="18"/>
      <c r="D93" s="18"/>
      <c r="E93" s="18"/>
      <c r="F93" s="30"/>
      <c r="G93" s="499"/>
      <c r="H93" s="499"/>
      <c r="I93" s="499"/>
      <c r="J93" s="5"/>
      <c r="K93" s="5"/>
      <c r="L93" s="5"/>
      <c r="M93" s="5"/>
    </row>
    <row r="94" spans="1:13" ht="15.75">
      <c r="A94" s="18"/>
      <c r="B94" s="38"/>
      <c r="C94" s="18"/>
      <c r="D94" s="18"/>
      <c r="E94" s="18"/>
      <c r="F94" s="30"/>
      <c r="G94" s="499"/>
      <c r="H94" s="499"/>
      <c r="I94" s="499"/>
      <c r="J94" s="5"/>
      <c r="K94" s="5"/>
      <c r="L94" s="5"/>
      <c r="M94" s="5"/>
    </row>
    <row r="95" spans="1:13" ht="15.75">
      <c r="A95" s="15"/>
      <c r="B95" s="15"/>
      <c r="C95" s="15"/>
      <c r="D95" s="16" t="s">
        <v>66</v>
      </c>
      <c r="E95" s="16"/>
      <c r="F95" s="17"/>
      <c r="G95" s="17"/>
      <c r="H95" s="17"/>
      <c r="I95" s="15"/>
      <c r="J95" s="5"/>
      <c r="K95" s="5"/>
      <c r="L95" s="5"/>
      <c r="M95" s="5"/>
    </row>
    <row r="96" spans="1:13" ht="15.75">
      <c r="A96" s="18"/>
      <c r="B96" s="19"/>
      <c r="C96" s="18"/>
      <c r="D96" s="39"/>
      <c r="E96" s="39"/>
      <c r="F96" s="30"/>
      <c r="G96" s="499"/>
      <c r="H96" s="499"/>
      <c r="I96" s="499"/>
      <c r="J96" s="5"/>
      <c r="K96" s="5"/>
      <c r="L96" s="5"/>
      <c r="M96" s="5"/>
    </row>
    <row r="97" spans="1:13" ht="15.75">
      <c r="A97" s="18"/>
      <c r="B97" s="19"/>
      <c r="C97" s="18"/>
      <c r="D97" s="16" t="s">
        <v>67</v>
      </c>
      <c r="E97" s="40"/>
      <c r="F97" s="41"/>
      <c r="G97" s="506"/>
      <c r="H97" s="506"/>
      <c r="I97" s="499"/>
      <c r="J97" s="5"/>
      <c r="K97" s="5"/>
      <c r="L97" s="5"/>
      <c r="M97" s="5"/>
    </row>
    <row r="98" spans="1:13" ht="15.75">
      <c r="A98" s="18"/>
      <c r="B98" s="19"/>
      <c r="C98" s="18"/>
      <c r="D98" s="42" t="s">
        <v>68</v>
      </c>
      <c r="E98" s="42" t="s">
        <v>69</v>
      </c>
      <c r="F98" s="43"/>
      <c r="G98" s="501" t="s">
        <v>14</v>
      </c>
      <c r="H98" s="591">
        <v>1</v>
      </c>
      <c r="I98" s="499" t="s">
        <v>15</v>
      </c>
      <c r="J98" s="5"/>
      <c r="K98" s="5"/>
      <c r="L98" s="5"/>
      <c r="M98" s="5"/>
    </row>
    <row r="99" spans="1:13" ht="15.75">
      <c r="A99" s="18"/>
      <c r="B99" s="19"/>
      <c r="C99" s="18"/>
      <c r="D99" s="42" t="s">
        <v>70</v>
      </c>
      <c r="E99" s="42" t="s">
        <v>71</v>
      </c>
      <c r="F99" s="43"/>
      <c r="G99" s="501" t="s">
        <v>14</v>
      </c>
      <c r="H99" s="591">
        <v>1</v>
      </c>
      <c r="I99" s="499" t="s">
        <v>15</v>
      </c>
      <c r="J99" s="5"/>
      <c r="K99" s="5"/>
      <c r="L99" s="5"/>
      <c r="M99" s="5"/>
    </row>
    <row r="100" spans="1:13" ht="15.75">
      <c r="A100" s="18"/>
      <c r="B100" s="19"/>
      <c r="C100" s="18"/>
      <c r="D100" s="39"/>
      <c r="E100" s="39"/>
      <c r="F100" s="30"/>
      <c r="G100" s="499"/>
      <c r="H100" s="499"/>
      <c r="I100" s="499"/>
      <c r="J100" s="5"/>
      <c r="K100" s="5"/>
      <c r="L100" s="5"/>
      <c r="M100" s="5"/>
    </row>
    <row r="101" spans="1:13" ht="15.75">
      <c r="A101" s="18"/>
      <c r="B101" s="19"/>
      <c r="C101" s="18"/>
      <c r="D101" s="16" t="s">
        <v>72</v>
      </c>
      <c r="E101" s="40"/>
      <c r="F101" s="41"/>
      <c r="G101" s="506"/>
      <c r="H101" s="506"/>
      <c r="I101" s="499"/>
      <c r="J101" s="5"/>
      <c r="K101" s="5"/>
      <c r="L101" s="5"/>
      <c r="M101" s="5"/>
    </row>
    <row r="102" spans="1:13" ht="15.75">
      <c r="A102" s="18"/>
      <c r="B102" s="19"/>
      <c r="C102" s="18"/>
      <c r="D102" s="42" t="s">
        <v>68</v>
      </c>
      <c r="E102" s="42" t="s">
        <v>69</v>
      </c>
      <c r="F102" s="43"/>
      <c r="G102" s="26" t="s">
        <v>25</v>
      </c>
      <c r="H102" s="592">
        <v>1</v>
      </c>
      <c r="I102" s="499" t="s">
        <v>15</v>
      </c>
      <c r="J102" s="5"/>
      <c r="K102" s="5"/>
      <c r="L102" s="5"/>
      <c r="M102" s="5"/>
    </row>
    <row r="103" spans="1:13" ht="15.75">
      <c r="A103" s="18"/>
      <c r="B103" s="19"/>
      <c r="C103" s="18"/>
      <c r="D103" s="42" t="s">
        <v>68</v>
      </c>
      <c r="E103" s="42" t="s">
        <v>71</v>
      </c>
      <c r="F103" s="43"/>
      <c r="G103" s="26" t="s">
        <v>25</v>
      </c>
      <c r="H103" s="592">
        <v>1</v>
      </c>
      <c r="I103" s="499" t="s">
        <v>15</v>
      </c>
      <c r="J103" s="5"/>
      <c r="K103" s="5"/>
      <c r="L103" s="5"/>
      <c r="M103" s="5"/>
    </row>
    <row r="104" spans="1:13" ht="15.75">
      <c r="A104" s="18"/>
      <c r="B104" s="38"/>
      <c r="C104" s="18"/>
      <c r="D104" s="39"/>
      <c r="E104" s="39"/>
      <c r="F104" s="30"/>
      <c r="G104" s="499"/>
      <c r="H104" s="499"/>
      <c r="I104" s="499"/>
      <c r="J104" s="5"/>
      <c r="K104" s="5"/>
      <c r="L104" s="5"/>
      <c r="M104" s="5"/>
    </row>
    <row r="105" spans="1:13" ht="15.75">
      <c r="A105" s="18"/>
      <c r="B105" s="38"/>
      <c r="C105" s="18"/>
      <c r="D105" s="39"/>
      <c r="E105" s="39"/>
      <c r="F105" s="30"/>
      <c r="G105" s="499"/>
      <c r="H105" s="499"/>
      <c r="I105" s="499"/>
      <c r="J105" s="5"/>
      <c r="K105" s="5"/>
      <c r="L105" s="5"/>
      <c r="M105" s="5"/>
    </row>
    <row r="106" spans="1:13" ht="15.75">
      <c r="A106" s="44"/>
      <c r="B106" s="44"/>
      <c r="C106" s="44"/>
      <c r="D106" s="16" t="s">
        <v>73</v>
      </c>
      <c r="E106" s="16"/>
      <c r="F106" s="44"/>
      <c r="G106" s="45"/>
      <c r="H106" s="45"/>
      <c r="I106" s="45"/>
      <c r="J106" s="5"/>
      <c r="K106" s="5"/>
      <c r="L106" s="5"/>
      <c r="M106" s="5"/>
    </row>
    <row r="107" spans="1:13" ht="15.75">
      <c r="A107" s="18"/>
      <c r="B107" s="19"/>
      <c r="C107" s="18"/>
      <c r="D107" s="46"/>
      <c r="E107" s="46"/>
      <c r="F107" s="30"/>
      <c r="G107" s="18"/>
      <c r="H107" s="18"/>
      <c r="I107" s="18"/>
      <c r="J107" s="5"/>
      <c r="K107" s="5"/>
      <c r="L107" s="5"/>
      <c r="M107" s="5"/>
    </row>
    <row r="108" spans="1:13" ht="15.75">
      <c r="A108" s="18"/>
      <c r="B108" s="19"/>
      <c r="C108" s="18"/>
      <c r="D108" s="42" t="s">
        <v>74</v>
      </c>
      <c r="E108" s="42" t="s">
        <v>75</v>
      </c>
      <c r="F108" s="41" t="s">
        <v>13</v>
      </c>
      <c r="G108" s="502" t="s">
        <v>32</v>
      </c>
      <c r="H108" s="502"/>
      <c r="I108" s="499" t="s">
        <v>15</v>
      </c>
      <c r="J108" s="507"/>
      <c r="K108" s="5"/>
      <c r="L108" s="5"/>
      <c r="M108" s="5"/>
    </row>
    <row r="109" spans="1:13" ht="15.75">
      <c r="A109" s="18"/>
      <c r="B109" s="19"/>
      <c r="C109" s="18"/>
      <c r="D109" s="42" t="s">
        <v>76</v>
      </c>
      <c r="E109" s="42" t="s">
        <v>75</v>
      </c>
      <c r="F109" s="41" t="s">
        <v>13</v>
      </c>
      <c r="G109" s="502" t="s">
        <v>32</v>
      </c>
      <c r="H109" s="502"/>
      <c r="I109" s="499" t="s">
        <v>15</v>
      </c>
      <c r="J109" s="507"/>
      <c r="K109" s="5"/>
      <c r="L109" s="5"/>
      <c r="M109" s="5"/>
    </row>
    <row r="110" spans="1:13" ht="15.75">
      <c r="A110" s="18"/>
      <c r="B110" s="19"/>
      <c r="C110" s="18"/>
      <c r="D110" s="42" t="s">
        <v>77</v>
      </c>
      <c r="E110" s="42" t="s">
        <v>75</v>
      </c>
      <c r="F110" s="41" t="s">
        <v>13</v>
      </c>
      <c r="G110" s="502" t="s">
        <v>32</v>
      </c>
      <c r="H110" s="502"/>
      <c r="I110" s="499" t="s">
        <v>15</v>
      </c>
      <c r="J110" s="507"/>
      <c r="K110" s="5"/>
      <c r="L110" s="5"/>
      <c r="M110" s="5"/>
    </row>
    <row r="111" spans="1:13" ht="15.75">
      <c r="A111" s="18"/>
      <c r="B111" s="19"/>
      <c r="C111" s="18"/>
      <c r="D111" s="42" t="s">
        <v>78</v>
      </c>
      <c r="E111" s="42" t="s">
        <v>75</v>
      </c>
      <c r="F111" s="41" t="s">
        <v>13</v>
      </c>
      <c r="G111" s="502" t="s">
        <v>32</v>
      </c>
      <c r="H111" s="502"/>
      <c r="I111" s="499" t="s">
        <v>15</v>
      </c>
      <c r="J111" s="507"/>
      <c r="K111" s="5"/>
      <c r="L111" s="5"/>
      <c r="M111" s="5"/>
    </row>
    <row r="112" spans="1:13" ht="15.75">
      <c r="A112" s="18"/>
      <c r="B112" s="19"/>
      <c r="C112" s="18"/>
      <c r="D112" s="42" t="s">
        <v>79</v>
      </c>
      <c r="E112" s="42" t="s">
        <v>75</v>
      </c>
      <c r="F112" s="41" t="s">
        <v>13</v>
      </c>
      <c r="G112" s="502" t="s">
        <v>32</v>
      </c>
      <c r="H112" s="502"/>
      <c r="I112" s="499" t="s">
        <v>15</v>
      </c>
      <c r="J112" s="507"/>
      <c r="K112" s="5"/>
      <c r="L112" s="5"/>
      <c r="M112" s="5"/>
    </row>
    <row r="113" spans="1:13" ht="15.75">
      <c r="A113" s="5"/>
      <c r="B113" s="27"/>
      <c r="C113" s="5"/>
      <c r="D113" s="42" t="s">
        <v>80</v>
      </c>
      <c r="E113" s="42" t="s">
        <v>75</v>
      </c>
      <c r="F113" s="41" t="s">
        <v>13</v>
      </c>
      <c r="G113" s="502" t="s">
        <v>32</v>
      </c>
      <c r="H113" s="502"/>
      <c r="I113" s="499" t="s">
        <v>15</v>
      </c>
      <c r="J113" s="507"/>
      <c r="K113" s="5"/>
      <c r="L113" s="5"/>
      <c r="M113" s="5"/>
    </row>
    <row r="114" spans="1:13" ht="15.75">
      <c r="A114" s="5"/>
      <c r="B114" s="27"/>
      <c r="C114" s="5"/>
      <c r="D114" s="42" t="s">
        <v>81</v>
      </c>
      <c r="E114" s="42" t="s">
        <v>75</v>
      </c>
      <c r="F114" s="41" t="s">
        <v>13</v>
      </c>
      <c r="G114" s="502" t="s">
        <v>32</v>
      </c>
      <c r="H114" s="502"/>
      <c r="I114" s="499" t="s">
        <v>15</v>
      </c>
      <c r="J114" s="507"/>
      <c r="K114" s="5"/>
      <c r="L114" s="5"/>
      <c r="M114" s="5"/>
    </row>
    <row r="115" spans="1:13" ht="15.75">
      <c r="A115" s="5"/>
      <c r="B115" s="27"/>
      <c r="C115" s="5"/>
      <c r="D115" s="42" t="s">
        <v>82</v>
      </c>
      <c r="E115" s="42" t="s">
        <v>75</v>
      </c>
      <c r="F115" s="41" t="s">
        <v>13</v>
      </c>
      <c r="G115" s="502" t="s">
        <v>32</v>
      </c>
      <c r="H115" s="502"/>
      <c r="I115" s="499" t="s">
        <v>15</v>
      </c>
      <c r="J115" s="507"/>
      <c r="K115" s="5"/>
      <c r="L115" s="5"/>
      <c r="M115" s="5"/>
    </row>
    <row r="116" spans="1:13" ht="15.75">
      <c r="A116" s="5"/>
      <c r="B116" s="27"/>
      <c r="C116" s="5"/>
      <c r="D116" s="42" t="s">
        <v>83</v>
      </c>
      <c r="E116" s="42" t="s">
        <v>75</v>
      </c>
      <c r="F116" s="41" t="s">
        <v>13</v>
      </c>
      <c r="G116" s="502" t="s">
        <v>32</v>
      </c>
      <c r="H116" s="502"/>
      <c r="I116" s="499" t="s">
        <v>15</v>
      </c>
      <c r="J116" s="507"/>
      <c r="K116" s="5"/>
      <c r="L116" s="5"/>
      <c r="M116" s="5"/>
    </row>
    <row r="117" spans="1:13" ht="15.75">
      <c r="A117" s="5"/>
      <c r="B117" s="27"/>
      <c r="C117" s="5"/>
      <c r="D117" s="42" t="s">
        <v>82</v>
      </c>
      <c r="E117" s="42" t="s">
        <v>75</v>
      </c>
      <c r="F117" s="41" t="s">
        <v>84</v>
      </c>
      <c r="G117" s="502" t="s">
        <v>32</v>
      </c>
      <c r="H117" s="502"/>
      <c r="I117" s="499" t="s">
        <v>15</v>
      </c>
      <c r="J117" s="5"/>
      <c r="K117" s="5"/>
      <c r="L117" s="5"/>
      <c r="M117" s="5"/>
    </row>
    <row r="118" spans="1:13" ht="15.75">
      <c r="A118" s="5"/>
      <c r="B118" s="27"/>
      <c r="C118" s="5"/>
      <c r="D118" s="42" t="s">
        <v>74</v>
      </c>
      <c r="E118" s="42" t="s">
        <v>85</v>
      </c>
      <c r="F118" s="41" t="s">
        <v>13</v>
      </c>
      <c r="G118" s="502" t="s">
        <v>32</v>
      </c>
      <c r="H118" s="502"/>
      <c r="I118" s="499" t="s">
        <v>15</v>
      </c>
      <c r="J118" s="5"/>
      <c r="K118" s="5"/>
      <c r="L118" s="5"/>
      <c r="M118" s="5"/>
    </row>
    <row r="119" spans="1:13" ht="15.75">
      <c r="A119" s="5"/>
      <c r="B119" s="27"/>
      <c r="C119" s="5"/>
      <c r="D119" s="42" t="s">
        <v>76</v>
      </c>
      <c r="E119" s="42" t="s">
        <v>85</v>
      </c>
      <c r="F119" s="41" t="s">
        <v>13</v>
      </c>
      <c r="G119" s="502" t="s">
        <v>32</v>
      </c>
      <c r="H119" s="502"/>
      <c r="I119" s="499" t="s">
        <v>15</v>
      </c>
      <c r="J119" s="5"/>
      <c r="K119" s="5"/>
      <c r="L119" s="5"/>
      <c r="M119" s="5"/>
    </row>
    <row r="120" spans="1:13" ht="15.75">
      <c r="A120" s="5"/>
      <c r="B120" s="27"/>
      <c r="C120" s="5"/>
      <c r="D120" s="42" t="s">
        <v>77</v>
      </c>
      <c r="E120" s="42" t="s">
        <v>85</v>
      </c>
      <c r="F120" s="41" t="s">
        <v>13</v>
      </c>
      <c r="G120" s="502" t="s">
        <v>32</v>
      </c>
      <c r="H120" s="502"/>
      <c r="I120" s="499" t="s">
        <v>15</v>
      </c>
      <c r="J120" s="5"/>
      <c r="K120" s="5"/>
      <c r="L120" s="5"/>
      <c r="M120" s="5"/>
    </row>
    <row r="121" spans="1:13" ht="15.75">
      <c r="A121" s="5"/>
      <c r="B121" s="27"/>
      <c r="C121" s="5"/>
      <c r="D121" s="42" t="s">
        <v>78</v>
      </c>
      <c r="E121" s="42" t="s">
        <v>85</v>
      </c>
      <c r="F121" s="41" t="s">
        <v>13</v>
      </c>
      <c r="G121" s="502" t="s">
        <v>32</v>
      </c>
      <c r="H121" s="502"/>
      <c r="I121" s="499" t="s">
        <v>15</v>
      </c>
      <c r="J121" s="5"/>
      <c r="K121" s="5"/>
      <c r="L121" s="5"/>
      <c r="M121" s="5"/>
    </row>
    <row r="122" spans="1:13" ht="15.75">
      <c r="A122" s="5"/>
      <c r="B122" s="27"/>
      <c r="C122" s="5"/>
      <c r="D122" s="42" t="s">
        <v>79</v>
      </c>
      <c r="E122" s="42" t="s">
        <v>85</v>
      </c>
      <c r="F122" s="41" t="s">
        <v>13</v>
      </c>
      <c r="G122" s="502" t="s">
        <v>32</v>
      </c>
      <c r="H122" s="502"/>
      <c r="I122" s="499" t="s">
        <v>15</v>
      </c>
      <c r="J122" s="5"/>
      <c r="K122" s="5"/>
      <c r="L122" s="5"/>
      <c r="M122" s="5"/>
    </row>
    <row r="123" spans="1:13" ht="15.75">
      <c r="A123" s="5"/>
      <c r="B123" s="27"/>
      <c r="C123" s="5"/>
      <c r="D123" s="42" t="s">
        <v>80</v>
      </c>
      <c r="E123" s="42" t="s">
        <v>85</v>
      </c>
      <c r="F123" s="41" t="s">
        <v>13</v>
      </c>
      <c r="G123" s="502" t="s">
        <v>32</v>
      </c>
      <c r="H123" s="502"/>
      <c r="I123" s="499" t="s">
        <v>15</v>
      </c>
      <c r="J123" s="5"/>
      <c r="K123" s="5"/>
      <c r="L123" s="5"/>
      <c r="M123" s="5"/>
    </row>
    <row r="124" spans="1:13" ht="15.75">
      <c r="A124" s="5"/>
      <c r="B124" s="27"/>
      <c r="C124" s="5"/>
      <c r="D124" s="42" t="s">
        <v>81</v>
      </c>
      <c r="E124" s="42" t="s">
        <v>85</v>
      </c>
      <c r="F124" s="41" t="s">
        <v>13</v>
      </c>
      <c r="G124" s="502" t="s">
        <v>32</v>
      </c>
      <c r="H124" s="502"/>
      <c r="I124" s="499" t="s">
        <v>15</v>
      </c>
      <c r="J124" s="5"/>
      <c r="K124" s="5"/>
      <c r="L124" s="5"/>
      <c r="M124" s="5"/>
    </row>
    <row r="125" spans="1:13" ht="15.75">
      <c r="A125" s="5"/>
      <c r="B125" s="27"/>
      <c r="C125" s="5"/>
      <c r="D125" s="42" t="s">
        <v>82</v>
      </c>
      <c r="E125" s="42" t="s">
        <v>85</v>
      </c>
      <c r="F125" s="41" t="s">
        <v>13</v>
      </c>
      <c r="G125" s="502" t="s">
        <v>32</v>
      </c>
      <c r="H125" s="502"/>
      <c r="I125" s="499" t="s">
        <v>15</v>
      </c>
      <c r="J125" s="5"/>
      <c r="K125" s="5"/>
      <c r="L125" s="5"/>
      <c r="M125" s="5"/>
    </row>
    <row r="126" spans="1:13" ht="15.75">
      <c r="A126" s="5"/>
      <c r="B126" s="27"/>
      <c r="C126" s="5"/>
      <c r="D126" s="42" t="s">
        <v>83</v>
      </c>
      <c r="E126" s="42" t="s">
        <v>85</v>
      </c>
      <c r="F126" s="41" t="s">
        <v>13</v>
      </c>
      <c r="G126" s="502" t="s">
        <v>32</v>
      </c>
      <c r="H126" s="502"/>
      <c r="I126" s="499" t="s">
        <v>15</v>
      </c>
      <c r="J126" s="5"/>
      <c r="K126" s="5"/>
      <c r="L126" s="5"/>
      <c r="M126" s="5"/>
    </row>
    <row r="127" spans="1:13" ht="15.75">
      <c r="A127" s="5"/>
      <c r="B127" s="27"/>
      <c r="C127" s="5"/>
      <c r="D127" s="42" t="s">
        <v>82</v>
      </c>
      <c r="E127" s="42" t="s">
        <v>85</v>
      </c>
      <c r="F127" s="41" t="s">
        <v>84</v>
      </c>
      <c r="G127" s="502" t="s">
        <v>32</v>
      </c>
      <c r="H127" s="502"/>
      <c r="I127" s="499" t="s">
        <v>15</v>
      </c>
      <c r="J127" s="5"/>
      <c r="K127" s="5"/>
      <c r="L127" s="5"/>
      <c r="M127" s="5"/>
    </row>
    <row r="128" spans="1:13" ht="15.75">
      <c r="A128" s="5"/>
      <c r="B128" s="27"/>
      <c r="C128" s="5"/>
      <c r="D128" s="42" t="s">
        <v>74</v>
      </c>
      <c r="E128" s="42"/>
      <c r="F128" s="41" t="s">
        <v>16</v>
      </c>
      <c r="G128" s="502" t="s">
        <v>32</v>
      </c>
      <c r="H128" s="594">
        <v>1</v>
      </c>
      <c r="I128" s="499" t="s">
        <v>15</v>
      </c>
      <c r="J128" s="5"/>
      <c r="K128" s="5"/>
      <c r="L128" s="5"/>
      <c r="M128" s="5"/>
    </row>
    <row r="129" spans="1:13" ht="15.75">
      <c r="A129" s="18"/>
      <c r="B129" s="19"/>
      <c r="C129" s="18"/>
      <c r="D129" s="42" t="s">
        <v>76</v>
      </c>
      <c r="E129" s="42"/>
      <c r="F129" s="41" t="s">
        <v>16</v>
      </c>
      <c r="G129" s="502" t="s">
        <v>32</v>
      </c>
      <c r="H129" s="594">
        <v>1</v>
      </c>
      <c r="I129" s="499" t="s">
        <v>15</v>
      </c>
      <c r="J129" s="5"/>
      <c r="K129" s="5"/>
      <c r="L129" s="5"/>
      <c r="M129" s="5"/>
    </row>
    <row r="130" spans="1:13" ht="15.75">
      <c r="A130" s="18"/>
      <c r="B130" s="19"/>
      <c r="C130" s="18"/>
      <c r="D130" s="42" t="s">
        <v>77</v>
      </c>
      <c r="E130" s="42"/>
      <c r="F130" s="41" t="s">
        <v>16</v>
      </c>
      <c r="G130" s="502" t="s">
        <v>32</v>
      </c>
      <c r="H130" s="594">
        <v>1</v>
      </c>
      <c r="I130" s="499" t="s">
        <v>15</v>
      </c>
      <c r="J130" s="5"/>
      <c r="K130" s="5"/>
      <c r="L130" s="5"/>
      <c r="M130" s="5"/>
    </row>
    <row r="131" spans="1:13" ht="15.75">
      <c r="A131" s="18"/>
      <c r="B131" s="19"/>
      <c r="C131" s="18"/>
      <c r="D131" s="42" t="s">
        <v>78</v>
      </c>
      <c r="E131" s="42"/>
      <c r="F131" s="41" t="s">
        <v>16</v>
      </c>
      <c r="G131" s="502" t="s">
        <v>32</v>
      </c>
      <c r="H131" s="594">
        <v>1</v>
      </c>
      <c r="I131" s="499" t="s">
        <v>15</v>
      </c>
      <c r="J131" s="5"/>
      <c r="K131" s="5"/>
      <c r="L131" s="5"/>
      <c r="M131" s="5"/>
    </row>
    <row r="132" spans="1:13" ht="15.75">
      <c r="A132" s="18"/>
      <c r="B132" s="19"/>
      <c r="C132" s="18"/>
      <c r="D132" s="42" t="s">
        <v>79</v>
      </c>
      <c r="E132" s="42"/>
      <c r="F132" s="41" t="s">
        <v>16</v>
      </c>
      <c r="G132" s="502" t="s">
        <v>32</v>
      </c>
      <c r="H132" s="594">
        <v>1</v>
      </c>
      <c r="I132" s="499" t="s">
        <v>15</v>
      </c>
      <c r="J132" s="5"/>
      <c r="K132" s="5"/>
      <c r="L132" s="5"/>
      <c r="M132" s="5"/>
    </row>
    <row r="133" spans="1:13" ht="15.75">
      <c r="A133" s="18"/>
      <c r="B133" s="19"/>
      <c r="C133" s="18"/>
      <c r="D133" s="42" t="s">
        <v>80</v>
      </c>
      <c r="E133" s="42"/>
      <c r="F133" s="41" t="s">
        <v>16</v>
      </c>
      <c r="G133" s="502" t="s">
        <v>32</v>
      </c>
      <c r="H133" s="594">
        <v>1</v>
      </c>
      <c r="I133" s="499" t="s">
        <v>15</v>
      </c>
      <c r="J133" s="5"/>
      <c r="K133" s="5"/>
      <c r="L133" s="5"/>
      <c r="M133" s="5"/>
    </row>
    <row r="134" spans="1:13" ht="15.75">
      <c r="A134" s="18"/>
      <c r="B134" s="19"/>
      <c r="C134" s="18"/>
      <c r="D134" s="42" t="s">
        <v>81</v>
      </c>
      <c r="E134" s="42"/>
      <c r="F134" s="41" t="s">
        <v>16</v>
      </c>
      <c r="G134" s="502" t="s">
        <v>32</v>
      </c>
      <c r="H134" s="594">
        <v>1</v>
      </c>
      <c r="I134" s="499" t="s">
        <v>15</v>
      </c>
      <c r="J134" s="5"/>
      <c r="K134" s="5"/>
      <c r="L134" s="5"/>
      <c r="M134" s="5"/>
    </row>
    <row r="135" spans="1:13" ht="15.75">
      <c r="A135" s="18"/>
      <c r="B135" s="19"/>
      <c r="C135" s="18"/>
      <c r="D135" s="42" t="s">
        <v>82</v>
      </c>
      <c r="E135" s="42"/>
      <c r="F135" s="41" t="s">
        <v>16</v>
      </c>
      <c r="G135" s="502" t="s">
        <v>32</v>
      </c>
      <c r="H135" s="594">
        <v>1</v>
      </c>
      <c r="I135" s="499" t="s">
        <v>15</v>
      </c>
      <c r="J135" s="5"/>
      <c r="K135" s="5"/>
      <c r="L135" s="5"/>
      <c r="M135" s="5"/>
    </row>
    <row r="136" spans="1:13" ht="15.75">
      <c r="A136" s="18"/>
      <c r="B136" s="19"/>
      <c r="C136" s="18"/>
      <c r="D136" s="39"/>
      <c r="E136" s="39"/>
      <c r="F136" s="30"/>
      <c r="G136" s="499"/>
      <c r="H136" s="499"/>
      <c r="I136" s="499"/>
      <c r="J136" s="5"/>
      <c r="K136" s="5"/>
      <c r="L136" s="5"/>
      <c r="M136" s="5"/>
    </row>
    <row r="137" spans="1:13" ht="15.75">
      <c r="A137" s="18"/>
      <c r="B137" s="19"/>
      <c r="C137" s="18"/>
      <c r="D137" s="39"/>
      <c r="E137" s="39"/>
      <c r="F137" s="47"/>
      <c r="G137" s="499"/>
      <c r="H137" s="499"/>
      <c r="I137" s="499"/>
      <c r="J137" s="5"/>
      <c r="K137" s="5"/>
      <c r="L137" s="5"/>
      <c r="M137" s="5"/>
    </row>
    <row r="138" spans="1:13" ht="15.75">
      <c r="A138" s="18"/>
      <c r="B138" s="38"/>
      <c r="C138" s="18"/>
      <c r="D138" s="39"/>
      <c r="E138" s="39"/>
      <c r="F138" s="30"/>
      <c r="G138" s="499"/>
      <c r="H138" s="499"/>
      <c r="I138" s="499"/>
      <c r="J138" s="5"/>
      <c r="K138" s="5"/>
      <c r="L138" s="5"/>
      <c r="M138" s="5"/>
    </row>
    <row r="139" spans="1:13" ht="15.75">
      <c r="A139" s="44"/>
      <c r="B139" s="44"/>
      <c r="C139" s="44"/>
      <c r="D139" s="16" t="s">
        <v>86</v>
      </c>
      <c r="E139" s="16"/>
      <c r="F139" s="44"/>
      <c r="G139" s="45"/>
      <c r="H139" s="45"/>
      <c r="I139" s="45"/>
      <c r="J139" s="5"/>
      <c r="K139" s="5"/>
      <c r="L139" s="5"/>
      <c r="M139" s="5"/>
    </row>
    <row r="140" spans="1:13" ht="15.75">
      <c r="A140" s="18"/>
      <c r="B140" s="19"/>
      <c r="C140" s="18"/>
      <c r="D140" s="18"/>
      <c r="E140" s="18"/>
      <c r="F140" s="30"/>
      <c r="G140" s="499"/>
      <c r="H140" s="499"/>
      <c r="I140" s="499"/>
      <c r="J140" s="5"/>
      <c r="K140" s="5"/>
      <c r="L140" s="5"/>
      <c r="M140" s="5"/>
    </row>
    <row r="141" spans="1:13" ht="15.75">
      <c r="A141" s="18"/>
      <c r="B141" s="19"/>
      <c r="C141" s="18"/>
      <c r="D141" s="48" t="s">
        <v>87</v>
      </c>
      <c r="E141" s="48" t="s">
        <v>88</v>
      </c>
      <c r="F141" s="24" t="s">
        <v>35</v>
      </c>
      <c r="G141" s="502" t="s">
        <v>32</v>
      </c>
      <c r="H141" s="502"/>
      <c r="I141" s="499" t="s">
        <v>15</v>
      </c>
      <c r="J141" s="5"/>
      <c r="K141" s="5"/>
      <c r="L141" s="5"/>
      <c r="M141" s="5"/>
    </row>
    <row r="142" spans="1:13" ht="15.75">
      <c r="A142" s="18"/>
      <c r="B142" s="19"/>
      <c r="C142" s="18"/>
      <c r="D142" s="48" t="s">
        <v>87</v>
      </c>
      <c r="E142" s="48" t="s">
        <v>89</v>
      </c>
      <c r="F142" s="24" t="s">
        <v>35</v>
      </c>
      <c r="G142" s="502" t="s">
        <v>32</v>
      </c>
      <c r="H142" s="502"/>
      <c r="I142" s="499" t="s">
        <v>15</v>
      </c>
      <c r="J142" s="5"/>
      <c r="K142" s="5"/>
      <c r="L142" s="5"/>
      <c r="M142" s="5"/>
    </row>
    <row r="143" spans="1:13" ht="15.75">
      <c r="A143" s="18"/>
      <c r="B143" s="19"/>
      <c r="C143" s="18"/>
      <c r="D143" s="48" t="s">
        <v>87</v>
      </c>
      <c r="E143" s="48" t="s">
        <v>90</v>
      </c>
      <c r="F143" s="24" t="s">
        <v>35</v>
      </c>
      <c r="G143" s="502" t="s">
        <v>32</v>
      </c>
      <c r="H143" s="502"/>
      <c r="I143" s="499" t="s">
        <v>15</v>
      </c>
      <c r="J143" s="5"/>
      <c r="K143" s="5"/>
      <c r="L143" s="5"/>
      <c r="M143" s="5"/>
    </row>
    <row r="144" spans="1:13" ht="15.75">
      <c r="A144" s="18"/>
      <c r="B144" s="19"/>
      <c r="C144" s="18"/>
      <c r="D144" s="48" t="s">
        <v>87</v>
      </c>
      <c r="E144" s="48" t="s">
        <v>91</v>
      </c>
      <c r="F144" s="24" t="s">
        <v>35</v>
      </c>
      <c r="G144" s="502" t="s">
        <v>32</v>
      </c>
      <c r="H144" s="502"/>
      <c r="I144" s="499" t="s">
        <v>15</v>
      </c>
      <c r="J144" s="5"/>
      <c r="K144" s="5"/>
      <c r="L144" s="5"/>
      <c r="M144" s="5"/>
    </row>
    <row r="145" spans="1:13" ht="15.75">
      <c r="A145" s="18"/>
      <c r="B145" s="19"/>
      <c r="C145" s="18"/>
      <c r="D145" s="48" t="s">
        <v>87</v>
      </c>
      <c r="E145" s="48" t="s">
        <v>92</v>
      </c>
      <c r="F145" s="24" t="s">
        <v>35</v>
      </c>
      <c r="G145" s="502" t="s">
        <v>32</v>
      </c>
      <c r="H145" s="502"/>
      <c r="I145" s="499" t="s">
        <v>15</v>
      </c>
      <c r="J145" s="5"/>
      <c r="K145" s="5"/>
      <c r="L145" s="5"/>
      <c r="M145" s="5"/>
    </row>
    <row r="146" spans="1:13" ht="15.75">
      <c r="A146" s="18"/>
      <c r="B146" s="19"/>
      <c r="C146" s="18"/>
      <c r="D146" s="49" t="s">
        <v>93</v>
      </c>
      <c r="E146" s="48"/>
      <c r="F146" s="50" t="s">
        <v>94</v>
      </c>
      <c r="G146" s="502" t="s">
        <v>32</v>
      </c>
      <c r="H146" s="594">
        <v>1</v>
      </c>
      <c r="I146" s="499" t="s">
        <v>15</v>
      </c>
      <c r="J146" s="5"/>
      <c r="K146" s="5"/>
      <c r="L146" s="5"/>
      <c r="M146" s="5"/>
    </row>
    <row r="147" spans="1:13" ht="15.75">
      <c r="A147" s="18"/>
      <c r="B147" s="19"/>
      <c r="C147" s="18"/>
      <c r="D147" s="49" t="s">
        <v>93</v>
      </c>
      <c r="E147" s="48"/>
      <c r="F147" s="50" t="s">
        <v>16</v>
      </c>
      <c r="G147" s="502" t="s">
        <v>32</v>
      </c>
      <c r="H147" s="594">
        <v>1</v>
      </c>
      <c r="I147" s="499" t="s">
        <v>15</v>
      </c>
      <c r="J147" s="5"/>
      <c r="K147" s="5"/>
      <c r="L147" s="5"/>
      <c r="M147" s="5"/>
    </row>
    <row r="148" spans="1:13" ht="15.75">
      <c r="A148" s="18"/>
      <c r="B148" s="38"/>
      <c r="C148" s="18"/>
      <c r="D148" s="18"/>
      <c r="E148" s="18"/>
      <c r="F148" s="30"/>
      <c r="G148" s="499"/>
      <c r="H148" s="499"/>
      <c r="I148" s="499"/>
      <c r="J148" s="5"/>
      <c r="K148" s="5"/>
      <c r="L148" s="5"/>
      <c r="M148" s="5"/>
    </row>
    <row r="149" spans="1:13" ht="15.75">
      <c r="A149" s="44"/>
      <c r="B149" s="44"/>
      <c r="C149" s="44"/>
      <c r="D149" s="16" t="s">
        <v>95</v>
      </c>
      <c r="E149" s="16"/>
      <c r="F149" s="45"/>
      <c r="G149" s="45"/>
      <c r="H149" s="45"/>
      <c r="I149" s="44"/>
      <c r="J149" s="5"/>
      <c r="K149" s="5"/>
      <c r="L149" s="5"/>
      <c r="M149" s="5"/>
    </row>
    <row r="150" spans="1:13" ht="15.75">
      <c r="A150" s="18"/>
      <c r="B150" s="19"/>
      <c r="C150" s="18"/>
      <c r="D150" s="18"/>
      <c r="E150" s="18"/>
      <c r="F150" s="30"/>
      <c r="G150" s="18"/>
      <c r="H150" s="18"/>
      <c r="I150" s="18"/>
      <c r="J150" s="5"/>
      <c r="K150" s="5"/>
      <c r="L150" s="5"/>
      <c r="M150" s="5"/>
    </row>
    <row r="151" spans="1:13" ht="15.75">
      <c r="A151" s="18"/>
      <c r="B151" s="19"/>
      <c r="C151" s="18"/>
      <c r="D151" s="42" t="s">
        <v>96</v>
      </c>
      <c r="E151" s="42"/>
      <c r="F151" s="41"/>
      <c r="G151" s="501" t="s">
        <v>14</v>
      </c>
      <c r="H151" s="594">
        <v>1</v>
      </c>
      <c r="I151" s="499" t="s">
        <v>15</v>
      </c>
      <c r="J151" s="5"/>
      <c r="K151" s="5"/>
      <c r="L151" s="5"/>
      <c r="M151" s="5"/>
    </row>
    <row r="152" spans="1:13" ht="15.75">
      <c r="A152" s="18"/>
      <c r="B152" s="19"/>
      <c r="C152" s="18"/>
      <c r="D152" s="42" t="s">
        <v>97</v>
      </c>
      <c r="E152" s="42"/>
      <c r="F152" s="41"/>
      <c r="G152" s="501" t="s">
        <v>14</v>
      </c>
      <c r="H152" s="594">
        <v>1</v>
      </c>
      <c r="I152" s="499" t="s">
        <v>15</v>
      </c>
      <c r="J152" s="5"/>
      <c r="K152" s="5"/>
      <c r="L152" s="5"/>
      <c r="M152" s="5"/>
    </row>
    <row r="153" spans="1:13" ht="15.75">
      <c r="A153" s="18"/>
      <c r="B153" s="19"/>
      <c r="C153" s="18"/>
      <c r="D153" s="42" t="s">
        <v>98</v>
      </c>
      <c r="E153" s="42"/>
      <c r="F153" s="41"/>
      <c r="G153" s="501" t="s">
        <v>14</v>
      </c>
      <c r="H153" s="594">
        <v>1</v>
      </c>
      <c r="I153" s="499" t="s">
        <v>15</v>
      </c>
      <c r="J153" s="5"/>
      <c r="K153" s="5"/>
      <c r="L153" s="5"/>
      <c r="M153" s="5"/>
    </row>
    <row r="154" spans="1:13" ht="15.75">
      <c r="A154" s="18"/>
      <c r="B154" s="19"/>
      <c r="C154" s="18"/>
      <c r="D154" s="42" t="s">
        <v>99</v>
      </c>
      <c r="E154" s="42"/>
      <c r="F154" s="41"/>
      <c r="G154" s="501" t="s">
        <v>14</v>
      </c>
      <c r="H154" s="594">
        <v>1</v>
      </c>
      <c r="I154" s="499" t="s">
        <v>15</v>
      </c>
      <c r="J154" s="5"/>
      <c r="K154" s="5"/>
      <c r="L154" s="5"/>
      <c r="M154" s="5"/>
    </row>
    <row r="155" spans="1:13" ht="15.75">
      <c r="A155" s="18"/>
      <c r="B155" s="19"/>
      <c r="C155" s="18"/>
      <c r="D155" s="42" t="s">
        <v>100</v>
      </c>
      <c r="E155" s="42"/>
      <c r="F155" s="41"/>
      <c r="G155" s="501" t="s">
        <v>14</v>
      </c>
      <c r="H155" s="594">
        <v>1</v>
      </c>
      <c r="I155" s="499" t="s">
        <v>15</v>
      </c>
      <c r="J155" s="5"/>
      <c r="K155" s="5"/>
      <c r="L155" s="5"/>
      <c r="M155" s="25"/>
    </row>
    <row r="156" spans="1:13" ht="15.75">
      <c r="A156" s="18"/>
      <c r="B156" s="19"/>
      <c r="C156" s="18"/>
      <c r="D156" s="42" t="s">
        <v>101</v>
      </c>
      <c r="E156" s="42"/>
      <c r="F156" s="41"/>
      <c r="G156" s="501" t="s">
        <v>14</v>
      </c>
      <c r="H156" s="594">
        <v>1</v>
      </c>
      <c r="I156" s="499" t="s">
        <v>15</v>
      </c>
      <c r="J156" s="5"/>
      <c r="K156" s="5"/>
      <c r="L156" s="5"/>
      <c r="M156" s="5"/>
    </row>
    <row r="157" spans="1:13" ht="15.75">
      <c r="A157" s="18"/>
      <c r="B157" s="19"/>
      <c r="C157" s="18"/>
      <c r="D157" s="42" t="s">
        <v>102</v>
      </c>
      <c r="E157" s="42"/>
      <c r="F157" s="41"/>
      <c r="G157" s="501" t="s">
        <v>14</v>
      </c>
      <c r="H157" s="594">
        <v>1</v>
      </c>
      <c r="I157" s="499" t="s">
        <v>15</v>
      </c>
      <c r="J157" s="5"/>
      <c r="K157" s="5"/>
      <c r="L157" s="5"/>
      <c r="M157" s="5"/>
    </row>
    <row r="158" spans="1:13" ht="15.75">
      <c r="A158" s="18"/>
      <c r="B158" s="19"/>
      <c r="C158" s="18"/>
      <c r="D158" s="42" t="s">
        <v>103</v>
      </c>
      <c r="E158" s="42"/>
      <c r="F158" s="41"/>
      <c r="G158" s="501" t="s">
        <v>14</v>
      </c>
      <c r="H158" s="594">
        <v>1</v>
      </c>
      <c r="I158" s="499" t="s">
        <v>15</v>
      </c>
      <c r="J158" s="5"/>
      <c r="K158" s="5"/>
      <c r="L158" s="5"/>
      <c r="M158" s="5"/>
    </row>
    <row r="159" spans="1:13" ht="15.75">
      <c r="A159" s="18"/>
      <c r="B159" s="19"/>
      <c r="C159" s="18"/>
      <c r="D159" s="18"/>
      <c r="E159" s="18"/>
      <c r="F159" s="30"/>
      <c r="G159" s="51"/>
      <c r="H159" s="51"/>
      <c r="I159" s="18"/>
      <c r="J159" s="5"/>
      <c r="K159" s="5"/>
      <c r="L159" s="5"/>
      <c r="M159" s="5"/>
    </row>
    <row r="160" spans="1:13" ht="15.75">
      <c r="A160" s="18"/>
      <c r="B160" s="19"/>
      <c r="C160" s="18"/>
      <c r="D160" s="42" t="s">
        <v>104</v>
      </c>
      <c r="E160" s="42"/>
      <c r="F160" s="41"/>
      <c r="G160" s="501" t="s">
        <v>14</v>
      </c>
      <c r="H160" s="594">
        <v>1</v>
      </c>
      <c r="I160" s="499" t="s">
        <v>105</v>
      </c>
      <c r="J160" s="5"/>
      <c r="K160" s="5"/>
      <c r="L160" s="5"/>
      <c r="M160" s="5"/>
    </row>
    <row r="161" spans="1:13" ht="15.75">
      <c r="A161" s="5"/>
      <c r="B161" s="27"/>
      <c r="C161" s="5"/>
      <c r="D161" s="42" t="s">
        <v>106</v>
      </c>
      <c r="E161" s="42"/>
      <c r="F161" s="41"/>
      <c r="G161" s="501" t="s">
        <v>14</v>
      </c>
      <c r="H161" s="594">
        <v>1</v>
      </c>
      <c r="I161" s="499" t="s">
        <v>105</v>
      </c>
      <c r="J161" s="5"/>
      <c r="K161" s="5"/>
      <c r="L161" s="5"/>
      <c r="M161" s="25"/>
    </row>
    <row r="162" spans="1:13" ht="15.75">
      <c r="A162" s="5"/>
      <c r="B162" s="27"/>
      <c r="C162" s="5"/>
      <c r="D162" s="42" t="s">
        <v>107</v>
      </c>
      <c r="E162" s="42"/>
      <c r="F162" s="41"/>
      <c r="G162" s="501" t="s">
        <v>14</v>
      </c>
      <c r="H162" s="594">
        <v>1</v>
      </c>
      <c r="I162" s="499" t="s">
        <v>105</v>
      </c>
      <c r="J162" s="5"/>
      <c r="K162" s="5"/>
      <c r="L162" s="5"/>
      <c r="M162" s="25"/>
    </row>
    <row r="163" spans="1:13" ht="15.75">
      <c r="A163" s="5"/>
      <c r="B163" s="27"/>
      <c r="C163" s="5"/>
      <c r="D163" s="42" t="s">
        <v>108</v>
      </c>
      <c r="E163" s="42"/>
      <c r="F163" s="41"/>
      <c r="G163" s="501" t="s">
        <v>14</v>
      </c>
      <c r="H163" s="594">
        <v>1</v>
      </c>
      <c r="I163" s="499" t="s">
        <v>105</v>
      </c>
      <c r="J163" s="5"/>
      <c r="K163" s="5"/>
      <c r="L163" s="5"/>
      <c r="M163" s="25"/>
    </row>
    <row r="164" spans="1:13" ht="15.75">
      <c r="A164" s="5"/>
      <c r="B164" s="27"/>
      <c r="C164" s="5"/>
      <c r="D164" s="42" t="s">
        <v>109</v>
      </c>
      <c r="E164" s="42"/>
      <c r="F164" s="41"/>
      <c r="G164" s="501" t="s">
        <v>14</v>
      </c>
      <c r="H164" s="594">
        <v>1</v>
      </c>
      <c r="I164" s="499" t="s">
        <v>105</v>
      </c>
      <c r="J164" s="5"/>
      <c r="K164" s="5"/>
      <c r="L164" s="5"/>
      <c r="M164" s="5"/>
    </row>
    <row r="165" spans="1:13" ht="15.75">
      <c r="A165" s="5"/>
      <c r="B165" s="27"/>
      <c r="C165" s="5"/>
      <c r="D165" s="42" t="s">
        <v>110</v>
      </c>
      <c r="E165" s="42"/>
      <c r="F165" s="41"/>
      <c r="G165" s="501" t="s">
        <v>14</v>
      </c>
      <c r="H165" s="594">
        <v>1</v>
      </c>
      <c r="I165" s="499" t="s">
        <v>105</v>
      </c>
      <c r="J165" s="5"/>
      <c r="K165" s="5"/>
      <c r="L165" s="5"/>
      <c r="M165" s="5"/>
    </row>
    <row r="166" spans="1:13" ht="15.75">
      <c r="A166" s="5"/>
      <c r="B166" s="27"/>
      <c r="C166" s="5"/>
      <c r="D166" s="42" t="s">
        <v>111</v>
      </c>
      <c r="E166" s="42"/>
      <c r="F166" s="41"/>
      <c r="G166" s="501" t="s">
        <v>14</v>
      </c>
      <c r="H166" s="594">
        <v>1</v>
      </c>
      <c r="I166" s="499" t="s">
        <v>105</v>
      </c>
      <c r="J166" s="5"/>
      <c r="K166" s="5"/>
      <c r="L166" s="5"/>
      <c r="M166" s="5"/>
    </row>
    <row r="167" spans="1:13" ht="15.75">
      <c r="A167" s="5"/>
      <c r="B167" s="27"/>
      <c r="C167" s="5"/>
      <c r="D167" s="18"/>
      <c r="E167" s="18"/>
      <c r="F167" s="30"/>
      <c r="G167" s="52"/>
      <c r="H167" s="51"/>
      <c r="I167" s="18"/>
      <c r="J167" s="5"/>
      <c r="K167" s="5"/>
      <c r="L167" s="5"/>
      <c r="M167" s="5"/>
    </row>
    <row r="168" spans="1:13" ht="15.75">
      <c r="A168" s="5"/>
      <c r="B168" s="27"/>
      <c r="C168" s="5"/>
      <c r="D168" s="42" t="s">
        <v>112</v>
      </c>
      <c r="E168" s="42"/>
      <c r="F168" s="41"/>
      <c r="G168" s="501" t="s">
        <v>14</v>
      </c>
      <c r="H168" s="594">
        <v>1</v>
      </c>
      <c r="I168" s="499" t="s">
        <v>105</v>
      </c>
      <c r="J168" s="5"/>
      <c r="K168" s="5"/>
      <c r="L168" s="5"/>
      <c r="M168" s="5"/>
    </row>
    <row r="169" spans="1:13" ht="15.75">
      <c r="A169" s="5"/>
      <c r="B169" s="27"/>
      <c r="C169" s="5"/>
      <c r="D169" s="42" t="s">
        <v>113</v>
      </c>
      <c r="E169" s="42"/>
      <c r="F169" s="41"/>
      <c r="G169" s="501" t="s">
        <v>14</v>
      </c>
      <c r="H169" s="594">
        <v>1</v>
      </c>
      <c r="I169" s="499" t="s">
        <v>105</v>
      </c>
      <c r="J169" s="5"/>
      <c r="K169" s="5"/>
      <c r="L169" s="5"/>
      <c r="M169" s="5"/>
    </row>
    <row r="170" spans="1:13" ht="15.75">
      <c r="A170" s="5"/>
      <c r="B170" s="27"/>
      <c r="C170" s="5"/>
      <c r="D170" s="42" t="s">
        <v>114</v>
      </c>
      <c r="E170" s="42"/>
      <c r="F170" s="41"/>
      <c r="G170" s="501" t="s">
        <v>14</v>
      </c>
      <c r="H170" s="594">
        <v>1</v>
      </c>
      <c r="I170" s="499" t="s">
        <v>105</v>
      </c>
      <c r="J170" s="5"/>
      <c r="K170" s="5"/>
      <c r="L170" s="5"/>
      <c r="M170" s="5"/>
    </row>
    <row r="171" spans="1:13" ht="15.75">
      <c r="A171" s="5"/>
      <c r="B171" s="27"/>
      <c r="C171" s="5"/>
      <c r="D171" s="42" t="s">
        <v>115</v>
      </c>
      <c r="E171" s="42"/>
      <c r="F171" s="41"/>
      <c r="G171" s="501" t="s">
        <v>14</v>
      </c>
      <c r="H171" s="594">
        <v>1</v>
      </c>
      <c r="I171" s="499" t="s">
        <v>105</v>
      </c>
      <c r="J171" s="5"/>
      <c r="K171" s="5"/>
      <c r="L171" s="5"/>
      <c r="M171" s="5"/>
    </row>
    <row r="172" spans="1:13" ht="15.75">
      <c r="A172" s="5"/>
      <c r="B172" s="27"/>
      <c r="C172" s="5"/>
      <c r="D172" s="42" t="s">
        <v>116</v>
      </c>
      <c r="E172" s="42"/>
      <c r="F172" s="41"/>
      <c r="G172" s="501" t="s">
        <v>14</v>
      </c>
      <c r="H172" s="594">
        <v>1</v>
      </c>
      <c r="I172" s="499" t="s">
        <v>105</v>
      </c>
      <c r="J172" s="5"/>
      <c r="K172" s="5"/>
      <c r="L172" s="5"/>
      <c r="M172" s="5"/>
    </row>
    <row r="173" spans="1:13" ht="15.75">
      <c r="A173" s="5"/>
      <c r="B173" s="27"/>
      <c r="C173" s="5"/>
      <c r="D173" s="42" t="s">
        <v>117</v>
      </c>
      <c r="E173" s="42"/>
      <c r="F173" s="41"/>
      <c r="G173" s="501" t="s">
        <v>14</v>
      </c>
      <c r="H173" s="594">
        <v>1</v>
      </c>
      <c r="I173" s="499" t="s">
        <v>105</v>
      </c>
      <c r="J173" s="5"/>
      <c r="K173" s="5"/>
      <c r="L173" s="5"/>
      <c r="M173" s="5"/>
    </row>
    <row r="174" spans="1:13" ht="15.75">
      <c r="A174" s="5"/>
      <c r="B174" s="27"/>
      <c r="C174" s="5"/>
      <c r="D174" s="42" t="s">
        <v>118</v>
      </c>
      <c r="E174" s="42"/>
      <c r="F174" s="41"/>
      <c r="G174" s="501" t="s">
        <v>14</v>
      </c>
      <c r="H174" s="594">
        <v>1</v>
      </c>
      <c r="I174" s="499" t="s">
        <v>105</v>
      </c>
      <c r="J174" s="5"/>
      <c r="K174" s="5"/>
      <c r="L174" s="5"/>
      <c r="M174" s="5"/>
    </row>
    <row r="175" spans="1:13" ht="15.75">
      <c r="A175" s="5"/>
      <c r="B175" s="27"/>
      <c r="C175" s="5"/>
      <c r="D175" s="18"/>
      <c r="E175" s="18"/>
      <c r="F175" s="30"/>
      <c r="G175" s="52"/>
      <c r="H175" s="51"/>
      <c r="I175" s="18"/>
      <c r="J175" s="5"/>
      <c r="K175" s="5"/>
      <c r="L175" s="5"/>
      <c r="M175" s="5"/>
    </row>
    <row r="176" spans="1:13" ht="15.75">
      <c r="A176" s="5"/>
      <c r="B176" s="27"/>
      <c r="C176" s="5"/>
      <c r="D176" s="42" t="s">
        <v>119</v>
      </c>
      <c r="E176" s="42"/>
      <c r="F176" s="41"/>
      <c r="G176" s="501" t="s">
        <v>14</v>
      </c>
      <c r="H176" s="594">
        <v>1</v>
      </c>
      <c r="I176" s="499" t="s">
        <v>105</v>
      </c>
      <c r="J176" s="5"/>
      <c r="K176" s="5"/>
      <c r="L176" s="5"/>
      <c r="M176" s="5"/>
    </row>
    <row r="177" spans="1:13" ht="15.75">
      <c r="A177" s="18"/>
      <c r="B177" s="19"/>
      <c r="C177" s="18"/>
      <c r="D177" s="42" t="s">
        <v>120</v>
      </c>
      <c r="E177" s="42"/>
      <c r="F177" s="41"/>
      <c r="G177" s="501" t="s">
        <v>14</v>
      </c>
      <c r="H177" s="594">
        <v>1</v>
      </c>
      <c r="I177" s="499" t="s">
        <v>105</v>
      </c>
      <c r="J177" s="5"/>
      <c r="K177" s="5"/>
      <c r="L177" s="5"/>
      <c r="M177" s="5"/>
    </row>
    <row r="178" spans="1:13" ht="15.75">
      <c r="A178" s="18"/>
      <c r="B178" s="19"/>
      <c r="C178" s="18"/>
      <c r="D178" s="42" t="s">
        <v>121</v>
      </c>
      <c r="E178" s="42"/>
      <c r="F178" s="41"/>
      <c r="G178" s="501" t="s">
        <v>14</v>
      </c>
      <c r="H178" s="594">
        <v>1</v>
      </c>
      <c r="I178" s="499" t="s">
        <v>105</v>
      </c>
      <c r="J178" s="5"/>
      <c r="K178" s="5"/>
      <c r="L178" s="5"/>
      <c r="M178" s="5"/>
    </row>
    <row r="179" spans="1:13" ht="15.75">
      <c r="A179" s="18"/>
      <c r="B179" s="19"/>
      <c r="C179" s="18"/>
      <c r="D179" s="42" t="s">
        <v>122</v>
      </c>
      <c r="E179" s="42"/>
      <c r="F179" s="41"/>
      <c r="G179" s="501" t="s">
        <v>14</v>
      </c>
      <c r="H179" s="594">
        <v>1</v>
      </c>
      <c r="I179" s="499" t="s">
        <v>105</v>
      </c>
      <c r="J179" s="5"/>
      <c r="K179" s="5"/>
      <c r="L179" s="5"/>
      <c r="M179" s="5"/>
    </row>
    <row r="180" spans="1:13" ht="15.75">
      <c r="A180" s="18"/>
      <c r="B180" s="19"/>
      <c r="C180" s="18"/>
      <c r="D180" s="42" t="s">
        <v>123</v>
      </c>
      <c r="E180" s="42"/>
      <c r="F180" s="41"/>
      <c r="G180" s="501" t="s">
        <v>14</v>
      </c>
      <c r="H180" s="594">
        <v>1</v>
      </c>
      <c r="I180" s="499" t="s">
        <v>105</v>
      </c>
      <c r="J180" s="5"/>
      <c r="K180" s="5"/>
      <c r="L180" s="5"/>
      <c r="M180" s="5"/>
    </row>
    <row r="181" spans="1:13" ht="15.75">
      <c r="A181" s="18"/>
      <c r="B181" s="19"/>
      <c r="C181" s="18"/>
      <c r="D181" s="42" t="s">
        <v>124</v>
      </c>
      <c r="E181" s="42"/>
      <c r="F181" s="41"/>
      <c r="G181" s="501" t="s">
        <v>14</v>
      </c>
      <c r="H181" s="594">
        <v>1</v>
      </c>
      <c r="I181" s="499" t="s">
        <v>105</v>
      </c>
      <c r="J181" s="5"/>
      <c r="K181" s="5"/>
      <c r="L181" s="5"/>
      <c r="M181" s="5"/>
    </row>
    <row r="182" spans="1:13" ht="15.75">
      <c r="A182" s="18"/>
      <c r="B182" s="19"/>
      <c r="C182" s="18"/>
      <c r="D182" s="42" t="s">
        <v>125</v>
      </c>
      <c r="E182" s="42"/>
      <c r="F182" s="41"/>
      <c r="G182" s="501" t="s">
        <v>14</v>
      </c>
      <c r="H182" s="594">
        <v>1</v>
      </c>
      <c r="I182" s="499" t="s">
        <v>105</v>
      </c>
      <c r="J182" s="5"/>
      <c r="K182" s="5"/>
      <c r="L182" s="5"/>
      <c r="M182" s="5"/>
    </row>
    <row r="183" spans="1:13" ht="15.75">
      <c r="A183" s="18"/>
      <c r="B183" s="38"/>
      <c r="C183" s="18"/>
      <c r="D183" s="18"/>
      <c r="E183" s="18"/>
      <c r="F183" s="30"/>
      <c r="G183" s="18"/>
      <c r="H183" s="18"/>
      <c r="I183" s="18"/>
      <c r="J183" s="5"/>
      <c r="K183" s="5"/>
      <c r="L183" s="5"/>
      <c r="M183" s="5"/>
    </row>
    <row r="184" spans="1:13" ht="15.75">
      <c r="A184" s="44"/>
      <c r="B184" s="44"/>
      <c r="C184" s="44"/>
      <c r="D184" s="16" t="s">
        <v>126</v>
      </c>
      <c r="E184" s="16"/>
      <c r="F184" s="44"/>
      <c r="G184" s="45"/>
      <c r="H184" s="45"/>
      <c r="I184" s="45"/>
      <c r="J184" s="5"/>
      <c r="K184" s="5"/>
      <c r="L184" s="5"/>
      <c r="M184" s="5"/>
    </row>
    <row r="185" spans="1:13" ht="15.75">
      <c r="A185" s="18"/>
      <c r="B185" s="19"/>
      <c r="C185" s="18"/>
      <c r="D185" s="39"/>
      <c r="E185" s="39"/>
      <c r="F185" s="30"/>
      <c r="G185" s="499"/>
      <c r="H185" s="499"/>
      <c r="I185" s="499"/>
      <c r="J185" s="5"/>
      <c r="K185" s="5"/>
      <c r="L185" s="5"/>
      <c r="M185" s="5"/>
    </row>
    <row r="186" spans="1:13" ht="15.75">
      <c r="A186" s="18"/>
      <c r="B186" s="19"/>
      <c r="C186" s="18"/>
      <c r="D186" s="42" t="s">
        <v>127</v>
      </c>
      <c r="E186" s="42"/>
      <c r="F186" s="43"/>
      <c r="G186" s="501" t="s">
        <v>14</v>
      </c>
      <c r="H186" s="591">
        <v>1</v>
      </c>
      <c r="I186" s="499" t="s">
        <v>15</v>
      </c>
      <c r="J186" s="5"/>
      <c r="K186" s="5"/>
      <c r="L186" s="5"/>
      <c r="M186" s="5"/>
    </row>
    <row r="187" spans="1:13" ht="15.75">
      <c r="A187" s="18"/>
      <c r="B187" s="19"/>
      <c r="C187" s="18"/>
      <c r="D187" s="42" t="s">
        <v>128</v>
      </c>
      <c r="E187" s="42"/>
      <c r="F187" s="43"/>
      <c r="G187" s="501" t="s">
        <v>14</v>
      </c>
      <c r="H187" s="591">
        <v>1</v>
      </c>
      <c r="I187" s="499" t="s">
        <v>15</v>
      </c>
      <c r="J187" s="5"/>
      <c r="K187" s="5"/>
      <c r="L187" s="5"/>
      <c r="M187" s="5"/>
    </row>
    <row r="188" spans="1:13" ht="15.75">
      <c r="A188" s="18"/>
      <c r="B188" s="19"/>
      <c r="C188" s="18"/>
      <c r="D188" s="39"/>
      <c r="E188" s="39"/>
      <c r="F188" s="30"/>
      <c r="G188" s="499"/>
      <c r="H188" s="499"/>
      <c r="I188" s="499"/>
      <c r="J188" s="5"/>
      <c r="K188" s="5"/>
      <c r="L188" s="5"/>
      <c r="M188" s="5"/>
    </row>
    <row r="189" spans="1:13" ht="15.75">
      <c r="A189" s="18"/>
      <c r="B189" s="19"/>
      <c r="C189" s="18"/>
      <c r="D189" s="42" t="s">
        <v>127</v>
      </c>
      <c r="E189" s="42"/>
      <c r="F189" s="43"/>
      <c r="G189" s="26" t="s">
        <v>25</v>
      </c>
      <c r="H189" s="594">
        <v>1</v>
      </c>
      <c r="I189" s="499" t="s">
        <v>15</v>
      </c>
      <c r="J189" s="5"/>
      <c r="K189" s="5"/>
      <c r="L189" s="5"/>
      <c r="M189" s="5"/>
    </row>
    <row r="190" spans="1:13" ht="15.75">
      <c r="A190" s="18"/>
      <c r="B190" s="19"/>
      <c r="C190" s="18"/>
      <c r="D190" s="42" t="s">
        <v>128</v>
      </c>
      <c r="E190" s="42"/>
      <c r="F190" s="43"/>
      <c r="G190" s="26" t="s">
        <v>25</v>
      </c>
      <c r="H190" s="594">
        <v>1</v>
      </c>
      <c r="I190" s="499" t="s">
        <v>15</v>
      </c>
      <c r="J190" s="5"/>
      <c r="K190" s="5"/>
      <c r="L190" s="5"/>
      <c r="M190" s="5"/>
    </row>
    <row r="191" spans="1:13" ht="15.75">
      <c r="A191" s="18"/>
      <c r="B191" s="19"/>
      <c r="C191" s="18"/>
      <c r="D191" s="39"/>
      <c r="E191" s="39"/>
      <c r="F191" s="30"/>
      <c r="G191" s="499"/>
      <c r="H191" s="499"/>
      <c r="I191" s="499"/>
      <c r="J191" s="5"/>
      <c r="K191" s="5"/>
      <c r="L191" s="5"/>
      <c r="M191" s="5"/>
    </row>
    <row r="192" spans="1:13" ht="15.75">
      <c r="A192" s="18"/>
      <c r="B192" s="19"/>
      <c r="C192" s="18"/>
      <c r="D192" s="42" t="s">
        <v>129</v>
      </c>
      <c r="E192" s="42"/>
      <c r="F192" s="43"/>
      <c r="G192" s="502" t="s">
        <v>32</v>
      </c>
      <c r="H192" s="594">
        <v>1</v>
      </c>
      <c r="I192" s="499" t="s">
        <v>15</v>
      </c>
      <c r="J192" s="5"/>
      <c r="K192" s="5"/>
      <c r="L192" s="5"/>
      <c r="M192" s="5"/>
    </row>
    <row r="193" spans="1:14" ht="15.75">
      <c r="A193" s="18"/>
      <c r="B193" s="19"/>
      <c r="C193" s="18"/>
      <c r="D193" s="42" t="s">
        <v>130</v>
      </c>
      <c r="E193" s="42"/>
      <c r="F193" s="43"/>
      <c r="G193" s="502" t="s">
        <v>32</v>
      </c>
      <c r="H193" s="594">
        <v>1</v>
      </c>
      <c r="I193" s="499" t="s">
        <v>15</v>
      </c>
      <c r="J193" s="5"/>
      <c r="K193" s="5"/>
      <c r="L193" s="5"/>
      <c r="M193" s="5"/>
    </row>
    <row r="194" spans="1:14" ht="15.75">
      <c r="A194" s="18"/>
      <c r="B194" s="38"/>
      <c r="C194" s="18"/>
      <c r="D194" s="39"/>
      <c r="E194" s="39"/>
      <c r="F194" s="30"/>
      <c r="G194" s="499"/>
      <c r="H194" s="499"/>
      <c r="I194" s="499"/>
      <c r="J194" s="5"/>
      <c r="K194" s="5"/>
      <c r="L194" s="5"/>
      <c r="M194" s="5"/>
    </row>
    <row r="195" spans="1:14" ht="15.75">
      <c r="A195" s="44"/>
      <c r="B195" s="44"/>
      <c r="C195" s="44"/>
      <c r="D195" s="16" t="s">
        <v>131</v>
      </c>
      <c r="E195" s="16"/>
      <c r="F195" s="44"/>
      <c r="G195" s="45"/>
      <c r="H195" s="45"/>
      <c r="I195" s="45"/>
      <c r="J195" s="5"/>
      <c r="K195" s="5"/>
      <c r="L195" s="5"/>
      <c r="M195" s="5"/>
    </row>
    <row r="196" spans="1:14" ht="15.75">
      <c r="A196" s="18"/>
      <c r="B196" s="19"/>
      <c r="C196" s="18"/>
      <c r="D196" s="39"/>
      <c r="E196" s="39"/>
      <c r="F196" s="30"/>
      <c r="G196" s="499"/>
      <c r="H196" s="499"/>
      <c r="I196" s="499"/>
      <c r="J196" s="5"/>
      <c r="K196" s="5"/>
      <c r="L196" s="5"/>
      <c r="M196" s="5"/>
    </row>
    <row r="197" spans="1:14" ht="15.75">
      <c r="A197" s="18"/>
      <c r="B197" s="19"/>
      <c r="C197" s="18"/>
      <c r="D197" s="42" t="s">
        <v>132</v>
      </c>
      <c r="E197" s="42"/>
      <c r="F197" s="41"/>
      <c r="G197" s="501" t="s">
        <v>14</v>
      </c>
      <c r="H197" s="594">
        <v>0.01</v>
      </c>
      <c r="I197" s="508" t="s">
        <v>133</v>
      </c>
      <c r="J197" s="53"/>
      <c r="K197" s="53"/>
      <c r="L197" s="53"/>
      <c r="M197" s="53"/>
      <c r="N197" s="509"/>
    </row>
    <row r="198" spans="1:14" ht="15.75">
      <c r="A198" s="18"/>
      <c r="B198" s="19"/>
      <c r="C198" s="18"/>
      <c r="D198" s="42" t="s">
        <v>134</v>
      </c>
      <c r="E198" s="42"/>
      <c r="F198" s="41"/>
      <c r="G198" s="501" t="s">
        <v>14</v>
      </c>
      <c r="H198" s="594">
        <v>0.01</v>
      </c>
      <c r="I198" s="508" t="s">
        <v>133</v>
      </c>
      <c r="J198" s="53"/>
      <c r="K198" s="53"/>
      <c r="L198" s="53"/>
      <c r="M198" s="53"/>
      <c r="N198" s="509"/>
    </row>
    <row r="199" spans="1:14" ht="15.75">
      <c r="A199" s="18"/>
      <c r="B199" s="19"/>
      <c r="C199" s="18"/>
      <c r="D199" s="42" t="s">
        <v>135</v>
      </c>
      <c r="E199" s="42"/>
      <c r="F199" s="41"/>
      <c r="G199" s="501" t="s">
        <v>14</v>
      </c>
      <c r="H199" s="594">
        <v>0.01</v>
      </c>
      <c r="I199" s="508" t="s">
        <v>133</v>
      </c>
      <c r="J199" s="53"/>
      <c r="K199" s="53"/>
      <c r="L199" s="53"/>
      <c r="M199" s="53"/>
      <c r="N199" s="509"/>
    </row>
    <row r="200" spans="1:14" ht="15.75">
      <c r="A200" s="18"/>
      <c r="B200" s="19"/>
      <c r="C200" s="18"/>
      <c r="D200" s="42" t="s">
        <v>136</v>
      </c>
      <c r="E200" s="42"/>
      <c r="F200" s="41"/>
      <c r="G200" s="501" t="s">
        <v>14</v>
      </c>
      <c r="H200" s="594">
        <v>0.01</v>
      </c>
      <c r="I200" s="508" t="s">
        <v>133</v>
      </c>
      <c r="J200" s="53"/>
      <c r="K200" s="53"/>
      <c r="L200" s="53"/>
      <c r="M200" s="53"/>
      <c r="N200" s="509"/>
    </row>
    <row r="201" spans="1:14" ht="15.75">
      <c r="A201" s="18"/>
      <c r="B201" s="19"/>
      <c r="C201" s="18"/>
      <c r="D201" s="42" t="s">
        <v>137</v>
      </c>
      <c r="E201" s="42"/>
      <c r="F201" s="41"/>
      <c r="G201" s="501" t="s">
        <v>14</v>
      </c>
      <c r="H201" s="594">
        <v>0.01</v>
      </c>
      <c r="I201" s="508" t="s">
        <v>133</v>
      </c>
      <c r="J201" s="53"/>
      <c r="K201" s="53"/>
      <c r="L201" s="53"/>
      <c r="M201" s="53"/>
      <c r="N201" s="509"/>
    </row>
    <row r="202" spans="1:14" ht="15.75">
      <c r="A202" s="18"/>
      <c r="B202" s="19"/>
      <c r="C202" s="18"/>
      <c r="D202" s="42" t="s">
        <v>138</v>
      </c>
      <c r="E202" s="42"/>
      <c r="F202" s="41"/>
      <c r="G202" s="54" t="s">
        <v>25</v>
      </c>
      <c r="H202" s="594">
        <v>0.01</v>
      </c>
      <c r="I202" s="499" t="s">
        <v>139</v>
      </c>
      <c r="J202" s="5"/>
      <c r="K202" s="5"/>
      <c r="L202" s="5"/>
      <c r="M202" s="5"/>
    </row>
    <row r="203" spans="1:14" ht="15.75">
      <c r="A203" s="18"/>
      <c r="B203" s="19"/>
      <c r="C203" s="18"/>
      <c r="D203" s="42" t="s">
        <v>140</v>
      </c>
      <c r="E203" s="42"/>
      <c r="F203" s="41"/>
      <c r="G203" s="54" t="s">
        <v>25</v>
      </c>
      <c r="H203" s="594">
        <v>0.01</v>
      </c>
      <c r="I203" s="499" t="s">
        <v>141</v>
      </c>
      <c r="J203" s="5"/>
      <c r="K203" s="5"/>
      <c r="L203" s="5"/>
      <c r="M203" s="5"/>
    </row>
    <row r="204" spans="1:14" ht="15.75">
      <c r="A204" s="18"/>
      <c r="B204" s="19"/>
      <c r="C204" s="18"/>
      <c r="D204" s="42" t="s">
        <v>142</v>
      </c>
      <c r="E204" s="42"/>
      <c r="F204" s="41"/>
      <c r="G204" s="54" t="s">
        <v>25</v>
      </c>
      <c r="H204" s="594">
        <v>0.01</v>
      </c>
      <c r="I204" s="499" t="s">
        <v>133</v>
      </c>
      <c r="J204" s="5"/>
      <c r="K204" s="5"/>
      <c r="L204" s="5"/>
      <c r="M204" s="5"/>
    </row>
    <row r="205" spans="1:14" ht="15.75">
      <c r="A205" s="18"/>
      <c r="B205" s="19"/>
      <c r="C205" s="18"/>
      <c r="D205" s="42" t="s">
        <v>143</v>
      </c>
      <c r="E205" s="42"/>
      <c r="F205" s="41"/>
      <c r="G205" s="501" t="s">
        <v>14</v>
      </c>
      <c r="H205" s="594">
        <v>0.01</v>
      </c>
      <c r="I205" s="499" t="s">
        <v>139</v>
      </c>
      <c r="J205" s="55"/>
      <c r="K205" s="5"/>
      <c r="L205" s="5"/>
      <c r="M205" s="5"/>
    </row>
    <row r="206" spans="1:14" ht="15.75">
      <c r="A206" s="18"/>
      <c r="B206" s="19"/>
      <c r="C206" s="18"/>
      <c r="D206" s="42" t="s">
        <v>144</v>
      </c>
      <c r="E206" s="42"/>
      <c r="F206" s="41"/>
      <c r="G206" s="501" t="s">
        <v>14</v>
      </c>
      <c r="H206" s="594">
        <v>0.01</v>
      </c>
      <c r="I206" s="499" t="s">
        <v>141</v>
      </c>
      <c r="J206" s="55"/>
      <c r="K206" s="5"/>
      <c r="L206" s="5"/>
      <c r="M206" s="5"/>
    </row>
    <row r="207" spans="1:14" ht="15.75">
      <c r="A207" s="18"/>
      <c r="B207" s="19"/>
      <c r="C207" s="18"/>
      <c r="D207" s="42" t="s">
        <v>145</v>
      </c>
      <c r="E207" s="42"/>
      <c r="F207" s="41"/>
      <c r="G207" s="501" t="s">
        <v>14</v>
      </c>
      <c r="H207" s="594">
        <v>0.01</v>
      </c>
      <c r="I207" s="499" t="s">
        <v>133</v>
      </c>
      <c r="J207" s="55"/>
      <c r="K207" s="5"/>
      <c r="L207" s="5"/>
      <c r="M207" s="5"/>
    </row>
    <row r="208" spans="1:14" ht="15.75">
      <c r="A208" s="18"/>
      <c r="B208" s="19"/>
      <c r="C208" s="18"/>
      <c r="D208" s="42" t="s">
        <v>146</v>
      </c>
      <c r="E208" s="42"/>
      <c r="F208" s="43"/>
      <c r="G208" s="54" t="s">
        <v>25</v>
      </c>
      <c r="H208" s="594">
        <v>0.01</v>
      </c>
      <c r="I208" s="499" t="s">
        <v>147</v>
      </c>
      <c r="J208" s="5"/>
      <c r="K208" s="5"/>
      <c r="L208" s="5"/>
      <c r="M208" s="5"/>
    </row>
    <row r="209" spans="1:13" ht="15.75">
      <c r="A209" s="18"/>
      <c r="B209" s="38"/>
      <c r="C209" s="18"/>
      <c r="D209" s="39"/>
      <c r="E209" s="39"/>
      <c r="F209" s="56"/>
      <c r="G209" s="499"/>
      <c r="H209" s="499"/>
      <c r="I209" s="499"/>
      <c r="J209" s="5"/>
      <c r="K209" s="5"/>
      <c r="L209" s="5"/>
      <c r="M209" s="5"/>
    </row>
    <row r="210" spans="1:13" ht="15.75">
      <c r="A210" s="18"/>
      <c r="B210" s="38"/>
      <c r="C210" s="18"/>
      <c r="D210" s="39"/>
      <c r="E210" s="39"/>
      <c r="F210" s="56"/>
      <c r="G210" s="499"/>
      <c r="H210" s="499"/>
      <c r="I210" s="499"/>
      <c r="J210" s="5"/>
      <c r="K210" s="5"/>
      <c r="L210" s="5"/>
      <c r="M210" s="5"/>
    </row>
    <row r="211" spans="1:13" ht="15.75">
      <c r="A211" s="44"/>
      <c r="B211" s="44"/>
      <c r="C211" s="44"/>
      <c r="D211" s="16" t="s">
        <v>148</v>
      </c>
      <c r="E211" s="16"/>
      <c r="F211" s="44"/>
      <c r="G211" s="45"/>
      <c r="H211" s="45"/>
      <c r="I211" s="45"/>
      <c r="J211" s="5"/>
      <c r="K211" s="5"/>
      <c r="L211" s="5"/>
      <c r="M211" s="5"/>
    </row>
    <row r="212" spans="1:13" ht="15.75">
      <c r="A212" s="18"/>
      <c r="B212" s="19"/>
      <c r="C212" s="18"/>
      <c r="D212" s="18"/>
      <c r="E212" s="18"/>
      <c r="F212" s="30"/>
      <c r="G212" s="18"/>
      <c r="H212" s="18"/>
      <c r="I212" s="18"/>
      <c r="J212" s="5"/>
      <c r="K212" s="5"/>
      <c r="L212" s="5"/>
      <c r="M212" s="5"/>
    </row>
    <row r="213" spans="1:13" ht="15.75">
      <c r="A213" s="18"/>
      <c r="B213" s="19"/>
      <c r="C213" s="18"/>
      <c r="D213" s="504" t="s">
        <v>149</v>
      </c>
      <c r="E213" s="42"/>
      <c r="F213" s="41"/>
      <c r="G213" s="502" t="s">
        <v>32</v>
      </c>
      <c r="H213" s="594">
        <v>1</v>
      </c>
      <c r="I213" s="18" t="s">
        <v>150</v>
      </c>
      <c r="J213" s="5"/>
      <c r="K213" s="5"/>
      <c r="L213" s="5"/>
      <c r="M213" s="5"/>
    </row>
    <row r="214" spans="1:13" ht="15.75">
      <c r="A214" s="18"/>
      <c r="B214" s="19"/>
      <c r="C214" s="18"/>
      <c r="D214" s="504" t="s">
        <v>151</v>
      </c>
      <c r="E214" s="42"/>
      <c r="F214" s="41"/>
      <c r="G214" s="502" t="s">
        <v>32</v>
      </c>
      <c r="H214" s="594">
        <v>1</v>
      </c>
      <c r="I214" s="18" t="s">
        <v>150</v>
      </c>
      <c r="J214" s="5"/>
      <c r="K214" s="5"/>
      <c r="L214" s="5"/>
      <c r="M214" s="5"/>
    </row>
    <row r="215" spans="1:13" ht="15.75">
      <c r="A215" s="18"/>
      <c r="B215" s="19"/>
      <c r="C215" s="18"/>
      <c r="D215" s="504" t="s">
        <v>152</v>
      </c>
      <c r="E215" s="42"/>
      <c r="F215" s="41"/>
      <c r="G215" s="502" t="s">
        <v>32</v>
      </c>
      <c r="H215" s="594">
        <v>1</v>
      </c>
      <c r="I215" s="18" t="s">
        <v>150</v>
      </c>
      <c r="J215" s="5"/>
      <c r="K215" s="5"/>
      <c r="L215" s="5"/>
      <c r="M215" s="5"/>
    </row>
    <row r="216" spans="1:13" ht="15.75">
      <c r="A216" s="18"/>
      <c r="B216" s="19"/>
      <c r="C216" s="18"/>
      <c r="D216" s="504" t="s">
        <v>153</v>
      </c>
      <c r="E216" s="42"/>
      <c r="F216" s="43"/>
      <c r="G216" s="502" t="s">
        <v>32</v>
      </c>
      <c r="H216" s="594">
        <v>1</v>
      </c>
      <c r="I216" s="18" t="s">
        <v>150</v>
      </c>
      <c r="J216" s="5"/>
      <c r="K216" s="5"/>
      <c r="L216" s="5"/>
      <c r="M216" s="5"/>
    </row>
    <row r="217" spans="1:13" ht="15.75">
      <c r="A217" s="18"/>
      <c r="B217" s="38"/>
      <c r="C217" s="18"/>
      <c r="D217" s="499"/>
      <c r="E217" s="39"/>
      <c r="F217" s="56"/>
      <c r="G217" s="499"/>
      <c r="H217" s="499"/>
      <c r="I217" s="18"/>
      <c r="J217" s="5"/>
      <c r="K217" s="5"/>
      <c r="L217" s="5"/>
      <c r="M217" s="5"/>
    </row>
    <row r="218" spans="1:13" ht="15.75">
      <c r="A218" s="18"/>
      <c r="B218" s="57"/>
      <c r="C218" s="18"/>
      <c r="D218" s="20"/>
      <c r="E218" s="20"/>
      <c r="F218" s="498"/>
      <c r="G218" s="499"/>
      <c r="H218" s="499"/>
      <c r="I218" s="18"/>
      <c r="J218" s="5"/>
      <c r="K218" s="5"/>
      <c r="L218" s="5"/>
      <c r="M218" s="5"/>
    </row>
    <row r="219" spans="1:13" ht="15.75">
      <c r="A219" s="18"/>
      <c r="B219" s="57"/>
      <c r="C219" s="18"/>
      <c r="D219" s="499"/>
      <c r="E219" s="39"/>
      <c r="F219" s="56"/>
      <c r="G219" s="499"/>
      <c r="H219" s="499"/>
      <c r="I219" s="18"/>
      <c r="J219" s="5"/>
      <c r="K219" s="5"/>
      <c r="L219" s="5"/>
      <c r="M219" s="5"/>
    </row>
    <row r="220" spans="1:13" ht="15.75">
      <c r="A220" s="18"/>
      <c r="B220" s="57"/>
      <c r="C220" s="18"/>
      <c r="D220" s="499"/>
      <c r="E220" s="39"/>
      <c r="F220" s="39"/>
      <c r="G220" s="499"/>
      <c r="H220" s="499"/>
      <c r="I220" s="18"/>
      <c r="J220" s="5"/>
      <c r="K220" s="5"/>
      <c r="L220" s="5"/>
      <c r="M220" s="5"/>
    </row>
    <row r="221" spans="1:13" ht="15.75">
      <c r="A221" s="18"/>
      <c r="B221" s="57"/>
      <c r="C221" s="18"/>
      <c r="D221" s="499"/>
      <c r="E221" s="39"/>
      <c r="F221" s="39"/>
      <c r="G221" s="499"/>
      <c r="H221" s="499"/>
      <c r="I221" s="18"/>
      <c r="J221" s="5"/>
      <c r="K221" s="5"/>
      <c r="L221" s="5"/>
      <c r="M221" s="5"/>
    </row>
    <row r="222" spans="1:13" ht="15.75">
      <c r="A222" s="18"/>
      <c r="B222" s="57"/>
      <c r="C222" s="18"/>
      <c r="D222" s="499"/>
      <c r="E222" s="39"/>
      <c r="F222" s="39"/>
      <c r="G222" s="499"/>
      <c r="H222" s="499"/>
      <c r="I222" s="18"/>
      <c r="J222" s="5"/>
      <c r="K222" s="5"/>
      <c r="L222" s="5"/>
      <c r="M222" s="5"/>
    </row>
    <row r="223" spans="1:13" ht="15.75">
      <c r="A223" s="18"/>
      <c r="B223" s="38"/>
      <c r="C223" s="18"/>
      <c r="D223" s="499"/>
      <c r="E223" s="39"/>
      <c r="F223" s="39"/>
      <c r="G223" s="499"/>
      <c r="H223" s="499"/>
      <c r="I223" s="18"/>
      <c r="J223" s="5"/>
      <c r="K223" s="5"/>
      <c r="L223" s="5"/>
      <c r="M223" s="5"/>
    </row>
    <row r="224" spans="1:13" ht="15.75">
      <c r="A224" s="18"/>
      <c r="B224" s="38"/>
      <c r="C224" s="18"/>
      <c r="D224" s="499"/>
      <c r="E224" s="39"/>
      <c r="F224" s="39"/>
      <c r="G224" s="499"/>
      <c r="H224" s="499"/>
      <c r="I224" s="18"/>
      <c r="J224" s="5"/>
      <c r="K224" s="5"/>
      <c r="L224" s="5"/>
      <c r="M224" s="5"/>
    </row>
    <row r="225" spans="1:13" ht="15.75">
      <c r="A225" s="18"/>
      <c r="B225" s="38"/>
      <c r="C225" s="18"/>
      <c r="D225" s="499"/>
      <c r="E225" s="39"/>
      <c r="F225" s="39"/>
      <c r="G225" s="499"/>
      <c r="H225" s="499"/>
      <c r="I225" s="18"/>
      <c r="J225" s="5"/>
      <c r="K225" s="5"/>
      <c r="L225" s="5"/>
      <c r="M225" s="5"/>
    </row>
    <row r="226" spans="1:13" ht="15.75">
      <c r="A226" s="18"/>
      <c r="B226" s="38"/>
      <c r="C226" s="18"/>
      <c r="D226" s="499"/>
      <c r="E226" s="39"/>
      <c r="F226" s="39"/>
      <c r="G226" s="499"/>
      <c r="H226" s="499"/>
      <c r="I226" s="18"/>
      <c r="J226" s="5"/>
      <c r="K226" s="5"/>
      <c r="L226" s="5"/>
      <c r="M226" s="5"/>
    </row>
    <row r="227" spans="1:13" ht="15.75">
      <c r="A227" s="18"/>
      <c r="B227" s="38"/>
      <c r="C227" s="18"/>
      <c r="D227" s="499"/>
      <c r="E227" s="39"/>
      <c r="F227" s="47"/>
      <c r="G227" s="499"/>
      <c r="H227" s="499"/>
      <c r="I227" s="18"/>
      <c r="J227" s="5"/>
      <c r="K227" s="5"/>
      <c r="L227" s="5"/>
      <c r="M227" s="5"/>
    </row>
    <row r="228" spans="1:13" ht="15.75">
      <c r="A228" s="18"/>
      <c r="B228" s="38"/>
      <c r="C228" s="18"/>
      <c r="D228" s="499"/>
      <c r="E228" s="39"/>
      <c r="F228" s="39"/>
      <c r="G228" s="499"/>
      <c r="H228" s="499"/>
      <c r="I228" s="18"/>
      <c r="J228" s="5"/>
      <c r="K228" s="5"/>
      <c r="L228" s="5"/>
      <c r="M228" s="5"/>
    </row>
    <row r="229" spans="1:13" ht="15.75">
      <c r="A229" s="18"/>
      <c r="B229" s="38"/>
      <c r="C229" s="18"/>
      <c r="D229" s="499"/>
      <c r="E229" s="39"/>
      <c r="F229" s="39"/>
      <c r="G229" s="499"/>
      <c r="H229" s="499"/>
      <c r="I229" s="18"/>
      <c r="J229" s="5"/>
      <c r="K229" s="5"/>
      <c r="L229" s="5"/>
      <c r="M229" s="5"/>
    </row>
    <row r="230" spans="1:13" ht="15.75">
      <c r="A230" s="18"/>
      <c r="B230" s="38"/>
      <c r="C230" s="18"/>
      <c r="D230" s="499"/>
      <c r="E230" s="39"/>
      <c r="F230" s="39"/>
      <c r="G230" s="499"/>
      <c r="H230" s="499"/>
      <c r="I230" s="18"/>
      <c r="J230" s="5"/>
      <c r="K230" s="5"/>
      <c r="L230" s="5"/>
      <c r="M230" s="5"/>
    </row>
    <row r="231" spans="1:13" ht="15.75">
      <c r="A231" s="18"/>
      <c r="B231" s="38"/>
      <c r="C231" s="18"/>
      <c r="D231" s="499"/>
      <c r="E231" s="39"/>
      <c r="F231" s="39"/>
      <c r="G231" s="499"/>
      <c r="H231" s="499"/>
      <c r="I231" s="18"/>
      <c r="J231" s="5"/>
      <c r="K231" s="5"/>
      <c r="L231" s="5"/>
      <c r="M231" s="5"/>
    </row>
    <row r="232" spans="1:13" ht="15.75">
      <c r="A232" s="18"/>
      <c r="B232" s="38"/>
      <c r="C232" s="18"/>
      <c r="D232" s="499"/>
      <c r="E232" s="39"/>
      <c r="F232" s="39"/>
      <c r="G232" s="499"/>
      <c r="H232" s="499"/>
      <c r="I232" s="18"/>
      <c r="J232" s="5"/>
      <c r="K232" s="5"/>
      <c r="L232" s="5"/>
      <c r="M232" s="5"/>
    </row>
    <row r="233" spans="1:13" ht="15.75">
      <c r="A233" s="18"/>
      <c r="B233" s="38"/>
      <c r="C233" s="18"/>
      <c r="D233" s="499"/>
      <c r="E233" s="39"/>
      <c r="F233" s="39"/>
      <c r="G233" s="499"/>
      <c r="H233" s="499"/>
      <c r="I233" s="18"/>
      <c r="J233" s="5"/>
      <c r="K233" s="5"/>
      <c r="L233" s="5"/>
      <c r="M233" s="5"/>
    </row>
    <row r="234" spans="1:13" ht="15.75">
      <c r="A234" s="18"/>
      <c r="B234" s="38"/>
      <c r="C234" s="18"/>
      <c r="D234" s="499"/>
      <c r="E234" s="39"/>
      <c r="F234" s="56"/>
      <c r="G234" s="499"/>
      <c r="H234" s="499"/>
      <c r="I234" s="18"/>
      <c r="J234" s="5"/>
      <c r="K234" s="5"/>
      <c r="L234" s="5"/>
      <c r="M234" s="5"/>
    </row>
    <row r="235" spans="1:13" ht="15.75">
      <c r="A235" s="18"/>
      <c r="B235" s="38"/>
      <c r="C235" s="46"/>
      <c r="D235" s="18"/>
      <c r="E235" s="18"/>
      <c r="F235" s="30"/>
      <c r="G235" s="18"/>
      <c r="H235" s="18"/>
      <c r="I235" s="18"/>
      <c r="J235" s="5"/>
      <c r="K235" s="5"/>
      <c r="L235" s="5"/>
      <c r="M235" s="5"/>
    </row>
    <row r="236" spans="1:13" ht="15.75">
      <c r="A236" s="18"/>
      <c r="B236" s="38"/>
      <c r="C236" s="18"/>
      <c r="D236" s="18"/>
      <c r="E236" s="18"/>
      <c r="F236" s="30"/>
      <c r="G236" s="18"/>
      <c r="H236" s="18"/>
      <c r="I236" s="18"/>
      <c r="J236" s="5"/>
      <c r="K236" s="5"/>
      <c r="L236" s="5"/>
      <c r="M236" s="5"/>
    </row>
    <row r="237" spans="1:13" ht="15.75">
      <c r="A237" s="18"/>
      <c r="B237" s="38"/>
      <c r="C237" s="18"/>
      <c r="D237" s="18"/>
      <c r="E237" s="18"/>
      <c r="F237" s="30"/>
      <c r="G237" s="18"/>
      <c r="H237" s="18"/>
      <c r="I237" s="18"/>
      <c r="J237" s="5"/>
      <c r="K237" s="5"/>
      <c r="L237" s="5"/>
      <c r="M237" s="5"/>
    </row>
    <row r="238" spans="1:13" ht="15.75">
      <c r="A238" s="44"/>
      <c r="B238" s="44"/>
      <c r="C238" s="44"/>
      <c r="D238" s="16" t="s">
        <v>154</v>
      </c>
      <c r="E238" s="16"/>
      <c r="F238" s="44"/>
      <c r="G238" s="45"/>
      <c r="H238" s="45"/>
      <c r="I238" s="45"/>
      <c r="J238" s="5"/>
      <c r="K238" s="5"/>
      <c r="L238" s="5"/>
      <c r="M238" s="5"/>
    </row>
    <row r="239" spans="1:13" ht="15.75">
      <c r="A239" s="18"/>
      <c r="B239" s="19"/>
      <c r="C239" s="18"/>
      <c r="D239" s="18"/>
      <c r="E239" s="18"/>
      <c r="F239" s="30"/>
      <c r="G239" s="499"/>
      <c r="H239" s="499"/>
      <c r="I239" s="499"/>
      <c r="J239" s="5"/>
      <c r="K239" s="5"/>
      <c r="L239" s="5"/>
      <c r="M239" s="5"/>
    </row>
    <row r="240" spans="1:13" ht="15.75">
      <c r="A240" s="18"/>
      <c r="B240" s="19"/>
      <c r="C240" s="18"/>
      <c r="D240" s="18"/>
      <c r="E240" s="18"/>
      <c r="F240" s="30"/>
      <c r="G240" s="499"/>
      <c r="H240" s="499"/>
      <c r="I240" s="499"/>
      <c r="J240" s="5"/>
      <c r="K240" s="5"/>
      <c r="L240" s="5"/>
      <c r="M240" s="5"/>
    </row>
    <row r="241" spans="1:13" ht="15.75">
      <c r="A241" s="18"/>
      <c r="B241" s="19"/>
      <c r="C241" s="18"/>
      <c r="D241" s="48" t="s">
        <v>155</v>
      </c>
      <c r="E241" s="48" t="s">
        <v>156</v>
      </c>
      <c r="F241" s="24" t="s">
        <v>35</v>
      </c>
      <c r="G241" s="502" t="s">
        <v>32</v>
      </c>
      <c r="H241" s="502"/>
      <c r="I241" s="499" t="s">
        <v>15</v>
      </c>
      <c r="J241" s="5"/>
      <c r="K241" s="5"/>
      <c r="L241" s="5"/>
      <c r="M241" s="5"/>
    </row>
    <row r="242" spans="1:13" ht="15.75">
      <c r="A242" s="18"/>
      <c r="B242" s="19"/>
      <c r="C242" s="18"/>
      <c r="D242" s="48" t="s">
        <v>155</v>
      </c>
      <c r="E242" s="48" t="s">
        <v>156</v>
      </c>
      <c r="F242" s="50" t="s">
        <v>94</v>
      </c>
      <c r="G242" s="502" t="s">
        <v>32</v>
      </c>
      <c r="H242" s="594">
        <v>1</v>
      </c>
      <c r="I242" s="499" t="s">
        <v>15</v>
      </c>
      <c r="J242" s="5"/>
      <c r="K242" s="5"/>
      <c r="L242" s="5"/>
      <c r="M242" s="5"/>
    </row>
    <row r="243" spans="1:13" ht="15.75">
      <c r="A243" s="18"/>
      <c r="B243" s="19"/>
      <c r="C243" s="18"/>
      <c r="D243" s="48" t="s">
        <v>155</v>
      </c>
      <c r="E243" s="48" t="s">
        <v>156</v>
      </c>
      <c r="F243" s="50" t="s">
        <v>16</v>
      </c>
      <c r="G243" s="502" t="s">
        <v>32</v>
      </c>
      <c r="H243" s="594">
        <v>1</v>
      </c>
      <c r="I243" s="499" t="s">
        <v>15</v>
      </c>
      <c r="J243" s="5"/>
      <c r="K243" s="5"/>
      <c r="L243" s="5"/>
      <c r="M243" s="5"/>
    </row>
    <row r="244" spans="1:13" ht="15.75">
      <c r="A244" s="18"/>
      <c r="B244" s="19"/>
      <c r="C244" s="18"/>
      <c r="D244" s="48" t="s">
        <v>155</v>
      </c>
      <c r="E244" s="48" t="s">
        <v>157</v>
      </c>
      <c r="F244" s="24" t="s">
        <v>35</v>
      </c>
      <c r="G244" s="502" t="s">
        <v>32</v>
      </c>
      <c r="H244" s="502"/>
      <c r="I244" s="499" t="s">
        <v>15</v>
      </c>
      <c r="J244" s="5"/>
      <c r="K244" s="5"/>
      <c r="L244" s="5"/>
      <c r="M244" s="5"/>
    </row>
    <row r="245" spans="1:13" ht="15.75">
      <c r="A245" s="18"/>
      <c r="B245" s="19"/>
      <c r="C245" s="18"/>
      <c r="D245" s="48" t="s">
        <v>155</v>
      </c>
      <c r="E245" s="48" t="s">
        <v>157</v>
      </c>
      <c r="F245" s="50" t="s">
        <v>94</v>
      </c>
      <c r="G245" s="502" t="s">
        <v>32</v>
      </c>
      <c r="H245" s="594">
        <v>1</v>
      </c>
      <c r="I245" s="499" t="s">
        <v>15</v>
      </c>
      <c r="J245" s="5"/>
      <c r="K245" s="5"/>
      <c r="L245" s="5"/>
      <c r="M245" s="5"/>
    </row>
    <row r="246" spans="1:13" ht="15.75">
      <c r="A246" s="18"/>
      <c r="B246" s="19"/>
      <c r="C246" s="18"/>
      <c r="D246" s="48" t="s">
        <v>155</v>
      </c>
      <c r="E246" s="48" t="s">
        <v>157</v>
      </c>
      <c r="F246" s="50" t="s">
        <v>16</v>
      </c>
      <c r="G246" s="502" t="s">
        <v>32</v>
      </c>
      <c r="H246" s="594">
        <v>1</v>
      </c>
      <c r="I246" s="499" t="s">
        <v>15</v>
      </c>
      <c r="J246" s="5"/>
      <c r="K246" s="5"/>
      <c r="L246" s="5"/>
      <c r="M246" s="5"/>
    </row>
    <row r="247" spans="1:13" ht="15.75">
      <c r="A247" s="18"/>
      <c r="B247" s="38"/>
      <c r="C247" s="18"/>
      <c r="D247" s="18"/>
      <c r="E247" s="18"/>
      <c r="F247" s="30"/>
      <c r="G247" s="499"/>
      <c r="H247" s="499"/>
      <c r="I247" s="499"/>
      <c r="J247" s="5"/>
      <c r="K247" s="5"/>
      <c r="L247" s="5"/>
      <c r="M247" s="5"/>
    </row>
    <row r="248" spans="1:13" ht="15.75">
      <c r="A248" s="18"/>
      <c r="B248" s="38"/>
      <c r="C248" s="18"/>
      <c r="D248" s="18"/>
      <c r="E248" s="18"/>
      <c r="F248" s="30"/>
      <c r="G248" s="499"/>
      <c r="H248" s="499"/>
      <c r="I248" s="499"/>
      <c r="J248" s="5"/>
      <c r="K248" s="5"/>
      <c r="L248" s="5"/>
      <c r="M248" s="5"/>
    </row>
    <row r="249" spans="1:13" ht="15.75">
      <c r="A249" s="44"/>
      <c r="B249" s="44"/>
      <c r="C249" s="44"/>
      <c r="D249" s="16" t="s">
        <v>158</v>
      </c>
      <c r="E249" s="16"/>
      <c r="F249" s="44"/>
      <c r="G249" s="45"/>
      <c r="H249" s="45"/>
      <c r="I249" s="45"/>
      <c r="J249" s="5"/>
      <c r="K249" s="5"/>
      <c r="L249" s="5"/>
      <c r="M249" s="5"/>
    </row>
    <row r="250" spans="1:13" ht="15.75">
      <c r="A250" s="18"/>
      <c r="B250" s="19"/>
      <c r="C250" s="18"/>
      <c r="D250" s="18"/>
      <c r="E250" s="18"/>
      <c r="F250" s="30"/>
      <c r="G250" s="499"/>
      <c r="H250" s="499"/>
      <c r="I250" s="499"/>
      <c r="J250" s="5"/>
      <c r="K250" s="5"/>
      <c r="L250" s="5"/>
      <c r="M250" s="5"/>
    </row>
    <row r="251" spans="1:13" ht="15.75">
      <c r="A251" s="18"/>
      <c r="B251" s="38"/>
      <c r="C251" s="18"/>
      <c r="D251" s="48" t="s">
        <v>159</v>
      </c>
      <c r="E251" s="48" t="s">
        <v>156</v>
      </c>
      <c r="F251" s="24" t="s">
        <v>35</v>
      </c>
      <c r="G251" s="502" t="s">
        <v>32</v>
      </c>
      <c r="H251" s="502"/>
      <c r="I251" s="499" t="s">
        <v>15</v>
      </c>
      <c r="J251" s="5"/>
      <c r="K251" s="510"/>
      <c r="L251" s="5"/>
      <c r="M251" s="5"/>
    </row>
    <row r="252" spans="1:13" ht="15.75">
      <c r="A252" s="18"/>
      <c r="B252" s="38"/>
      <c r="C252" s="18"/>
      <c r="D252" s="48" t="s">
        <v>159</v>
      </c>
      <c r="E252" s="48" t="s">
        <v>156</v>
      </c>
      <c r="F252" s="50" t="s">
        <v>94</v>
      </c>
      <c r="G252" s="502" t="s">
        <v>32</v>
      </c>
      <c r="H252" s="594">
        <v>1</v>
      </c>
      <c r="I252" s="499" t="s">
        <v>15</v>
      </c>
      <c r="J252" s="5"/>
      <c r="K252" s="510"/>
      <c r="L252" s="5"/>
      <c r="M252" s="5"/>
    </row>
    <row r="253" spans="1:13" ht="15.75">
      <c r="A253" s="18"/>
      <c r="B253" s="38"/>
      <c r="C253" s="18"/>
      <c r="D253" s="48" t="s">
        <v>159</v>
      </c>
      <c r="E253" s="48" t="s">
        <v>156</v>
      </c>
      <c r="F253" s="50" t="s">
        <v>16</v>
      </c>
      <c r="G253" s="502" t="s">
        <v>32</v>
      </c>
      <c r="H253" s="594">
        <v>1</v>
      </c>
      <c r="I253" s="499" t="s">
        <v>15</v>
      </c>
      <c r="J253" s="5"/>
      <c r="K253" s="510"/>
      <c r="L253" s="5"/>
      <c r="M253" s="5"/>
    </row>
    <row r="254" spans="1:13" ht="15.75">
      <c r="A254" s="18"/>
      <c r="B254" s="38"/>
      <c r="C254" s="18"/>
      <c r="D254" s="48" t="s">
        <v>160</v>
      </c>
      <c r="E254" s="48" t="s">
        <v>156</v>
      </c>
      <c r="F254" s="24" t="s">
        <v>35</v>
      </c>
      <c r="G254" s="502" t="s">
        <v>32</v>
      </c>
      <c r="H254" s="502"/>
      <c r="I254" s="499" t="s">
        <v>15</v>
      </c>
      <c r="J254" s="5"/>
      <c r="K254" s="510"/>
      <c r="L254" s="5"/>
      <c r="M254" s="5"/>
    </row>
    <row r="255" spans="1:13" ht="15.75">
      <c r="A255" s="18"/>
      <c r="B255" s="38"/>
      <c r="C255" s="18"/>
      <c r="D255" s="48" t="s">
        <v>160</v>
      </c>
      <c r="E255" s="48" t="s">
        <v>156</v>
      </c>
      <c r="F255" s="50" t="s">
        <v>94</v>
      </c>
      <c r="G255" s="502" t="s">
        <v>32</v>
      </c>
      <c r="H255" s="594">
        <v>1</v>
      </c>
      <c r="I255" s="499" t="s">
        <v>15</v>
      </c>
      <c r="J255" s="5"/>
      <c r="K255" s="510"/>
      <c r="L255" s="5"/>
      <c r="M255" s="5"/>
    </row>
    <row r="256" spans="1:13" ht="15.75">
      <c r="A256" s="18"/>
      <c r="B256" s="38"/>
      <c r="C256" s="18"/>
      <c r="D256" s="48" t="s">
        <v>160</v>
      </c>
      <c r="E256" s="48" t="s">
        <v>156</v>
      </c>
      <c r="F256" s="50" t="s">
        <v>16</v>
      </c>
      <c r="G256" s="502" t="s">
        <v>32</v>
      </c>
      <c r="H256" s="594">
        <v>1</v>
      </c>
      <c r="I256" s="499" t="s">
        <v>15</v>
      </c>
      <c r="J256" s="5"/>
      <c r="K256" s="510"/>
      <c r="L256" s="5"/>
      <c r="M256" s="5"/>
    </row>
    <row r="257" spans="1:13" ht="15.75">
      <c r="A257" s="18"/>
      <c r="B257" s="38"/>
      <c r="C257" s="18"/>
      <c r="D257" s="18"/>
      <c r="E257" s="18"/>
      <c r="F257" s="30"/>
      <c r="G257" s="499"/>
      <c r="H257" s="499"/>
      <c r="I257" s="499"/>
      <c r="J257" s="5"/>
      <c r="K257" s="5"/>
      <c r="L257" s="5"/>
      <c r="M257" s="5"/>
    </row>
    <row r="258" spans="1:13" ht="15.75">
      <c r="A258" s="44"/>
      <c r="B258" s="44"/>
      <c r="C258" s="44"/>
      <c r="D258" s="16" t="s">
        <v>161</v>
      </c>
      <c r="E258" s="16"/>
      <c r="F258" s="44"/>
      <c r="G258" s="45"/>
      <c r="H258" s="45"/>
      <c r="I258" s="45"/>
      <c r="J258" s="5"/>
      <c r="K258" s="5"/>
      <c r="L258" s="5"/>
      <c r="M258" s="5"/>
    </row>
    <row r="259" spans="1:13" ht="15.75">
      <c r="A259" s="18"/>
      <c r="B259" s="19"/>
      <c r="C259" s="18"/>
      <c r="D259" s="18"/>
      <c r="E259" s="18"/>
      <c r="F259" s="30"/>
      <c r="G259" s="499"/>
      <c r="H259" s="499"/>
      <c r="I259" s="499"/>
      <c r="J259" s="5"/>
      <c r="K259" s="5"/>
      <c r="L259" s="5"/>
      <c r="M259" s="5"/>
    </row>
    <row r="260" spans="1:13" ht="15.75">
      <c r="A260" s="18"/>
      <c r="B260" s="19"/>
      <c r="C260" s="18"/>
      <c r="D260" s="29"/>
      <c r="E260" s="29"/>
      <c r="F260" s="30"/>
      <c r="G260" s="499"/>
      <c r="H260" s="499"/>
      <c r="I260" s="499"/>
      <c r="J260" s="5"/>
      <c r="K260" s="5"/>
      <c r="L260" s="5"/>
      <c r="M260" s="5"/>
    </row>
    <row r="261" spans="1:13" ht="15.75">
      <c r="A261" s="18"/>
      <c r="B261" s="19"/>
      <c r="C261" s="18"/>
      <c r="D261" s="48" t="s">
        <v>162</v>
      </c>
      <c r="E261" s="48" t="s">
        <v>163</v>
      </c>
      <c r="F261" s="24" t="s">
        <v>35</v>
      </c>
      <c r="G261" s="502" t="s">
        <v>32</v>
      </c>
      <c r="H261" s="502"/>
      <c r="I261" s="499" t="s">
        <v>15</v>
      </c>
      <c r="J261" s="5"/>
      <c r="K261" s="5"/>
      <c r="L261" s="5"/>
      <c r="M261" s="5"/>
    </row>
    <row r="262" spans="1:13" ht="15.75">
      <c r="A262" s="18"/>
      <c r="B262" s="19"/>
      <c r="C262" s="18"/>
      <c r="D262" s="48" t="s">
        <v>162</v>
      </c>
      <c r="E262" s="48" t="s">
        <v>163</v>
      </c>
      <c r="F262" s="50" t="s">
        <v>94</v>
      </c>
      <c r="G262" s="502" t="s">
        <v>32</v>
      </c>
      <c r="H262" s="502"/>
      <c r="I262" s="499" t="s">
        <v>15</v>
      </c>
      <c r="J262" s="5"/>
      <c r="K262" s="5"/>
      <c r="L262" s="5"/>
      <c r="M262" s="5"/>
    </row>
    <row r="263" spans="1:13" ht="15.75">
      <c r="A263" s="18"/>
      <c r="B263" s="19"/>
      <c r="C263" s="18"/>
      <c r="D263" s="48" t="s">
        <v>162</v>
      </c>
      <c r="E263" s="48" t="s">
        <v>163</v>
      </c>
      <c r="F263" s="50" t="s">
        <v>16</v>
      </c>
      <c r="G263" s="502" t="s">
        <v>32</v>
      </c>
      <c r="H263" s="594">
        <v>1</v>
      </c>
      <c r="I263" s="499" t="s">
        <v>15</v>
      </c>
      <c r="J263" s="5"/>
      <c r="K263" s="5"/>
      <c r="L263" s="5"/>
      <c r="M263" s="5"/>
    </row>
    <row r="264" spans="1:13" ht="15.75">
      <c r="A264" s="18"/>
      <c r="B264" s="19"/>
      <c r="C264" s="18"/>
      <c r="D264" s="18"/>
      <c r="E264" s="18"/>
      <c r="F264" s="30"/>
      <c r="G264" s="499"/>
      <c r="H264" s="499"/>
      <c r="I264" s="499"/>
      <c r="J264" s="5"/>
      <c r="K264" s="5"/>
      <c r="L264" s="5"/>
      <c r="M264" s="5"/>
    </row>
    <row r="265" spans="1:13" ht="15.75">
      <c r="A265" s="18"/>
      <c r="B265" s="19"/>
      <c r="C265" s="18"/>
      <c r="D265" s="48" t="s">
        <v>162</v>
      </c>
      <c r="E265" s="48" t="s">
        <v>164</v>
      </c>
      <c r="F265" s="24" t="s">
        <v>35</v>
      </c>
      <c r="G265" s="502" t="s">
        <v>32</v>
      </c>
      <c r="H265" s="502"/>
      <c r="I265" s="499" t="s">
        <v>15</v>
      </c>
      <c r="J265" s="5"/>
      <c r="K265" s="5"/>
      <c r="L265" s="5"/>
      <c r="M265" s="5"/>
    </row>
    <row r="266" spans="1:13" ht="15.75">
      <c r="A266" s="18"/>
      <c r="B266" s="19"/>
      <c r="C266" s="18"/>
      <c r="D266" s="48" t="s">
        <v>162</v>
      </c>
      <c r="E266" s="48" t="s">
        <v>164</v>
      </c>
      <c r="F266" s="50" t="s">
        <v>94</v>
      </c>
      <c r="G266" s="502" t="s">
        <v>32</v>
      </c>
      <c r="H266" s="502"/>
      <c r="I266" s="499" t="s">
        <v>15</v>
      </c>
      <c r="J266" s="5"/>
      <c r="K266" s="5"/>
      <c r="L266" s="5"/>
      <c r="M266" s="5"/>
    </row>
    <row r="267" spans="1:13" ht="15.75">
      <c r="A267" s="18"/>
      <c r="B267" s="19"/>
      <c r="C267" s="18"/>
      <c r="D267" s="48" t="s">
        <v>162</v>
      </c>
      <c r="E267" s="48" t="s">
        <v>164</v>
      </c>
      <c r="F267" s="50" t="s">
        <v>16</v>
      </c>
      <c r="G267" s="502" t="s">
        <v>32</v>
      </c>
      <c r="H267" s="594">
        <v>1</v>
      </c>
      <c r="I267" s="499" t="s">
        <v>15</v>
      </c>
      <c r="J267" s="5"/>
      <c r="K267" s="5"/>
      <c r="L267" s="5"/>
      <c r="M267" s="5"/>
    </row>
    <row r="268" spans="1:13" ht="15.75">
      <c r="A268" s="18"/>
      <c r="B268" s="19"/>
      <c r="C268" s="18"/>
      <c r="D268" s="18"/>
      <c r="E268" s="18"/>
      <c r="F268" s="30"/>
      <c r="G268" s="499"/>
      <c r="H268" s="499"/>
      <c r="I268" s="499"/>
      <c r="J268" s="5"/>
      <c r="K268" s="5"/>
      <c r="L268" s="5"/>
      <c r="M268" s="5"/>
    </row>
    <row r="269" spans="1:13" ht="15.75">
      <c r="A269" s="18"/>
      <c r="B269" s="19"/>
      <c r="C269" s="18"/>
      <c r="D269" s="48" t="s">
        <v>162</v>
      </c>
      <c r="E269" s="48" t="s">
        <v>165</v>
      </c>
      <c r="F269" s="50" t="s">
        <v>166</v>
      </c>
      <c r="G269" s="502" t="s">
        <v>32</v>
      </c>
      <c r="H269" s="594">
        <v>1</v>
      </c>
      <c r="I269" s="499" t="s">
        <v>15</v>
      </c>
      <c r="J269" s="5"/>
      <c r="K269" s="5"/>
      <c r="L269" s="5"/>
      <c r="M269" s="5"/>
    </row>
    <row r="270" spans="1:13" ht="15.75">
      <c r="A270" s="18"/>
      <c r="B270" s="38"/>
      <c r="C270" s="18"/>
      <c r="D270" s="18"/>
      <c r="E270" s="18"/>
      <c r="F270" s="30"/>
      <c r="G270" s="499"/>
      <c r="H270" s="499"/>
      <c r="I270" s="499"/>
      <c r="J270" s="5"/>
      <c r="K270" s="5"/>
      <c r="L270" s="5"/>
      <c r="M270" s="5"/>
    </row>
    <row r="271" spans="1:13" ht="15.75">
      <c r="A271" s="44"/>
      <c r="B271" s="44"/>
      <c r="C271" s="44"/>
      <c r="D271" s="16" t="s">
        <v>167</v>
      </c>
      <c r="E271" s="16"/>
      <c r="F271" s="44"/>
      <c r="G271" s="45"/>
      <c r="H271" s="45"/>
      <c r="I271" s="45"/>
      <c r="J271" s="5"/>
      <c r="K271" s="5"/>
      <c r="L271" s="5"/>
      <c r="M271" s="5"/>
    </row>
    <row r="272" spans="1:13" ht="15.75">
      <c r="A272" s="18"/>
      <c r="B272" s="19"/>
      <c r="C272" s="18"/>
      <c r="D272" s="18"/>
      <c r="E272" s="18"/>
      <c r="F272" s="30"/>
      <c r="G272" s="499"/>
      <c r="H272" s="499"/>
      <c r="I272" s="499"/>
      <c r="J272" s="5"/>
      <c r="K272" s="5"/>
      <c r="L272" s="5"/>
      <c r="M272" s="5"/>
    </row>
    <row r="273" spans="1:13" ht="15.75">
      <c r="A273" s="18"/>
      <c r="B273" s="19"/>
      <c r="C273" s="18"/>
      <c r="D273" s="48" t="s">
        <v>155</v>
      </c>
      <c r="E273" s="48"/>
      <c r="F273" s="24" t="s">
        <v>35</v>
      </c>
      <c r="G273" s="502" t="s">
        <v>32</v>
      </c>
      <c r="H273" s="502"/>
      <c r="I273" s="499" t="s">
        <v>15</v>
      </c>
      <c r="J273" s="5"/>
      <c r="K273" s="5"/>
      <c r="L273" s="5"/>
      <c r="M273" s="5"/>
    </row>
    <row r="274" spans="1:13" ht="15.75">
      <c r="A274" s="18"/>
      <c r="B274" s="19"/>
      <c r="C274" s="18"/>
      <c r="D274" s="48" t="s">
        <v>155</v>
      </c>
      <c r="E274" s="48"/>
      <c r="F274" s="50" t="s">
        <v>94</v>
      </c>
      <c r="G274" s="502" t="s">
        <v>32</v>
      </c>
      <c r="H274" s="502"/>
      <c r="I274" s="499" t="s">
        <v>15</v>
      </c>
      <c r="J274" s="5"/>
      <c r="K274" s="5"/>
      <c r="L274" s="5"/>
      <c r="M274" s="5"/>
    </row>
    <row r="275" spans="1:13" ht="15.75">
      <c r="A275" s="18"/>
      <c r="B275" s="19"/>
      <c r="C275" s="18"/>
      <c r="D275" s="48" t="s">
        <v>155</v>
      </c>
      <c r="E275" s="48"/>
      <c r="F275" s="50" t="s">
        <v>16</v>
      </c>
      <c r="G275" s="502" t="s">
        <v>32</v>
      </c>
      <c r="H275" s="502"/>
      <c r="I275" s="499" t="s">
        <v>15</v>
      </c>
      <c r="J275" s="5"/>
      <c r="K275" s="5"/>
      <c r="L275" s="5"/>
      <c r="M275" s="5"/>
    </row>
    <row r="276" spans="1:13" ht="15.75">
      <c r="A276" s="18"/>
      <c r="B276" s="38"/>
      <c r="C276" s="18"/>
      <c r="D276" s="18"/>
      <c r="E276" s="18"/>
      <c r="F276" s="30"/>
      <c r="G276" s="499"/>
      <c r="H276" s="499"/>
      <c r="I276" s="499"/>
      <c r="J276" s="5"/>
      <c r="K276" s="5"/>
      <c r="L276" s="5"/>
      <c r="M276" s="5"/>
    </row>
    <row r="277" spans="1:13" ht="15.75">
      <c r="A277" s="18"/>
      <c r="B277" s="38"/>
      <c r="C277" s="18"/>
      <c r="D277" s="18"/>
      <c r="E277" s="18"/>
      <c r="F277" s="30"/>
      <c r="G277" s="499"/>
      <c r="H277" s="499"/>
      <c r="I277" s="499"/>
      <c r="J277" s="5"/>
      <c r="K277" s="5"/>
      <c r="L277" s="5"/>
      <c r="M277" s="5"/>
    </row>
    <row r="278" spans="1:13" ht="15.75">
      <c r="A278" s="44"/>
      <c r="B278" s="44"/>
      <c r="C278" s="44"/>
      <c r="D278" s="16" t="s">
        <v>168</v>
      </c>
      <c r="E278" s="16"/>
      <c r="F278" s="44"/>
      <c r="G278" s="45"/>
      <c r="H278" s="45"/>
      <c r="I278" s="45"/>
      <c r="J278" s="5"/>
      <c r="K278" s="5"/>
      <c r="L278" s="5"/>
      <c r="M278" s="5"/>
    </row>
    <row r="279" spans="1:13" ht="15.75">
      <c r="A279" s="18"/>
      <c r="B279" s="19"/>
      <c r="C279" s="18"/>
      <c r="D279" s="18"/>
      <c r="E279" s="18"/>
      <c r="F279" s="30"/>
      <c r="G279" s="499"/>
      <c r="H279" s="499"/>
      <c r="I279" s="499"/>
      <c r="J279" s="5"/>
      <c r="K279" s="5"/>
      <c r="L279" s="5"/>
      <c r="M279" s="5"/>
    </row>
    <row r="280" spans="1:13" ht="15.75">
      <c r="A280" s="18"/>
      <c r="B280" s="19"/>
      <c r="C280" s="18"/>
      <c r="D280" s="48" t="s">
        <v>169</v>
      </c>
      <c r="E280" s="48"/>
      <c r="F280" s="24"/>
      <c r="G280" s="502" t="s">
        <v>32</v>
      </c>
      <c r="H280" s="594">
        <v>1</v>
      </c>
      <c r="I280" s="499" t="s">
        <v>15</v>
      </c>
      <c r="J280" s="5"/>
      <c r="K280" s="5"/>
      <c r="L280" s="5"/>
      <c r="M280" s="5"/>
    </row>
    <row r="281" spans="1:13" ht="15.75">
      <c r="A281" s="18"/>
      <c r="B281" s="19"/>
      <c r="C281" s="18"/>
      <c r="D281" s="48" t="s">
        <v>170</v>
      </c>
      <c r="E281" s="48"/>
      <c r="F281" s="50"/>
      <c r="G281" s="502" t="s">
        <v>32</v>
      </c>
      <c r="H281" s="594">
        <v>1</v>
      </c>
      <c r="I281" s="499" t="s">
        <v>15</v>
      </c>
      <c r="J281" s="5"/>
      <c r="K281" s="5"/>
      <c r="L281" s="5"/>
      <c r="M281" s="5"/>
    </row>
    <row r="282" spans="1:13" ht="15.75">
      <c r="A282" s="18"/>
      <c r="B282" s="19"/>
      <c r="C282" s="18"/>
      <c r="D282" s="48" t="s">
        <v>171</v>
      </c>
      <c r="E282" s="48"/>
      <c r="F282" s="50"/>
      <c r="G282" s="502" t="s">
        <v>32</v>
      </c>
      <c r="H282" s="594">
        <v>1</v>
      </c>
      <c r="I282" s="499" t="s">
        <v>15</v>
      </c>
      <c r="J282" s="5"/>
      <c r="K282" s="5"/>
      <c r="L282" s="5"/>
      <c r="M282" s="5"/>
    </row>
    <row r="283" spans="1:13" ht="15.75">
      <c r="A283" s="18"/>
      <c r="B283" s="19"/>
      <c r="C283" s="18"/>
      <c r="D283" s="48"/>
      <c r="E283" s="48"/>
      <c r="F283" s="50"/>
      <c r="G283" s="502"/>
      <c r="H283" s="594"/>
      <c r="I283" s="499"/>
      <c r="J283" s="5"/>
      <c r="K283" s="5"/>
      <c r="L283" s="5"/>
      <c r="M283" s="5"/>
    </row>
    <row r="284" spans="1:13" ht="15.75">
      <c r="A284" s="18"/>
      <c r="B284" s="19"/>
      <c r="C284" s="18"/>
      <c r="D284" s="511" t="s">
        <v>172</v>
      </c>
      <c r="E284" s="511"/>
      <c r="F284" s="512"/>
      <c r="G284" s="506" t="s">
        <v>32</v>
      </c>
      <c r="H284" s="594">
        <v>1</v>
      </c>
      <c r="I284" s="499" t="s">
        <v>15</v>
      </c>
      <c r="J284" s="5"/>
      <c r="K284" s="5"/>
      <c r="L284" s="5"/>
      <c r="M284" s="5"/>
    </row>
    <row r="285" spans="1:13" ht="15.75">
      <c r="A285" s="18"/>
      <c r="B285" s="19"/>
      <c r="C285" s="18"/>
      <c r="D285" s="511" t="s">
        <v>173</v>
      </c>
      <c r="E285" s="511"/>
      <c r="F285" s="512"/>
      <c r="G285" s="506" t="s">
        <v>32</v>
      </c>
      <c r="H285" s="594">
        <v>1</v>
      </c>
      <c r="I285" s="499" t="s">
        <v>15</v>
      </c>
      <c r="J285" s="5"/>
      <c r="K285" s="5"/>
      <c r="L285" s="5"/>
      <c r="M285" s="5"/>
    </row>
    <row r="286" spans="1:13" ht="15.75">
      <c r="A286" s="18"/>
      <c r="B286" s="38"/>
      <c r="C286" s="18"/>
      <c r="D286" s="58"/>
      <c r="E286" s="58"/>
      <c r="F286" s="30"/>
      <c r="G286" s="513"/>
      <c r="H286" s="513"/>
      <c r="I286" s="499"/>
      <c r="J286" s="5"/>
      <c r="K286" s="5"/>
      <c r="L286" s="5"/>
      <c r="M286" s="5"/>
    </row>
    <row r="287" spans="1:13" ht="15.75">
      <c r="A287" s="44"/>
      <c r="B287" s="44"/>
      <c r="C287" s="44"/>
      <c r="D287" s="16" t="s">
        <v>174</v>
      </c>
      <c r="E287" s="16"/>
      <c r="F287" s="44"/>
      <c r="G287" s="45"/>
      <c r="H287" s="45"/>
      <c r="I287" s="45"/>
      <c r="J287" s="5"/>
      <c r="K287" s="5"/>
      <c r="L287" s="5"/>
      <c r="M287" s="5"/>
    </row>
    <row r="288" spans="1:13" ht="15.75">
      <c r="A288" s="18"/>
      <c r="B288" s="19"/>
      <c r="C288" s="18"/>
      <c r="D288" s="18"/>
      <c r="E288" s="18"/>
      <c r="F288" s="30"/>
      <c r="G288" s="499"/>
      <c r="H288" s="499"/>
      <c r="I288" s="499"/>
      <c r="J288" s="5"/>
      <c r="K288" s="5"/>
      <c r="L288" s="5"/>
      <c r="M288" s="5"/>
    </row>
    <row r="289" spans="1:13" ht="15.75">
      <c r="A289" s="18"/>
      <c r="B289" s="19"/>
      <c r="C289" s="18"/>
      <c r="D289" s="48" t="s">
        <v>175</v>
      </c>
      <c r="E289" s="48"/>
      <c r="F289" s="24"/>
      <c r="G289" s="502" t="s">
        <v>32</v>
      </c>
      <c r="H289" s="594">
        <v>1</v>
      </c>
      <c r="I289" s="499" t="s">
        <v>15</v>
      </c>
      <c r="J289" s="5"/>
      <c r="K289" s="5"/>
      <c r="L289" s="5"/>
      <c r="M289" s="5"/>
    </row>
    <row r="290" spans="1:13" ht="15.75">
      <c r="A290" s="18"/>
      <c r="B290" s="19"/>
      <c r="C290" s="18"/>
      <c r="D290" s="48" t="s">
        <v>176</v>
      </c>
      <c r="E290" s="48"/>
      <c r="F290" s="50"/>
      <c r="G290" s="502" t="s">
        <v>32</v>
      </c>
      <c r="H290" s="594">
        <v>1</v>
      </c>
      <c r="I290" s="499" t="s">
        <v>15</v>
      </c>
      <c r="J290" s="5"/>
      <c r="K290" s="5"/>
      <c r="L290" s="5"/>
      <c r="M290" s="5"/>
    </row>
    <row r="291" spans="1:13" ht="15.75">
      <c r="A291" s="18"/>
      <c r="B291" s="19"/>
      <c r="C291" s="18"/>
      <c r="D291" s="48" t="s">
        <v>177</v>
      </c>
      <c r="E291" s="48"/>
      <c r="F291" s="50"/>
      <c r="G291" s="502" t="s">
        <v>32</v>
      </c>
      <c r="H291" s="594">
        <v>1</v>
      </c>
      <c r="I291" s="499" t="s">
        <v>15</v>
      </c>
      <c r="J291" s="5"/>
      <c r="K291" s="5"/>
      <c r="L291" s="5"/>
      <c r="M291" s="5"/>
    </row>
    <row r="292" spans="1:13" ht="15.75">
      <c r="A292" s="18"/>
      <c r="B292" s="19"/>
      <c r="C292" s="18"/>
      <c r="D292" s="517"/>
      <c r="E292" s="518"/>
      <c r="F292" s="519"/>
      <c r="G292" s="516"/>
      <c r="H292" s="516"/>
      <c r="I292" s="499"/>
      <c r="J292" s="5"/>
      <c r="K292" s="5"/>
      <c r="L292" s="5"/>
      <c r="M292" s="5"/>
    </row>
    <row r="293" spans="1:13" ht="15.75">
      <c r="A293" s="18"/>
      <c r="B293" s="19"/>
      <c r="C293" s="18"/>
      <c r="D293" s="48"/>
      <c r="E293" s="48"/>
      <c r="F293" s="50"/>
      <c r="G293" s="502" t="s">
        <v>32</v>
      </c>
      <c r="H293" s="502"/>
      <c r="I293" s="499" t="s">
        <v>15</v>
      </c>
      <c r="J293" s="5"/>
      <c r="K293" s="5"/>
      <c r="L293" s="5"/>
      <c r="M293" s="5"/>
    </row>
    <row r="294" spans="1:13" ht="15.75">
      <c r="A294" s="18"/>
      <c r="B294" s="19"/>
      <c r="C294" s="18"/>
      <c r="D294" s="48"/>
      <c r="E294" s="48"/>
      <c r="F294" s="50"/>
      <c r="G294" s="502" t="s">
        <v>32</v>
      </c>
      <c r="H294" s="502"/>
      <c r="I294" s="499" t="s">
        <v>15</v>
      </c>
      <c r="J294" s="5"/>
      <c r="K294" s="5"/>
      <c r="L294" s="5"/>
      <c r="M294" s="5"/>
    </row>
    <row r="295" spans="1:13" ht="15.75">
      <c r="A295" s="18"/>
      <c r="B295" s="38"/>
      <c r="C295" s="18"/>
      <c r="D295" s="18"/>
      <c r="E295" s="18"/>
      <c r="F295" s="30"/>
      <c r="G295" s="499"/>
      <c r="H295" s="499"/>
      <c r="I295" s="499"/>
      <c r="J295" s="5"/>
      <c r="K295" s="5"/>
      <c r="L295" s="5"/>
      <c r="M295" s="5"/>
    </row>
    <row r="296" spans="1:13" ht="15.75">
      <c r="A296" s="44"/>
      <c r="B296" s="44"/>
      <c r="C296" s="44"/>
      <c r="D296" s="16" t="s">
        <v>178</v>
      </c>
      <c r="E296" s="16"/>
      <c r="F296" s="44"/>
      <c r="G296" s="45"/>
      <c r="H296" s="45"/>
      <c r="I296" s="45"/>
      <c r="J296" s="5"/>
      <c r="K296" s="5"/>
      <c r="L296" s="5"/>
      <c r="M296" s="5"/>
    </row>
    <row r="297" spans="1:13" ht="15.75">
      <c r="A297" s="38"/>
      <c r="B297" s="19"/>
      <c r="C297" s="38"/>
      <c r="D297" s="57"/>
      <c r="E297" s="57"/>
      <c r="F297" s="57"/>
      <c r="G297" s="57"/>
      <c r="H297" s="57"/>
      <c r="I297" s="59"/>
      <c r="J297" s="25"/>
      <c r="K297" s="25"/>
      <c r="L297" s="25"/>
      <c r="M297" s="25"/>
    </row>
    <row r="298" spans="1:13" ht="15.75">
      <c r="A298" s="38"/>
      <c r="B298" s="19"/>
      <c r="C298" s="38"/>
      <c r="D298" s="58" t="s">
        <v>179</v>
      </c>
      <c r="E298" s="58"/>
      <c r="F298" s="60"/>
      <c r="G298" s="61" t="s">
        <v>32</v>
      </c>
      <c r="H298" s="61"/>
      <c r="I298" s="59"/>
      <c r="J298" s="25"/>
      <c r="K298" s="25"/>
      <c r="L298" s="25"/>
      <c r="M298" s="25"/>
    </row>
    <row r="319" spans="1:9">
      <c r="A319" s="239"/>
      <c r="B319" s="239"/>
      <c r="C319" s="240"/>
      <c r="D319" s="241" t="s">
        <v>3099</v>
      </c>
      <c r="E319" s="241"/>
      <c r="F319" s="242"/>
      <c r="G319" s="243"/>
      <c r="H319" s="243"/>
      <c r="I319" s="243"/>
    </row>
    <row r="320" spans="1:9">
      <c r="B320" s="239"/>
      <c r="C320" s="244"/>
    </row>
    <row r="321" spans="1:9">
      <c r="B321" s="239"/>
      <c r="C321" s="244"/>
      <c r="D321" s="245" t="s">
        <v>3100</v>
      </c>
      <c r="E321" s="245"/>
      <c r="F321" s="245" t="s">
        <v>3101</v>
      </c>
      <c r="G321" s="514" t="s">
        <v>32</v>
      </c>
      <c r="H321" s="594">
        <v>1</v>
      </c>
      <c r="I321" s="59" t="s">
        <v>3102</v>
      </c>
    </row>
    <row r="322" spans="1:9">
      <c r="B322" s="239"/>
      <c r="C322" s="244"/>
      <c r="D322" s="245" t="s">
        <v>3100</v>
      </c>
      <c r="E322" s="245"/>
      <c r="F322" s="245" t="s">
        <v>3103</v>
      </c>
      <c r="G322" s="514" t="s">
        <v>32</v>
      </c>
      <c r="H322" s="594">
        <v>1</v>
      </c>
      <c r="I322" s="59" t="s">
        <v>3102</v>
      </c>
    </row>
    <row r="323" spans="1:9">
      <c r="B323" s="239"/>
      <c r="C323" s="244"/>
      <c r="D323" s="245" t="s">
        <v>3104</v>
      </c>
      <c r="E323" s="245"/>
      <c r="F323" s="245" t="s">
        <v>3101</v>
      </c>
      <c r="G323" s="514" t="s">
        <v>32</v>
      </c>
      <c r="H323" s="594">
        <v>1</v>
      </c>
      <c r="I323" s="59" t="s">
        <v>3102</v>
      </c>
    </row>
    <row r="324" spans="1:9">
      <c r="B324" s="239"/>
      <c r="C324" s="244"/>
      <c r="D324" s="245" t="s">
        <v>3104</v>
      </c>
      <c r="E324" s="245"/>
      <c r="F324" s="245" t="s">
        <v>3103</v>
      </c>
      <c r="G324" s="514" t="s">
        <v>32</v>
      </c>
      <c r="H324" s="594">
        <v>1</v>
      </c>
      <c r="I324" s="59" t="s">
        <v>3102</v>
      </c>
    </row>
    <row r="326" spans="1:9">
      <c r="A326" s="239"/>
      <c r="B326" s="240"/>
      <c r="C326" s="241"/>
      <c r="D326" s="241" t="s">
        <v>3105</v>
      </c>
      <c r="E326" s="241"/>
      <c r="F326" s="242"/>
      <c r="G326" s="243"/>
      <c r="H326" s="243"/>
      <c r="I326" s="243"/>
    </row>
    <row r="327" spans="1:9">
      <c r="B327" s="240"/>
    </row>
    <row r="328" spans="1:9">
      <c r="B328" s="240"/>
      <c r="D328" s="246" t="s">
        <v>3106</v>
      </c>
      <c r="E328" s="247"/>
      <c r="F328" s="247"/>
      <c r="G328" s="515" t="s">
        <v>32</v>
      </c>
      <c r="H328" s="594">
        <v>1</v>
      </c>
      <c r="I328" s="59" t="s">
        <v>15</v>
      </c>
    </row>
    <row r="329" spans="1:9">
      <c r="B329" s="240"/>
      <c r="D329" s="246" t="s">
        <v>3107</v>
      </c>
      <c r="E329" s="247"/>
      <c r="F329" s="247"/>
      <c r="G329" s="515" t="s">
        <v>32</v>
      </c>
      <c r="H329" s="594">
        <v>1</v>
      </c>
      <c r="I329" s="59" t="s">
        <v>15</v>
      </c>
    </row>
    <row r="330" spans="1:9">
      <c r="B330" s="240"/>
      <c r="D330" s="246" t="s">
        <v>3108</v>
      </c>
      <c r="E330" s="247"/>
      <c r="F330" s="247"/>
      <c r="G330" s="515" t="s">
        <v>32</v>
      </c>
      <c r="H330" s="594">
        <v>1</v>
      </c>
      <c r="I330" s="59" t="s">
        <v>15</v>
      </c>
    </row>
    <row r="331" spans="1:9">
      <c r="B331" s="240"/>
      <c r="D331" s="246" t="s">
        <v>3109</v>
      </c>
      <c r="E331" s="247"/>
      <c r="F331" s="247"/>
      <c r="G331" s="515" t="s">
        <v>32</v>
      </c>
      <c r="H331" s="594">
        <v>1</v>
      </c>
      <c r="I331" s="59" t="s">
        <v>15</v>
      </c>
    </row>
    <row r="332" spans="1:9">
      <c r="B332" s="240"/>
      <c r="D332" s="246" t="s">
        <v>3110</v>
      </c>
      <c r="E332" s="248"/>
      <c r="F332" s="248"/>
      <c r="G332" s="515" t="s">
        <v>32</v>
      </c>
      <c r="H332" s="594">
        <v>1</v>
      </c>
      <c r="I332" s="59" t="s">
        <v>15</v>
      </c>
    </row>
    <row r="333" spans="1:9">
      <c r="B333" s="240"/>
      <c r="D333" s="246" t="s">
        <v>3111</v>
      </c>
      <c r="E333" s="248"/>
      <c r="F333" s="248"/>
      <c r="G333" s="515" t="s">
        <v>32</v>
      </c>
      <c r="H333" s="594">
        <v>1</v>
      </c>
      <c r="I333" s="59" t="s">
        <v>15</v>
      </c>
    </row>
    <row r="334" spans="1:9">
      <c r="B334" s="240"/>
      <c r="D334" s="246" t="s">
        <v>3112</v>
      </c>
      <c r="E334" s="248"/>
      <c r="F334" s="248"/>
      <c r="G334" s="515" t="s">
        <v>32</v>
      </c>
      <c r="H334" s="594">
        <v>1</v>
      </c>
      <c r="I334" s="59" t="s">
        <v>15</v>
      </c>
    </row>
    <row r="335" spans="1:9">
      <c r="B335" s="240"/>
      <c r="D335" s="246" t="s">
        <v>3113</v>
      </c>
      <c r="E335" s="248"/>
      <c r="F335" s="248"/>
      <c r="G335" s="515" t="s">
        <v>32</v>
      </c>
      <c r="H335" s="594">
        <v>1</v>
      </c>
      <c r="I335" s="59" t="s">
        <v>15</v>
      </c>
    </row>
  </sheetData>
  <conditionalFormatting sqref="D335">
    <cfRule type="expression" dxfId="21" priority="2">
      <formula>$I335="ja"</formula>
    </cfRule>
  </conditionalFormatting>
  <conditionalFormatting sqref="D335">
    <cfRule type="expression" dxfId="20" priority="1">
      <formula>$I335="ja"</formula>
    </cfRule>
  </conditionalFormatting>
  <conditionalFormatting sqref="D328">
    <cfRule type="expression" dxfId="19" priority="16">
      <formula>$I328="ja"</formula>
    </cfRule>
  </conditionalFormatting>
  <conditionalFormatting sqref="D328">
    <cfRule type="expression" dxfId="18" priority="15">
      <formula>$I328="ja"</formula>
    </cfRule>
  </conditionalFormatting>
  <conditionalFormatting sqref="D329">
    <cfRule type="expression" dxfId="17" priority="14">
      <formula>$I329="ja"</formula>
    </cfRule>
  </conditionalFormatting>
  <conditionalFormatting sqref="D329">
    <cfRule type="expression" dxfId="16" priority="13">
      <formula>$I329="ja"</formula>
    </cfRule>
  </conditionalFormatting>
  <conditionalFormatting sqref="D330">
    <cfRule type="expression" dxfId="15" priority="12">
      <formula>$I330="ja"</formula>
    </cfRule>
  </conditionalFormatting>
  <conditionalFormatting sqref="D330">
    <cfRule type="expression" dxfId="14" priority="11">
      <formula>$I330="ja"</formula>
    </cfRule>
  </conditionalFormatting>
  <conditionalFormatting sqref="D331">
    <cfRule type="expression" dxfId="13" priority="10">
      <formula>$I331="ja"</formula>
    </cfRule>
  </conditionalFormatting>
  <conditionalFormatting sqref="D331">
    <cfRule type="expression" dxfId="12" priority="9">
      <formula>$I331="ja"</formula>
    </cfRule>
  </conditionalFormatting>
  <conditionalFormatting sqref="D332">
    <cfRule type="expression" dxfId="11" priority="8">
      <formula>$I332="ja"</formula>
    </cfRule>
  </conditionalFormatting>
  <conditionalFormatting sqref="D332">
    <cfRule type="expression" dxfId="10" priority="7">
      <formula>$I332="ja"</formula>
    </cfRule>
  </conditionalFormatting>
  <conditionalFormatting sqref="D333">
    <cfRule type="expression" dxfId="9" priority="6">
      <formula>$I333="ja"</formula>
    </cfRule>
  </conditionalFormatting>
  <conditionalFormatting sqref="D333">
    <cfRule type="expression" dxfId="8" priority="5">
      <formula>$I333="ja"</formula>
    </cfRule>
  </conditionalFormatting>
  <conditionalFormatting sqref="D334">
    <cfRule type="expression" dxfId="7" priority="4">
      <formula>$I334="ja"</formula>
    </cfRule>
  </conditionalFormatting>
  <conditionalFormatting sqref="D334">
    <cfRule type="expression" dxfId="6" priority="3">
      <formula>$I334="ja"</formula>
    </cfRule>
  </conditionalFormatting>
  <pageMargins left="0.7" right="0.7" top="0.75" bottom="0.75" header="0.3" footer="0.3"/>
  <legacy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9">
    <tabColor theme="3" tint="0.59999389629810485"/>
  </sheetPr>
  <dimension ref="A1:CA228"/>
  <sheetViews>
    <sheetView topLeftCell="BI1" workbookViewId="0">
      <selection activeCell="BM1" sqref="BM1:BP1"/>
    </sheetView>
  </sheetViews>
  <sheetFormatPr defaultRowHeight="15"/>
  <cols>
    <col min="1" max="1" width="58.28515625" customWidth="1"/>
    <col min="2" max="2" width="54.28515625" customWidth="1"/>
    <col min="4" max="4" width="10.7109375" customWidth="1"/>
    <col min="5" max="5" width="31.85546875" bestFit="1" customWidth="1"/>
    <col min="6" max="6" width="9.140625" customWidth="1"/>
    <col min="7" max="7" width="20.140625" bestFit="1" customWidth="1"/>
    <col min="8" max="9" width="3.7109375" customWidth="1"/>
    <col min="10" max="10" width="53.7109375" customWidth="1"/>
    <col min="11" max="11" width="2.7109375" customWidth="1"/>
    <col min="13" max="13" width="10" customWidth="1"/>
    <col min="14" max="14" width="34.28515625" customWidth="1"/>
    <col min="15" max="15" width="9.140625" customWidth="1"/>
    <col min="16" max="16" width="15" customWidth="1"/>
    <col min="17" max="17" width="13" customWidth="1"/>
    <col min="18" max="18" width="7.7109375" customWidth="1"/>
    <col min="19" max="19" width="8.42578125" customWidth="1"/>
    <col min="20" max="20" width="17.85546875" customWidth="1"/>
    <col min="21" max="21" width="16" customWidth="1"/>
    <col min="22" max="22" width="4.140625" customWidth="1"/>
    <col min="23" max="23" width="10.85546875" customWidth="1"/>
    <col min="24" max="24" width="9.140625" customWidth="1"/>
    <col min="25" max="25" width="10.28515625" style="151" customWidth="1"/>
    <col min="26" max="26" width="9.7109375" style="151" customWidth="1"/>
    <col min="29" max="29" width="9.140625" customWidth="1"/>
    <col min="30" max="30" width="9.140625" style="151" customWidth="1"/>
    <col min="31" max="31" width="9.140625" customWidth="1"/>
    <col min="33" max="33" width="11.42578125" customWidth="1"/>
    <col min="34" max="34" width="10.140625" customWidth="1"/>
    <col min="35" max="35" width="11.42578125" customWidth="1"/>
    <col min="36" max="36" width="13.5703125" customWidth="1"/>
    <col min="37" max="37" width="10.5703125" customWidth="1"/>
    <col min="38" max="41" width="9.140625" customWidth="1"/>
    <col min="42" max="42" width="11.42578125" customWidth="1"/>
    <col min="43" max="43" width="9.140625" customWidth="1"/>
    <col min="44" max="44" width="10.140625" customWidth="1"/>
    <col min="45" max="45" width="12.85546875" customWidth="1"/>
    <col min="46" max="46" width="7.140625" customWidth="1"/>
    <col min="47" max="47" width="9.140625" customWidth="1"/>
    <col min="48" max="48" width="11.42578125" customWidth="1"/>
    <col min="49" max="49" width="4.140625" customWidth="1"/>
    <col min="50" max="51" width="12.7109375" customWidth="1"/>
    <col min="52" max="52" width="2" customWidth="1"/>
    <col min="53" max="53" width="12.7109375" customWidth="1"/>
    <col min="54" max="54" width="2.42578125" customWidth="1"/>
    <col min="55" max="55" width="12.85546875" customWidth="1"/>
    <col min="56" max="56" width="4.140625" customWidth="1"/>
    <col min="57" max="57" width="12.7109375" customWidth="1"/>
    <col min="58" max="58" width="10.7109375" customWidth="1"/>
    <col min="59" max="59" width="12" customWidth="1"/>
    <col min="60" max="60" width="4.42578125" customWidth="1"/>
    <col min="61" max="61" width="15" customWidth="1"/>
    <col min="62" max="62" width="30.7109375" customWidth="1"/>
    <col min="63" max="63" width="14.5703125" customWidth="1"/>
    <col min="64" max="64" width="53.42578125" customWidth="1"/>
    <col min="67" max="67" width="9.42578125" bestFit="1" customWidth="1"/>
    <col min="72" max="72" width="1.42578125" customWidth="1"/>
  </cols>
  <sheetData>
    <row r="1" spans="1:79" s="95" customFormat="1">
      <c r="A1" s="109"/>
      <c r="B1" s="109"/>
      <c r="C1" s="109"/>
      <c r="D1" s="110"/>
      <c r="E1" s="110"/>
      <c r="F1" s="110"/>
      <c r="G1" s="110"/>
      <c r="H1" s="110"/>
      <c r="I1" s="110"/>
      <c r="J1" s="127"/>
      <c r="K1" s="110"/>
      <c r="L1" s="109"/>
      <c r="M1" s="110"/>
      <c r="N1" s="110"/>
      <c r="O1" s="110"/>
      <c r="P1" s="110"/>
      <c r="Q1" s="110"/>
      <c r="R1" s="110"/>
      <c r="S1" s="110"/>
      <c r="T1" s="110"/>
      <c r="U1" s="127"/>
      <c r="V1" s="110"/>
      <c r="W1" s="635" t="s">
        <v>191</v>
      </c>
      <c r="X1" s="636"/>
      <c r="Y1" s="636"/>
      <c r="Z1" s="636"/>
      <c r="AA1" s="636"/>
      <c r="AB1" s="636"/>
      <c r="AC1" s="636"/>
      <c r="AD1" s="636"/>
      <c r="AE1" s="636"/>
      <c r="AF1" s="636"/>
      <c r="AG1" s="637"/>
      <c r="AH1" s="191"/>
      <c r="AI1" s="641" t="s">
        <v>192</v>
      </c>
      <c r="AJ1" s="642"/>
      <c r="AK1" s="642"/>
      <c r="AL1" s="642"/>
      <c r="AM1" s="642"/>
      <c r="AN1" s="642"/>
      <c r="AO1" s="642"/>
      <c r="AP1" s="642"/>
      <c r="AQ1" s="642"/>
      <c r="AR1" s="642"/>
      <c r="AS1" s="642"/>
      <c r="AT1" s="642"/>
      <c r="AU1" s="642"/>
      <c r="AV1" s="642"/>
      <c r="AW1"/>
      <c r="AX1" s="626" t="s">
        <v>375</v>
      </c>
      <c r="AY1" s="626"/>
      <c r="AZ1" s="626"/>
      <c r="BA1" s="626"/>
      <c r="BB1"/>
      <c r="BC1" s="168"/>
      <c r="BD1" s="169"/>
      <c r="BE1" s="627" t="s">
        <v>193</v>
      </c>
      <c r="BF1" s="633"/>
      <c r="BG1" s="634"/>
      <c r="BI1" s="140" t="s">
        <v>244</v>
      </c>
      <c r="BJ1" s="141"/>
      <c r="BM1" s="625" t="s">
        <v>3323</v>
      </c>
      <c r="BN1" s="625"/>
      <c r="BO1" s="625"/>
      <c r="BP1" s="625"/>
      <c r="BR1" s="626" t="s">
        <v>3324</v>
      </c>
      <c r="BS1" s="626"/>
      <c r="BT1" s="626"/>
      <c r="BU1" s="626"/>
      <c r="BW1" s="170" t="s">
        <v>3325</v>
      </c>
      <c r="BY1" s="627" t="s">
        <v>3326</v>
      </c>
      <c r="BZ1" s="628"/>
      <c r="CA1" s="629"/>
    </row>
    <row r="2" spans="1:79" s="95" customFormat="1">
      <c r="A2" s="111"/>
      <c r="B2" s="111"/>
      <c r="C2" s="630" t="s">
        <v>236</v>
      </c>
      <c r="D2" s="631"/>
      <c r="E2" s="631"/>
      <c r="F2" s="631"/>
      <c r="G2" s="631"/>
      <c r="H2" s="631"/>
      <c r="I2" s="631"/>
      <c r="J2" s="632"/>
      <c r="K2" s="187"/>
      <c r="L2" s="630" t="s">
        <v>237</v>
      </c>
      <c r="M2" s="631"/>
      <c r="N2" s="631"/>
      <c r="O2" s="631"/>
      <c r="P2" s="631"/>
      <c r="Q2" s="631"/>
      <c r="R2" s="631"/>
      <c r="S2" s="631"/>
      <c r="T2" s="631"/>
      <c r="U2" s="632"/>
      <c r="V2" s="187"/>
      <c r="W2" s="639" t="s">
        <v>188</v>
      </c>
      <c r="X2" s="638"/>
      <c r="Y2" s="638"/>
      <c r="Z2" s="638"/>
      <c r="AA2" s="638"/>
      <c r="AB2" s="638"/>
      <c r="AC2" s="638" t="s">
        <v>187</v>
      </c>
      <c r="AD2" s="638"/>
      <c r="AE2" s="638"/>
      <c r="AF2" s="638"/>
      <c r="AG2" s="124" t="s">
        <v>201</v>
      </c>
      <c r="AH2" s="112"/>
      <c r="AI2" s="640" t="s">
        <v>188</v>
      </c>
      <c r="AJ2" s="625"/>
      <c r="AK2" s="625"/>
      <c r="AL2" s="625"/>
      <c r="AM2" s="625"/>
      <c r="AN2" s="625"/>
      <c r="AO2" s="625"/>
      <c r="AP2" s="625" t="s">
        <v>187</v>
      </c>
      <c r="AQ2" s="625"/>
      <c r="AR2" s="625"/>
      <c r="AS2" s="625"/>
      <c r="AT2" s="625"/>
      <c r="AU2" s="625"/>
      <c r="AV2" s="170" t="s">
        <v>376</v>
      </c>
      <c r="AW2"/>
      <c r="AX2" s="595"/>
      <c r="AY2" s="595"/>
      <c r="AZ2" s="595"/>
      <c r="BA2" s="595"/>
      <c r="BB2"/>
      <c r="BC2" s="171" t="s">
        <v>377</v>
      </c>
      <c r="BD2" s="137"/>
      <c r="BE2" s="121"/>
      <c r="BF2" s="113"/>
      <c r="BG2" s="114"/>
      <c r="BI2" s="134"/>
      <c r="BJ2" s="135"/>
      <c r="BM2" s="170"/>
      <c r="BN2" s="170"/>
      <c r="BO2" s="170"/>
      <c r="BP2" s="170"/>
      <c r="BQ2" s="402"/>
      <c r="BR2" s="595"/>
      <c r="BS2" s="595"/>
      <c r="BT2" s="595"/>
      <c r="BU2" s="595"/>
      <c r="BV2" s="402"/>
      <c r="BW2" s="171" t="s">
        <v>377</v>
      </c>
      <c r="BX2" s="137"/>
      <c r="BY2" s="121"/>
      <c r="BZ2" s="113"/>
      <c r="CA2" s="114"/>
    </row>
    <row r="3" spans="1:79" s="108" customFormat="1" ht="60">
      <c r="A3" s="115" t="s">
        <v>251</v>
      </c>
      <c r="B3" s="115" t="s">
        <v>252</v>
      </c>
      <c r="C3" s="115" t="s">
        <v>180</v>
      </c>
      <c r="D3" s="164" t="s">
        <v>438</v>
      </c>
      <c r="E3" s="116" t="s">
        <v>350</v>
      </c>
      <c r="F3" s="116" t="s">
        <v>182</v>
      </c>
      <c r="G3" s="116" t="s">
        <v>183</v>
      </c>
      <c r="H3" s="116"/>
      <c r="I3" s="116"/>
      <c r="J3" s="128" t="s">
        <v>202</v>
      </c>
      <c r="K3" s="116"/>
      <c r="L3" s="115" t="s">
        <v>184</v>
      </c>
      <c r="M3" s="164" t="s">
        <v>438</v>
      </c>
      <c r="N3" s="116" t="s">
        <v>351</v>
      </c>
      <c r="O3" s="116" t="s">
        <v>186</v>
      </c>
      <c r="P3" s="116" t="s">
        <v>364</v>
      </c>
      <c r="Q3" s="116" t="s">
        <v>2178</v>
      </c>
      <c r="R3" s="173" t="s">
        <v>357</v>
      </c>
      <c r="S3" s="173" t="s">
        <v>2176</v>
      </c>
      <c r="T3" s="116" t="s">
        <v>230</v>
      </c>
      <c r="U3" s="128" t="s">
        <v>231</v>
      </c>
      <c r="V3" s="116"/>
      <c r="W3" s="125" t="s">
        <v>220</v>
      </c>
      <c r="X3" s="117" t="s">
        <v>188</v>
      </c>
      <c r="Y3" s="117" t="s">
        <v>221</v>
      </c>
      <c r="Z3" s="117" t="s">
        <v>343</v>
      </c>
      <c r="AA3" s="117" t="s">
        <v>222</v>
      </c>
      <c r="AB3" s="117" t="s">
        <v>250</v>
      </c>
      <c r="AC3" s="117" t="s">
        <v>187</v>
      </c>
      <c r="AD3" s="117" t="s">
        <v>223</v>
      </c>
      <c r="AE3" s="117" t="s">
        <v>344</v>
      </c>
      <c r="AF3" s="117" t="s">
        <v>195</v>
      </c>
      <c r="AG3" s="126" t="s">
        <v>196</v>
      </c>
      <c r="AH3" s="117"/>
      <c r="AI3" s="123" t="s">
        <v>232</v>
      </c>
      <c r="AJ3" s="118" t="s">
        <v>3096</v>
      </c>
      <c r="AK3" s="118" t="s">
        <v>190</v>
      </c>
      <c r="AL3" s="118" t="s">
        <v>234</v>
      </c>
      <c r="AM3" s="118" t="s">
        <v>249</v>
      </c>
      <c r="AN3" s="118" t="s">
        <v>222</v>
      </c>
      <c r="AO3" s="118" t="s">
        <v>250</v>
      </c>
      <c r="AP3" s="118" t="s">
        <v>233</v>
      </c>
      <c r="AQ3" s="118" t="s">
        <v>187</v>
      </c>
      <c r="AR3" s="118" t="s">
        <v>235</v>
      </c>
      <c r="AS3" s="118" t="s">
        <v>229</v>
      </c>
      <c r="AT3" s="118">
        <v>0</v>
      </c>
      <c r="AU3" s="118" t="s">
        <v>195</v>
      </c>
      <c r="AV3" s="118" t="s">
        <v>196</v>
      </c>
      <c r="AW3"/>
      <c r="AX3" s="172" t="s">
        <v>197</v>
      </c>
      <c r="AY3" s="172" t="s">
        <v>378</v>
      </c>
      <c r="AZ3" s="172"/>
      <c r="BA3" s="172" t="s">
        <v>379</v>
      </c>
      <c r="BB3" s="173"/>
      <c r="BC3" s="174" t="s">
        <v>380</v>
      </c>
      <c r="BD3" s="173"/>
      <c r="BE3" s="122" t="s">
        <v>199</v>
      </c>
      <c r="BF3" s="119" t="s">
        <v>200</v>
      </c>
      <c r="BG3" s="120" t="s">
        <v>198</v>
      </c>
      <c r="BI3" s="142" t="s">
        <v>245</v>
      </c>
      <c r="BJ3" s="143" t="s">
        <v>246</v>
      </c>
      <c r="BL3" s="108" t="s">
        <v>3389</v>
      </c>
      <c r="BM3" s="403" t="s">
        <v>222</v>
      </c>
      <c r="BN3" s="403" t="s">
        <v>250</v>
      </c>
      <c r="BO3" s="403" t="s">
        <v>195</v>
      </c>
      <c r="BP3" s="403" t="s">
        <v>3328</v>
      </c>
      <c r="BQ3" s="173"/>
      <c r="BR3" s="172" t="s">
        <v>3329</v>
      </c>
      <c r="BS3" s="172" t="s">
        <v>378</v>
      </c>
      <c r="BT3" s="172"/>
      <c r="BU3" s="172" t="s">
        <v>379</v>
      </c>
      <c r="BV3" s="173"/>
      <c r="BW3" s="174" t="s">
        <v>3330</v>
      </c>
      <c r="BX3" s="173"/>
      <c r="BY3" s="122" t="s">
        <v>199</v>
      </c>
      <c r="BZ3" s="119" t="s">
        <v>200</v>
      </c>
      <c r="CA3" s="120" t="s">
        <v>198</v>
      </c>
    </row>
    <row r="4" spans="1:79" s="151" customFormat="1">
      <c r="A4" s="151" t="str">
        <f t="shared" ref="A4:A28" si="0">C4&amp;D4&amp;E4&amp;F4&amp;G4</f>
        <v>1EoKStandard Access koper 3mbHoogOn-net (NLS1, 2)</v>
      </c>
      <c r="B4" s="151" t="str">
        <f t="shared" ref="B4:B13" si="1">A4</f>
        <v>1EoKStandard Access koper 3mbHoogOn-net (NLS1, 2)</v>
      </c>
      <c r="C4" s="178">
        <v>1</v>
      </c>
      <c r="D4" s="415" t="s">
        <v>303</v>
      </c>
      <c r="E4" s="178" t="s">
        <v>268</v>
      </c>
      <c r="F4" s="107" t="s">
        <v>274</v>
      </c>
      <c r="G4" s="178" t="s">
        <v>281</v>
      </c>
      <c r="I4" s="178"/>
      <c r="J4" s="520" t="str">
        <f t="shared" ref="J4:J28" si="2">D4&amp;E4&amp;F4&amp;G4</f>
        <v>EoKStandard Access koper 3mbHoogOn-net (NLS1, 2)</v>
      </c>
      <c r="L4" s="204">
        <f>INDEX(Mapping!$H:$H,MATCH(C$3&amp;C4,Mapping!$B:$B,0))</f>
        <v>1</v>
      </c>
      <c r="M4" s="204" t="str">
        <f>INDEX(Mapping!$H:$H,MATCH(D$3&amp;D4,Mapping!$B:$B,0))</f>
        <v>EoK</v>
      </c>
      <c r="N4" s="204" t="str">
        <f>INDEX(Mapping!$H:$H,MATCH(E$3&amp;E4,Mapping!$B:$B,0))</f>
        <v>Copper Standard Access 3Mbit/s</v>
      </c>
      <c r="O4" s="204" t="str">
        <f>INDEX(Mapping!$H:$H,MATCH(E4&amp;F4,Mapping!$B:$B,0))</f>
        <v/>
      </c>
      <c r="P4" s="204" t="str">
        <f>INDEX(Mapping!$H:$H,MATCH($E4&amp;$G4,Mapping!$B:$B,0))</f>
        <v>On-net (NLS1, 2)</v>
      </c>
      <c r="Q4" s="204">
        <f>INDEX(Mapping!$H:$H,MATCH($E4&amp;$G4&amp;"graafafstand",Mapping!$B:$B,0))</f>
        <v>0</v>
      </c>
      <c r="R4" s="204">
        <f>INDEX(Mapping!$H:$H,MATCH(R$3&amp;$E4,Mapping!$B:$B,0))</f>
        <v>1</v>
      </c>
      <c r="S4" s="204">
        <f>INDEX(Mapping!$H:$H,MATCH(S$3&amp;$E4,Mapping!$B:$B,0))</f>
        <v>1</v>
      </c>
      <c r="T4" s="139" t="str">
        <f t="shared" ref="T4:T13" si="3">N4&amp;O4&amp;P4</f>
        <v>Copper Standard Access 3Mbit/sOn-net (NLS1, 2)</v>
      </c>
      <c r="U4" s="151" t="str">
        <f t="shared" ref="U4:U13" si="4">T4</f>
        <v>Copper Standard Access 3Mbit/sOn-net (NLS1, 2)</v>
      </c>
      <c r="W4" s="521">
        <f>MATCH($J4,'Tarieven ZM'!$B:$B,0)</f>
        <v>137</v>
      </c>
      <c r="X4" s="204">
        <f>INDEX('Tarieven ZM'!$H:$H,$W4)</f>
        <v>1000</v>
      </c>
      <c r="Y4" s="198">
        <f>IF(E4="Standard Access in ZG BT gebieden",0,-INDEX(Parameters!$B:$B,MATCH(Y$3&amp;$C4,Parameters!$A:$A,0))*$X4)</f>
        <v>0</v>
      </c>
      <c r="Z4" s="198">
        <f>IF(E4="Standard Access in ZG BT gebieden",0,MAX(-INDEX(Parameters!$B:$B,MATCH(Z$3&amp;$C4,Parameters!$A:$A,0))*$X4,-INDEX(Parameters!$B:$B,MATCH("FactorMaxSalesMandaat"&amp;E4,Parameters!$A:$A,0))*INDEX(Parameters!$B:$B,MATCH("MaxSalesMandaatAccessVVE"&amp;$C4,Parameters!$A:$A,0))))</f>
        <v>0</v>
      </c>
      <c r="AA4" s="139">
        <f t="shared" ref="AA4:AA13" si="5">SUM(X4:Z4)</f>
        <v>1000</v>
      </c>
      <c r="AB4" s="205">
        <f>AA4/INDEX(Parameters!$B:$B,MATCH("AfschrijftermijnVVE"&amp;12*$C4,Parameters!$A:$A,0))</f>
        <v>27.777777777777779</v>
      </c>
      <c r="AC4" s="204">
        <f>INDEX('Tarieven ZM'!$G:$G,$W4)</f>
        <v>1000</v>
      </c>
      <c r="AD4" s="198">
        <f>IF(E4="Standard Access in ZG BT gebieden",0,-INDEX(Parameters!$B:$B,MATCH(AD$3&amp;$C4,Parameters!$A:$A,0))*$AC4)</f>
        <v>0</v>
      </c>
      <c r="AE4" s="198">
        <f>IF(E4="Standard Access in ZG BT gebieden",0,-INDEX(Parameters!$B:$B,MATCH(AE$3,Parameters!$A:$A,0))*$AC4)</f>
        <v>0</v>
      </c>
      <c r="AF4" s="139">
        <f t="shared" ref="AF4:AF13" si="6">SUM(AC4:AE4)</f>
        <v>1000</v>
      </c>
      <c r="AG4" s="522">
        <f t="shared" ref="AG4:AG13" si="7">SUM(AB4,AF4)</f>
        <v>1027.7777777777778</v>
      </c>
      <c r="AH4" s="175"/>
      <c r="AI4" s="523">
        <f>IF(N4&lt;&gt;"nvt",MATCH($T4,'Tarieven W&amp;O'!$B:$B,0),"nvt")</f>
        <v>9</v>
      </c>
      <c r="AJ4" s="205">
        <f>IF(AI4&lt;&gt;"nvt",IF($D4="EoK",INDEX(Parameters!C:C,MATCH("NLSx EoK",Parameters!A:A,0)),INDEX('Tarieven W&amp;O'!$H:$H,$AI4)),0)*R4</f>
        <v>350</v>
      </c>
      <c r="AK4" s="204">
        <f>IF(AI4&lt;&gt;"nvt",INDEX('Tarieven W&amp;O'!$I:$I,$AI4),0)*R4</f>
        <v>75</v>
      </c>
      <c r="AL4" s="524">
        <f>IF(AI4&lt;&gt;"nvt",-INDEX(Parameters!$B:$B,MATCH(AL$3,Parameters!$A:$A,0))*(AJ4+AK4),0)</f>
        <v>0</v>
      </c>
      <c r="AM4" s="525"/>
      <c r="AN4" s="139">
        <f t="shared" ref="AN4:AN13" si="8">SUM(AJ4:AM4)</f>
        <v>425</v>
      </c>
      <c r="AO4" s="205">
        <f>AN4/INDEX(Parameters!$B:$B,MATCH("AfschrijftermijnVVE"&amp;12*$C4,Parameters!$A:$A,0))</f>
        <v>11.805555555555555</v>
      </c>
      <c r="AP4" s="139">
        <f t="shared" ref="AP4:AP28" si="9">AI4</f>
        <v>9</v>
      </c>
      <c r="AQ4" s="526">
        <f>IF(AP4&lt;&gt;"nvt",R4*INDEX('Tarieven W&amp;O'!$G:$G,$AP4),0)</f>
        <v>41.5</v>
      </c>
      <c r="AR4" s="524">
        <f>-INDEX(Parameters!$B:$B,MATCH(AR$3,Parameters!$A:$A,0))*(AQ4)</f>
        <v>0</v>
      </c>
      <c r="AS4" s="205">
        <f>IF(E4="straal access",'EDC Minus'!$H$192,IF(Q4&lt;&gt;"nvt",Q4*S4*'EDC Minus'!$H$292/590,0))</f>
        <v>0</v>
      </c>
      <c r="AT4" s="139"/>
      <c r="AU4" s="150">
        <f t="shared" ref="AU4:AU13" si="10">SUM(AQ4:AT4)</f>
        <v>41.5</v>
      </c>
      <c r="AV4" s="150">
        <f t="shared" ref="AV4:AV13" si="11">SUM(AO4,AU4)</f>
        <v>53.305555555555557</v>
      </c>
      <c r="AX4" s="526">
        <f>Parameters!$B$6*AV4</f>
        <v>0.53305555555555562</v>
      </c>
      <c r="AY4" s="150">
        <v>0</v>
      </c>
      <c r="AZ4" s="150"/>
      <c r="BA4" s="150">
        <f t="shared" ref="BA4:BA28" si="12">SUM(AX4:AZ4)</f>
        <v>0.53305555555555562</v>
      </c>
      <c r="BC4" s="522">
        <f t="shared" ref="BC4:BC23" si="13">SUM(AV4,BA4)</f>
        <v>53.838611111111113</v>
      </c>
      <c r="BD4" s="175"/>
      <c r="BE4" s="527">
        <f t="shared" ref="BE4:BE28" si="14">AG4-BC4</f>
        <v>973.93916666666667</v>
      </c>
      <c r="BF4" s="181">
        <f t="shared" ref="BF4:BF28" si="15">IF(AG4=0,-999%,BE4/AG4)</f>
        <v>0.94761648648648644</v>
      </c>
      <c r="BG4" s="520" t="b">
        <f t="shared" ref="BG4:BG13" si="16">BF4&lt;0</f>
        <v>0</v>
      </c>
      <c r="BI4" s="528" t="s">
        <v>2181</v>
      </c>
      <c r="BK4" s="151">
        <f>VLOOKUP(J4,'Tarieven ZM'!$B$136:$I$235,8,0)</f>
        <v>0</v>
      </c>
      <c r="BL4" s="151" t="str">
        <f>IF(M4="EoK",N4&amp;"AdvancedNLS type 1/2/3",IF(E4&lt;&gt;"Straal Access",INDEX(Mapping!J:J,MATCH(E4&amp;G4,Mapping!B:B,0)),E4))</f>
        <v>Copper Standard Access 3Mbit/sAdvancedNLS type 1/2/3</v>
      </c>
      <c r="BM4" s="184">
        <f>INDEX('inkoop ULL tbv EVPN'!J:J,MATCH($BL4,'inkoop ULL tbv EVPN'!$H:$H,0))</f>
        <v>78.97</v>
      </c>
      <c r="BN4" s="180">
        <f>BM4/INDEX(Parameters!$B:$B,MATCH("AfschrijftermijnVVE"&amp;12*$C4,Parameters!$A:$A,0))</f>
        <v>2.1936111111111112</v>
      </c>
      <c r="BO4" s="184">
        <f>INDEX('inkoop ULL tbv EVPN'!I:I,MATCH($BL4,'inkoop ULL tbv EVPN'!$H:$H,0))</f>
        <v>14.7296035</v>
      </c>
      <c r="BP4" s="184">
        <f t="shared" ref="BP4:BP23" si="17">BN4+BO4</f>
        <v>16.92321461111111</v>
      </c>
      <c r="BR4" s="180">
        <f>Parameters!$B$12*AG4</f>
        <v>102.77777777777779</v>
      </c>
      <c r="BS4" s="180">
        <f>SUM(Distributievergoedingen!$F$12,Distributievergoedingen!$I$12,Distributievergoedingen!$L$12,Distributievergoedingen!$O$12)*AF4+SUM(Distributievergoedingen!$O$12*AA4+Distributievergoedingen!$R$12+Distributievergoedingen!$U$12+Distributievergoedingen!$X$12)/(MAX(36,12*C4))</f>
        <v>112.77777777777777</v>
      </c>
      <c r="BT4" s="150"/>
      <c r="BU4" s="150">
        <f t="shared" ref="BU4:BU23" si="18">SUM(BR4:BT4)</f>
        <v>215.55555555555554</v>
      </c>
      <c r="BW4" s="522">
        <f t="shared" ref="BW4:BW23" si="19">SUM(BP4,BU4)</f>
        <v>232.47877016666666</v>
      </c>
      <c r="BY4" s="527">
        <f t="shared" ref="BY4:BY23" si="20">AG4-BW4</f>
        <v>795.29900761111116</v>
      </c>
      <c r="BZ4" s="181">
        <f t="shared" ref="BZ4:BZ23" si="21">IF(AG4=0,-999%,BY4/AG4)</f>
        <v>0.77380443983783787</v>
      </c>
      <c r="CA4" s="520" t="b">
        <f t="shared" ref="CA4:CA23" si="22">BZ4&lt;0</f>
        <v>0</v>
      </c>
    </row>
    <row r="5" spans="1:79" s="151" customFormat="1">
      <c r="A5" s="151" t="str">
        <f t="shared" si="0"/>
        <v>1EoKStandard Access koper 5mbHoogOn-net (NLS1, 2)</v>
      </c>
      <c r="B5" s="151" t="str">
        <f t="shared" si="1"/>
        <v>1EoKStandard Access koper 5mbHoogOn-net (NLS1, 2)</v>
      </c>
      <c r="C5" s="178">
        <v>1</v>
      </c>
      <c r="D5" s="415" t="s">
        <v>303</v>
      </c>
      <c r="E5" s="178" t="s">
        <v>276</v>
      </c>
      <c r="F5" s="107" t="s">
        <v>274</v>
      </c>
      <c r="G5" s="178" t="s">
        <v>281</v>
      </c>
      <c r="I5" s="178"/>
      <c r="J5" s="520" t="str">
        <f t="shared" si="2"/>
        <v>EoKStandard Access koper 5mbHoogOn-net (NLS1, 2)</v>
      </c>
      <c r="L5" s="204">
        <f>INDEX(Mapping!$H:$H,MATCH(C$3&amp;C5,Mapping!$B:$B,0))</f>
        <v>1</v>
      </c>
      <c r="M5" s="204" t="str">
        <f>INDEX(Mapping!$H:$H,MATCH(D$3&amp;D5,Mapping!$B:$B,0))</f>
        <v>EoK</v>
      </c>
      <c r="N5" s="204" t="str">
        <f>INDEX(Mapping!$H:$H,MATCH(E$3&amp;E5,Mapping!$B:$B,0))</f>
        <v>Copper Standard Access 5Mbit/s</v>
      </c>
      <c r="O5" s="204" t="str">
        <f>INDEX(Mapping!$H:$H,MATCH(E5&amp;F5,Mapping!$B:$B,0))</f>
        <v/>
      </c>
      <c r="P5" s="204" t="str">
        <f>INDEX(Mapping!$H:$H,MATCH($E5&amp;$G5,Mapping!$B:$B,0))</f>
        <v>On-net (NLS1, 2)</v>
      </c>
      <c r="Q5" s="204">
        <f>INDEX(Mapping!$H:$H,MATCH($E5&amp;$G5&amp;"graafafstand",Mapping!$B:$B,0))</f>
        <v>0</v>
      </c>
      <c r="R5" s="204">
        <f>INDEX(Mapping!$H:$H,MATCH(R$3&amp;$E5,Mapping!$B:$B,0))</f>
        <v>1</v>
      </c>
      <c r="S5" s="204">
        <f>INDEX(Mapping!$H:$H,MATCH(S$3&amp;$E5,Mapping!$B:$B,0))</f>
        <v>1</v>
      </c>
      <c r="T5" s="139" t="str">
        <f t="shared" si="3"/>
        <v>Copper Standard Access 5Mbit/sOn-net (NLS1, 2)</v>
      </c>
      <c r="U5" s="151" t="str">
        <f t="shared" si="4"/>
        <v>Copper Standard Access 5Mbit/sOn-net (NLS1, 2)</v>
      </c>
      <c r="W5" s="521">
        <f>MATCH($J5,'Tarieven ZM'!$B:$B,0)</f>
        <v>138</v>
      </c>
      <c r="X5" s="204">
        <f>INDEX('Tarieven ZM'!$H:$H,$W5)</f>
        <v>1000</v>
      </c>
      <c r="Y5" s="198">
        <f>IF(E5="Standard Access in ZG BT gebieden",0,-INDEX(Parameters!$B:$B,MATCH(Y$3&amp;$C5,Parameters!$A:$A,0))*$X5)</f>
        <v>0</v>
      </c>
      <c r="Z5" s="198">
        <f>IF(E5="Standard Access in ZG BT gebieden",0,MAX(-INDEX(Parameters!$B:$B,MATCH(Z$3&amp;$C5,Parameters!$A:$A,0))*$X5,-INDEX(Parameters!$B:$B,MATCH("FactorMaxSalesMandaat"&amp;E5,Parameters!$A:$A,0))*INDEX(Parameters!$B:$B,MATCH("MaxSalesMandaatAccessVVE"&amp;$C5,Parameters!$A:$A,0))))</f>
        <v>0</v>
      </c>
      <c r="AA5" s="139">
        <f t="shared" si="5"/>
        <v>1000</v>
      </c>
      <c r="AB5" s="205">
        <f>AA5/INDEX(Parameters!$B:$B,MATCH("AfschrijftermijnVVE"&amp;12*$C5,Parameters!$A:$A,0))</f>
        <v>27.777777777777779</v>
      </c>
      <c r="AC5" s="204">
        <f>INDEX('Tarieven ZM'!$G:$G,$W5)</f>
        <v>1000</v>
      </c>
      <c r="AD5" s="198">
        <f>IF(E5="Standard Access in ZG BT gebieden",0,-INDEX(Parameters!$B:$B,MATCH(AD$3&amp;$C5,Parameters!$A:$A,0))*$AC5)</f>
        <v>0</v>
      </c>
      <c r="AE5" s="198">
        <f>IF(E5="Standard Access in ZG BT gebieden",0,-INDEX(Parameters!$B:$B,MATCH(AE$3,Parameters!$A:$A,0))*$AC5)</f>
        <v>0</v>
      </c>
      <c r="AF5" s="139">
        <f t="shared" si="6"/>
        <v>1000</v>
      </c>
      <c r="AG5" s="522">
        <f t="shared" si="7"/>
        <v>1027.7777777777778</v>
      </c>
      <c r="AH5" s="175"/>
      <c r="AI5" s="523">
        <f>IF(N5&lt;&gt;"nvt",MATCH($T5,'Tarieven W&amp;O'!$B:$B,0),"nvt")</f>
        <v>10</v>
      </c>
      <c r="AJ5" s="205">
        <f>IF(AI5&lt;&gt;"nvt",IF($D5="EoK",INDEX(Parameters!C:C,MATCH("NLSx EoK",Parameters!A:A,0)),INDEX('Tarieven W&amp;O'!$H:$H,$AI5)),0)*R5</f>
        <v>350</v>
      </c>
      <c r="AK5" s="204">
        <f>IF(AI5&lt;&gt;"nvt",INDEX('Tarieven W&amp;O'!$I:$I,$AI5),0)*R5</f>
        <v>75</v>
      </c>
      <c r="AL5" s="524">
        <f>IF(AI5&lt;&gt;"nvt",-INDEX(Parameters!$B:$B,MATCH(AL$3,Parameters!$A:$A,0))*(AJ5+AK5),0)</f>
        <v>0</v>
      </c>
      <c r="AM5" s="525"/>
      <c r="AN5" s="139">
        <f t="shared" si="8"/>
        <v>425</v>
      </c>
      <c r="AO5" s="205">
        <f>AN5/INDEX(Parameters!$B:$B,MATCH("AfschrijftermijnVVE"&amp;12*$C5,Parameters!$A:$A,0))</f>
        <v>11.805555555555555</v>
      </c>
      <c r="AP5" s="139">
        <f t="shared" si="9"/>
        <v>10</v>
      </c>
      <c r="AQ5" s="526">
        <f>IF(AP5&lt;&gt;"nvt",R5*INDEX('Tarieven W&amp;O'!$G:$G,$AP5),0)</f>
        <v>60.97</v>
      </c>
      <c r="AR5" s="524">
        <f>-INDEX(Parameters!$B:$B,MATCH(AR$3,Parameters!$A:$A,0))*(AQ5)</f>
        <v>0</v>
      </c>
      <c r="AS5" s="205">
        <f>IF(E5="straal access",'EDC Minus'!$H$192,IF(Q5&lt;&gt;"nvt",Q5*S5*'EDC Minus'!$H$292/590,0))</f>
        <v>0</v>
      </c>
      <c r="AT5" s="139"/>
      <c r="AU5" s="150">
        <f t="shared" si="10"/>
        <v>60.97</v>
      </c>
      <c r="AV5" s="150">
        <f t="shared" si="11"/>
        <v>72.775555555555556</v>
      </c>
      <c r="AX5" s="526">
        <f>Parameters!$B$6*AV5</f>
        <v>0.7277555555555556</v>
      </c>
      <c r="AY5" s="150">
        <v>0</v>
      </c>
      <c r="AZ5" s="150"/>
      <c r="BA5" s="150">
        <f t="shared" si="12"/>
        <v>0.7277555555555556</v>
      </c>
      <c r="BC5" s="522">
        <f t="shared" si="13"/>
        <v>73.503311111111117</v>
      </c>
      <c r="BD5" s="175"/>
      <c r="BE5" s="527">
        <f t="shared" si="14"/>
        <v>954.27446666666674</v>
      </c>
      <c r="BF5" s="181">
        <f t="shared" si="15"/>
        <v>0.92848326486486488</v>
      </c>
      <c r="BG5" s="520" t="b">
        <f t="shared" si="16"/>
        <v>0</v>
      </c>
      <c r="BI5" s="528" t="s">
        <v>2181</v>
      </c>
      <c r="BK5" s="151">
        <f>VLOOKUP(J5,'Tarieven ZM'!$B$136:$I$235,8,0)</f>
        <v>0</v>
      </c>
      <c r="BL5" s="151" t="str">
        <f>IF(M5="EoK",N5&amp;"AdvancedNLS type 1/2/3",IF(E5&lt;&gt;"Straal Access",INDEX(Mapping!J:J,MATCH(E5&amp;G5,Mapping!B:B,0)),E5))</f>
        <v>Copper Standard Access 5Mbit/sAdvancedNLS type 1/2/3</v>
      </c>
      <c r="BM5" s="184">
        <f>INDEX('inkoop ULL tbv EVPN'!J:J,MATCH($BL5,'inkoop ULL tbv EVPN'!$H:$H,0))</f>
        <v>78.97</v>
      </c>
      <c r="BN5" s="180">
        <f>BM5/INDEX(Parameters!$B:$B,MATCH("AfschrijftermijnVVE"&amp;12*$C5,Parameters!$A:$A,0))</f>
        <v>2.1936111111111112</v>
      </c>
      <c r="BO5" s="184">
        <f>INDEX('inkoop ULL tbv EVPN'!I:I,MATCH($BL5,'inkoop ULL tbv EVPN'!$H:$H,0))</f>
        <v>14.7296035</v>
      </c>
      <c r="BP5" s="184">
        <f t="shared" si="17"/>
        <v>16.92321461111111</v>
      </c>
      <c r="BR5" s="180">
        <f>Parameters!$B$12*AG5</f>
        <v>102.77777777777779</v>
      </c>
      <c r="BS5" s="180">
        <f>SUM(Distributievergoedingen!$F$12,Distributievergoedingen!$I$12,Distributievergoedingen!$L$12,Distributievergoedingen!$O$12)*AF5+SUM(Distributievergoedingen!$O$12*AA5+Distributievergoedingen!$R$12+Distributievergoedingen!$U$12+Distributievergoedingen!$X$12)/(MAX(36,12*C5))</f>
        <v>112.77777777777777</v>
      </c>
      <c r="BT5" s="150"/>
      <c r="BU5" s="150">
        <f t="shared" si="18"/>
        <v>215.55555555555554</v>
      </c>
      <c r="BW5" s="522">
        <f t="shared" si="19"/>
        <v>232.47877016666666</v>
      </c>
      <c r="BY5" s="527">
        <f t="shared" si="20"/>
        <v>795.29900761111116</v>
      </c>
      <c r="BZ5" s="181">
        <f t="shared" si="21"/>
        <v>0.77380443983783787</v>
      </c>
      <c r="CA5" s="520" t="b">
        <f t="shared" si="22"/>
        <v>0</v>
      </c>
    </row>
    <row r="6" spans="1:79" s="151" customFormat="1">
      <c r="A6" s="151" t="str">
        <f t="shared" si="0"/>
        <v>1EoKStandard Access koper 10mbHoogOn-net (NLS1, 2)</v>
      </c>
      <c r="B6" s="151" t="str">
        <f t="shared" si="1"/>
        <v>1EoKStandard Access koper 10mbHoogOn-net (NLS1, 2)</v>
      </c>
      <c r="C6" s="178">
        <v>1</v>
      </c>
      <c r="D6" s="415" t="s">
        <v>303</v>
      </c>
      <c r="E6" s="178" t="s">
        <v>277</v>
      </c>
      <c r="F6" s="107" t="s">
        <v>274</v>
      </c>
      <c r="G6" s="178" t="s">
        <v>281</v>
      </c>
      <c r="I6" s="178"/>
      <c r="J6" s="520" t="str">
        <f t="shared" si="2"/>
        <v>EoKStandard Access koper 10mbHoogOn-net (NLS1, 2)</v>
      </c>
      <c r="L6" s="204">
        <f>INDEX(Mapping!$H:$H,MATCH(C$3&amp;C6,Mapping!$B:$B,0))</f>
        <v>1</v>
      </c>
      <c r="M6" s="204" t="str">
        <f>INDEX(Mapping!$H:$H,MATCH(D$3&amp;D6,Mapping!$B:$B,0))</f>
        <v>EoK</v>
      </c>
      <c r="N6" s="204" t="str">
        <f>INDEX(Mapping!$H:$H,MATCH(E$3&amp;E6,Mapping!$B:$B,0))</f>
        <v>Copper Standard Access 10Mbit/s</v>
      </c>
      <c r="O6" s="204" t="str">
        <f>INDEX(Mapping!$H:$H,MATCH(E6&amp;F6,Mapping!$B:$B,0))</f>
        <v/>
      </c>
      <c r="P6" s="204" t="str">
        <f>INDEX(Mapping!$H:$H,MATCH($E6&amp;$G6,Mapping!$B:$B,0))</f>
        <v>On-net (NLS1, 2)</v>
      </c>
      <c r="Q6" s="204">
        <f>INDEX(Mapping!$H:$H,MATCH($E6&amp;$G6&amp;"graafafstand",Mapping!$B:$B,0))</f>
        <v>0</v>
      </c>
      <c r="R6" s="204">
        <f>INDEX(Mapping!$H:$H,MATCH(R$3&amp;$E6,Mapping!$B:$B,0))</f>
        <v>1</v>
      </c>
      <c r="S6" s="204">
        <f>INDEX(Mapping!$H:$H,MATCH(S$3&amp;$E6,Mapping!$B:$B,0))</f>
        <v>1</v>
      </c>
      <c r="T6" s="139" t="str">
        <f t="shared" si="3"/>
        <v>Copper Standard Access 10Mbit/sOn-net (NLS1, 2)</v>
      </c>
      <c r="U6" s="151" t="str">
        <f t="shared" si="4"/>
        <v>Copper Standard Access 10Mbit/sOn-net (NLS1, 2)</v>
      </c>
      <c r="W6" s="521">
        <f>MATCH($J6,'Tarieven ZM'!$B:$B,0)</f>
        <v>139</v>
      </c>
      <c r="X6" s="204">
        <f>INDEX('Tarieven ZM'!$H:$H,$W6)</f>
        <v>1000</v>
      </c>
      <c r="Y6" s="198">
        <f>IF(E6="Standard Access in ZG BT gebieden",0,-INDEX(Parameters!$B:$B,MATCH(Y$3&amp;$C6,Parameters!$A:$A,0))*$X6)</f>
        <v>0</v>
      </c>
      <c r="Z6" s="198">
        <f>IF(E6="Standard Access in ZG BT gebieden",0,MAX(-INDEX(Parameters!$B:$B,MATCH(Z$3&amp;$C6,Parameters!$A:$A,0))*$X6,-INDEX(Parameters!$B:$B,MATCH("FactorMaxSalesMandaat"&amp;E6,Parameters!$A:$A,0))*INDEX(Parameters!$B:$B,MATCH("MaxSalesMandaatAccessVVE"&amp;$C6,Parameters!$A:$A,0))))</f>
        <v>0</v>
      </c>
      <c r="AA6" s="139">
        <f t="shared" si="5"/>
        <v>1000</v>
      </c>
      <c r="AB6" s="205">
        <f>AA6/INDEX(Parameters!$B:$B,MATCH("AfschrijftermijnVVE"&amp;12*$C6,Parameters!$A:$A,0))</f>
        <v>27.777777777777779</v>
      </c>
      <c r="AC6" s="204">
        <f>INDEX('Tarieven ZM'!$G:$G,$W6)</f>
        <v>1000</v>
      </c>
      <c r="AD6" s="198">
        <f>IF(E6="Standard Access in ZG BT gebieden",0,-INDEX(Parameters!$B:$B,MATCH(AD$3&amp;$C6,Parameters!$A:$A,0))*$AC6)</f>
        <v>0</v>
      </c>
      <c r="AE6" s="198">
        <f>IF(E6="Standard Access in ZG BT gebieden",0,-INDEX(Parameters!$B:$B,MATCH(AE$3,Parameters!$A:$A,0))*$AC6)</f>
        <v>0</v>
      </c>
      <c r="AF6" s="139">
        <f t="shared" si="6"/>
        <v>1000</v>
      </c>
      <c r="AG6" s="522">
        <f t="shared" si="7"/>
        <v>1027.7777777777778</v>
      </c>
      <c r="AH6" s="175"/>
      <c r="AI6" s="523">
        <f>IF(N6&lt;&gt;"nvt",MATCH($T6,'Tarieven W&amp;O'!$B:$B,0),"nvt")</f>
        <v>11</v>
      </c>
      <c r="AJ6" s="205">
        <f>IF(AI6&lt;&gt;"nvt",IF($D6="EoK",INDEX(Parameters!C:C,MATCH("NLSx EoK",Parameters!A:A,0)),INDEX('Tarieven W&amp;O'!$H:$H,$AI6)),0)*R6</f>
        <v>350</v>
      </c>
      <c r="AK6" s="204">
        <f>IF(AI6&lt;&gt;"nvt",INDEX('Tarieven W&amp;O'!$I:$I,$AI6),0)*R6</f>
        <v>75</v>
      </c>
      <c r="AL6" s="524">
        <f>IF(AI6&lt;&gt;"nvt",-INDEX(Parameters!$B:$B,MATCH(AL$3,Parameters!$A:$A,0))*(AJ6+AK6),0)</f>
        <v>0</v>
      </c>
      <c r="AM6" s="525"/>
      <c r="AN6" s="139">
        <f t="shared" si="8"/>
        <v>425</v>
      </c>
      <c r="AO6" s="205">
        <f>AN6/INDEX(Parameters!$B:$B,MATCH("AfschrijftermijnVVE"&amp;12*$C6,Parameters!$A:$A,0))</f>
        <v>11.805555555555555</v>
      </c>
      <c r="AP6" s="139">
        <f t="shared" si="9"/>
        <v>11</v>
      </c>
      <c r="AQ6" s="526">
        <f>IF(AP6&lt;&gt;"nvt",R6*INDEX('Tarieven W&amp;O'!$G:$G,$AP6),0)</f>
        <v>83.59</v>
      </c>
      <c r="AR6" s="524">
        <f>-INDEX(Parameters!$B:$B,MATCH(AR$3,Parameters!$A:$A,0))*(AQ6)</f>
        <v>0</v>
      </c>
      <c r="AS6" s="205">
        <f>IF(E6="straal access",'EDC Minus'!$H$192,IF(Q6&lt;&gt;"nvt",Q6*S6*'EDC Minus'!$H$292/590,0))</f>
        <v>0</v>
      </c>
      <c r="AT6" s="139"/>
      <c r="AU6" s="150">
        <f t="shared" si="10"/>
        <v>83.59</v>
      </c>
      <c r="AV6" s="150">
        <f t="shared" si="11"/>
        <v>95.395555555555561</v>
      </c>
      <c r="AX6" s="526">
        <f>Parameters!$B$6*AV6</f>
        <v>0.95395555555555567</v>
      </c>
      <c r="AY6" s="150">
        <v>0</v>
      </c>
      <c r="AZ6" s="150"/>
      <c r="BA6" s="150">
        <f t="shared" si="12"/>
        <v>0.95395555555555567</v>
      </c>
      <c r="BC6" s="522">
        <f t="shared" si="13"/>
        <v>96.349511111111113</v>
      </c>
      <c r="BD6" s="175"/>
      <c r="BE6" s="527">
        <f t="shared" si="14"/>
        <v>931.42826666666667</v>
      </c>
      <c r="BF6" s="181">
        <f t="shared" si="15"/>
        <v>0.90625452972972964</v>
      </c>
      <c r="BG6" s="520" t="b">
        <f t="shared" si="16"/>
        <v>0</v>
      </c>
      <c r="BI6" s="528" t="s">
        <v>2181</v>
      </c>
      <c r="BJ6" s="175"/>
      <c r="BK6" s="151">
        <f>VLOOKUP(J6,'Tarieven ZM'!$B$136:$I$235,8,0)</f>
        <v>0</v>
      </c>
      <c r="BL6" s="151" t="str">
        <f>IF(M6="EoK",N6&amp;"AdvancedNLS type 1/2/3",IF(E6&lt;&gt;"Straal Access",INDEX(Mapping!J:J,MATCH(E6&amp;G6,Mapping!B:B,0)),E6))</f>
        <v>Copper Standard Access 10Mbit/sAdvancedNLS type 1/2/3</v>
      </c>
      <c r="BM6" s="184">
        <f>INDEX('inkoop ULL tbv EVPN'!J:J,MATCH($BL6,'inkoop ULL tbv EVPN'!$H:$H,0))</f>
        <v>78.97</v>
      </c>
      <c r="BN6" s="180">
        <f>BM6/INDEX(Parameters!$B:$B,MATCH("AfschrijftermijnVVE"&amp;12*$C6,Parameters!$A:$A,0))</f>
        <v>2.1936111111111112</v>
      </c>
      <c r="BO6" s="184">
        <f>INDEX('inkoop ULL tbv EVPN'!I:I,MATCH($BL6,'inkoop ULL tbv EVPN'!$H:$H,0))</f>
        <v>14.7296035</v>
      </c>
      <c r="BP6" s="184">
        <f t="shared" si="17"/>
        <v>16.92321461111111</v>
      </c>
      <c r="BR6" s="180">
        <f>Parameters!$B$12*AG6</f>
        <v>102.77777777777779</v>
      </c>
      <c r="BS6" s="180">
        <f>SUM(Distributievergoedingen!$F$12,Distributievergoedingen!$I$12,Distributievergoedingen!$L$12,Distributievergoedingen!$O$12)*AF6+SUM(Distributievergoedingen!$O$12*AA6+Distributievergoedingen!$R$12+Distributievergoedingen!$U$12+Distributievergoedingen!$X$12)/(MAX(36,12*C6))</f>
        <v>112.77777777777777</v>
      </c>
      <c r="BT6" s="150"/>
      <c r="BU6" s="150">
        <f t="shared" si="18"/>
        <v>215.55555555555554</v>
      </c>
      <c r="BW6" s="522">
        <f t="shared" si="19"/>
        <v>232.47877016666666</v>
      </c>
      <c r="BY6" s="527">
        <f t="shared" si="20"/>
        <v>795.29900761111116</v>
      </c>
      <c r="BZ6" s="181">
        <f t="shared" si="21"/>
        <v>0.77380443983783787</v>
      </c>
      <c r="CA6" s="520" t="b">
        <f t="shared" si="22"/>
        <v>0</v>
      </c>
    </row>
    <row r="7" spans="1:79" s="151" customFormat="1">
      <c r="A7" s="151" t="str">
        <f t="shared" si="0"/>
        <v>1EoKStandard Access koper 15mbHoogOn-net (NLS1, 2)</v>
      </c>
      <c r="B7" s="151" t="str">
        <f t="shared" si="1"/>
        <v>1EoKStandard Access koper 15mbHoogOn-net (NLS1, 2)</v>
      </c>
      <c r="C7" s="178">
        <v>1</v>
      </c>
      <c r="D7" s="415" t="s">
        <v>303</v>
      </c>
      <c r="E7" s="178" t="s">
        <v>278</v>
      </c>
      <c r="F7" s="107" t="s">
        <v>274</v>
      </c>
      <c r="G7" s="178" t="s">
        <v>281</v>
      </c>
      <c r="I7" s="178"/>
      <c r="J7" s="520" t="str">
        <f t="shared" si="2"/>
        <v>EoKStandard Access koper 15mbHoogOn-net (NLS1, 2)</v>
      </c>
      <c r="L7" s="204">
        <f>INDEX(Mapping!$H:$H,MATCH(C$3&amp;C7,Mapping!$B:$B,0))</f>
        <v>1</v>
      </c>
      <c r="M7" s="204" t="str">
        <f>INDEX(Mapping!$H:$H,MATCH(D$3&amp;D7,Mapping!$B:$B,0))</f>
        <v>EoK</v>
      </c>
      <c r="N7" s="204" t="str">
        <f>INDEX(Mapping!$H:$H,MATCH(E$3&amp;E7,Mapping!$B:$B,0))</f>
        <v>Copper Standard Access 15Mbit/s</v>
      </c>
      <c r="O7" s="204" t="str">
        <f>INDEX(Mapping!$H:$H,MATCH(E7&amp;F7,Mapping!$B:$B,0))</f>
        <v/>
      </c>
      <c r="P7" s="204" t="str">
        <f>INDEX(Mapping!$H:$H,MATCH($E7&amp;$G7,Mapping!$B:$B,0))</f>
        <v>On-net (NLS1, 2)</v>
      </c>
      <c r="Q7" s="204">
        <f>INDEX(Mapping!$H:$H,MATCH($E7&amp;$G7&amp;"graafafstand",Mapping!$B:$B,0))</f>
        <v>0</v>
      </c>
      <c r="R7" s="204">
        <f>INDEX(Mapping!$H:$H,MATCH(R$3&amp;$E7,Mapping!$B:$B,0))</f>
        <v>1</v>
      </c>
      <c r="S7" s="204">
        <f>INDEX(Mapping!$H:$H,MATCH(S$3&amp;$E7,Mapping!$B:$B,0))</f>
        <v>1</v>
      </c>
      <c r="T7" s="139" t="str">
        <f t="shared" si="3"/>
        <v>Copper Standard Access 15Mbit/sOn-net (NLS1, 2)</v>
      </c>
      <c r="U7" s="151" t="str">
        <f t="shared" si="4"/>
        <v>Copper Standard Access 15Mbit/sOn-net (NLS1, 2)</v>
      </c>
      <c r="W7" s="521">
        <f>MATCH($J7,'Tarieven ZM'!$B:$B,0)</f>
        <v>140</v>
      </c>
      <c r="X7" s="204">
        <f>INDEX('Tarieven ZM'!$H:$H,$W7)</f>
        <v>1000</v>
      </c>
      <c r="Y7" s="198">
        <f>IF(E7="Standard Access in ZG BT gebieden",0,-INDEX(Parameters!$B:$B,MATCH(Y$3&amp;$C7,Parameters!$A:$A,0))*$X7)</f>
        <v>0</v>
      </c>
      <c r="Z7" s="198">
        <f>IF(E7="Standard Access in ZG BT gebieden",0,MAX(-INDEX(Parameters!$B:$B,MATCH(Z$3&amp;$C7,Parameters!$A:$A,0))*$X7,-INDEX(Parameters!$B:$B,MATCH("FactorMaxSalesMandaat"&amp;E7,Parameters!$A:$A,0))*INDEX(Parameters!$B:$B,MATCH("MaxSalesMandaatAccessVVE"&amp;$C7,Parameters!$A:$A,0))))</f>
        <v>0</v>
      </c>
      <c r="AA7" s="139">
        <f t="shared" si="5"/>
        <v>1000</v>
      </c>
      <c r="AB7" s="205">
        <f>AA7/INDEX(Parameters!$B:$B,MATCH("AfschrijftermijnVVE"&amp;12*$C7,Parameters!$A:$A,0))</f>
        <v>27.777777777777779</v>
      </c>
      <c r="AC7" s="204">
        <f>INDEX('Tarieven ZM'!$G:$G,$W7)</f>
        <v>1000</v>
      </c>
      <c r="AD7" s="198">
        <f>IF(E7="Standard Access in ZG BT gebieden",0,-INDEX(Parameters!$B:$B,MATCH(AD$3&amp;$C7,Parameters!$A:$A,0))*$AC7)</f>
        <v>0</v>
      </c>
      <c r="AE7" s="198">
        <f>IF(E7="Standard Access in ZG BT gebieden",0,-INDEX(Parameters!$B:$B,MATCH(AE$3,Parameters!$A:$A,0))*$AC7)</f>
        <v>0</v>
      </c>
      <c r="AF7" s="139">
        <f t="shared" si="6"/>
        <v>1000</v>
      </c>
      <c r="AG7" s="522">
        <f t="shared" si="7"/>
        <v>1027.7777777777778</v>
      </c>
      <c r="AH7" s="175"/>
      <c r="AI7" s="523">
        <f>IF(N7&lt;&gt;"nvt",MATCH($T7,'Tarieven W&amp;O'!$B:$B,0),"nvt")</f>
        <v>12</v>
      </c>
      <c r="AJ7" s="205">
        <f>IF(AI7&lt;&gt;"nvt",IF($D7="EoK",INDEX(Parameters!C:C,MATCH("NLSx EoK",Parameters!A:A,0)),INDEX('Tarieven W&amp;O'!$H:$H,$AI7)),0)*R7</f>
        <v>350</v>
      </c>
      <c r="AK7" s="204">
        <f>IF(AI7&lt;&gt;"nvt",INDEX('Tarieven W&amp;O'!$I:$I,$AI7),0)*R7</f>
        <v>75</v>
      </c>
      <c r="AL7" s="524">
        <f>IF(AI7&lt;&gt;"nvt",-INDEX(Parameters!$B:$B,MATCH(AL$3,Parameters!$A:$A,0))*(AJ7+AK7),0)</f>
        <v>0</v>
      </c>
      <c r="AM7" s="525"/>
      <c r="AN7" s="139">
        <f t="shared" si="8"/>
        <v>425</v>
      </c>
      <c r="AO7" s="205">
        <f>AN7/INDEX(Parameters!$B:$B,MATCH("AfschrijftermijnVVE"&amp;12*$C7,Parameters!$A:$A,0))</f>
        <v>11.805555555555555</v>
      </c>
      <c r="AP7" s="139">
        <f t="shared" si="9"/>
        <v>12</v>
      </c>
      <c r="AQ7" s="526">
        <f>IF(AP7&lt;&gt;"nvt",R7*INDEX('Tarieven W&amp;O'!$G:$G,$AP7),0)</f>
        <v>102.44</v>
      </c>
      <c r="AR7" s="524">
        <f>-INDEX(Parameters!$B:$B,MATCH(AR$3,Parameters!$A:$A,0))*(AQ7)</f>
        <v>0</v>
      </c>
      <c r="AS7" s="205">
        <f>IF(E7="straal access",'EDC Minus'!$H$192,IF(Q7&lt;&gt;"nvt",Q7*S7*'EDC Minus'!$H$292/590,0))</f>
        <v>0</v>
      </c>
      <c r="AT7" s="139"/>
      <c r="AU7" s="150">
        <f t="shared" si="10"/>
        <v>102.44</v>
      </c>
      <c r="AV7" s="150">
        <f t="shared" si="11"/>
        <v>114.24555555555555</v>
      </c>
      <c r="AX7" s="526">
        <f>Parameters!$B$6*AV7</f>
        <v>1.1424555555555556</v>
      </c>
      <c r="AY7" s="150">
        <v>0</v>
      </c>
      <c r="AZ7" s="150"/>
      <c r="BA7" s="150">
        <f t="shared" si="12"/>
        <v>1.1424555555555556</v>
      </c>
      <c r="BC7" s="522">
        <f t="shared" si="13"/>
        <v>115.38801111111111</v>
      </c>
      <c r="BD7" s="175"/>
      <c r="BE7" s="527">
        <f t="shared" si="14"/>
        <v>912.38976666666667</v>
      </c>
      <c r="BF7" s="181">
        <f t="shared" si="15"/>
        <v>0.88773058378378378</v>
      </c>
      <c r="BG7" s="520" t="b">
        <f t="shared" si="16"/>
        <v>0</v>
      </c>
      <c r="BI7" s="528" t="s">
        <v>2181</v>
      </c>
      <c r="BK7" s="151">
        <f>VLOOKUP(J7,'Tarieven ZM'!$B$136:$I$235,8,0)</f>
        <v>0</v>
      </c>
      <c r="BL7" s="151" t="str">
        <f>IF(M7="EoK",N7&amp;"AdvancedNLS type 1/2/3",IF(E7&lt;&gt;"Straal Access",INDEX(Mapping!J:J,MATCH(E7&amp;G7,Mapping!B:B,0)),E7))</f>
        <v>Copper Standard Access 15Mbit/sAdvancedNLS type 1/2/3</v>
      </c>
      <c r="BM7" s="184">
        <f>INDEX('inkoop ULL tbv EVPN'!J:J,MATCH($BL7,'inkoop ULL tbv EVPN'!$H:$H,0))</f>
        <v>78.97</v>
      </c>
      <c r="BN7" s="180">
        <f>BM7/INDEX(Parameters!$B:$B,MATCH("AfschrijftermijnVVE"&amp;12*$C7,Parameters!$A:$A,0))</f>
        <v>2.1936111111111112</v>
      </c>
      <c r="BO7" s="184">
        <f>INDEX('inkoop ULL tbv EVPN'!I:I,MATCH($BL7,'inkoop ULL tbv EVPN'!$H:$H,0))</f>
        <v>14.7296035</v>
      </c>
      <c r="BP7" s="184">
        <f t="shared" si="17"/>
        <v>16.92321461111111</v>
      </c>
      <c r="BR7" s="180">
        <f>Parameters!$B$12*AG7</f>
        <v>102.77777777777779</v>
      </c>
      <c r="BS7" s="180">
        <f>SUM(Distributievergoedingen!$F$12,Distributievergoedingen!$I$12,Distributievergoedingen!$L$12,Distributievergoedingen!$O$12)*AF7+SUM(Distributievergoedingen!$O$12*AA7+Distributievergoedingen!$R$12+Distributievergoedingen!$U$12+Distributievergoedingen!$X$12)/(MAX(36,12*C7))</f>
        <v>112.77777777777777</v>
      </c>
      <c r="BT7" s="150"/>
      <c r="BU7" s="150">
        <f t="shared" si="18"/>
        <v>215.55555555555554</v>
      </c>
      <c r="BW7" s="522">
        <f t="shared" si="19"/>
        <v>232.47877016666666</v>
      </c>
      <c r="BY7" s="527">
        <f t="shared" si="20"/>
        <v>795.29900761111116</v>
      </c>
      <c r="BZ7" s="181">
        <f t="shared" si="21"/>
        <v>0.77380443983783787</v>
      </c>
      <c r="CA7" s="520" t="b">
        <f t="shared" si="22"/>
        <v>0</v>
      </c>
    </row>
    <row r="8" spans="1:79" s="151" customFormat="1">
      <c r="A8" s="151" t="str">
        <f t="shared" si="0"/>
        <v>1EoKStandard Access koper 20mbHoogOn-net (NLS1, 2)</v>
      </c>
      <c r="B8" s="151" t="str">
        <f t="shared" si="1"/>
        <v>1EoKStandard Access koper 20mbHoogOn-net (NLS1, 2)</v>
      </c>
      <c r="C8" s="178">
        <v>1</v>
      </c>
      <c r="D8" s="415" t="s">
        <v>303</v>
      </c>
      <c r="E8" s="178" t="s">
        <v>279</v>
      </c>
      <c r="F8" s="107" t="s">
        <v>274</v>
      </c>
      <c r="G8" s="178" t="s">
        <v>281</v>
      </c>
      <c r="I8" s="178"/>
      <c r="J8" s="520" t="str">
        <f t="shared" si="2"/>
        <v>EoKStandard Access koper 20mbHoogOn-net (NLS1, 2)</v>
      </c>
      <c r="L8" s="204">
        <f>INDEX(Mapping!$H:$H,MATCH(C$3&amp;C8,Mapping!$B:$B,0))</f>
        <v>1</v>
      </c>
      <c r="M8" s="204" t="str">
        <f>INDEX(Mapping!$H:$H,MATCH(D$3&amp;D8,Mapping!$B:$B,0))</f>
        <v>EoK</v>
      </c>
      <c r="N8" s="204" t="str">
        <f>INDEX(Mapping!$H:$H,MATCH(E$3&amp;E8,Mapping!$B:$B,0))</f>
        <v>Copper Standard Access 20Mbit/s</v>
      </c>
      <c r="O8" s="204" t="str">
        <f>INDEX(Mapping!$H:$H,MATCH(E8&amp;F8,Mapping!$B:$B,0))</f>
        <v/>
      </c>
      <c r="P8" s="204" t="str">
        <f>INDEX(Mapping!$H:$H,MATCH($E8&amp;$G8,Mapping!$B:$B,0))</f>
        <v>On-net (NLS1, 2)</v>
      </c>
      <c r="Q8" s="204">
        <f>INDEX(Mapping!$H:$H,MATCH($E8&amp;$G8&amp;"graafafstand",Mapping!$B:$B,0))</f>
        <v>0</v>
      </c>
      <c r="R8" s="204">
        <f>INDEX(Mapping!$H:$H,MATCH(R$3&amp;$E8,Mapping!$B:$B,0))</f>
        <v>1</v>
      </c>
      <c r="S8" s="204">
        <f>INDEX(Mapping!$H:$H,MATCH(S$3&amp;$E8,Mapping!$B:$B,0))</f>
        <v>1</v>
      </c>
      <c r="T8" s="139" t="str">
        <f t="shared" si="3"/>
        <v>Copper Standard Access 20Mbit/sOn-net (NLS1, 2)</v>
      </c>
      <c r="U8" s="151" t="str">
        <f t="shared" si="4"/>
        <v>Copper Standard Access 20Mbit/sOn-net (NLS1, 2)</v>
      </c>
      <c r="W8" s="521">
        <f>MATCH($J8,'Tarieven ZM'!$B:$B,0)</f>
        <v>141</v>
      </c>
      <c r="X8" s="204">
        <f>INDEX('Tarieven ZM'!$H:$H,$W8)</f>
        <v>1000</v>
      </c>
      <c r="Y8" s="198">
        <f>IF(E8="Standard Access in ZG BT gebieden",0,-INDEX(Parameters!$B:$B,MATCH(Y$3&amp;$C8,Parameters!$A:$A,0))*$X8)</f>
        <v>0</v>
      </c>
      <c r="Z8" s="198">
        <f>IF(E8="Standard Access in ZG BT gebieden",0,MAX(-INDEX(Parameters!$B:$B,MATCH(Z$3&amp;$C8,Parameters!$A:$A,0))*$X8,-INDEX(Parameters!$B:$B,MATCH("FactorMaxSalesMandaat"&amp;E8,Parameters!$A:$A,0))*INDEX(Parameters!$B:$B,MATCH("MaxSalesMandaatAccessVVE"&amp;$C8,Parameters!$A:$A,0))))</f>
        <v>0</v>
      </c>
      <c r="AA8" s="139">
        <f t="shared" si="5"/>
        <v>1000</v>
      </c>
      <c r="AB8" s="205">
        <f>AA8/INDEX(Parameters!$B:$B,MATCH("AfschrijftermijnVVE"&amp;12*$C8,Parameters!$A:$A,0))</f>
        <v>27.777777777777779</v>
      </c>
      <c r="AC8" s="204">
        <f>INDEX('Tarieven ZM'!$G:$G,$W8)</f>
        <v>1000</v>
      </c>
      <c r="AD8" s="198">
        <f>IF(E8="Standard Access in ZG BT gebieden",0,-INDEX(Parameters!$B:$B,MATCH(AD$3&amp;$C8,Parameters!$A:$A,0))*$AC8)</f>
        <v>0</v>
      </c>
      <c r="AE8" s="198">
        <f>IF(E8="Standard Access in ZG BT gebieden",0,-INDEX(Parameters!$B:$B,MATCH(AE$3,Parameters!$A:$A,0))*$AC8)</f>
        <v>0</v>
      </c>
      <c r="AF8" s="139">
        <f t="shared" si="6"/>
        <v>1000</v>
      </c>
      <c r="AG8" s="522">
        <f t="shared" si="7"/>
        <v>1027.7777777777778</v>
      </c>
      <c r="AH8" s="175"/>
      <c r="AI8" s="523">
        <f>IF(N8&lt;&gt;"nvt",MATCH($T8,'Tarieven W&amp;O'!$B:$B,0),"nvt")</f>
        <v>13</v>
      </c>
      <c r="AJ8" s="205">
        <f>IF(AI8&lt;&gt;"nvt",IF($D8="EoK",INDEX(Parameters!C:C,MATCH("NLSx EoK",Parameters!A:A,0)),INDEX('Tarieven W&amp;O'!$H:$H,$AI8)),0)*R8</f>
        <v>350</v>
      </c>
      <c r="AK8" s="204">
        <f>IF(AI8&lt;&gt;"nvt",INDEX('Tarieven W&amp;O'!$I:$I,$AI8),0)*R8</f>
        <v>75</v>
      </c>
      <c r="AL8" s="524">
        <f>IF(AI8&lt;&gt;"nvt",-INDEX(Parameters!$B:$B,MATCH(AL$3,Parameters!$A:$A,0))*(AJ8+AK8),0)</f>
        <v>0</v>
      </c>
      <c r="AM8" s="525"/>
      <c r="AN8" s="139">
        <f t="shared" si="8"/>
        <v>425</v>
      </c>
      <c r="AO8" s="205">
        <f>AN8/INDEX(Parameters!$B:$B,MATCH("AfschrijftermijnVVE"&amp;12*$C8,Parameters!$A:$A,0))</f>
        <v>11.805555555555555</v>
      </c>
      <c r="AP8" s="139">
        <f t="shared" si="9"/>
        <v>13</v>
      </c>
      <c r="AQ8" s="526">
        <f>IF(AP8&lt;&gt;"nvt",R8*INDEX('Tarieven W&amp;O'!$G:$G,$AP8),0)</f>
        <v>121.28</v>
      </c>
      <c r="AR8" s="524">
        <f>-INDEX(Parameters!$B:$B,MATCH(AR$3,Parameters!$A:$A,0))*(AQ8)</f>
        <v>0</v>
      </c>
      <c r="AS8" s="205">
        <f>IF(E8="straal access",'EDC Minus'!$H$192,IF(Q8&lt;&gt;"nvt",Q8*S8*'EDC Minus'!$H$292/590,0))</f>
        <v>0</v>
      </c>
      <c r="AT8" s="139"/>
      <c r="AU8" s="150">
        <f t="shared" si="10"/>
        <v>121.28</v>
      </c>
      <c r="AV8" s="150">
        <f t="shared" si="11"/>
        <v>133.08555555555554</v>
      </c>
      <c r="AX8" s="526">
        <f>Parameters!$B$6*AV8</f>
        <v>1.3308555555555555</v>
      </c>
      <c r="AY8" s="150">
        <v>0</v>
      </c>
      <c r="AZ8" s="150"/>
      <c r="BA8" s="150">
        <f t="shared" si="12"/>
        <v>1.3308555555555555</v>
      </c>
      <c r="BC8" s="522">
        <f t="shared" si="13"/>
        <v>134.4164111111111</v>
      </c>
      <c r="BD8" s="175"/>
      <c r="BE8" s="527">
        <f t="shared" si="14"/>
        <v>893.36136666666675</v>
      </c>
      <c r="BF8" s="181">
        <f t="shared" si="15"/>
        <v>0.86921646486486492</v>
      </c>
      <c r="BG8" s="520" t="b">
        <f t="shared" si="16"/>
        <v>0</v>
      </c>
      <c r="BI8" s="528" t="s">
        <v>2181</v>
      </c>
      <c r="BK8" s="151">
        <f>VLOOKUP(J8,'Tarieven ZM'!$B$136:$I$235,8,0)</f>
        <v>0</v>
      </c>
      <c r="BL8" s="151" t="str">
        <f>IF(M8="EoK",N8&amp;"AdvancedNLS type 1/2/3",IF(E8&lt;&gt;"Straal Access",INDEX(Mapping!J:J,MATCH(E8&amp;G8,Mapping!B:B,0)),E8))</f>
        <v>Copper Standard Access 20Mbit/sAdvancedNLS type 1/2/3</v>
      </c>
      <c r="BM8" s="184">
        <f>INDEX('inkoop ULL tbv EVPN'!J:J,MATCH($BL8,'inkoop ULL tbv EVPN'!$H:$H,0))</f>
        <v>78.97</v>
      </c>
      <c r="BN8" s="180">
        <f>BM8/INDEX(Parameters!$B:$B,MATCH("AfschrijftermijnVVE"&amp;12*$C8,Parameters!$A:$A,0))</f>
        <v>2.1936111111111112</v>
      </c>
      <c r="BO8" s="184">
        <f>INDEX('inkoop ULL tbv EVPN'!I:I,MATCH($BL8,'inkoop ULL tbv EVPN'!$H:$H,0))</f>
        <v>14.7296035</v>
      </c>
      <c r="BP8" s="184">
        <f t="shared" si="17"/>
        <v>16.92321461111111</v>
      </c>
      <c r="BR8" s="180">
        <f>Parameters!$B$12*AG8</f>
        <v>102.77777777777779</v>
      </c>
      <c r="BS8" s="180">
        <f>SUM(Distributievergoedingen!$F$12,Distributievergoedingen!$I$12,Distributievergoedingen!$L$12,Distributievergoedingen!$O$12)*AF8+SUM(Distributievergoedingen!$O$12*AA8+Distributievergoedingen!$R$12+Distributievergoedingen!$U$12+Distributievergoedingen!$X$12)/(MAX(36,12*C8))</f>
        <v>112.77777777777777</v>
      </c>
      <c r="BT8" s="150"/>
      <c r="BU8" s="150">
        <f t="shared" si="18"/>
        <v>215.55555555555554</v>
      </c>
      <c r="BW8" s="522">
        <f t="shared" si="19"/>
        <v>232.47877016666666</v>
      </c>
      <c r="BY8" s="527">
        <f t="shared" si="20"/>
        <v>795.29900761111116</v>
      </c>
      <c r="BZ8" s="181">
        <f t="shared" si="21"/>
        <v>0.77380443983783787</v>
      </c>
      <c r="CA8" s="520" t="b">
        <f t="shared" si="22"/>
        <v>0</v>
      </c>
    </row>
    <row r="9" spans="1:79" s="151" customFormat="1">
      <c r="A9" s="151" t="str">
        <f t="shared" si="0"/>
        <v>1EoKStandard Access koper 3mbHoogOn-net (NLS3)</v>
      </c>
      <c r="B9" s="151" t="str">
        <f t="shared" si="1"/>
        <v>1EoKStandard Access koper 3mbHoogOn-net (NLS3)</v>
      </c>
      <c r="C9" s="178">
        <v>1</v>
      </c>
      <c r="D9" s="415" t="s">
        <v>303</v>
      </c>
      <c r="E9" s="178" t="s">
        <v>268</v>
      </c>
      <c r="F9" s="107" t="s">
        <v>274</v>
      </c>
      <c r="G9" s="178" t="s">
        <v>3398</v>
      </c>
      <c r="I9" s="178"/>
      <c r="J9" s="520" t="str">
        <f t="shared" si="2"/>
        <v>EoKStandard Access koper 3mbHoogOn-net (NLS3)</v>
      </c>
      <c r="L9" s="204">
        <f>INDEX(Mapping!$H:$H,MATCH(C$3&amp;C9,Mapping!$B:$B,0))</f>
        <v>1</v>
      </c>
      <c r="M9" s="204" t="str">
        <f>INDEX(Mapping!$H:$H,MATCH(D$3&amp;D9,Mapping!$B:$B,0))</f>
        <v>EoK</v>
      </c>
      <c r="N9" s="204" t="str">
        <f>INDEX(Mapping!$H:$H,MATCH(E$3&amp;E9,Mapping!$B:$B,0))</f>
        <v>Copper Standard Access 3Mbit/s</v>
      </c>
      <c r="O9" s="204" t="str">
        <f>INDEX(Mapping!$H:$H,MATCH(E9&amp;F9,Mapping!$B:$B,0))</f>
        <v/>
      </c>
      <c r="P9" s="204" t="str">
        <f>INDEX(Mapping!$H:$H,MATCH($E9&amp;$G9,Mapping!$B:$B,0))</f>
        <v>On-net (NLS3)</v>
      </c>
      <c r="Q9" s="204" t="str">
        <f>INDEX(Mapping!$H:$H,MATCH($E9&amp;$G9&amp;"graafafstand",Mapping!$B:$B,0))</f>
        <v>nvt</v>
      </c>
      <c r="R9" s="204">
        <f>INDEX(Mapping!$H:$H,MATCH(R$3&amp;$E9,Mapping!$B:$B,0))</f>
        <v>1</v>
      </c>
      <c r="S9" s="204">
        <f>INDEX(Mapping!$H:$H,MATCH(S$3&amp;$E9,Mapping!$B:$B,0))</f>
        <v>1</v>
      </c>
      <c r="T9" s="139" t="str">
        <f t="shared" si="3"/>
        <v>Copper Standard Access 3Mbit/sOn-net (NLS3)</v>
      </c>
      <c r="U9" s="151" t="str">
        <f t="shared" si="4"/>
        <v>Copper Standard Access 3Mbit/sOn-net (NLS3)</v>
      </c>
      <c r="W9" s="521">
        <f>MATCH($J9,'Tarieven ZM'!$B:$B,0)</f>
        <v>144</v>
      </c>
      <c r="X9" s="204">
        <f>INDEX('Tarieven ZM'!$H:$H,$W9)</f>
        <v>1000</v>
      </c>
      <c r="Y9" s="198">
        <f>IF(E9="Standard Access in ZG BT gebieden",0,-INDEX(Parameters!$B:$B,MATCH(Y$3&amp;$C9,Parameters!$A:$A,0))*$X9)</f>
        <v>0</v>
      </c>
      <c r="Z9" s="198">
        <f>IF(E9="Standard Access in ZG BT gebieden",0,MAX(-INDEX(Parameters!$B:$B,MATCH(Z$3&amp;$C9,Parameters!$A:$A,0))*$X9,-INDEX(Parameters!$B:$B,MATCH("FactorMaxSalesMandaat"&amp;E9,Parameters!$A:$A,0))*INDEX(Parameters!$B:$B,MATCH("MaxSalesMandaatAccessVVE"&amp;$C9,Parameters!$A:$A,0))))</f>
        <v>0</v>
      </c>
      <c r="AA9" s="139">
        <f t="shared" si="5"/>
        <v>1000</v>
      </c>
      <c r="AB9" s="205">
        <f>AA9/INDEX(Parameters!$B:$B,MATCH("AfschrijftermijnVVE"&amp;12*$C9,Parameters!$A:$A,0))</f>
        <v>27.777777777777779</v>
      </c>
      <c r="AC9" s="204">
        <f>INDEX('Tarieven ZM'!$G:$G,$W9)</f>
        <v>1000</v>
      </c>
      <c r="AD9" s="198">
        <f>IF(E9="Standard Access in ZG BT gebieden",0,-INDEX(Parameters!$B:$B,MATCH(AD$3&amp;$C9,Parameters!$A:$A,0))*$AC9)</f>
        <v>0</v>
      </c>
      <c r="AE9" s="198">
        <f>IF(E9="Standard Access in ZG BT gebieden",0,-INDEX(Parameters!$B:$B,MATCH(AE$3,Parameters!$A:$A,0))*$AC9)</f>
        <v>0</v>
      </c>
      <c r="AF9" s="139">
        <f t="shared" si="6"/>
        <v>1000</v>
      </c>
      <c r="AG9" s="522">
        <f t="shared" si="7"/>
        <v>1027.7777777777778</v>
      </c>
      <c r="AH9" s="175"/>
      <c r="AI9" s="523">
        <f>IF(N9&lt;&gt;"nvt",MATCH($T9,'Tarieven W&amp;O'!$B:$B,0),"nvt")</f>
        <v>16</v>
      </c>
      <c r="AJ9" s="205">
        <f>IF(AI9&lt;&gt;"nvt",IF($D9="EoK",INDEX(Parameters!C:C,MATCH("NLSx EoK",Parameters!A:A,0)),INDEX('Tarieven W&amp;O'!$H:$H,$AI9)),0)*R9</f>
        <v>350</v>
      </c>
      <c r="AK9" s="204">
        <f>IF(AI9&lt;&gt;"nvt",INDEX('Tarieven W&amp;O'!$I:$I,$AI9),0)*R9</f>
        <v>75</v>
      </c>
      <c r="AL9" s="524">
        <f>IF(AI9&lt;&gt;"nvt",-INDEX(Parameters!$B:$B,MATCH(AL$3,Parameters!$A:$A,0))*(AJ9+AK9),0)</f>
        <v>0</v>
      </c>
      <c r="AM9" s="525"/>
      <c r="AN9" s="139">
        <f t="shared" si="8"/>
        <v>425</v>
      </c>
      <c r="AO9" s="205">
        <f>AN9/INDEX(Parameters!$B:$B,MATCH("AfschrijftermijnVVE"&amp;12*$C9,Parameters!$A:$A,0))</f>
        <v>11.805555555555555</v>
      </c>
      <c r="AP9" s="139">
        <f t="shared" si="9"/>
        <v>16</v>
      </c>
      <c r="AQ9" s="526">
        <f>IF(AP9&lt;&gt;"nvt",R9*INDEX('Tarieven W&amp;O'!$G:$G,$AP9),0)</f>
        <v>41.5</v>
      </c>
      <c r="AR9" s="524">
        <f>-INDEX(Parameters!$B:$B,MATCH(AR$3,Parameters!$A:$A,0))*(AQ9)</f>
        <v>0</v>
      </c>
      <c r="AS9" s="205">
        <f>IF(E9="straal access",'EDC Minus'!$H$192,IF(Q9&lt;&gt;"nvt",Q9*S9*'EDC Minus'!$H$292/590,0))</f>
        <v>0</v>
      </c>
      <c r="AT9" s="139"/>
      <c r="AU9" s="150">
        <f t="shared" si="10"/>
        <v>41.5</v>
      </c>
      <c r="AV9" s="150">
        <f t="shared" si="11"/>
        <v>53.305555555555557</v>
      </c>
      <c r="AX9" s="526">
        <f>Parameters!$B$6*AV9</f>
        <v>0.53305555555555562</v>
      </c>
      <c r="AY9" s="150">
        <v>0</v>
      </c>
      <c r="AZ9" s="150"/>
      <c r="BA9" s="150">
        <f t="shared" si="12"/>
        <v>0.53305555555555562</v>
      </c>
      <c r="BC9" s="522">
        <f t="shared" si="13"/>
        <v>53.838611111111113</v>
      </c>
      <c r="BD9" s="175"/>
      <c r="BE9" s="527">
        <f t="shared" si="14"/>
        <v>973.93916666666667</v>
      </c>
      <c r="BF9" s="181">
        <f t="shared" si="15"/>
        <v>0.94761648648648644</v>
      </c>
      <c r="BG9" s="520" t="b">
        <f t="shared" si="16"/>
        <v>0</v>
      </c>
      <c r="BI9" s="528" t="s">
        <v>2181</v>
      </c>
      <c r="BK9" s="151">
        <f>VLOOKUP(J9,'Tarieven ZM'!$B$136:$I$235,8,0)</f>
        <v>0</v>
      </c>
      <c r="BL9" s="151" t="str">
        <f>IF(M9="EoK",N9&amp;"AdvancedNLS type 1/2/3",IF(E9&lt;&gt;"Straal Access",INDEX(Mapping!J:J,MATCH(E9&amp;G9,Mapping!B:B,0)),E9))</f>
        <v>Copper Standard Access 3Mbit/sAdvancedNLS type 1/2/3</v>
      </c>
      <c r="BM9" s="184">
        <f>INDEX('inkoop ULL tbv EVPN'!J:J,MATCH($BL9,'inkoop ULL tbv EVPN'!$H:$H,0))</f>
        <v>78.97</v>
      </c>
      <c r="BN9" s="180">
        <f>BM9/INDEX(Parameters!$B:$B,MATCH("AfschrijftermijnVVE"&amp;12*$C9,Parameters!$A:$A,0))</f>
        <v>2.1936111111111112</v>
      </c>
      <c r="BO9" s="184">
        <f>INDEX('inkoop ULL tbv EVPN'!I:I,MATCH($BL9,'inkoop ULL tbv EVPN'!$H:$H,0))</f>
        <v>14.7296035</v>
      </c>
      <c r="BP9" s="184">
        <f t="shared" si="17"/>
        <v>16.92321461111111</v>
      </c>
      <c r="BR9" s="180">
        <f>Parameters!$B$12*AG9</f>
        <v>102.77777777777779</v>
      </c>
      <c r="BS9" s="180">
        <f>SUM(Distributievergoedingen!$F$12,Distributievergoedingen!$I$12,Distributievergoedingen!$L$12,Distributievergoedingen!$O$12)*AF9+SUM(Distributievergoedingen!$O$12*AA9+Distributievergoedingen!$R$12+Distributievergoedingen!$U$12+Distributievergoedingen!$X$12)/(MAX(36,12*C9))</f>
        <v>112.77777777777777</v>
      </c>
      <c r="BT9" s="150"/>
      <c r="BU9" s="150">
        <f t="shared" si="18"/>
        <v>215.55555555555554</v>
      </c>
      <c r="BW9" s="522">
        <f t="shared" si="19"/>
        <v>232.47877016666666</v>
      </c>
      <c r="BY9" s="527">
        <f t="shared" si="20"/>
        <v>795.29900761111116</v>
      </c>
      <c r="BZ9" s="181">
        <f t="shared" si="21"/>
        <v>0.77380443983783787</v>
      </c>
      <c r="CA9" s="520" t="b">
        <f t="shared" si="22"/>
        <v>0</v>
      </c>
    </row>
    <row r="10" spans="1:79" s="151" customFormat="1">
      <c r="A10" s="151" t="str">
        <f t="shared" si="0"/>
        <v>1EoKStandard Access koper 5mbHoogOn-net (NLS3)</v>
      </c>
      <c r="B10" s="151" t="str">
        <f t="shared" si="1"/>
        <v>1EoKStandard Access koper 5mbHoogOn-net (NLS3)</v>
      </c>
      <c r="C10" s="178">
        <v>1</v>
      </c>
      <c r="D10" s="415" t="s">
        <v>303</v>
      </c>
      <c r="E10" s="178" t="s">
        <v>276</v>
      </c>
      <c r="F10" s="107" t="s">
        <v>274</v>
      </c>
      <c r="G10" s="178" t="s">
        <v>3398</v>
      </c>
      <c r="I10" s="178"/>
      <c r="J10" s="520" t="str">
        <f t="shared" si="2"/>
        <v>EoKStandard Access koper 5mbHoogOn-net (NLS3)</v>
      </c>
      <c r="L10" s="204">
        <f>INDEX(Mapping!$H:$H,MATCH(C$3&amp;C10,Mapping!$B:$B,0))</f>
        <v>1</v>
      </c>
      <c r="M10" s="204" t="str">
        <f>INDEX(Mapping!$H:$H,MATCH(D$3&amp;D10,Mapping!$B:$B,0))</f>
        <v>EoK</v>
      </c>
      <c r="N10" s="204" t="str">
        <f>INDEX(Mapping!$H:$H,MATCH(E$3&amp;E10,Mapping!$B:$B,0))</f>
        <v>Copper Standard Access 5Mbit/s</v>
      </c>
      <c r="O10" s="204" t="str">
        <f>INDEX(Mapping!$H:$H,MATCH(E10&amp;F10,Mapping!$B:$B,0))</f>
        <v/>
      </c>
      <c r="P10" s="204" t="str">
        <f>INDEX(Mapping!$H:$H,MATCH($E10&amp;$G10,Mapping!$B:$B,0))</f>
        <v>On-net (NLS3)</v>
      </c>
      <c r="Q10" s="204" t="str">
        <f>INDEX(Mapping!$H:$H,MATCH($E10&amp;$G10&amp;"graafafstand",Mapping!$B:$B,0))</f>
        <v>nvt</v>
      </c>
      <c r="R10" s="204">
        <f>INDEX(Mapping!$H:$H,MATCH(R$3&amp;$E10,Mapping!$B:$B,0))</f>
        <v>1</v>
      </c>
      <c r="S10" s="204">
        <f>INDEX(Mapping!$H:$H,MATCH(S$3&amp;$E10,Mapping!$B:$B,0))</f>
        <v>1</v>
      </c>
      <c r="T10" s="139" t="str">
        <f t="shared" si="3"/>
        <v>Copper Standard Access 5Mbit/sOn-net (NLS3)</v>
      </c>
      <c r="U10" s="151" t="str">
        <f t="shared" si="4"/>
        <v>Copper Standard Access 5Mbit/sOn-net (NLS3)</v>
      </c>
      <c r="W10" s="521">
        <f>MATCH($J10,'Tarieven ZM'!$B:$B,0)</f>
        <v>145</v>
      </c>
      <c r="X10" s="204">
        <f>INDEX('Tarieven ZM'!$H:$H,$W10)</f>
        <v>1000</v>
      </c>
      <c r="Y10" s="198">
        <f>IF(E10="Standard Access in ZG BT gebieden",0,-INDEX(Parameters!$B:$B,MATCH(Y$3&amp;$C10,Parameters!$A:$A,0))*$X10)</f>
        <v>0</v>
      </c>
      <c r="Z10" s="198">
        <f>IF(E10="Standard Access in ZG BT gebieden",0,MAX(-INDEX(Parameters!$B:$B,MATCH(Z$3&amp;$C10,Parameters!$A:$A,0))*$X10,-INDEX(Parameters!$B:$B,MATCH("FactorMaxSalesMandaat"&amp;E10,Parameters!$A:$A,0))*INDEX(Parameters!$B:$B,MATCH("MaxSalesMandaatAccessVVE"&amp;$C10,Parameters!$A:$A,0))))</f>
        <v>0</v>
      </c>
      <c r="AA10" s="139">
        <f t="shared" si="5"/>
        <v>1000</v>
      </c>
      <c r="AB10" s="205">
        <f>AA10/INDEX(Parameters!$B:$B,MATCH("AfschrijftermijnVVE"&amp;12*$C10,Parameters!$A:$A,0))</f>
        <v>27.777777777777779</v>
      </c>
      <c r="AC10" s="204">
        <f>INDEX('Tarieven ZM'!$G:$G,$W10)</f>
        <v>1000</v>
      </c>
      <c r="AD10" s="198">
        <f>IF(E10="Standard Access in ZG BT gebieden",0,-INDEX(Parameters!$B:$B,MATCH(AD$3&amp;$C10,Parameters!$A:$A,0))*$AC10)</f>
        <v>0</v>
      </c>
      <c r="AE10" s="198">
        <f>IF(E10="Standard Access in ZG BT gebieden",0,-INDEX(Parameters!$B:$B,MATCH(AE$3,Parameters!$A:$A,0))*$AC10)</f>
        <v>0</v>
      </c>
      <c r="AF10" s="139">
        <f t="shared" si="6"/>
        <v>1000</v>
      </c>
      <c r="AG10" s="522">
        <f t="shared" si="7"/>
        <v>1027.7777777777778</v>
      </c>
      <c r="AH10" s="175"/>
      <c r="AI10" s="523">
        <f>IF(N10&lt;&gt;"nvt",MATCH($T10,'Tarieven W&amp;O'!$B:$B,0),"nvt")</f>
        <v>17</v>
      </c>
      <c r="AJ10" s="205">
        <f>IF(AI10&lt;&gt;"nvt",IF($D10="EoK",INDEX(Parameters!C:C,MATCH("NLSx EoK",Parameters!A:A,0)),INDEX('Tarieven W&amp;O'!$H:$H,$AI10)),0)*R10</f>
        <v>350</v>
      </c>
      <c r="AK10" s="204">
        <f>IF(AI10&lt;&gt;"nvt",INDEX('Tarieven W&amp;O'!$I:$I,$AI10),0)*R10</f>
        <v>75</v>
      </c>
      <c r="AL10" s="524">
        <f>IF(AI10&lt;&gt;"nvt",-INDEX(Parameters!$B:$B,MATCH(AL$3,Parameters!$A:$A,0))*(AJ10+AK10),0)</f>
        <v>0</v>
      </c>
      <c r="AM10" s="525"/>
      <c r="AN10" s="139">
        <f t="shared" si="8"/>
        <v>425</v>
      </c>
      <c r="AO10" s="205">
        <f>AN10/INDEX(Parameters!$B:$B,MATCH("AfschrijftermijnVVE"&amp;12*$C10,Parameters!$A:$A,0))</f>
        <v>11.805555555555555</v>
      </c>
      <c r="AP10" s="139">
        <f t="shared" si="9"/>
        <v>17</v>
      </c>
      <c r="AQ10" s="526">
        <f>IF(AP10&lt;&gt;"nvt",R10*INDEX('Tarieven W&amp;O'!$G:$G,$AP10),0)</f>
        <v>60.97</v>
      </c>
      <c r="AR10" s="524">
        <f>-INDEX(Parameters!$B:$B,MATCH(AR$3,Parameters!$A:$A,0))*(AQ10)</f>
        <v>0</v>
      </c>
      <c r="AS10" s="205">
        <f>IF(E10="straal access",'EDC Minus'!$H$192,IF(Q10&lt;&gt;"nvt",Q10*S10*'EDC Minus'!$H$292/590,0))</f>
        <v>0</v>
      </c>
      <c r="AT10" s="139"/>
      <c r="AU10" s="150">
        <f t="shared" si="10"/>
        <v>60.97</v>
      </c>
      <c r="AV10" s="150">
        <f t="shared" si="11"/>
        <v>72.775555555555556</v>
      </c>
      <c r="AX10" s="526">
        <f>Parameters!$B$6*AV10</f>
        <v>0.7277555555555556</v>
      </c>
      <c r="AY10" s="150">
        <v>0</v>
      </c>
      <c r="AZ10" s="150"/>
      <c r="BA10" s="150">
        <f t="shared" si="12"/>
        <v>0.7277555555555556</v>
      </c>
      <c r="BC10" s="522">
        <f t="shared" si="13"/>
        <v>73.503311111111117</v>
      </c>
      <c r="BD10" s="175"/>
      <c r="BE10" s="527">
        <f t="shared" si="14"/>
        <v>954.27446666666674</v>
      </c>
      <c r="BF10" s="181">
        <f t="shared" si="15"/>
        <v>0.92848326486486488</v>
      </c>
      <c r="BG10" s="520" t="b">
        <f t="shared" si="16"/>
        <v>0</v>
      </c>
      <c r="BI10" s="528" t="s">
        <v>2181</v>
      </c>
      <c r="BK10" s="151">
        <f>VLOOKUP(J10,'Tarieven ZM'!$B$136:$I$235,8,0)</f>
        <v>0</v>
      </c>
      <c r="BL10" s="151" t="str">
        <f>IF(M10="EoK",N10&amp;"AdvancedNLS type 1/2/3",IF(E10&lt;&gt;"Straal Access",INDEX(Mapping!J:J,MATCH(E10&amp;G10,Mapping!B:B,0)),E10))</f>
        <v>Copper Standard Access 5Mbit/sAdvancedNLS type 1/2/3</v>
      </c>
      <c r="BM10" s="184">
        <f>INDEX('inkoop ULL tbv EVPN'!J:J,MATCH($BL10,'inkoop ULL tbv EVPN'!$H:$H,0))</f>
        <v>78.97</v>
      </c>
      <c r="BN10" s="180">
        <f>BM10/INDEX(Parameters!$B:$B,MATCH("AfschrijftermijnVVE"&amp;12*$C10,Parameters!$A:$A,0))</f>
        <v>2.1936111111111112</v>
      </c>
      <c r="BO10" s="184">
        <f>INDEX('inkoop ULL tbv EVPN'!I:I,MATCH($BL10,'inkoop ULL tbv EVPN'!$H:$H,0))</f>
        <v>14.7296035</v>
      </c>
      <c r="BP10" s="184">
        <f t="shared" si="17"/>
        <v>16.92321461111111</v>
      </c>
      <c r="BR10" s="180">
        <f>Parameters!$B$12*AG10</f>
        <v>102.77777777777779</v>
      </c>
      <c r="BS10" s="180">
        <f>SUM(Distributievergoedingen!$F$12,Distributievergoedingen!$I$12,Distributievergoedingen!$L$12,Distributievergoedingen!$O$12)*AF10+SUM(Distributievergoedingen!$O$12*AA10+Distributievergoedingen!$R$12+Distributievergoedingen!$U$12+Distributievergoedingen!$X$12)/(MAX(36,12*C10))</f>
        <v>112.77777777777777</v>
      </c>
      <c r="BT10" s="150"/>
      <c r="BU10" s="150">
        <f t="shared" si="18"/>
        <v>215.55555555555554</v>
      </c>
      <c r="BW10" s="522">
        <f t="shared" si="19"/>
        <v>232.47877016666666</v>
      </c>
      <c r="BY10" s="527">
        <f t="shared" si="20"/>
        <v>795.29900761111116</v>
      </c>
      <c r="BZ10" s="181">
        <f t="shared" si="21"/>
        <v>0.77380443983783787</v>
      </c>
      <c r="CA10" s="520" t="b">
        <f t="shared" si="22"/>
        <v>0</v>
      </c>
    </row>
    <row r="11" spans="1:79" s="151" customFormat="1">
      <c r="A11" s="151" t="str">
        <f t="shared" si="0"/>
        <v>1EoKStandard Access koper 10mbHoogOn-net (NLS3)</v>
      </c>
      <c r="B11" s="151" t="str">
        <f t="shared" si="1"/>
        <v>1EoKStandard Access koper 10mbHoogOn-net (NLS3)</v>
      </c>
      <c r="C11" s="178">
        <v>1</v>
      </c>
      <c r="D11" s="415" t="s">
        <v>303</v>
      </c>
      <c r="E11" s="178" t="s">
        <v>277</v>
      </c>
      <c r="F11" s="107" t="s">
        <v>274</v>
      </c>
      <c r="G11" s="178" t="s">
        <v>3398</v>
      </c>
      <c r="I11" s="178"/>
      <c r="J11" s="520" t="str">
        <f t="shared" si="2"/>
        <v>EoKStandard Access koper 10mbHoogOn-net (NLS3)</v>
      </c>
      <c r="L11" s="204">
        <f>INDEX(Mapping!$H:$H,MATCH(C$3&amp;C11,Mapping!$B:$B,0))</f>
        <v>1</v>
      </c>
      <c r="M11" s="204" t="str">
        <f>INDEX(Mapping!$H:$H,MATCH(D$3&amp;D11,Mapping!$B:$B,0))</f>
        <v>EoK</v>
      </c>
      <c r="N11" s="204" t="str">
        <f>INDEX(Mapping!$H:$H,MATCH(E$3&amp;E11,Mapping!$B:$B,0))</f>
        <v>Copper Standard Access 10Mbit/s</v>
      </c>
      <c r="O11" s="204" t="str">
        <f>INDEX(Mapping!$H:$H,MATCH(E11&amp;F11,Mapping!$B:$B,0))</f>
        <v/>
      </c>
      <c r="P11" s="204" t="str">
        <f>INDEX(Mapping!$H:$H,MATCH($E11&amp;$G11,Mapping!$B:$B,0))</f>
        <v>On-net (NLS3)</v>
      </c>
      <c r="Q11" s="204" t="str">
        <f>INDEX(Mapping!$H:$H,MATCH($E11&amp;$G11&amp;"graafafstand",Mapping!$B:$B,0))</f>
        <v>nvt</v>
      </c>
      <c r="R11" s="204">
        <f>INDEX(Mapping!$H:$H,MATCH(R$3&amp;$E11,Mapping!$B:$B,0))</f>
        <v>1</v>
      </c>
      <c r="S11" s="204">
        <f>INDEX(Mapping!$H:$H,MATCH(S$3&amp;$E11,Mapping!$B:$B,0))</f>
        <v>1</v>
      </c>
      <c r="T11" s="139" t="str">
        <f t="shared" si="3"/>
        <v>Copper Standard Access 10Mbit/sOn-net (NLS3)</v>
      </c>
      <c r="U11" s="151" t="str">
        <f t="shared" si="4"/>
        <v>Copper Standard Access 10Mbit/sOn-net (NLS3)</v>
      </c>
      <c r="W11" s="521">
        <f>MATCH($J11,'Tarieven ZM'!$B:$B,0)</f>
        <v>146</v>
      </c>
      <c r="X11" s="204">
        <f>INDEX('Tarieven ZM'!$H:$H,$W11)</f>
        <v>1000</v>
      </c>
      <c r="Y11" s="198">
        <f>IF(E11="Standard Access in ZG BT gebieden",0,-INDEX(Parameters!$B:$B,MATCH(Y$3&amp;$C11,Parameters!$A:$A,0))*$X11)</f>
        <v>0</v>
      </c>
      <c r="Z11" s="198">
        <f>IF(E11="Standard Access in ZG BT gebieden",0,MAX(-INDEX(Parameters!$B:$B,MATCH(Z$3&amp;$C11,Parameters!$A:$A,0))*$X11,-INDEX(Parameters!$B:$B,MATCH("FactorMaxSalesMandaat"&amp;E11,Parameters!$A:$A,0))*INDEX(Parameters!$B:$B,MATCH("MaxSalesMandaatAccessVVE"&amp;$C11,Parameters!$A:$A,0))))</f>
        <v>0</v>
      </c>
      <c r="AA11" s="139">
        <f t="shared" si="5"/>
        <v>1000</v>
      </c>
      <c r="AB11" s="205">
        <f>AA11/INDEX(Parameters!$B:$B,MATCH("AfschrijftermijnVVE"&amp;12*$C11,Parameters!$A:$A,0))</f>
        <v>27.777777777777779</v>
      </c>
      <c r="AC11" s="204">
        <f>INDEX('Tarieven ZM'!$G:$G,$W11)</f>
        <v>1000</v>
      </c>
      <c r="AD11" s="198">
        <f>IF(E11="Standard Access in ZG BT gebieden",0,-INDEX(Parameters!$B:$B,MATCH(AD$3&amp;$C11,Parameters!$A:$A,0))*$AC11)</f>
        <v>0</v>
      </c>
      <c r="AE11" s="198">
        <f>IF(E11="Standard Access in ZG BT gebieden",0,-INDEX(Parameters!$B:$B,MATCH(AE$3,Parameters!$A:$A,0))*$AC11)</f>
        <v>0</v>
      </c>
      <c r="AF11" s="139">
        <f t="shared" si="6"/>
        <v>1000</v>
      </c>
      <c r="AG11" s="522">
        <f t="shared" si="7"/>
        <v>1027.7777777777778</v>
      </c>
      <c r="AH11" s="175"/>
      <c r="AI11" s="523">
        <f>IF(N11&lt;&gt;"nvt",MATCH($T11,'Tarieven W&amp;O'!$B:$B,0),"nvt")</f>
        <v>18</v>
      </c>
      <c r="AJ11" s="205">
        <f>IF(AI11&lt;&gt;"nvt",IF($D11="EoK",INDEX(Parameters!C:C,MATCH("NLSx EoK",Parameters!A:A,0)),INDEX('Tarieven W&amp;O'!$H:$H,$AI11)),0)*R11</f>
        <v>350</v>
      </c>
      <c r="AK11" s="204">
        <f>IF(AI11&lt;&gt;"nvt",INDEX('Tarieven W&amp;O'!$I:$I,$AI11),0)*R11</f>
        <v>75</v>
      </c>
      <c r="AL11" s="524">
        <f>IF(AI11&lt;&gt;"nvt",-INDEX(Parameters!$B:$B,MATCH(AL$3,Parameters!$A:$A,0))*(AJ11+AK11),0)</f>
        <v>0</v>
      </c>
      <c r="AM11" s="525"/>
      <c r="AN11" s="139">
        <f t="shared" si="8"/>
        <v>425</v>
      </c>
      <c r="AO11" s="205">
        <f>AN11/INDEX(Parameters!$B:$B,MATCH("AfschrijftermijnVVE"&amp;12*$C11,Parameters!$A:$A,0))</f>
        <v>11.805555555555555</v>
      </c>
      <c r="AP11" s="139">
        <f t="shared" si="9"/>
        <v>18</v>
      </c>
      <c r="AQ11" s="526">
        <f>IF(AP11&lt;&gt;"nvt",R11*INDEX('Tarieven W&amp;O'!$G:$G,$AP11),0)</f>
        <v>83.59</v>
      </c>
      <c r="AR11" s="524">
        <f>-INDEX(Parameters!$B:$B,MATCH(AR$3,Parameters!$A:$A,0))*(AQ11)</f>
        <v>0</v>
      </c>
      <c r="AS11" s="205">
        <f>IF(E11="straal access",'EDC Minus'!$H$192,IF(Q11&lt;&gt;"nvt",Q11*S11*'EDC Minus'!$H$292/590,0))</f>
        <v>0</v>
      </c>
      <c r="AT11" s="139"/>
      <c r="AU11" s="150">
        <f t="shared" si="10"/>
        <v>83.59</v>
      </c>
      <c r="AV11" s="150">
        <f t="shared" si="11"/>
        <v>95.395555555555561</v>
      </c>
      <c r="AX11" s="526">
        <f>Parameters!$B$6*AV11</f>
        <v>0.95395555555555567</v>
      </c>
      <c r="AY11" s="150">
        <v>0</v>
      </c>
      <c r="AZ11" s="150"/>
      <c r="BA11" s="150">
        <f t="shared" si="12"/>
        <v>0.95395555555555567</v>
      </c>
      <c r="BC11" s="522">
        <f t="shared" si="13"/>
        <v>96.349511111111113</v>
      </c>
      <c r="BD11" s="175"/>
      <c r="BE11" s="527">
        <f t="shared" si="14"/>
        <v>931.42826666666667</v>
      </c>
      <c r="BF11" s="181">
        <f t="shared" si="15"/>
        <v>0.90625452972972964</v>
      </c>
      <c r="BG11" s="520" t="b">
        <f t="shared" si="16"/>
        <v>0</v>
      </c>
      <c r="BI11" s="528" t="s">
        <v>2181</v>
      </c>
      <c r="BK11" s="151">
        <f>VLOOKUP(J11,'Tarieven ZM'!$B$136:$I$235,8,0)</f>
        <v>0</v>
      </c>
      <c r="BL11" s="151" t="str">
        <f>IF(M11="EoK",N11&amp;"AdvancedNLS type 1/2/3",IF(E11&lt;&gt;"Straal Access",INDEX(Mapping!J:J,MATCH(E11&amp;G11,Mapping!B:B,0)),E11))</f>
        <v>Copper Standard Access 10Mbit/sAdvancedNLS type 1/2/3</v>
      </c>
      <c r="BM11" s="184">
        <f>INDEX('inkoop ULL tbv EVPN'!J:J,MATCH($BL11,'inkoop ULL tbv EVPN'!$H:$H,0))</f>
        <v>78.97</v>
      </c>
      <c r="BN11" s="180">
        <f>BM11/INDEX(Parameters!$B:$B,MATCH("AfschrijftermijnVVE"&amp;12*$C11,Parameters!$A:$A,0))</f>
        <v>2.1936111111111112</v>
      </c>
      <c r="BO11" s="184">
        <f>INDEX('inkoop ULL tbv EVPN'!I:I,MATCH($BL11,'inkoop ULL tbv EVPN'!$H:$H,0))</f>
        <v>14.7296035</v>
      </c>
      <c r="BP11" s="184">
        <f t="shared" si="17"/>
        <v>16.92321461111111</v>
      </c>
      <c r="BR11" s="180">
        <f>Parameters!$B$12*AG11</f>
        <v>102.77777777777779</v>
      </c>
      <c r="BS11" s="180">
        <f>SUM(Distributievergoedingen!$F$12,Distributievergoedingen!$I$12,Distributievergoedingen!$L$12,Distributievergoedingen!$O$12)*AF11+SUM(Distributievergoedingen!$O$12*AA11+Distributievergoedingen!$R$12+Distributievergoedingen!$U$12+Distributievergoedingen!$X$12)/(MAX(36,12*C11))</f>
        <v>112.77777777777777</v>
      </c>
      <c r="BT11" s="150"/>
      <c r="BU11" s="150">
        <f t="shared" si="18"/>
        <v>215.55555555555554</v>
      </c>
      <c r="BW11" s="522">
        <f t="shared" si="19"/>
        <v>232.47877016666666</v>
      </c>
      <c r="BY11" s="527">
        <f t="shared" si="20"/>
        <v>795.29900761111116</v>
      </c>
      <c r="BZ11" s="181">
        <f t="shared" si="21"/>
        <v>0.77380443983783787</v>
      </c>
      <c r="CA11" s="520" t="b">
        <f t="shared" si="22"/>
        <v>0</v>
      </c>
    </row>
    <row r="12" spans="1:79" s="151" customFormat="1">
      <c r="A12" s="151" t="str">
        <f t="shared" si="0"/>
        <v>1EoKStandard Access koper 15mbHoogOn-net (NLS3)</v>
      </c>
      <c r="B12" s="151" t="str">
        <f t="shared" si="1"/>
        <v>1EoKStandard Access koper 15mbHoogOn-net (NLS3)</v>
      </c>
      <c r="C12" s="178">
        <v>1</v>
      </c>
      <c r="D12" s="415" t="s">
        <v>303</v>
      </c>
      <c r="E12" s="178" t="s">
        <v>278</v>
      </c>
      <c r="F12" s="107" t="s">
        <v>274</v>
      </c>
      <c r="G12" s="178" t="s">
        <v>3398</v>
      </c>
      <c r="I12" s="178"/>
      <c r="J12" s="520" t="str">
        <f t="shared" si="2"/>
        <v>EoKStandard Access koper 15mbHoogOn-net (NLS3)</v>
      </c>
      <c r="L12" s="204">
        <f>INDEX(Mapping!$H:$H,MATCH(C$3&amp;C12,Mapping!$B:$B,0))</f>
        <v>1</v>
      </c>
      <c r="M12" s="204" t="str">
        <f>INDEX(Mapping!$H:$H,MATCH(D$3&amp;D12,Mapping!$B:$B,0))</f>
        <v>EoK</v>
      </c>
      <c r="N12" s="204" t="str">
        <f>INDEX(Mapping!$H:$H,MATCH(E$3&amp;E12,Mapping!$B:$B,0))</f>
        <v>Copper Standard Access 15Mbit/s</v>
      </c>
      <c r="O12" s="204" t="str">
        <f>INDEX(Mapping!$H:$H,MATCH(E12&amp;F12,Mapping!$B:$B,0))</f>
        <v/>
      </c>
      <c r="P12" s="204" t="str">
        <f>INDEX(Mapping!$H:$H,MATCH($E12&amp;$G12,Mapping!$B:$B,0))</f>
        <v>On-net (NLS3)</v>
      </c>
      <c r="Q12" s="204" t="str">
        <f>INDEX(Mapping!$H:$H,MATCH($E12&amp;$G12&amp;"graafafstand",Mapping!$B:$B,0))</f>
        <v>nvt</v>
      </c>
      <c r="R12" s="204">
        <f>INDEX(Mapping!$H:$H,MATCH(R$3&amp;$E12,Mapping!$B:$B,0))</f>
        <v>1</v>
      </c>
      <c r="S12" s="204">
        <f>INDEX(Mapping!$H:$H,MATCH(S$3&amp;$E12,Mapping!$B:$B,0))</f>
        <v>1</v>
      </c>
      <c r="T12" s="139" t="str">
        <f t="shared" si="3"/>
        <v>Copper Standard Access 15Mbit/sOn-net (NLS3)</v>
      </c>
      <c r="U12" s="151" t="str">
        <f t="shared" si="4"/>
        <v>Copper Standard Access 15Mbit/sOn-net (NLS3)</v>
      </c>
      <c r="W12" s="521">
        <f>MATCH($J12,'Tarieven ZM'!$B:$B,0)</f>
        <v>147</v>
      </c>
      <c r="X12" s="204">
        <f>INDEX('Tarieven ZM'!$H:$H,$W12)</f>
        <v>1000</v>
      </c>
      <c r="Y12" s="198">
        <f>IF(E12="Standard Access in ZG BT gebieden",0,-INDEX(Parameters!$B:$B,MATCH(Y$3&amp;$C12,Parameters!$A:$A,0))*$X12)</f>
        <v>0</v>
      </c>
      <c r="Z12" s="198">
        <f>IF(E12="Standard Access in ZG BT gebieden",0,MAX(-INDEX(Parameters!$B:$B,MATCH(Z$3&amp;$C12,Parameters!$A:$A,0))*$X12,-INDEX(Parameters!$B:$B,MATCH("FactorMaxSalesMandaat"&amp;E12,Parameters!$A:$A,0))*INDEX(Parameters!$B:$B,MATCH("MaxSalesMandaatAccessVVE"&amp;$C12,Parameters!$A:$A,0))))</f>
        <v>0</v>
      </c>
      <c r="AA12" s="139">
        <f t="shared" si="5"/>
        <v>1000</v>
      </c>
      <c r="AB12" s="205">
        <f>AA12/INDEX(Parameters!$B:$B,MATCH("AfschrijftermijnVVE"&amp;12*$C12,Parameters!$A:$A,0))</f>
        <v>27.777777777777779</v>
      </c>
      <c r="AC12" s="204">
        <f>INDEX('Tarieven ZM'!$G:$G,$W12)</f>
        <v>1000</v>
      </c>
      <c r="AD12" s="198">
        <f>IF(E12="Standard Access in ZG BT gebieden",0,-INDEX(Parameters!$B:$B,MATCH(AD$3&amp;$C12,Parameters!$A:$A,0))*$AC12)</f>
        <v>0</v>
      </c>
      <c r="AE12" s="198">
        <f>IF(E12="Standard Access in ZG BT gebieden",0,-INDEX(Parameters!$B:$B,MATCH(AE$3,Parameters!$A:$A,0))*$AC12)</f>
        <v>0</v>
      </c>
      <c r="AF12" s="139">
        <f t="shared" si="6"/>
        <v>1000</v>
      </c>
      <c r="AG12" s="522">
        <f t="shared" si="7"/>
        <v>1027.7777777777778</v>
      </c>
      <c r="AH12" s="175"/>
      <c r="AI12" s="523">
        <f>IF(N12&lt;&gt;"nvt",MATCH($T12,'Tarieven W&amp;O'!$B:$B,0),"nvt")</f>
        <v>19</v>
      </c>
      <c r="AJ12" s="205">
        <f>IF(AI12&lt;&gt;"nvt",IF($D12="EoK",INDEX(Parameters!C:C,MATCH("NLSx EoK",Parameters!A:A,0)),INDEX('Tarieven W&amp;O'!$H:$H,$AI12)),0)*R12</f>
        <v>350</v>
      </c>
      <c r="AK12" s="204">
        <f>IF(AI12&lt;&gt;"nvt",INDEX('Tarieven W&amp;O'!$I:$I,$AI12),0)*R12</f>
        <v>75</v>
      </c>
      <c r="AL12" s="524">
        <f>IF(AI12&lt;&gt;"nvt",-INDEX(Parameters!$B:$B,MATCH(AL$3,Parameters!$A:$A,0))*(AJ12+AK12),0)</f>
        <v>0</v>
      </c>
      <c r="AM12" s="525"/>
      <c r="AN12" s="139">
        <f t="shared" si="8"/>
        <v>425</v>
      </c>
      <c r="AO12" s="205">
        <f>AN12/INDEX(Parameters!$B:$B,MATCH("AfschrijftermijnVVE"&amp;12*$C12,Parameters!$A:$A,0))</f>
        <v>11.805555555555555</v>
      </c>
      <c r="AP12" s="139">
        <f t="shared" si="9"/>
        <v>19</v>
      </c>
      <c r="AQ12" s="526">
        <f>IF(AP12&lt;&gt;"nvt",R12*INDEX('Tarieven W&amp;O'!$G:$G,$AP12),0)</f>
        <v>102.44</v>
      </c>
      <c r="AR12" s="524">
        <f>-INDEX(Parameters!$B:$B,MATCH(AR$3,Parameters!$A:$A,0))*(AQ12)</f>
        <v>0</v>
      </c>
      <c r="AS12" s="205">
        <f>IF(E12="straal access",'EDC Minus'!$H$192,IF(Q12&lt;&gt;"nvt",Q12*S12*'EDC Minus'!$H$292/590,0))</f>
        <v>0</v>
      </c>
      <c r="AT12" s="139"/>
      <c r="AU12" s="150">
        <f t="shared" si="10"/>
        <v>102.44</v>
      </c>
      <c r="AV12" s="150">
        <f t="shared" si="11"/>
        <v>114.24555555555555</v>
      </c>
      <c r="AX12" s="526">
        <f>Parameters!$B$6*AV12</f>
        <v>1.1424555555555556</v>
      </c>
      <c r="AY12" s="150">
        <v>0</v>
      </c>
      <c r="AZ12" s="150"/>
      <c r="BA12" s="150">
        <f t="shared" si="12"/>
        <v>1.1424555555555556</v>
      </c>
      <c r="BC12" s="522">
        <f t="shared" si="13"/>
        <v>115.38801111111111</v>
      </c>
      <c r="BD12" s="175"/>
      <c r="BE12" s="527">
        <f t="shared" si="14"/>
        <v>912.38976666666667</v>
      </c>
      <c r="BF12" s="181">
        <f t="shared" si="15"/>
        <v>0.88773058378378378</v>
      </c>
      <c r="BG12" s="520" t="b">
        <f t="shared" si="16"/>
        <v>0</v>
      </c>
      <c r="BI12" s="528" t="s">
        <v>2181</v>
      </c>
      <c r="BK12" s="151">
        <f>VLOOKUP(J12,'Tarieven ZM'!$B$136:$I$235,8,0)</f>
        <v>0</v>
      </c>
      <c r="BL12" s="151" t="str">
        <f>IF(M12="EoK",N12&amp;"AdvancedNLS type 1/2/3",IF(E12&lt;&gt;"Straal Access",INDEX(Mapping!J:J,MATCH(E12&amp;G12,Mapping!B:B,0)),E12))</f>
        <v>Copper Standard Access 15Mbit/sAdvancedNLS type 1/2/3</v>
      </c>
      <c r="BM12" s="184">
        <f>INDEX('inkoop ULL tbv EVPN'!J:J,MATCH($BL12,'inkoop ULL tbv EVPN'!$H:$H,0))</f>
        <v>78.97</v>
      </c>
      <c r="BN12" s="180">
        <f>BM12/INDEX(Parameters!$B:$B,MATCH("AfschrijftermijnVVE"&amp;12*$C12,Parameters!$A:$A,0))</f>
        <v>2.1936111111111112</v>
      </c>
      <c r="BO12" s="184">
        <f>INDEX('inkoop ULL tbv EVPN'!I:I,MATCH($BL12,'inkoop ULL tbv EVPN'!$H:$H,0))</f>
        <v>14.7296035</v>
      </c>
      <c r="BP12" s="184">
        <f t="shared" si="17"/>
        <v>16.92321461111111</v>
      </c>
      <c r="BR12" s="180">
        <f>Parameters!$B$12*AG12</f>
        <v>102.77777777777779</v>
      </c>
      <c r="BS12" s="180">
        <f>SUM(Distributievergoedingen!$F$12,Distributievergoedingen!$I$12,Distributievergoedingen!$L$12,Distributievergoedingen!$O$12)*AF12+SUM(Distributievergoedingen!$O$12*AA12+Distributievergoedingen!$R$12+Distributievergoedingen!$U$12+Distributievergoedingen!$X$12)/(MAX(36,12*C12))</f>
        <v>112.77777777777777</v>
      </c>
      <c r="BT12" s="150"/>
      <c r="BU12" s="150">
        <f t="shared" si="18"/>
        <v>215.55555555555554</v>
      </c>
      <c r="BW12" s="522">
        <f t="shared" si="19"/>
        <v>232.47877016666666</v>
      </c>
      <c r="BY12" s="527">
        <f t="shared" si="20"/>
        <v>795.29900761111116</v>
      </c>
      <c r="BZ12" s="181">
        <f t="shared" si="21"/>
        <v>0.77380443983783787</v>
      </c>
      <c r="CA12" s="520" t="b">
        <f t="shared" si="22"/>
        <v>0</v>
      </c>
    </row>
    <row r="13" spans="1:79" s="151" customFormat="1">
      <c r="A13" s="151" t="str">
        <f t="shared" si="0"/>
        <v>1EoKStandard Access koper 20mbHoogOn-net (NLS3)</v>
      </c>
      <c r="B13" s="151" t="str">
        <f t="shared" si="1"/>
        <v>1EoKStandard Access koper 20mbHoogOn-net (NLS3)</v>
      </c>
      <c r="C13" s="178">
        <v>1</v>
      </c>
      <c r="D13" s="415" t="s">
        <v>303</v>
      </c>
      <c r="E13" s="178" t="s">
        <v>279</v>
      </c>
      <c r="F13" s="107" t="s">
        <v>274</v>
      </c>
      <c r="G13" s="178" t="s">
        <v>3398</v>
      </c>
      <c r="I13" s="178"/>
      <c r="J13" s="520" t="str">
        <f t="shared" si="2"/>
        <v>EoKStandard Access koper 20mbHoogOn-net (NLS3)</v>
      </c>
      <c r="L13" s="204">
        <f>INDEX(Mapping!$H:$H,MATCH(C$3&amp;C13,Mapping!$B:$B,0))</f>
        <v>1</v>
      </c>
      <c r="M13" s="204" t="str">
        <f>INDEX(Mapping!$H:$H,MATCH(D$3&amp;D13,Mapping!$B:$B,0))</f>
        <v>EoK</v>
      </c>
      <c r="N13" s="204" t="str">
        <f>INDEX(Mapping!$H:$H,MATCH(E$3&amp;E13,Mapping!$B:$B,0))</f>
        <v>Copper Standard Access 20Mbit/s</v>
      </c>
      <c r="O13" s="204" t="str">
        <f>INDEX(Mapping!$H:$H,MATCH(E13&amp;F13,Mapping!$B:$B,0))</f>
        <v/>
      </c>
      <c r="P13" s="204" t="str">
        <f>INDEX(Mapping!$H:$H,MATCH($E13&amp;$G13,Mapping!$B:$B,0))</f>
        <v>On-net (NLS3)</v>
      </c>
      <c r="Q13" s="204" t="str">
        <f>INDEX(Mapping!$H:$H,MATCH($E13&amp;$G13&amp;"graafafstand",Mapping!$B:$B,0))</f>
        <v>nvt</v>
      </c>
      <c r="R13" s="204">
        <f>INDEX(Mapping!$H:$H,MATCH(R$3&amp;$E13,Mapping!$B:$B,0))</f>
        <v>1</v>
      </c>
      <c r="S13" s="204">
        <f>INDEX(Mapping!$H:$H,MATCH(S$3&amp;$E13,Mapping!$B:$B,0))</f>
        <v>1</v>
      </c>
      <c r="T13" s="139" t="str">
        <f t="shared" si="3"/>
        <v>Copper Standard Access 20Mbit/sOn-net (NLS3)</v>
      </c>
      <c r="U13" s="151" t="str">
        <f t="shared" si="4"/>
        <v>Copper Standard Access 20Mbit/sOn-net (NLS3)</v>
      </c>
      <c r="W13" s="521">
        <f>MATCH($J13,'Tarieven ZM'!$B:$B,0)</f>
        <v>148</v>
      </c>
      <c r="X13" s="204">
        <f>INDEX('Tarieven ZM'!$H:$H,$W13)</f>
        <v>1000</v>
      </c>
      <c r="Y13" s="198">
        <f>IF(E13="Standard Access in ZG BT gebieden",0,-INDEX(Parameters!$B:$B,MATCH(Y$3&amp;$C13,Parameters!$A:$A,0))*$X13)</f>
        <v>0</v>
      </c>
      <c r="Z13" s="198">
        <f>IF(E13="Standard Access in ZG BT gebieden",0,MAX(-INDEX(Parameters!$B:$B,MATCH(Z$3&amp;$C13,Parameters!$A:$A,0))*$X13,-INDEX(Parameters!$B:$B,MATCH("FactorMaxSalesMandaat"&amp;E13,Parameters!$A:$A,0))*INDEX(Parameters!$B:$B,MATCH("MaxSalesMandaatAccessVVE"&amp;$C13,Parameters!$A:$A,0))))</f>
        <v>0</v>
      </c>
      <c r="AA13" s="139">
        <f t="shared" si="5"/>
        <v>1000</v>
      </c>
      <c r="AB13" s="205">
        <f>AA13/INDEX(Parameters!$B:$B,MATCH("AfschrijftermijnVVE"&amp;12*$C13,Parameters!$A:$A,0))</f>
        <v>27.777777777777779</v>
      </c>
      <c r="AC13" s="204">
        <f>INDEX('Tarieven ZM'!$G:$G,$W13)</f>
        <v>1000</v>
      </c>
      <c r="AD13" s="198">
        <f>IF(E13="Standard Access in ZG BT gebieden",0,-INDEX(Parameters!$B:$B,MATCH(AD$3&amp;$C13,Parameters!$A:$A,0))*$AC13)</f>
        <v>0</v>
      </c>
      <c r="AE13" s="198">
        <f>IF(E13="Standard Access in ZG BT gebieden",0,-INDEX(Parameters!$B:$B,MATCH(AE$3,Parameters!$A:$A,0))*$AC13)</f>
        <v>0</v>
      </c>
      <c r="AF13" s="139">
        <f t="shared" si="6"/>
        <v>1000</v>
      </c>
      <c r="AG13" s="522">
        <f t="shared" si="7"/>
        <v>1027.7777777777778</v>
      </c>
      <c r="AH13" s="175"/>
      <c r="AI13" s="523">
        <f>IF(N13&lt;&gt;"nvt",MATCH($T13,'Tarieven W&amp;O'!$B:$B,0),"nvt")</f>
        <v>20</v>
      </c>
      <c r="AJ13" s="205">
        <f>IF(AI13&lt;&gt;"nvt",IF($D13="EoK",INDEX(Parameters!C:C,MATCH("NLSx EoK",Parameters!A:A,0)),INDEX('Tarieven W&amp;O'!$H:$H,$AI13)),0)*R13</f>
        <v>350</v>
      </c>
      <c r="AK13" s="204">
        <f>IF(AI13&lt;&gt;"nvt",INDEX('Tarieven W&amp;O'!$I:$I,$AI13),0)*R13</f>
        <v>75</v>
      </c>
      <c r="AL13" s="524">
        <f>IF(AI13&lt;&gt;"nvt",-INDEX(Parameters!$B:$B,MATCH(AL$3,Parameters!$A:$A,0))*(AJ13+AK13),0)</f>
        <v>0</v>
      </c>
      <c r="AM13" s="525"/>
      <c r="AN13" s="139">
        <f t="shared" si="8"/>
        <v>425</v>
      </c>
      <c r="AO13" s="205">
        <f>AN13/INDEX(Parameters!$B:$B,MATCH("AfschrijftermijnVVE"&amp;12*$C13,Parameters!$A:$A,0))</f>
        <v>11.805555555555555</v>
      </c>
      <c r="AP13" s="139">
        <f t="shared" si="9"/>
        <v>20</v>
      </c>
      <c r="AQ13" s="526">
        <f>IF(AP13&lt;&gt;"nvt",R13*INDEX('Tarieven W&amp;O'!$G:$G,$AP13),0)</f>
        <v>121.28</v>
      </c>
      <c r="AR13" s="524">
        <f>-INDEX(Parameters!$B:$B,MATCH(AR$3,Parameters!$A:$A,0))*(AQ13)</f>
        <v>0</v>
      </c>
      <c r="AS13" s="205">
        <f>IF(E13="straal access",'EDC Minus'!$H$192,IF(Q13&lt;&gt;"nvt",Q13*S13*'EDC Minus'!$H$292/590,0))</f>
        <v>0</v>
      </c>
      <c r="AT13" s="139"/>
      <c r="AU13" s="150">
        <f t="shared" si="10"/>
        <v>121.28</v>
      </c>
      <c r="AV13" s="150">
        <f t="shared" si="11"/>
        <v>133.08555555555554</v>
      </c>
      <c r="AX13" s="526">
        <f>Parameters!$B$6*AV13</f>
        <v>1.3308555555555555</v>
      </c>
      <c r="AY13" s="150">
        <v>0</v>
      </c>
      <c r="AZ13" s="150"/>
      <c r="BA13" s="150">
        <f t="shared" si="12"/>
        <v>1.3308555555555555</v>
      </c>
      <c r="BC13" s="522">
        <f t="shared" si="13"/>
        <v>134.4164111111111</v>
      </c>
      <c r="BD13" s="175"/>
      <c r="BE13" s="527">
        <f t="shared" si="14"/>
        <v>893.36136666666675</v>
      </c>
      <c r="BF13" s="181">
        <f t="shared" si="15"/>
        <v>0.86921646486486492</v>
      </c>
      <c r="BG13" s="520" t="b">
        <f t="shared" si="16"/>
        <v>0</v>
      </c>
      <c r="BI13" s="528" t="s">
        <v>2181</v>
      </c>
      <c r="BK13" s="151">
        <f>VLOOKUP(J13,'Tarieven ZM'!$B$136:$I$235,8,0)</f>
        <v>0</v>
      </c>
      <c r="BL13" s="151" t="str">
        <f>IF(M13="EoK",N13&amp;"AdvancedNLS type 1/2/3",IF(E13&lt;&gt;"Straal Access",INDEX(Mapping!J:J,MATCH(E13&amp;G13,Mapping!B:B,0)),E13))</f>
        <v>Copper Standard Access 20Mbit/sAdvancedNLS type 1/2/3</v>
      </c>
      <c r="BM13" s="184">
        <f>INDEX('inkoop ULL tbv EVPN'!J:J,MATCH($BL13,'inkoop ULL tbv EVPN'!$H:$H,0))</f>
        <v>78.97</v>
      </c>
      <c r="BN13" s="180">
        <f>BM13/INDEX(Parameters!$B:$B,MATCH("AfschrijftermijnVVE"&amp;12*$C13,Parameters!$A:$A,0))</f>
        <v>2.1936111111111112</v>
      </c>
      <c r="BO13" s="184">
        <f>INDEX('inkoop ULL tbv EVPN'!I:I,MATCH($BL13,'inkoop ULL tbv EVPN'!$H:$H,0))</f>
        <v>14.7296035</v>
      </c>
      <c r="BP13" s="184">
        <f t="shared" si="17"/>
        <v>16.92321461111111</v>
      </c>
      <c r="BR13" s="180">
        <f>Parameters!$B$12*AG13</f>
        <v>102.77777777777779</v>
      </c>
      <c r="BS13" s="180">
        <f>SUM(Distributievergoedingen!$F$12,Distributievergoedingen!$I$12,Distributievergoedingen!$L$12,Distributievergoedingen!$O$12)*AF13+SUM(Distributievergoedingen!$O$12*AA13+Distributievergoedingen!$R$12+Distributievergoedingen!$U$12+Distributievergoedingen!$X$12)/(MAX(36,12*C13))</f>
        <v>112.77777777777777</v>
      </c>
      <c r="BT13" s="150"/>
      <c r="BU13" s="150">
        <f t="shared" si="18"/>
        <v>215.55555555555554</v>
      </c>
      <c r="BW13" s="522">
        <f t="shared" si="19"/>
        <v>232.47877016666666</v>
      </c>
      <c r="BY13" s="527">
        <f t="shared" si="20"/>
        <v>795.29900761111116</v>
      </c>
      <c r="BZ13" s="181">
        <f t="shared" si="21"/>
        <v>0.77380443983783787</v>
      </c>
      <c r="CA13" s="520" t="b">
        <f t="shared" si="22"/>
        <v>0</v>
      </c>
    </row>
    <row r="14" spans="1:79" s="151" customFormat="1">
      <c r="A14" s="151" t="str">
        <f t="shared" ref="A14:A18" si="23">C14&amp;D14&amp;E14&amp;F14&amp;G14</f>
        <v>1EoKStandard Access koper 3mbHoog&lt; 250 meter</v>
      </c>
      <c r="B14" s="151" t="str">
        <f t="shared" ref="B14:B18" si="24">A14</f>
        <v>1EoKStandard Access koper 3mbHoog&lt; 250 meter</v>
      </c>
      <c r="C14" s="178">
        <v>1</v>
      </c>
      <c r="D14" s="415" t="s">
        <v>303</v>
      </c>
      <c r="E14" s="178" t="s">
        <v>268</v>
      </c>
      <c r="F14" s="107" t="s">
        <v>274</v>
      </c>
      <c r="G14" s="178" t="s">
        <v>3397</v>
      </c>
      <c r="I14" s="178"/>
      <c r="J14" s="520" t="str">
        <f t="shared" ref="J14:J18" si="25">D14&amp;E14&amp;F14&amp;G14</f>
        <v>EoKStandard Access koper 3mbHoog&lt; 250 meter</v>
      </c>
      <c r="L14" s="204">
        <f>INDEX(Mapping!$H:$H,MATCH(C$3&amp;C14,Mapping!$B:$B,0))</f>
        <v>1</v>
      </c>
      <c r="M14" s="204" t="str">
        <f>INDEX(Mapping!$H:$H,MATCH(D$3&amp;D14,Mapping!$B:$B,0))</f>
        <v>EoK</v>
      </c>
      <c r="N14" s="204" t="str">
        <f>INDEX(Mapping!$H:$H,MATCH(E$3&amp;E14,Mapping!$B:$B,0))</f>
        <v>Copper Standard Access 3Mbit/s</v>
      </c>
      <c r="O14" s="204" t="str">
        <f>INDEX(Mapping!$H:$H,MATCH(E14&amp;F14,Mapping!$B:$B,0))</f>
        <v/>
      </c>
      <c r="P14" s="204" t="str">
        <f>INDEX(Mapping!$H:$H,MATCH($E14&amp;$G14,Mapping!$B:$B,0))</f>
        <v>Nearnet</v>
      </c>
      <c r="Q14" s="204" t="str">
        <f>INDEX(Mapping!$H:$H,MATCH($E14&amp;$G14&amp;"graafafstand",Mapping!$B:$B,0))</f>
        <v>nvt</v>
      </c>
      <c r="R14" s="204">
        <f>INDEX(Mapping!$H:$H,MATCH(R$3&amp;$E14,Mapping!$B:$B,0))</f>
        <v>1</v>
      </c>
      <c r="S14" s="204">
        <f>INDEX(Mapping!$H:$H,MATCH(S$3&amp;$E14,Mapping!$B:$B,0))</f>
        <v>1</v>
      </c>
      <c r="T14" s="139" t="str">
        <f t="shared" ref="T14:T18" si="26">N14&amp;O14&amp;P14</f>
        <v>Copper Standard Access 3Mbit/sNearnet</v>
      </c>
      <c r="U14" s="151" t="str">
        <f t="shared" ref="U14:U18" si="27">T14</f>
        <v>Copper Standard Access 3Mbit/sNearnet</v>
      </c>
      <c r="W14" s="521">
        <f>MATCH($J14,'Tarieven ZM'!$B:$B,0)</f>
        <v>149</v>
      </c>
      <c r="X14" s="204">
        <f>INDEX('Tarieven ZM'!$H:$H,$W14)</f>
        <v>1000</v>
      </c>
      <c r="Y14" s="198">
        <f>IF(E14="Standard Access in ZG BT gebieden",0,-INDEX(Parameters!$B:$B,MATCH(Y$3&amp;$C14,Parameters!$A:$A,0))*$X14)</f>
        <v>0</v>
      </c>
      <c r="Z14" s="198">
        <f>IF(E14="Standard Access in ZG BT gebieden",0,MAX(-INDEX(Parameters!$B:$B,MATCH(Z$3&amp;$C14,Parameters!$A:$A,0))*$X14,-INDEX(Parameters!$B:$B,MATCH("FactorMaxSalesMandaat"&amp;E14,Parameters!$A:$A,0))*INDEX(Parameters!$B:$B,MATCH("MaxSalesMandaatAccessVVE"&amp;$C14,Parameters!$A:$A,0))))</f>
        <v>0</v>
      </c>
      <c r="AA14" s="139">
        <f t="shared" ref="AA14:AA18" si="28">SUM(X14:Z14)</f>
        <v>1000</v>
      </c>
      <c r="AB14" s="205">
        <f>AA14/INDEX(Parameters!$B:$B,MATCH("AfschrijftermijnVVE"&amp;12*$C14,Parameters!$A:$A,0))</f>
        <v>27.777777777777779</v>
      </c>
      <c r="AC14" s="204">
        <f>INDEX('Tarieven ZM'!$G:$G,$W14)</f>
        <v>1000</v>
      </c>
      <c r="AD14" s="198">
        <f>IF(E14="Standard Access in ZG BT gebieden",0,-INDEX(Parameters!$B:$B,MATCH(AD$3&amp;$C14,Parameters!$A:$A,0))*$AC14)</f>
        <v>0</v>
      </c>
      <c r="AE14" s="198">
        <f>IF(E14="Standard Access in ZG BT gebieden",0,-INDEX(Parameters!$B:$B,MATCH(AE$3,Parameters!$A:$A,0))*$AC14)</f>
        <v>0</v>
      </c>
      <c r="AF14" s="139">
        <f t="shared" ref="AF14:AF18" si="29">SUM(AC14:AE14)</f>
        <v>1000</v>
      </c>
      <c r="AG14" s="522">
        <f t="shared" ref="AG14:AG18" si="30">SUM(AB14,AF14)</f>
        <v>1027.7777777777778</v>
      </c>
      <c r="AH14" s="175"/>
      <c r="AI14" s="523">
        <f>IF(N14&lt;&gt;"nvt",MATCH($T14,'Tarieven W&amp;O'!$B:$B,0),"nvt")</f>
        <v>23</v>
      </c>
      <c r="AJ14" s="205">
        <f>IF(AI14&lt;&gt;"nvt",IF($D14="EoK",INDEX(Parameters!C:C,MATCH("NLSx EoK",Parameters!A:A,0)),INDEX('Tarieven W&amp;O'!$H:$H,$AI14)),0)*R14</f>
        <v>350</v>
      </c>
      <c r="AK14" s="204">
        <f>IF(AI14&lt;&gt;"nvt",INDEX('Tarieven W&amp;O'!$I:$I,$AI14),0)*R14</f>
        <v>75</v>
      </c>
      <c r="AL14" s="524">
        <f>IF(AI14&lt;&gt;"nvt",-INDEX(Parameters!$B:$B,MATCH(AL$3,Parameters!$A:$A,0))*(AJ14+AK14),0)</f>
        <v>0</v>
      </c>
      <c r="AM14" s="525"/>
      <c r="AN14" s="139">
        <f t="shared" ref="AN14:AN18" si="31">SUM(AJ14:AM14)</f>
        <v>425</v>
      </c>
      <c r="AO14" s="205">
        <f>AN14/INDEX(Parameters!$B:$B,MATCH("AfschrijftermijnVVE"&amp;12*$C14,Parameters!$A:$A,0))</f>
        <v>11.805555555555555</v>
      </c>
      <c r="AP14" s="139">
        <f t="shared" ref="AP14:AP18" si="32">AI14</f>
        <v>23</v>
      </c>
      <c r="AQ14" s="526">
        <f>IF(AP14&lt;&gt;"nvt",R14*INDEX('Tarieven W&amp;O'!$G:$G,$AP14),0)</f>
        <v>41.5</v>
      </c>
      <c r="AR14" s="524">
        <f>-INDEX(Parameters!$B:$B,MATCH(AR$3,Parameters!$A:$A,0))*(AQ14)</f>
        <v>0</v>
      </c>
      <c r="AS14" s="205">
        <f>IF(E14="straal access",'EDC Minus'!$H$192,IF(Q14&lt;&gt;"nvt",Q14*S14*'EDC Minus'!$H$292/590,0))</f>
        <v>0</v>
      </c>
      <c r="AT14" s="139"/>
      <c r="AU14" s="150">
        <f t="shared" ref="AU14:AU18" si="33">SUM(AQ14:AT14)</f>
        <v>41.5</v>
      </c>
      <c r="AV14" s="150">
        <f t="shared" ref="AV14:AV18" si="34">SUM(AO14,AU14)</f>
        <v>53.305555555555557</v>
      </c>
      <c r="AX14" s="526">
        <f>Parameters!$B$6*AV14</f>
        <v>0.53305555555555562</v>
      </c>
      <c r="AY14" s="150">
        <v>0</v>
      </c>
      <c r="AZ14" s="150"/>
      <c r="BA14" s="150">
        <f t="shared" ref="BA14:BA18" si="35">SUM(AX14:AZ14)</f>
        <v>0.53305555555555562</v>
      </c>
      <c r="BC14" s="522">
        <f t="shared" ref="BC14:BC18" si="36">SUM(AV14,BA14)</f>
        <v>53.838611111111113</v>
      </c>
      <c r="BD14" s="175"/>
      <c r="BE14" s="527">
        <f t="shared" ref="BE14:BE18" si="37">AG14-BC14</f>
        <v>973.93916666666667</v>
      </c>
      <c r="BF14" s="181">
        <f t="shared" ref="BF14:BF18" si="38">IF(AG14=0,-999%,BE14/AG14)</f>
        <v>0.94761648648648644</v>
      </c>
      <c r="BG14" s="520" t="b">
        <f t="shared" ref="BG14:BG18" si="39">BF14&lt;0</f>
        <v>0</v>
      </c>
      <c r="BI14" s="528" t="s">
        <v>2181</v>
      </c>
      <c r="BK14" s="151">
        <f>VLOOKUP(J14,'Tarieven ZM'!$B$136:$I$235,8,0)</f>
        <v>0</v>
      </c>
      <c r="BL14" s="151" t="str">
        <f>IF(M14="EoK",N14&amp;"AdvancedNLS type 1/2/3",IF(E14&lt;&gt;"Straal Access",INDEX(Mapping!J:J,MATCH(E14&amp;G14,Mapping!B:B,0)),E14))</f>
        <v>Copper Standard Access 3Mbit/sAdvancedNLS type 1/2/3</v>
      </c>
      <c r="BM14" s="184">
        <f>INDEX('inkoop ULL tbv EVPN'!J:J,MATCH($BL14,'inkoop ULL tbv EVPN'!$H:$H,0))</f>
        <v>78.97</v>
      </c>
      <c r="BN14" s="180">
        <f>BM14/INDEX(Parameters!$B:$B,MATCH("AfschrijftermijnVVE"&amp;12*$C14,Parameters!$A:$A,0))</f>
        <v>2.1936111111111112</v>
      </c>
      <c r="BO14" s="184">
        <f>INDEX('inkoop ULL tbv EVPN'!I:I,MATCH($BL14,'inkoop ULL tbv EVPN'!$H:$H,0))</f>
        <v>14.7296035</v>
      </c>
      <c r="BP14" s="184">
        <f t="shared" ref="BP14:BP18" si="40">BN14+BO14</f>
        <v>16.92321461111111</v>
      </c>
      <c r="BR14" s="180">
        <f>Parameters!$B$12*AG14</f>
        <v>102.77777777777779</v>
      </c>
      <c r="BS14" s="180">
        <f>SUM(Distributievergoedingen!$F$12,Distributievergoedingen!$I$12,Distributievergoedingen!$L$12,Distributievergoedingen!$O$12)*AF14+SUM(Distributievergoedingen!$O$12*AA14+Distributievergoedingen!$R$12+Distributievergoedingen!$U$12+Distributievergoedingen!$X$12)/(MAX(36,12*C14))</f>
        <v>112.77777777777777</v>
      </c>
      <c r="BT14" s="150"/>
      <c r="BU14" s="150">
        <f t="shared" ref="BU14:BU18" si="41">SUM(BR14:BT14)</f>
        <v>215.55555555555554</v>
      </c>
      <c r="BW14" s="522">
        <f t="shared" ref="BW14:BW18" si="42">SUM(BP14,BU14)</f>
        <v>232.47877016666666</v>
      </c>
      <c r="BY14" s="527">
        <f t="shared" ref="BY14:BY18" si="43">AG14-BW14</f>
        <v>795.29900761111116</v>
      </c>
      <c r="BZ14" s="181">
        <f t="shared" ref="BZ14:BZ18" si="44">IF(AG14=0,-999%,BY14/AG14)</f>
        <v>0.77380443983783787</v>
      </c>
      <c r="CA14" s="520" t="b">
        <f t="shared" ref="CA14:CA18" si="45">BZ14&lt;0</f>
        <v>0</v>
      </c>
    </row>
    <row r="15" spans="1:79" s="151" customFormat="1">
      <c r="A15" s="151" t="str">
        <f t="shared" si="23"/>
        <v>1EoKStandard Access koper 5mbHoog&lt; 250 meter</v>
      </c>
      <c r="B15" s="151" t="str">
        <f t="shared" si="24"/>
        <v>1EoKStandard Access koper 5mbHoog&lt; 250 meter</v>
      </c>
      <c r="C15" s="178">
        <v>1</v>
      </c>
      <c r="D15" s="415" t="s">
        <v>303</v>
      </c>
      <c r="E15" s="178" t="s">
        <v>276</v>
      </c>
      <c r="F15" s="107" t="s">
        <v>274</v>
      </c>
      <c r="G15" s="178" t="s">
        <v>3397</v>
      </c>
      <c r="I15" s="178"/>
      <c r="J15" s="520" t="str">
        <f t="shared" si="25"/>
        <v>EoKStandard Access koper 5mbHoog&lt; 250 meter</v>
      </c>
      <c r="L15" s="204">
        <f>INDEX(Mapping!$H:$H,MATCH(C$3&amp;C15,Mapping!$B:$B,0))</f>
        <v>1</v>
      </c>
      <c r="M15" s="204" t="str">
        <f>INDEX(Mapping!$H:$H,MATCH(D$3&amp;D15,Mapping!$B:$B,0))</f>
        <v>EoK</v>
      </c>
      <c r="N15" s="204" t="str">
        <f>INDEX(Mapping!$H:$H,MATCH(E$3&amp;E15,Mapping!$B:$B,0))</f>
        <v>Copper Standard Access 5Mbit/s</v>
      </c>
      <c r="O15" s="204" t="str">
        <f>INDEX(Mapping!$H:$H,MATCH(E15&amp;F15,Mapping!$B:$B,0))</f>
        <v/>
      </c>
      <c r="P15" s="204" t="str">
        <f>INDEX(Mapping!$H:$H,MATCH($E15&amp;$G15,Mapping!$B:$B,0))</f>
        <v>Nearnet</v>
      </c>
      <c r="Q15" s="204" t="str">
        <f>INDEX(Mapping!$H:$H,MATCH($E15&amp;$G15&amp;"graafafstand",Mapping!$B:$B,0))</f>
        <v>nvt</v>
      </c>
      <c r="R15" s="204">
        <f>INDEX(Mapping!$H:$H,MATCH(R$3&amp;$E15,Mapping!$B:$B,0))</f>
        <v>1</v>
      </c>
      <c r="S15" s="204">
        <f>INDEX(Mapping!$H:$H,MATCH(S$3&amp;$E15,Mapping!$B:$B,0))</f>
        <v>1</v>
      </c>
      <c r="T15" s="139" t="str">
        <f t="shared" si="26"/>
        <v>Copper Standard Access 5Mbit/sNearnet</v>
      </c>
      <c r="U15" s="151" t="str">
        <f t="shared" si="27"/>
        <v>Copper Standard Access 5Mbit/sNearnet</v>
      </c>
      <c r="W15" s="521">
        <f>MATCH($J15,'Tarieven ZM'!$B:$B,0)</f>
        <v>150</v>
      </c>
      <c r="X15" s="204">
        <f>INDEX('Tarieven ZM'!$H:$H,$W15)</f>
        <v>1000</v>
      </c>
      <c r="Y15" s="198">
        <f>IF(E15="Standard Access in ZG BT gebieden",0,-INDEX(Parameters!$B:$B,MATCH(Y$3&amp;$C15,Parameters!$A:$A,0))*$X15)</f>
        <v>0</v>
      </c>
      <c r="Z15" s="198">
        <f>IF(E15="Standard Access in ZG BT gebieden",0,MAX(-INDEX(Parameters!$B:$B,MATCH(Z$3&amp;$C15,Parameters!$A:$A,0))*$X15,-INDEX(Parameters!$B:$B,MATCH("FactorMaxSalesMandaat"&amp;E15,Parameters!$A:$A,0))*INDEX(Parameters!$B:$B,MATCH("MaxSalesMandaatAccessVVE"&amp;$C15,Parameters!$A:$A,0))))</f>
        <v>0</v>
      </c>
      <c r="AA15" s="139">
        <f t="shared" si="28"/>
        <v>1000</v>
      </c>
      <c r="AB15" s="205">
        <f>AA15/INDEX(Parameters!$B:$B,MATCH("AfschrijftermijnVVE"&amp;12*$C15,Parameters!$A:$A,0))</f>
        <v>27.777777777777779</v>
      </c>
      <c r="AC15" s="204">
        <f>INDEX('Tarieven ZM'!$G:$G,$W15)</f>
        <v>1000</v>
      </c>
      <c r="AD15" s="198">
        <f>IF(E15="Standard Access in ZG BT gebieden",0,-INDEX(Parameters!$B:$B,MATCH(AD$3&amp;$C15,Parameters!$A:$A,0))*$AC15)</f>
        <v>0</v>
      </c>
      <c r="AE15" s="198">
        <f>IF(E15="Standard Access in ZG BT gebieden",0,-INDEX(Parameters!$B:$B,MATCH(AE$3,Parameters!$A:$A,0))*$AC15)</f>
        <v>0</v>
      </c>
      <c r="AF15" s="139">
        <f t="shared" si="29"/>
        <v>1000</v>
      </c>
      <c r="AG15" s="522">
        <f t="shared" si="30"/>
        <v>1027.7777777777778</v>
      </c>
      <c r="AH15" s="175"/>
      <c r="AI15" s="523">
        <f>IF(N15&lt;&gt;"nvt",MATCH($T15,'Tarieven W&amp;O'!$B:$B,0),"nvt")</f>
        <v>24</v>
      </c>
      <c r="AJ15" s="205">
        <f>IF(AI15&lt;&gt;"nvt",IF($D15="EoK",INDEX(Parameters!C:C,MATCH("NLSx EoK",Parameters!A:A,0)),INDEX('Tarieven W&amp;O'!$H:$H,$AI15)),0)*R15</f>
        <v>350</v>
      </c>
      <c r="AK15" s="204">
        <f>IF(AI15&lt;&gt;"nvt",INDEX('Tarieven W&amp;O'!$I:$I,$AI15),0)*R15</f>
        <v>75</v>
      </c>
      <c r="AL15" s="524">
        <f>IF(AI15&lt;&gt;"nvt",-INDEX(Parameters!$B:$B,MATCH(AL$3,Parameters!$A:$A,0))*(AJ15+AK15),0)</f>
        <v>0</v>
      </c>
      <c r="AM15" s="525"/>
      <c r="AN15" s="139">
        <f t="shared" si="31"/>
        <v>425</v>
      </c>
      <c r="AO15" s="205">
        <f>AN15/INDEX(Parameters!$B:$B,MATCH("AfschrijftermijnVVE"&amp;12*$C15,Parameters!$A:$A,0))</f>
        <v>11.805555555555555</v>
      </c>
      <c r="AP15" s="139">
        <f t="shared" si="32"/>
        <v>24</v>
      </c>
      <c r="AQ15" s="526">
        <f>IF(AP15&lt;&gt;"nvt",R15*INDEX('Tarieven W&amp;O'!$G:$G,$AP15),0)</f>
        <v>60.97</v>
      </c>
      <c r="AR15" s="524">
        <f>-INDEX(Parameters!$B:$B,MATCH(AR$3,Parameters!$A:$A,0))*(AQ15)</f>
        <v>0</v>
      </c>
      <c r="AS15" s="205">
        <f>IF(E15="straal access",'EDC Minus'!$H$192,IF(Q15&lt;&gt;"nvt",Q15*S15*'EDC Minus'!$H$292/590,0))</f>
        <v>0</v>
      </c>
      <c r="AT15" s="139"/>
      <c r="AU15" s="150">
        <f t="shared" si="33"/>
        <v>60.97</v>
      </c>
      <c r="AV15" s="150">
        <f t="shared" si="34"/>
        <v>72.775555555555556</v>
      </c>
      <c r="AX15" s="526">
        <f>Parameters!$B$6*AV15</f>
        <v>0.7277555555555556</v>
      </c>
      <c r="AY15" s="150">
        <v>0</v>
      </c>
      <c r="AZ15" s="150"/>
      <c r="BA15" s="150">
        <f t="shared" si="35"/>
        <v>0.7277555555555556</v>
      </c>
      <c r="BC15" s="522">
        <f t="shared" si="36"/>
        <v>73.503311111111117</v>
      </c>
      <c r="BD15" s="175"/>
      <c r="BE15" s="527">
        <f t="shared" si="37"/>
        <v>954.27446666666674</v>
      </c>
      <c r="BF15" s="181">
        <f t="shared" si="38"/>
        <v>0.92848326486486488</v>
      </c>
      <c r="BG15" s="520" t="b">
        <f t="shared" si="39"/>
        <v>0</v>
      </c>
      <c r="BI15" s="528" t="s">
        <v>2181</v>
      </c>
      <c r="BK15" s="151">
        <f>VLOOKUP(J15,'Tarieven ZM'!$B$136:$I$235,8,0)</f>
        <v>0</v>
      </c>
      <c r="BL15" s="151" t="str">
        <f>IF(M15="EoK",N15&amp;"AdvancedNLS type 1/2/3",IF(E15&lt;&gt;"Straal Access",INDEX(Mapping!J:J,MATCH(E15&amp;G15,Mapping!B:B,0)),E15))</f>
        <v>Copper Standard Access 5Mbit/sAdvancedNLS type 1/2/3</v>
      </c>
      <c r="BM15" s="184">
        <f>INDEX('inkoop ULL tbv EVPN'!J:J,MATCH($BL15,'inkoop ULL tbv EVPN'!$H:$H,0))</f>
        <v>78.97</v>
      </c>
      <c r="BN15" s="180">
        <f>BM15/INDEX(Parameters!$B:$B,MATCH("AfschrijftermijnVVE"&amp;12*$C15,Parameters!$A:$A,0))</f>
        <v>2.1936111111111112</v>
      </c>
      <c r="BO15" s="184">
        <f>INDEX('inkoop ULL tbv EVPN'!I:I,MATCH($BL15,'inkoop ULL tbv EVPN'!$H:$H,0))</f>
        <v>14.7296035</v>
      </c>
      <c r="BP15" s="184">
        <f t="shared" si="40"/>
        <v>16.92321461111111</v>
      </c>
      <c r="BR15" s="180">
        <f>Parameters!$B$12*AG15</f>
        <v>102.77777777777779</v>
      </c>
      <c r="BS15" s="180">
        <f>SUM(Distributievergoedingen!$F$12,Distributievergoedingen!$I$12,Distributievergoedingen!$L$12,Distributievergoedingen!$O$12)*AF15+SUM(Distributievergoedingen!$O$12*AA15+Distributievergoedingen!$R$12+Distributievergoedingen!$U$12+Distributievergoedingen!$X$12)/(MAX(36,12*C15))</f>
        <v>112.77777777777777</v>
      </c>
      <c r="BT15" s="150"/>
      <c r="BU15" s="150">
        <f t="shared" si="41"/>
        <v>215.55555555555554</v>
      </c>
      <c r="BW15" s="522">
        <f t="shared" si="42"/>
        <v>232.47877016666666</v>
      </c>
      <c r="BY15" s="527">
        <f t="shared" si="43"/>
        <v>795.29900761111116</v>
      </c>
      <c r="BZ15" s="181">
        <f t="shared" si="44"/>
        <v>0.77380443983783787</v>
      </c>
      <c r="CA15" s="520" t="b">
        <f t="shared" si="45"/>
        <v>0</v>
      </c>
    </row>
    <row r="16" spans="1:79" s="151" customFormat="1">
      <c r="A16" s="151" t="str">
        <f t="shared" si="23"/>
        <v>1EoKStandard Access koper 10mbHoog&lt; 250 meter</v>
      </c>
      <c r="B16" s="151" t="str">
        <f t="shared" si="24"/>
        <v>1EoKStandard Access koper 10mbHoog&lt; 250 meter</v>
      </c>
      <c r="C16" s="178">
        <v>1</v>
      </c>
      <c r="D16" s="415" t="s">
        <v>303</v>
      </c>
      <c r="E16" s="178" t="s">
        <v>277</v>
      </c>
      <c r="F16" s="107" t="s">
        <v>274</v>
      </c>
      <c r="G16" s="178" t="s">
        <v>3397</v>
      </c>
      <c r="I16" s="178"/>
      <c r="J16" s="520" t="str">
        <f t="shared" si="25"/>
        <v>EoKStandard Access koper 10mbHoog&lt; 250 meter</v>
      </c>
      <c r="L16" s="204">
        <f>INDEX(Mapping!$H:$H,MATCH(C$3&amp;C16,Mapping!$B:$B,0))</f>
        <v>1</v>
      </c>
      <c r="M16" s="204" t="str">
        <f>INDEX(Mapping!$H:$H,MATCH(D$3&amp;D16,Mapping!$B:$B,0))</f>
        <v>EoK</v>
      </c>
      <c r="N16" s="204" t="str">
        <f>INDEX(Mapping!$H:$H,MATCH(E$3&amp;E16,Mapping!$B:$B,0))</f>
        <v>Copper Standard Access 10Mbit/s</v>
      </c>
      <c r="O16" s="204" t="str">
        <f>INDEX(Mapping!$H:$H,MATCH(E16&amp;F16,Mapping!$B:$B,0))</f>
        <v/>
      </c>
      <c r="P16" s="204" t="str">
        <f>INDEX(Mapping!$H:$H,MATCH($E16&amp;$G16,Mapping!$B:$B,0))</f>
        <v>Nearnet</v>
      </c>
      <c r="Q16" s="204" t="str">
        <f>INDEX(Mapping!$H:$H,MATCH($E16&amp;$G16&amp;"graafafstand",Mapping!$B:$B,0))</f>
        <v>nvt</v>
      </c>
      <c r="R16" s="204">
        <f>INDEX(Mapping!$H:$H,MATCH(R$3&amp;$E16,Mapping!$B:$B,0))</f>
        <v>1</v>
      </c>
      <c r="S16" s="204">
        <f>INDEX(Mapping!$H:$H,MATCH(S$3&amp;$E16,Mapping!$B:$B,0))</f>
        <v>1</v>
      </c>
      <c r="T16" s="139" t="str">
        <f t="shared" si="26"/>
        <v>Copper Standard Access 10Mbit/sNearnet</v>
      </c>
      <c r="U16" s="151" t="str">
        <f t="shared" si="27"/>
        <v>Copper Standard Access 10Mbit/sNearnet</v>
      </c>
      <c r="W16" s="521">
        <f>MATCH($J16,'Tarieven ZM'!$B:$B,0)</f>
        <v>151</v>
      </c>
      <c r="X16" s="204">
        <f>INDEX('Tarieven ZM'!$H:$H,$W16)</f>
        <v>1000</v>
      </c>
      <c r="Y16" s="198">
        <f>IF(E16="Standard Access in ZG BT gebieden",0,-INDEX(Parameters!$B:$B,MATCH(Y$3&amp;$C16,Parameters!$A:$A,0))*$X16)</f>
        <v>0</v>
      </c>
      <c r="Z16" s="198">
        <f>IF(E16="Standard Access in ZG BT gebieden",0,MAX(-INDEX(Parameters!$B:$B,MATCH(Z$3&amp;$C16,Parameters!$A:$A,0))*$X16,-INDEX(Parameters!$B:$B,MATCH("FactorMaxSalesMandaat"&amp;E16,Parameters!$A:$A,0))*INDEX(Parameters!$B:$B,MATCH("MaxSalesMandaatAccessVVE"&amp;$C16,Parameters!$A:$A,0))))</f>
        <v>0</v>
      </c>
      <c r="AA16" s="139">
        <f t="shared" si="28"/>
        <v>1000</v>
      </c>
      <c r="AB16" s="205">
        <f>AA16/INDEX(Parameters!$B:$B,MATCH("AfschrijftermijnVVE"&amp;12*$C16,Parameters!$A:$A,0))</f>
        <v>27.777777777777779</v>
      </c>
      <c r="AC16" s="204">
        <f>INDEX('Tarieven ZM'!$G:$G,$W16)</f>
        <v>1000</v>
      </c>
      <c r="AD16" s="198">
        <f>IF(E16="Standard Access in ZG BT gebieden",0,-INDEX(Parameters!$B:$B,MATCH(AD$3&amp;$C16,Parameters!$A:$A,0))*$AC16)</f>
        <v>0</v>
      </c>
      <c r="AE16" s="198">
        <f>IF(E16="Standard Access in ZG BT gebieden",0,-INDEX(Parameters!$B:$B,MATCH(AE$3,Parameters!$A:$A,0))*$AC16)</f>
        <v>0</v>
      </c>
      <c r="AF16" s="139">
        <f t="shared" si="29"/>
        <v>1000</v>
      </c>
      <c r="AG16" s="522">
        <f t="shared" si="30"/>
        <v>1027.7777777777778</v>
      </c>
      <c r="AH16" s="175"/>
      <c r="AI16" s="523">
        <f>IF(N16&lt;&gt;"nvt",MATCH($T16,'Tarieven W&amp;O'!$B:$B,0),"nvt")</f>
        <v>25</v>
      </c>
      <c r="AJ16" s="205">
        <f>IF(AI16&lt;&gt;"nvt",IF($D16="EoK",INDEX(Parameters!C:C,MATCH("NLSx EoK",Parameters!A:A,0)),INDEX('Tarieven W&amp;O'!$H:$H,$AI16)),0)*R16</f>
        <v>350</v>
      </c>
      <c r="AK16" s="204">
        <f>IF(AI16&lt;&gt;"nvt",INDEX('Tarieven W&amp;O'!$I:$I,$AI16),0)*R16</f>
        <v>75</v>
      </c>
      <c r="AL16" s="524">
        <f>IF(AI16&lt;&gt;"nvt",-INDEX(Parameters!$B:$B,MATCH(AL$3,Parameters!$A:$A,0))*(AJ16+AK16),0)</f>
        <v>0</v>
      </c>
      <c r="AM16" s="525"/>
      <c r="AN16" s="139">
        <f t="shared" si="31"/>
        <v>425</v>
      </c>
      <c r="AO16" s="205">
        <f>AN16/INDEX(Parameters!$B:$B,MATCH("AfschrijftermijnVVE"&amp;12*$C16,Parameters!$A:$A,0))</f>
        <v>11.805555555555555</v>
      </c>
      <c r="AP16" s="139">
        <f t="shared" si="32"/>
        <v>25</v>
      </c>
      <c r="AQ16" s="526">
        <f>IF(AP16&lt;&gt;"nvt",R16*INDEX('Tarieven W&amp;O'!$G:$G,$AP16),0)</f>
        <v>83.59</v>
      </c>
      <c r="AR16" s="524">
        <f>-INDEX(Parameters!$B:$B,MATCH(AR$3,Parameters!$A:$A,0))*(AQ16)</f>
        <v>0</v>
      </c>
      <c r="AS16" s="205">
        <f>IF(E16="straal access",'EDC Minus'!$H$192,IF(Q16&lt;&gt;"nvt",Q16*S16*'EDC Minus'!$H$292/590,0))</f>
        <v>0</v>
      </c>
      <c r="AT16" s="139"/>
      <c r="AU16" s="150">
        <f t="shared" si="33"/>
        <v>83.59</v>
      </c>
      <c r="AV16" s="150">
        <f t="shared" si="34"/>
        <v>95.395555555555561</v>
      </c>
      <c r="AX16" s="526">
        <f>Parameters!$B$6*AV16</f>
        <v>0.95395555555555567</v>
      </c>
      <c r="AY16" s="150">
        <v>0</v>
      </c>
      <c r="AZ16" s="150"/>
      <c r="BA16" s="150">
        <f t="shared" si="35"/>
        <v>0.95395555555555567</v>
      </c>
      <c r="BC16" s="522">
        <f t="shared" si="36"/>
        <v>96.349511111111113</v>
      </c>
      <c r="BD16" s="175"/>
      <c r="BE16" s="527">
        <f t="shared" si="37"/>
        <v>931.42826666666667</v>
      </c>
      <c r="BF16" s="181">
        <f t="shared" si="38"/>
        <v>0.90625452972972964</v>
      </c>
      <c r="BG16" s="520" t="b">
        <f t="shared" si="39"/>
        <v>0</v>
      </c>
      <c r="BI16" s="528" t="s">
        <v>2181</v>
      </c>
      <c r="BK16" s="151">
        <f>VLOOKUP(J16,'Tarieven ZM'!$B$136:$I$235,8,0)</f>
        <v>0</v>
      </c>
      <c r="BL16" s="151" t="str">
        <f>IF(M16="EoK",N16&amp;"AdvancedNLS type 1/2/3",IF(E16&lt;&gt;"Straal Access",INDEX(Mapping!J:J,MATCH(E16&amp;G16,Mapping!B:B,0)),E16))</f>
        <v>Copper Standard Access 10Mbit/sAdvancedNLS type 1/2/3</v>
      </c>
      <c r="BM16" s="184">
        <f>INDEX('inkoop ULL tbv EVPN'!J:J,MATCH($BL16,'inkoop ULL tbv EVPN'!$H:$H,0))</f>
        <v>78.97</v>
      </c>
      <c r="BN16" s="180">
        <f>BM16/INDEX(Parameters!$B:$B,MATCH("AfschrijftermijnVVE"&amp;12*$C16,Parameters!$A:$A,0))</f>
        <v>2.1936111111111112</v>
      </c>
      <c r="BO16" s="184">
        <f>INDEX('inkoop ULL tbv EVPN'!I:I,MATCH($BL16,'inkoop ULL tbv EVPN'!$H:$H,0))</f>
        <v>14.7296035</v>
      </c>
      <c r="BP16" s="184">
        <f t="shared" si="40"/>
        <v>16.92321461111111</v>
      </c>
      <c r="BR16" s="180">
        <f>Parameters!$B$12*AG16</f>
        <v>102.77777777777779</v>
      </c>
      <c r="BS16" s="180">
        <f>SUM(Distributievergoedingen!$F$12,Distributievergoedingen!$I$12,Distributievergoedingen!$L$12,Distributievergoedingen!$O$12)*AF16+SUM(Distributievergoedingen!$O$12*AA16+Distributievergoedingen!$R$12+Distributievergoedingen!$U$12+Distributievergoedingen!$X$12)/(MAX(36,12*C16))</f>
        <v>112.77777777777777</v>
      </c>
      <c r="BT16" s="150"/>
      <c r="BU16" s="150">
        <f t="shared" si="41"/>
        <v>215.55555555555554</v>
      </c>
      <c r="BW16" s="522">
        <f t="shared" si="42"/>
        <v>232.47877016666666</v>
      </c>
      <c r="BY16" s="527">
        <f t="shared" si="43"/>
        <v>795.29900761111116</v>
      </c>
      <c r="BZ16" s="181">
        <f t="shared" si="44"/>
        <v>0.77380443983783787</v>
      </c>
      <c r="CA16" s="520" t="b">
        <f t="shared" si="45"/>
        <v>0</v>
      </c>
    </row>
    <row r="17" spans="1:79" s="151" customFormat="1">
      <c r="A17" s="151" t="str">
        <f t="shared" si="23"/>
        <v>1EoKStandard Access koper 15mbHoog&lt; 250 meter</v>
      </c>
      <c r="B17" s="151" t="str">
        <f t="shared" si="24"/>
        <v>1EoKStandard Access koper 15mbHoog&lt; 250 meter</v>
      </c>
      <c r="C17" s="178">
        <v>1</v>
      </c>
      <c r="D17" s="415" t="s">
        <v>303</v>
      </c>
      <c r="E17" s="178" t="s">
        <v>278</v>
      </c>
      <c r="F17" s="107" t="s">
        <v>274</v>
      </c>
      <c r="G17" s="178" t="s">
        <v>3397</v>
      </c>
      <c r="I17" s="178"/>
      <c r="J17" s="520" t="str">
        <f t="shared" si="25"/>
        <v>EoKStandard Access koper 15mbHoog&lt; 250 meter</v>
      </c>
      <c r="L17" s="204">
        <f>INDEX(Mapping!$H:$H,MATCH(C$3&amp;C17,Mapping!$B:$B,0))</f>
        <v>1</v>
      </c>
      <c r="M17" s="204" t="str">
        <f>INDEX(Mapping!$H:$H,MATCH(D$3&amp;D17,Mapping!$B:$B,0))</f>
        <v>EoK</v>
      </c>
      <c r="N17" s="204" t="str">
        <f>INDEX(Mapping!$H:$H,MATCH(E$3&amp;E17,Mapping!$B:$B,0))</f>
        <v>Copper Standard Access 15Mbit/s</v>
      </c>
      <c r="O17" s="204" t="str">
        <f>INDEX(Mapping!$H:$H,MATCH(E17&amp;F17,Mapping!$B:$B,0))</f>
        <v/>
      </c>
      <c r="P17" s="204" t="str">
        <f>INDEX(Mapping!$H:$H,MATCH($E17&amp;$G17,Mapping!$B:$B,0))</f>
        <v>Nearnet</v>
      </c>
      <c r="Q17" s="204" t="str">
        <f>INDEX(Mapping!$H:$H,MATCH($E17&amp;$G17&amp;"graafafstand",Mapping!$B:$B,0))</f>
        <v>nvt</v>
      </c>
      <c r="R17" s="204">
        <f>INDEX(Mapping!$H:$H,MATCH(R$3&amp;$E17,Mapping!$B:$B,0))</f>
        <v>1</v>
      </c>
      <c r="S17" s="204">
        <f>INDEX(Mapping!$H:$H,MATCH(S$3&amp;$E17,Mapping!$B:$B,0))</f>
        <v>1</v>
      </c>
      <c r="T17" s="139" t="str">
        <f t="shared" si="26"/>
        <v>Copper Standard Access 15Mbit/sNearnet</v>
      </c>
      <c r="U17" s="151" t="str">
        <f t="shared" si="27"/>
        <v>Copper Standard Access 15Mbit/sNearnet</v>
      </c>
      <c r="W17" s="521">
        <f>MATCH($J17,'Tarieven ZM'!$B:$B,0)</f>
        <v>152</v>
      </c>
      <c r="X17" s="204">
        <f>INDEX('Tarieven ZM'!$H:$H,$W17)</f>
        <v>1000</v>
      </c>
      <c r="Y17" s="198">
        <f>IF(E17="Standard Access in ZG BT gebieden",0,-INDEX(Parameters!$B:$B,MATCH(Y$3&amp;$C17,Parameters!$A:$A,0))*$X17)</f>
        <v>0</v>
      </c>
      <c r="Z17" s="198">
        <f>IF(E17="Standard Access in ZG BT gebieden",0,MAX(-INDEX(Parameters!$B:$B,MATCH(Z$3&amp;$C17,Parameters!$A:$A,0))*$X17,-INDEX(Parameters!$B:$B,MATCH("FactorMaxSalesMandaat"&amp;E17,Parameters!$A:$A,0))*INDEX(Parameters!$B:$B,MATCH("MaxSalesMandaatAccessVVE"&amp;$C17,Parameters!$A:$A,0))))</f>
        <v>0</v>
      </c>
      <c r="AA17" s="139">
        <f t="shared" si="28"/>
        <v>1000</v>
      </c>
      <c r="AB17" s="205">
        <f>AA17/INDEX(Parameters!$B:$B,MATCH("AfschrijftermijnVVE"&amp;12*$C17,Parameters!$A:$A,0))</f>
        <v>27.777777777777779</v>
      </c>
      <c r="AC17" s="204">
        <f>INDEX('Tarieven ZM'!$G:$G,$W17)</f>
        <v>1000</v>
      </c>
      <c r="AD17" s="198">
        <f>IF(E17="Standard Access in ZG BT gebieden",0,-INDEX(Parameters!$B:$B,MATCH(AD$3&amp;$C17,Parameters!$A:$A,0))*$AC17)</f>
        <v>0</v>
      </c>
      <c r="AE17" s="198">
        <f>IF(E17="Standard Access in ZG BT gebieden",0,-INDEX(Parameters!$B:$B,MATCH(AE$3,Parameters!$A:$A,0))*$AC17)</f>
        <v>0</v>
      </c>
      <c r="AF17" s="139">
        <f t="shared" si="29"/>
        <v>1000</v>
      </c>
      <c r="AG17" s="522">
        <f t="shared" si="30"/>
        <v>1027.7777777777778</v>
      </c>
      <c r="AH17" s="175"/>
      <c r="AI17" s="523">
        <f>IF(N17&lt;&gt;"nvt",MATCH($T17,'Tarieven W&amp;O'!$B:$B,0),"nvt")</f>
        <v>26</v>
      </c>
      <c r="AJ17" s="205">
        <f>IF(AI17&lt;&gt;"nvt",IF($D17="EoK",INDEX(Parameters!C:C,MATCH("NLSx EoK",Parameters!A:A,0)),INDEX('Tarieven W&amp;O'!$H:$H,$AI17)),0)*R17</f>
        <v>350</v>
      </c>
      <c r="AK17" s="204">
        <f>IF(AI17&lt;&gt;"nvt",INDEX('Tarieven W&amp;O'!$I:$I,$AI17),0)*R17</f>
        <v>75</v>
      </c>
      <c r="AL17" s="524">
        <f>IF(AI17&lt;&gt;"nvt",-INDEX(Parameters!$B:$B,MATCH(AL$3,Parameters!$A:$A,0))*(AJ17+AK17),0)</f>
        <v>0</v>
      </c>
      <c r="AM17" s="525"/>
      <c r="AN17" s="139">
        <f t="shared" si="31"/>
        <v>425</v>
      </c>
      <c r="AO17" s="205">
        <f>AN17/INDEX(Parameters!$B:$B,MATCH("AfschrijftermijnVVE"&amp;12*$C17,Parameters!$A:$A,0))</f>
        <v>11.805555555555555</v>
      </c>
      <c r="AP17" s="139">
        <f t="shared" si="32"/>
        <v>26</v>
      </c>
      <c r="AQ17" s="526">
        <f>IF(AP17&lt;&gt;"nvt",R17*INDEX('Tarieven W&amp;O'!$G:$G,$AP17),0)</f>
        <v>102.44</v>
      </c>
      <c r="AR17" s="524">
        <f>-INDEX(Parameters!$B:$B,MATCH(AR$3,Parameters!$A:$A,0))*(AQ17)</f>
        <v>0</v>
      </c>
      <c r="AS17" s="205">
        <f>IF(E17="straal access",'EDC Minus'!$H$192,IF(Q17&lt;&gt;"nvt",Q17*S17*'EDC Minus'!$H$292/590,0))</f>
        <v>0</v>
      </c>
      <c r="AT17" s="139"/>
      <c r="AU17" s="150">
        <f t="shared" si="33"/>
        <v>102.44</v>
      </c>
      <c r="AV17" s="150">
        <f t="shared" si="34"/>
        <v>114.24555555555555</v>
      </c>
      <c r="AX17" s="526">
        <f>Parameters!$B$6*AV17</f>
        <v>1.1424555555555556</v>
      </c>
      <c r="AY17" s="150">
        <v>0</v>
      </c>
      <c r="AZ17" s="150"/>
      <c r="BA17" s="150">
        <f t="shared" si="35"/>
        <v>1.1424555555555556</v>
      </c>
      <c r="BC17" s="522">
        <f t="shared" si="36"/>
        <v>115.38801111111111</v>
      </c>
      <c r="BD17" s="175"/>
      <c r="BE17" s="527">
        <f t="shared" si="37"/>
        <v>912.38976666666667</v>
      </c>
      <c r="BF17" s="181">
        <f t="shared" si="38"/>
        <v>0.88773058378378378</v>
      </c>
      <c r="BG17" s="520" t="b">
        <f t="shared" si="39"/>
        <v>0</v>
      </c>
      <c r="BI17" s="528" t="s">
        <v>2181</v>
      </c>
      <c r="BK17" s="151">
        <f>VLOOKUP(J17,'Tarieven ZM'!$B$136:$I$235,8,0)</f>
        <v>0</v>
      </c>
      <c r="BL17" s="151" t="str">
        <f>IF(M17="EoK",N17&amp;"AdvancedNLS type 1/2/3",IF(E17&lt;&gt;"Straal Access",INDEX(Mapping!J:J,MATCH(E17&amp;G17,Mapping!B:B,0)),E17))</f>
        <v>Copper Standard Access 15Mbit/sAdvancedNLS type 1/2/3</v>
      </c>
      <c r="BM17" s="184">
        <f>INDEX('inkoop ULL tbv EVPN'!J:J,MATCH($BL17,'inkoop ULL tbv EVPN'!$H:$H,0))</f>
        <v>78.97</v>
      </c>
      <c r="BN17" s="180">
        <f>BM17/INDEX(Parameters!$B:$B,MATCH("AfschrijftermijnVVE"&amp;12*$C17,Parameters!$A:$A,0))</f>
        <v>2.1936111111111112</v>
      </c>
      <c r="BO17" s="184">
        <f>INDEX('inkoop ULL tbv EVPN'!I:I,MATCH($BL17,'inkoop ULL tbv EVPN'!$H:$H,0))</f>
        <v>14.7296035</v>
      </c>
      <c r="BP17" s="184">
        <f t="shared" si="40"/>
        <v>16.92321461111111</v>
      </c>
      <c r="BR17" s="180">
        <f>Parameters!$B$12*AG17</f>
        <v>102.77777777777779</v>
      </c>
      <c r="BS17" s="180">
        <f>SUM(Distributievergoedingen!$F$12,Distributievergoedingen!$I$12,Distributievergoedingen!$L$12,Distributievergoedingen!$O$12)*AF17+SUM(Distributievergoedingen!$O$12*AA17+Distributievergoedingen!$R$12+Distributievergoedingen!$U$12+Distributievergoedingen!$X$12)/(MAX(36,12*C17))</f>
        <v>112.77777777777777</v>
      </c>
      <c r="BT17" s="150"/>
      <c r="BU17" s="150">
        <f t="shared" si="41"/>
        <v>215.55555555555554</v>
      </c>
      <c r="BW17" s="522">
        <f t="shared" si="42"/>
        <v>232.47877016666666</v>
      </c>
      <c r="BY17" s="527">
        <f t="shared" si="43"/>
        <v>795.29900761111116</v>
      </c>
      <c r="BZ17" s="181">
        <f t="shared" si="44"/>
        <v>0.77380443983783787</v>
      </c>
      <c r="CA17" s="520" t="b">
        <f t="shared" si="45"/>
        <v>0</v>
      </c>
    </row>
    <row r="18" spans="1:79" s="151" customFormat="1">
      <c r="A18" s="151" t="str">
        <f t="shared" si="23"/>
        <v>1EoKStandard Access koper 20mbHoog&lt; 250 meter</v>
      </c>
      <c r="B18" s="151" t="str">
        <f t="shared" si="24"/>
        <v>1EoKStandard Access koper 20mbHoog&lt; 250 meter</v>
      </c>
      <c r="C18" s="178">
        <v>1</v>
      </c>
      <c r="D18" s="415" t="s">
        <v>303</v>
      </c>
      <c r="E18" s="178" t="s">
        <v>279</v>
      </c>
      <c r="F18" s="107" t="s">
        <v>274</v>
      </c>
      <c r="G18" s="178" t="s">
        <v>3397</v>
      </c>
      <c r="I18" s="178"/>
      <c r="J18" s="520" t="str">
        <f t="shared" si="25"/>
        <v>EoKStandard Access koper 20mbHoog&lt; 250 meter</v>
      </c>
      <c r="L18" s="204">
        <f>INDEX(Mapping!$H:$H,MATCH(C$3&amp;C18,Mapping!$B:$B,0))</f>
        <v>1</v>
      </c>
      <c r="M18" s="204" t="str">
        <f>INDEX(Mapping!$H:$H,MATCH(D$3&amp;D18,Mapping!$B:$B,0))</f>
        <v>EoK</v>
      </c>
      <c r="N18" s="204" t="str">
        <f>INDEX(Mapping!$H:$H,MATCH(E$3&amp;E18,Mapping!$B:$B,0))</f>
        <v>Copper Standard Access 20Mbit/s</v>
      </c>
      <c r="O18" s="204" t="str">
        <f>INDEX(Mapping!$H:$H,MATCH(E18&amp;F18,Mapping!$B:$B,0))</f>
        <v/>
      </c>
      <c r="P18" s="204" t="str">
        <f>INDEX(Mapping!$H:$H,MATCH($E18&amp;$G18,Mapping!$B:$B,0))</f>
        <v>Nearnet</v>
      </c>
      <c r="Q18" s="204" t="str">
        <f>INDEX(Mapping!$H:$H,MATCH($E18&amp;$G18&amp;"graafafstand",Mapping!$B:$B,0))</f>
        <v>nvt</v>
      </c>
      <c r="R18" s="204">
        <f>INDEX(Mapping!$H:$H,MATCH(R$3&amp;$E18,Mapping!$B:$B,0))</f>
        <v>1</v>
      </c>
      <c r="S18" s="204">
        <f>INDEX(Mapping!$H:$H,MATCH(S$3&amp;$E18,Mapping!$B:$B,0))</f>
        <v>1</v>
      </c>
      <c r="T18" s="139" t="str">
        <f t="shared" si="26"/>
        <v>Copper Standard Access 20Mbit/sNearnet</v>
      </c>
      <c r="U18" s="151" t="str">
        <f t="shared" si="27"/>
        <v>Copper Standard Access 20Mbit/sNearnet</v>
      </c>
      <c r="W18" s="521">
        <f>MATCH($J18,'Tarieven ZM'!$B:$B,0)</f>
        <v>153</v>
      </c>
      <c r="X18" s="204">
        <f>INDEX('Tarieven ZM'!$H:$H,$W18)</f>
        <v>1000</v>
      </c>
      <c r="Y18" s="198">
        <f>IF(E18="Standard Access in ZG BT gebieden",0,-INDEX(Parameters!$B:$B,MATCH(Y$3&amp;$C18,Parameters!$A:$A,0))*$X18)</f>
        <v>0</v>
      </c>
      <c r="Z18" s="198">
        <f>IF(E18="Standard Access in ZG BT gebieden",0,MAX(-INDEX(Parameters!$B:$B,MATCH(Z$3&amp;$C18,Parameters!$A:$A,0))*$X18,-INDEX(Parameters!$B:$B,MATCH("FactorMaxSalesMandaat"&amp;E18,Parameters!$A:$A,0))*INDEX(Parameters!$B:$B,MATCH("MaxSalesMandaatAccessVVE"&amp;$C18,Parameters!$A:$A,0))))</f>
        <v>0</v>
      </c>
      <c r="AA18" s="139">
        <f t="shared" si="28"/>
        <v>1000</v>
      </c>
      <c r="AB18" s="205">
        <f>AA18/INDEX(Parameters!$B:$B,MATCH("AfschrijftermijnVVE"&amp;12*$C18,Parameters!$A:$A,0))</f>
        <v>27.777777777777779</v>
      </c>
      <c r="AC18" s="204">
        <f>INDEX('Tarieven ZM'!$G:$G,$W18)</f>
        <v>1000</v>
      </c>
      <c r="AD18" s="198">
        <f>IF(E18="Standard Access in ZG BT gebieden",0,-INDEX(Parameters!$B:$B,MATCH(AD$3&amp;$C18,Parameters!$A:$A,0))*$AC18)</f>
        <v>0</v>
      </c>
      <c r="AE18" s="198">
        <f>IF(E18="Standard Access in ZG BT gebieden",0,-INDEX(Parameters!$B:$B,MATCH(AE$3,Parameters!$A:$A,0))*$AC18)</f>
        <v>0</v>
      </c>
      <c r="AF18" s="139">
        <f t="shared" si="29"/>
        <v>1000</v>
      </c>
      <c r="AG18" s="522">
        <f t="shared" si="30"/>
        <v>1027.7777777777778</v>
      </c>
      <c r="AH18" s="175"/>
      <c r="AI18" s="523">
        <f>IF(N18&lt;&gt;"nvt",MATCH($T18,'Tarieven W&amp;O'!$B:$B,0),"nvt")</f>
        <v>27</v>
      </c>
      <c r="AJ18" s="205">
        <f>IF(AI18&lt;&gt;"nvt",IF($D18="EoK",INDEX(Parameters!C:C,MATCH("NLSx EoK",Parameters!A:A,0)),INDEX('Tarieven W&amp;O'!$H:$H,$AI18)),0)*R18</f>
        <v>350</v>
      </c>
      <c r="AK18" s="204">
        <f>IF(AI18&lt;&gt;"nvt",INDEX('Tarieven W&amp;O'!$I:$I,$AI18),0)*R18</f>
        <v>75</v>
      </c>
      <c r="AL18" s="524">
        <f>IF(AI18&lt;&gt;"nvt",-INDEX(Parameters!$B:$B,MATCH(AL$3,Parameters!$A:$A,0))*(AJ18+AK18),0)</f>
        <v>0</v>
      </c>
      <c r="AM18" s="525"/>
      <c r="AN18" s="139">
        <f t="shared" si="31"/>
        <v>425</v>
      </c>
      <c r="AO18" s="205">
        <f>AN18/INDEX(Parameters!$B:$B,MATCH("AfschrijftermijnVVE"&amp;12*$C18,Parameters!$A:$A,0))</f>
        <v>11.805555555555555</v>
      </c>
      <c r="AP18" s="139">
        <f t="shared" si="32"/>
        <v>27</v>
      </c>
      <c r="AQ18" s="526">
        <f>IF(AP18&lt;&gt;"nvt",R18*INDEX('Tarieven W&amp;O'!$G:$G,$AP18),0)</f>
        <v>121.28</v>
      </c>
      <c r="AR18" s="524">
        <f>-INDEX(Parameters!$B:$B,MATCH(AR$3,Parameters!$A:$A,0))*(AQ18)</f>
        <v>0</v>
      </c>
      <c r="AS18" s="205">
        <f>IF(E18="straal access",'EDC Minus'!$H$192,IF(Q18&lt;&gt;"nvt",Q18*S18*'EDC Minus'!$H$292/590,0))</f>
        <v>0</v>
      </c>
      <c r="AT18" s="139"/>
      <c r="AU18" s="150">
        <f t="shared" si="33"/>
        <v>121.28</v>
      </c>
      <c r="AV18" s="150">
        <f t="shared" si="34"/>
        <v>133.08555555555554</v>
      </c>
      <c r="AX18" s="526">
        <f>Parameters!$B$6*AV18</f>
        <v>1.3308555555555555</v>
      </c>
      <c r="AY18" s="150">
        <v>0</v>
      </c>
      <c r="AZ18" s="150"/>
      <c r="BA18" s="150">
        <f t="shared" si="35"/>
        <v>1.3308555555555555</v>
      </c>
      <c r="BC18" s="522">
        <f t="shared" si="36"/>
        <v>134.4164111111111</v>
      </c>
      <c r="BD18" s="175"/>
      <c r="BE18" s="527">
        <f t="shared" si="37"/>
        <v>893.36136666666675</v>
      </c>
      <c r="BF18" s="181">
        <f t="shared" si="38"/>
        <v>0.86921646486486492</v>
      </c>
      <c r="BG18" s="520" t="b">
        <f t="shared" si="39"/>
        <v>0</v>
      </c>
      <c r="BI18" s="528" t="s">
        <v>2181</v>
      </c>
      <c r="BK18" s="151">
        <f>VLOOKUP(J18,'Tarieven ZM'!$B$136:$I$235,8,0)</f>
        <v>0</v>
      </c>
      <c r="BL18" s="151" t="str">
        <f>IF(M18="EoK",N18&amp;"AdvancedNLS type 1/2/3",IF(E18&lt;&gt;"Straal Access",INDEX(Mapping!J:J,MATCH(E18&amp;G18,Mapping!B:B,0)),E18))</f>
        <v>Copper Standard Access 20Mbit/sAdvancedNLS type 1/2/3</v>
      </c>
      <c r="BM18" s="184">
        <f>INDEX('inkoop ULL tbv EVPN'!J:J,MATCH($BL18,'inkoop ULL tbv EVPN'!$H:$H,0))</f>
        <v>78.97</v>
      </c>
      <c r="BN18" s="180">
        <f>BM18/INDEX(Parameters!$B:$B,MATCH("AfschrijftermijnVVE"&amp;12*$C18,Parameters!$A:$A,0))</f>
        <v>2.1936111111111112</v>
      </c>
      <c r="BO18" s="184">
        <f>INDEX('inkoop ULL tbv EVPN'!I:I,MATCH($BL18,'inkoop ULL tbv EVPN'!$H:$H,0))</f>
        <v>14.7296035</v>
      </c>
      <c r="BP18" s="184">
        <f t="shared" si="40"/>
        <v>16.92321461111111</v>
      </c>
      <c r="BR18" s="180">
        <f>Parameters!$B$12*AG18</f>
        <v>102.77777777777779</v>
      </c>
      <c r="BS18" s="180">
        <f>SUM(Distributievergoedingen!$F$12,Distributievergoedingen!$I$12,Distributievergoedingen!$L$12,Distributievergoedingen!$O$12)*AF18+SUM(Distributievergoedingen!$O$12*AA18+Distributievergoedingen!$R$12+Distributievergoedingen!$U$12+Distributievergoedingen!$X$12)/(MAX(36,12*C18))</f>
        <v>112.77777777777777</v>
      </c>
      <c r="BT18" s="150"/>
      <c r="BU18" s="150">
        <f t="shared" si="41"/>
        <v>215.55555555555554</v>
      </c>
      <c r="BW18" s="522">
        <f t="shared" si="42"/>
        <v>232.47877016666666</v>
      </c>
      <c r="BY18" s="527">
        <f t="shared" si="43"/>
        <v>795.29900761111116</v>
      </c>
      <c r="BZ18" s="181">
        <f t="shared" si="44"/>
        <v>0.77380443983783787</v>
      </c>
      <c r="CA18" s="520" t="b">
        <f t="shared" si="45"/>
        <v>0</v>
      </c>
    </row>
    <row r="19" spans="1:79" s="151" customFormat="1">
      <c r="A19" s="151" t="str">
        <f t="shared" si="0"/>
        <v>1EoKStandard Access koper 3mbMiddelOn-net (NLS1, 2)</v>
      </c>
      <c r="B19" s="151" t="str">
        <f t="shared" ref="B19:B33" si="46">A19</f>
        <v>1EoKStandard Access koper 3mbMiddelOn-net (NLS1, 2)</v>
      </c>
      <c r="C19" s="178">
        <v>1</v>
      </c>
      <c r="D19" s="415" t="s">
        <v>303</v>
      </c>
      <c r="E19" s="178" t="s">
        <v>268</v>
      </c>
      <c r="F19" s="107" t="s">
        <v>280</v>
      </c>
      <c r="G19" s="178" t="s">
        <v>281</v>
      </c>
      <c r="I19" s="178"/>
      <c r="J19" s="520" t="str">
        <f t="shared" si="2"/>
        <v>EoKStandard Access koper 3mbMiddelOn-net (NLS1, 2)</v>
      </c>
      <c r="L19" s="204">
        <f>INDEX(Mapping!$H:$H,MATCH(C$3&amp;C19,Mapping!$B:$B,0))</f>
        <v>1</v>
      </c>
      <c r="M19" s="204" t="str">
        <f>INDEX(Mapping!$H:$H,MATCH(D$3&amp;D19,Mapping!$B:$B,0))</f>
        <v>EoK</v>
      </c>
      <c r="N19" s="204" t="str">
        <f>INDEX(Mapping!$H:$H,MATCH(E$3&amp;E19,Mapping!$B:$B,0))</f>
        <v>Copper Standard Access 3Mbit/s</v>
      </c>
      <c r="O19" s="204" t="str">
        <f>INDEX(Mapping!$H:$H,MATCH(E19&amp;F19,Mapping!$B:$B,0))</f>
        <v/>
      </c>
      <c r="P19" s="204" t="str">
        <f>INDEX(Mapping!$H:$H,MATCH($E19&amp;$G19,Mapping!$B:$B,0))</f>
        <v>On-net (NLS1, 2)</v>
      </c>
      <c r="Q19" s="204">
        <f>INDEX(Mapping!$H:$H,MATCH($E19&amp;$G19&amp;"graafafstand",Mapping!$B:$B,0))</f>
        <v>0</v>
      </c>
      <c r="R19" s="204">
        <f>INDEX(Mapping!$H:$H,MATCH(R$3&amp;$E19,Mapping!$B:$B,0))</f>
        <v>1</v>
      </c>
      <c r="S19" s="204">
        <f>INDEX(Mapping!$H:$H,MATCH(S$3&amp;$E19,Mapping!$B:$B,0))</f>
        <v>1</v>
      </c>
      <c r="T19" s="139" t="str">
        <f t="shared" ref="T19:T33" si="47">N19&amp;O19&amp;P19</f>
        <v>Copper Standard Access 3Mbit/sOn-net (NLS1, 2)</v>
      </c>
      <c r="U19" s="151" t="str">
        <f t="shared" ref="U19:U33" si="48">T19</f>
        <v>Copper Standard Access 3Mbit/sOn-net (NLS1, 2)</v>
      </c>
      <c r="W19" s="521">
        <f>MATCH($J19,'Tarieven ZM'!$B:$B,0)</f>
        <v>154</v>
      </c>
      <c r="X19" s="204">
        <f>INDEX('Tarieven ZM'!$H:$H,$W19)</f>
        <v>1000</v>
      </c>
      <c r="Y19" s="198">
        <f>IF(E19="Standard Access in ZG BT gebieden",0,-INDEX(Parameters!$B:$B,MATCH(Y$3&amp;$C19,Parameters!$A:$A,0))*$X19)</f>
        <v>0</v>
      </c>
      <c r="Z19" s="198">
        <f>IF(E19="Standard Access in ZG BT gebieden",0,MAX(-INDEX(Parameters!$B:$B,MATCH(Z$3&amp;$C19,Parameters!$A:$A,0))*$X19,-INDEX(Parameters!$B:$B,MATCH("FactorMaxSalesMandaat"&amp;E19,Parameters!$A:$A,0))*INDEX(Parameters!$B:$B,MATCH("MaxSalesMandaatAccessVVE"&amp;$C19,Parameters!$A:$A,0))))</f>
        <v>0</v>
      </c>
      <c r="AA19" s="139">
        <f t="shared" ref="AA19:AA33" si="49">SUM(X19:Z19)</f>
        <v>1000</v>
      </c>
      <c r="AB19" s="205">
        <f>AA19/INDEX(Parameters!$B:$B,MATCH("AfschrijftermijnVVE"&amp;12*$C19,Parameters!$A:$A,0))</f>
        <v>27.777777777777779</v>
      </c>
      <c r="AC19" s="204">
        <f>INDEX('Tarieven ZM'!$G:$G,$W19)</f>
        <v>1000</v>
      </c>
      <c r="AD19" s="198">
        <f>IF(E19="Standard Access in ZG BT gebieden",0,-INDEX(Parameters!$B:$B,MATCH(AD$3&amp;$C19,Parameters!$A:$A,0))*$AC19)</f>
        <v>0</v>
      </c>
      <c r="AE19" s="198">
        <f>IF(E19="Standard Access in ZG BT gebieden",0,-INDEX(Parameters!$B:$B,MATCH(AE$3,Parameters!$A:$A,0))*$AC19)</f>
        <v>0</v>
      </c>
      <c r="AF19" s="139">
        <f t="shared" ref="AF19:AF33" si="50">SUM(AC19:AE19)</f>
        <v>1000</v>
      </c>
      <c r="AG19" s="522">
        <f t="shared" ref="AG19:AG33" si="51">SUM(AB19,AF19)</f>
        <v>1027.7777777777778</v>
      </c>
      <c r="AH19" s="175"/>
      <c r="AI19" s="523">
        <f>IF(N19&lt;&gt;"nvt",MATCH($T19,'Tarieven W&amp;O'!$B:$B,0),"nvt")</f>
        <v>9</v>
      </c>
      <c r="AJ19" s="205">
        <f>IF(AI19&lt;&gt;"nvt",IF($D19="EoK",INDEX(Parameters!C:C,MATCH("NLSx EoK",Parameters!A:A,0)),INDEX('Tarieven W&amp;O'!$H:$H,$AI19)),0)*R19</f>
        <v>350</v>
      </c>
      <c r="AK19" s="204">
        <f>IF(AI19&lt;&gt;"nvt",INDEX('Tarieven W&amp;O'!$I:$I,$AI19),0)*R19</f>
        <v>75</v>
      </c>
      <c r="AL19" s="524">
        <f>IF(AI19&lt;&gt;"nvt",-INDEX(Parameters!$B:$B,MATCH(AL$3,Parameters!$A:$A,0))*(AJ19+AK19),0)</f>
        <v>0</v>
      </c>
      <c r="AM19" s="525"/>
      <c r="AN19" s="139">
        <f t="shared" ref="AN19:AN33" si="52">SUM(AJ19:AM19)</f>
        <v>425</v>
      </c>
      <c r="AO19" s="205">
        <f>AN19/INDEX(Parameters!$B:$B,MATCH("AfschrijftermijnVVE"&amp;12*$C19,Parameters!$A:$A,0))</f>
        <v>11.805555555555555</v>
      </c>
      <c r="AP19" s="139">
        <f t="shared" si="9"/>
        <v>9</v>
      </c>
      <c r="AQ19" s="526">
        <f>IF(AP19&lt;&gt;"nvt",R19*INDEX('Tarieven W&amp;O'!$G:$G,$AP19),0)</f>
        <v>41.5</v>
      </c>
      <c r="AR19" s="524">
        <f>-INDEX(Parameters!$B:$B,MATCH(AR$3,Parameters!$A:$A,0))*(AQ19)</f>
        <v>0</v>
      </c>
      <c r="AS19" s="205">
        <f>IF(E19="straal access",'EDC Minus'!$H$192,IF(Q19&lt;&gt;"nvt",Q19*S19*'EDC Minus'!$H$292/590,0))</f>
        <v>0</v>
      </c>
      <c r="AT19" s="139"/>
      <c r="AU19" s="150">
        <f t="shared" ref="AU19:AU33" si="53">SUM(AQ19:AT19)</f>
        <v>41.5</v>
      </c>
      <c r="AV19" s="150">
        <f t="shared" ref="AV19:AV33" si="54">SUM(AO19,AU19)</f>
        <v>53.305555555555557</v>
      </c>
      <c r="AX19" s="526">
        <f>Parameters!$B$6*AV19</f>
        <v>0.53305555555555562</v>
      </c>
      <c r="AY19" s="150">
        <v>0</v>
      </c>
      <c r="AZ19" s="150"/>
      <c r="BA19" s="150">
        <f t="shared" si="12"/>
        <v>0.53305555555555562</v>
      </c>
      <c r="BC19" s="522">
        <f t="shared" si="13"/>
        <v>53.838611111111113</v>
      </c>
      <c r="BD19" s="175"/>
      <c r="BE19" s="527">
        <f t="shared" si="14"/>
        <v>973.93916666666667</v>
      </c>
      <c r="BF19" s="181">
        <f t="shared" si="15"/>
        <v>0.94761648648648644</v>
      </c>
      <c r="BG19" s="520" t="b">
        <f t="shared" ref="BG19:BG33" si="55">BF19&lt;0</f>
        <v>0</v>
      </c>
      <c r="BI19" s="528" t="s">
        <v>2181</v>
      </c>
      <c r="BK19" s="151">
        <f>VLOOKUP(J19,'Tarieven ZM'!$B$136:$I$235,8,0)</f>
        <v>0</v>
      </c>
      <c r="BL19" s="151" t="str">
        <f>IF(M19="EoK",N19&amp;"AdvancedNLS type 1/2/3",IF(E19&lt;&gt;"Straal Access",INDEX(Mapping!J:J,MATCH(E19&amp;G19,Mapping!B:B,0)),E19))</f>
        <v>Copper Standard Access 3Mbit/sAdvancedNLS type 1/2/3</v>
      </c>
      <c r="BM19" s="184">
        <f>INDEX('inkoop ULL tbv EVPN'!J:J,MATCH($BL19,'inkoop ULL tbv EVPN'!$H:$H,0))</f>
        <v>78.97</v>
      </c>
      <c r="BN19" s="180">
        <f>BM19/INDEX(Parameters!$B:$B,MATCH("AfschrijftermijnVVE"&amp;12*$C19,Parameters!$A:$A,0))</f>
        <v>2.1936111111111112</v>
      </c>
      <c r="BO19" s="184">
        <f>INDEX('inkoop ULL tbv EVPN'!I:I,MATCH($BL19,'inkoop ULL tbv EVPN'!$H:$H,0))</f>
        <v>14.7296035</v>
      </c>
      <c r="BP19" s="184">
        <f t="shared" si="17"/>
        <v>16.92321461111111</v>
      </c>
      <c r="BR19" s="180">
        <f>Parameters!$B$12*AG19</f>
        <v>102.77777777777779</v>
      </c>
      <c r="BS19" s="180">
        <f>SUM(Distributievergoedingen!$F$12,Distributievergoedingen!$I$12,Distributievergoedingen!$L$12,Distributievergoedingen!$O$12)*AF19+SUM(Distributievergoedingen!$O$12*AA19+Distributievergoedingen!$R$12+Distributievergoedingen!$U$12+Distributievergoedingen!$X$12)/(MAX(36,12*C19))</f>
        <v>112.77777777777777</v>
      </c>
      <c r="BT19" s="150"/>
      <c r="BU19" s="150">
        <f t="shared" si="18"/>
        <v>215.55555555555554</v>
      </c>
      <c r="BW19" s="522">
        <f t="shared" si="19"/>
        <v>232.47877016666666</v>
      </c>
      <c r="BY19" s="527">
        <f t="shared" si="20"/>
        <v>795.29900761111116</v>
      </c>
      <c r="BZ19" s="181">
        <f t="shared" si="21"/>
        <v>0.77380443983783787</v>
      </c>
      <c r="CA19" s="520" t="b">
        <f t="shared" si="22"/>
        <v>0</v>
      </c>
    </row>
    <row r="20" spans="1:79" s="151" customFormat="1">
      <c r="A20" s="151" t="str">
        <f t="shared" si="0"/>
        <v>1EoKStandard Access koper 5mbMiddelOn-net (NLS1, 2)</v>
      </c>
      <c r="B20" s="151" t="str">
        <f t="shared" si="46"/>
        <v>1EoKStandard Access koper 5mbMiddelOn-net (NLS1, 2)</v>
      </c>
      <c r="C20" s="178">
        <v>1</v>
      </c>
      <c r="D20" s="415" t="s">
        <v>303</v>
      </c>
      <c r="E20" s="178" t="s">
        <v>276</v>
      </c>
      <c r="F20" s="107" t="s">
        <v>280</v>
      </c>
      <c r="G20" s="178" t="s">
        <v>281</v>
      </c>
      <c r="I20" s="178"/>
      <c r="J20" s="520" t="str">
        <f t="shared" si="2"/>
        <v>EoKStandard Access koper 5mbMiddelOn-net (NLS1, 2)</v>
      </c>
      <c r="L20" s="204">
        <f>INDEX(Mapping!$H:$H,MATCH(C$3&amp;C20,Mapping!$B:$B,0))</f>
        <v>1</v>
      </c>
      <c r="M20" s="204" t="str">
        <f>INDEX(Mapping!$H:$H,MATCH(D$3&amp;D20,Mapping!$B:$B,0))</f>
        <v>EoK</v>
      </c>
      <c r="N20" s="204" t="str">
        <f>INDEX(Mapping!$H:$H,MATCH(E$3&amp;E20,Mapping!$B:$B,0))</f>
        <v>Copper Standard Access 5Mbit/s</v>
      </c>
      <c r="O20" s="204" t="str">
        <f>INDEX(Mapping!$H:$H,MATCH(E20&amp;F20,Mapping!$B:$B,0))</f>
        <v/>
      </c>
      <c r="P20" s="204" t="str">
        <f>INDEX(Mapping!$H:$H,MATCH($E20&amp;$G20,Mapping!$B:$B,0))</f>
        <v>On-net (NLS1, 2)</v>
      </c>
      <c r="Q20" s="204">
        <f>INDEX(Mapping!$H:$H,MATCH($E20&amp;$G20&amp;"graafafstand",Mapping!$B:$B,0))</f>
        <v>0</v>
      </c>
      <c r="R20" s="204">
        <f>INDEX(Mapping!$H:$H,MATCH(R$3&amp;$E20,Mapping!$B:$B,0))</f>
        <v>1</v>
      </c>
      <c r="S20" s="204">
        <f>INDEX(Mapping!$H:$H,MATCH(S$3&amp;$E20,Mapping!$B:$B,0))</f>
        <v>1</v>
      </c>
      <c r="T20" s="139" t="str">
        <f t="shared" si="47"/>
        <v>Copper Standard Access 5Mbit/sOn-net (NLS1, 2)</v>
      </c>
      <c r="U20" s="151" t="str">
        <f t="shared" si="48"/>
        <v>Copper Standard Access 5Mbit/sOn-net (NLS1, 2)</v>
      </c>
      <c r="W20" s="521">
        <f>MATCH($J20,'Tarieven ZM'!$B:$B,0)</f>
        <v>155</v>
      </c>
      <c r="X20" s="204">
        <f>INDEX('Tarieven ZM'!$H:$H,$W20)</f>
        <v>1000</v>
      </c>
      <c r="Y20" s="198">
        <f>IF(E20="Standard Access in ZG BT gebieden",0,-INDEX(Parameters!$B:$B,MATCH(Y$3&amp;$C20,Parameters!$A:$A,0))*$X20)</f>
        <v>0</v>
      </c>
      <c r="Z20" s="198">
        <f>IF(E20="Standard Access in ZG BT gebieden",0,MAX(-INDEX(Parameters!$B:$B,MATCH(Z$3&amp;$C20,Parameters!$A:$A,0))*$X20,-INDEX(Parameters!$B:$B,MATCH("FactorMaxSalesMandaat"&amp;E20,Parameters!$A:$A,0))*INDEX(Parameters!$B:$B,MATCH("MaxSalesMandaatAccessVVE"&amp;$C20,Parameters!$A:$A,0))))</f>
        <v>0</v>
      </c>
      <c r="AA20" s="139">
        <f t="shared" si="49"/>
        <v>1000</v>
      </c>
      <c r="AB20" s="205">
        <f>AA20/INDEX(Parameters!$B:$B,MATCH("AfschrijftermijnVVE"&amp;12*$C20,Parameters!$A:$A,0))</f>
        <v>27.777777777777779</v>
      </c>
      <c r="AC20" s="204">
        <f>INDEX('Tarieven ZM'!$G:$G,$W20)</f>
        <v>1000</v>
      </c>
      <c r="AD20" s="198">
        <f>IF(E20="Standard Access in ZG BT gebieden",0,-INDEX(Parameters!$B:$B,MATCH(AD$3&amp;$C20,Parameters!$A:$A,0))*$AC20)</f>
        <v>0</v>
      </c>
      <c r="AE20" s="198">
        <f>IF(E20="Standard Access in ZG BT gebieden",0,-INDEX(Parameters!$B:$B,MATCH(AE$3,Parameters!$A:$A,0))*$AC20)</f>
        <v>0</v>
      </c>
      <c r="AF20" s="139">
        <f t="shared" si="50"/>
        <v>1000</v>
      </c>
      <c r="AG20" s="522">
        <f t="shared" si="51"/>
        <v>1027.7777777777778</v>
      </c>
      <c r="AH20" s="175"/>
      <c r="AI20" s="523">
        <f>IF(N20&lt;&gt;"nvt",MATCH($T20,'Tarieven W&amp;O'!$B:$B,0),"nvt")</f>
        <v>10</v>
      </c>
      <c r="AJ20" s="205">
        <f>IF(AI20&lt;&gt;"nvt",IF($D20="EoK",INDEX(Parameters!C:C,MATCH("NLSx EoK",Parameters!A:A,0)),INDEX('Tarieven W&amp;O'!$H:$H,$AI20)),0)*R20</f>
        <v>350</v>
      </c>
      <c r="AK20" s="204">
        <f>IF(AI20&lt;&gt;"nvt",INDEX('Tarieven W&amp;O'!$I:$I,$AI20),0)*R20</f>
        <v>75</v>
      </c>
      <c r="AL20" s="524">
        <f>IF(AI20&lt;&gt;"nvt",-INDEX(Parameters!$B:$B,MATCH(AL$3,Parameters!$A:$A,0))*(AJ20+AK20),0)</f>
        <v>0</v>
      </c>
      <c r="AM20" s="525"/>
      <c r="AN20" s="139">
        <f t="shared" si="52"/>
        <v>425</v>
      </c>
      <c r="AO20" s="205">
        <f>AN20/INDEX(Parameters!$B:$B,MATCH("AfschrijftermijnVVE"&amp;12*$C20,Parameters!$A:$A,0))</f>
        <v>11.805555555555555</v>
      </c>
      <c r="AP20" s="139">
        <f t="shared" si="9"/>
        <v>10</v>
      </c>
      <c r="AQ20" s="526">
        <f>IF(AP20&lt;&gt;"nvt",R20*INDEX('Tarieven W&amp;O'!$G:$G,$AP20),0)</f>
        <v>60.97</v>
      </c>
      <c r="AR20" s="524">
        <f>-INDEX(Parameters!$B:$B,MATCH(AR$3,Parameters!$A:$A,0))*(AQ20)</f>
        <v>0</v>
      </c>
      <c r="AS20" s="205">
        <f>IF(E20="straal access",'EDC Minus'!$H$192,IF(Q20&lt;&gt;"nvt",Q20*S20*'EDC Minus'!$H$292/590,0))</f>
        <v>0</v>
      </c>
      <c r="AT20" s="139"/>
      <c r="AU20" s="150">
        <f t="shared" si="53"/>
        <v>60.97</v>
      </c>
      <c r="AV20" s="150">
        <f t="shared" si="54"/>
        <v>72.775555555555556</v>
      </c>
      <c r="AX20" s="526">
        <f>Parameters!$B$6*AV20</f>
        <v>0.7277555555555556</v>
      </c>
      <c r="AY20" s="150">
        <v>0</v>
      </c>
      <c r="AZ20" s="150"/>
      <c r="BA20" s="150">
        <f t="shared" si="12"/>
        <v>0.7277555555555556</v>
      </c>
      <c r="BC20" s="522">
        <f t="shared" si="13"/>
        <v>73.503311111111117</v>
      </c>
      <c r="BD20" s="175"/>
      <c r="BE20" s="527">
        <f t="shared" si="14"/>
        <v>954.27446666666674</v>
      </c>
      <c r="BF20" s="181">
        <f t="shared" si="15"/>
        <v>0.92848326486486488</v>
      </c>
      <c r="BG20" s="520" t="b">
        <f t="shared" si="55"/>
        <v>0</v>
      </c>
      <c r="BI20" s="528" t="s">
        <v>2181</v>
      </c>
      <c r="BK20" s="151">
        <f>VLOOKUP(J20,'Tarieven ZM'!$B$136:$I$235,8,0)</f>
        <v>0</v>
      </c>
      <c r="BL20" s="151" t="str">
        <f>IF(M20="EoK",N20&amp;"AdvancedNLS type 1/2/3",IF(E20&lt;&gt;"Straal Access",INDEX(Mapping!J:J,MATCH(E20&amp;G20,Mapping!B:B,0)),E20))</f>
        <v>Copper Standard Access 5Mbit/sAdvancedNLS type 1/2/3</v>
      </c>
      <c r="BM20" s="184">
        <f>INDEX('inkoop ULL tbv EVPN'!J:J,MATCH($BL20,'inkoop ULL tbv EVPN'!$H:$H,0))</f>
        <v>78.97</v>
      </c>
      <c r="BN20" s="180">
        <f>BM20/INDEX(Parameters!$B:$B,MATCH("AfschrijftermijnVVE"&amp;12*$C20,Parameters!$A:$A,0))</f>
        <v>2.1936111111111112</v>
      </c>
      <c r="BO20" s="184">
        <f>INDEX('inkoop ULL tbv EVPN'!I:I,MATCH($BL20,'inkoop ULL tbv EVPN'!$H:$H,0))</f>
        <v>14.7296035</v>
      </c>
      <c r="BP20" s="184">
        <f t="shared" si="17"/>
        <v>16.92321461111111</v>
      </c>
      <c r="BR20" s="180">
        <f>Parameters!$B$12*AG20</f>
        <v>102.77777777777779</v>
      </c>
      <c r="BS20" s="180">
        <f>SUM(Distributievergoedingen!$F$12,Distributievergoedingen!$I$12,Distributievergoedingen!$L$12,Distributievergoedingen!$O$12)*AF20+SUM(Distributievergoedingen!$O$12*AA20+Distributievergoedingen!$R$12+Distributievergoedingen!$U$12+Distributievergoedingen!$X$12)/(MAX(36,12*C20))</f>
        <v>112.77777777777777</v>
      </c>
      <c r="BT20" s="150"/>
      <c r="BU20" s="150">
        <f t="shared" si="18"/>
        <v>215.55555555555554</v>
      </c>
      <c r="BW20" s="522">
        <f t="shared" si="19"/>
        <v>232.47877016666666</v>
      </c>
      <c r="BY20" s="527">
        <f t="shared" si="20"/>
        <v>795.29900761111116</v>
      </c>
      <c r="BZ20" s="181">
        <f t="shared" si="21"/>
        <v>0.77380443983783787</v>
      </c>
      <c r="CA20" s="520" t="b">
        <f t="shared" si="22"/>
        <v>0</v>
      </c>
    </row>
    <row r="21" spans="1:79" s="151" customFormat="1">
      <c r="A21" s="151" t="str">
        <f t="shared" si="0"/>
        <v>1EoKStandard Access koper 10mbMiddelOn-net (NLS1, 2)</v>
      </c>
      <c r="B21" s="151" t="str">
        <f t="shared" si="46"/>
        <v>1EoKStandard Access koper 10mbMiddelOn-net (NLS1, 2)</v>
      </c>
      <c r="C21" s="178">
        <v>1</v>
      </c>
      <c r="D21" s="415" t="s">
        <v>303</v>
      </c>
      <c r="E21" s="178" t="s">
        <v>277</v>
      </c>
      <c r="F21" s="107" t="s">
        <v>280</v>
      </c>
      <c r="G21" s="178" t="s">
        <v>281</v>
      </c>
      <c r="I21" s="178"/>
      <c r="J21" s="520" t="str">
        <f t="shared" si="2"/>
        <v>EoKStandard Access koper 10mbMiddelOn-net (NLS1, 2)</v>
      </c>
      <c r="L21" s="204">
        <f>INDEX(Mapping!$H:$H,MATCH(C$3&amp;C21,Mapping!$B:$B,0))</f>
        <v>1</v>
      </c>
      <c r="M21" s="204" t="str">
        <f>INDEX(Mapping!$H:$H,MATCH(D$3&amp;D21,Mapping!$B:$B,0))</f>
        <v>EoK</v>
      </c>
      <c r="N21" s="204" t="str">
        <f>INDEX(Mapping!$H:$H,MATCH(E$3&amp;E21,Mapping!$B:$B,0))</f>
        <v>Copper Standard Access 10Mbit/s</v>
      </c>
      <c r="O21" s="204" t="str">
        <f>INDEX(Mapping!$H:$H,MATCH(E21&amp;F21,Mapping!$B:$B,0))</f>
        <v/>
      </c>
      <c r="P21" s="204" t="str">
        <f>INDEX(Mapping!$H:$H,MATCH($E21&amp;$G21,Mapping!$B:$B,0))</f>
        <v>On-net (NLS1, 2)</v>
      </c>
      <c r="Q21" s="204">
        <f>INDEX(Mapping!$H:$H,MATCH($E21&amp;$G21&amp;"graafafstand",Mapping!$B:$B,0))</f>
        <v>0</v>
      </c>
      <c r="R21" s="204">
        <f>INDEX(Mapping!$H:$H,MATCH(R$3&amp;$E21,Mapping!$B:$B,0))</f>
        <v>1</v>
      </c>
      <c r="S21" s="204">
        <f>INDEX(Mapping!$H:$H,MATCH(S$3&amp;$E21,Mapping!$B:$B,0))</f>
        <v>1</v>
      </c>
      <c r="T21" s="139" t="str">
        <f t="shared" si="47"/>
        <v>Copper Standard Access 10Mbit/sOn-net (NLS1, 2)</v>
      </c>
      <c r="U21" s="151" t="str">
        <f t="shared" si="48"/>
        <v>Copper Standard Access 10Mbit/sOn-net (NLS1, 2)</v>
      </c>
      <c r="W21" s="521">
        <f>MATCH($J21,'Tarieven ZM'!$B:$B,0)</f>
        <v>156</v>
      </c>
      <c r="X21" s="204">
        <f>INDEX('Tarieven ZM'!$H:$H,$W21)</f>
        <v>1000</v>
      </c>
      <c r="Y21" s="198">
        <f>IF(E21="Standard Access in ZG BT gebieden",0,-INDEX(Parameters!$B:$B,MATCH(Y$3&amp;$C21,Parameters!$A:$A,0))*$X21)</f>
        <v>0</v>
      </c>
      <c r="Z21" s="198">
        <f>IF(E21="Standard Access in ZG BT gebieden",0,MAX(-INDEX(Parameters!$B:$B,MATCH(Z$3&amp;$C21,Parameters!$A:$A,0))*$X21,-INDEX(Parameters!$B:$B,MATCH("FactorMaxSalesMandaat"&amp;E21,Parameters!$A:$A,0))*INDEX(Parameters!$B:$B,MATCH("MaxSalesMandaatAccessVVE"&amp;$C21,Parameters!$A:$A,0))))</f>
        <v>0</v>
      </c>
      <c r="AA21" s="139">
        <f t="shared" si="49"/>
        <v>1000</v>
      </c>
      <c r="AB21" s="205">
        <f>AA21/INDEX(Parameters!$B:$B,MATCH("AfschrijftermijnVVE"&amp;12*$C21,Parameters!$A:$A,0))</f>
        <v>27.777777777777779</v>
      </c>
      <c r="AC21" s="204">
        <f>INDEX('Tarieven ZM'!$G:$G,$W21)</f>
        <v>1000</v>
      </c>
      <c r="AD21" s="198">
        <f>IF(E21="Standard Access in ZG BT gebieden",0,-INDEX(Parameters!$B:$B,MATCH(AD$3&amp;$C21,Parameters!$A:$A,0))*$AC21)</f>
        <v>0</v>
      </c>
      <c r="AE21" s="198">
        <f>IF(E21="Standard Access in ZG BT gebieden",0,-INDEX(Parameters!$B:$B,MATCH(AE$3,Parameters!$A:$A,0))*$AC21)</f>
        <v>0</v>
      </c>
      <c r="AF21" s="139">
        <f t="shared" si="50"/>
        <v>1000</v>
      </c>
      <c r="AG21" s="522">
        <f t="shared" si="51"/>
        <v>1027.7777777777778</v>
      </c>
      <c r="AH21" s="175"/>
      <c r="AI21" s="523">
        <f>IF(N21&lt;&gt;"nvt",MATCH($T21,'Tarieven W&amp;O'!$B:$B,0),"nvt")</f>
        <v>11</v>
      </c>
      <c r="AJ21" s="205">
        <f>IF(AI21&lt;&gt;"nvt",IF($D21="EoK",INDEX(Parameters!C:C,MATCH("NLSx EoK",Parameters!A:A,0)),INDEX('Tarieven W&amp;O'!$H:$H,$AI21)),0)*R21</f>
        <v>350</v>
      </c>
      <c r="AK21" s="204">
        <f>IF(AI21&lt;&gt;"nvt",INDEX('Tarieven W&amp;O'!$I:$I,$AI21),0)*R21</f>
        <v>75</v>
      </c>
      <c r="AL21" s="524">
        <f>IF(AI21&lt;&gt;"nvt",-INDEX(Parameters!$B:$B,MATCH(AL$3,Parameters!$A:$A,0))*(AJ21+AK21),0)</f>
        <v>0</v>
      </c>
      <c r="AM21" s="525"/>
      <c r="AN21" s="139">
        <f t="shared" si="52"/>
        <v>425</v>
      </c>
      <c r="AO21" s="205">
        <f>AN21/INDEX(Parameters!$B:$B,MATCH("AfschrijftermijnVVE"&amp;12*$C21,Parameters!$A:$A,0))</f>
        <v>11.805555555555555</v>
      </c>
      <c r="AP21" s="139">
        <f t="shared" si="9"/>
        <v>11</v>
      </c>
      <c r="AQ21" s="526">
        <f>IF(AP21&lt;&gt;"nvt",R21*INDEX('Tarieven W&amp;O'!$G:$G,$AP21),0)</f>
        <v>83.59</v>
      </c>
      <c r="AR21" s="524">
        <f>-INDEX(Parameters!$B:$B,MATCH(AR$3,Parameters!$A:$A,0))*(AQ21)</f>
        <v>0</v>
      </c>
      <c r="AS21" s="205">
        <f>IF(E21="straal access",'EDC Minus'!$H$192,IF(Q21&lt;&gt;"nvt",Q21*S21*'EDC Minus'!$H$292/590,0))</f>
        <v>0</v>
      </c>
      <c r="AT21" s="139"/>
      <c r="AU21" s="150">
        <f t="shared" si="53"/>
        <v>83.59</v>
      </c>
      <c r="AV21" s="150">
        <f t="shared" si="54"/>
        <v>95.395555555555561</v>
      </c>
      <c r="AX21" s="526">
        <f>Parameters!$B$6*AV21</f>
        <v>0.95395555555555567</v>
      </c>
      <c r="AY21" s="150">
        <v>0</v>
      </c>
      <c r="AZ21" s="150"/>
      <c r="BA21" s="150">
        <f t="shared" si="12"/>
        <v>0.95395555555555567</v>
      </c>
      <c r="BC21" s="522">
        <f t="shared" si="13"/>
        <v>96.349511111111113</v>
      </c>
      <c r="BD21" s="175"/>
      <c r="BE21" s="527">
        <f t="shared" si="14"/>
        <v>931.42826666666667</v>
      </c>
      <c r="BF21" s="181">
        <f t="shared" si="15"/>
        <v>0.90625452972972964</v>
      </c>
      <c r="BG21" s="520" t="b">
        <f t="shared" si="55"/>
        <v>0</v>
      </c>
      <c r="BI21" s="528" t="s">
        <v>2181</v>
      </c>
      <c r="BK21" s="151">
        <f>VLOOKUP(J21,'Tarieven ZM'!$B$136:$I$235,8,0)</f>
        <v>0</v>
      </c>
      <c r="BL21" s="151" t="str">
        <f>IF(M21="EoK",N21&amp;"AdvancedNLS type 1/2/3",IF(E21&lt;&gt;"Straal Access",INDEX(Mapping!J:J,MATCH(E21&amp;G21,Mapping!B:B,0)),E21))</f>
        <v>Copper Standard Access 10Mbit/sAdvancedNLS type 1/2/3</v>
      </c>
      <c r="BM21" s="184">
        <f>INDEX('inkoop ULL tbv EVPN'!J:J,MATCH($BL21,'inkoop ULL tbv EVPN'!$H:$H,0))</f>
        <v>78.97</v>
      </c>
      <c r="BN21" s="180">
        <f>BM21/INDEX(Parameters!$B:$B,MATCH("AfschrijftermijnVVE"&amp;12*$C21,Parameters!$A:$A,0))</f>
        <v>2.1936111111111112</v>
      </c>
      <c r="BO21" s="184">
        <f>INDEX('inkoop ULL tbv EVPN'!I:I,MATCH($BL21,'inkoop ULL tbv EVPN'!$H:$H,0))</f>
        <v>14.7296035</v>
      </c>
      <c r="BP21" s="184">
        <f t="shared" si="17"/>
        <v>16.92321461111111</v>
      </c>
      <c r="BR21" s="180">
        <f>Parameters!$B$12*AG21</f>
        <v>102.77777777777779</v>
      </c>
      <c r="BS21" s="180">
        <f>SUM(Distributievergoedingen!$F$12,Distributievergoedingen!$I$12,Distributievergoedingen!$L$12,Distributievergoedingen!$O$12)*AF21+SUM(Distributievergoedingen!$O$12*AA21+Distributievergoedingen!$R$12+Distributievergoedingen!$U$12+Distributievergoedingen!$X$12)/(MAX(36,12*C21))</f>
        <v>112.77777777777777</v>
      </c>
      <c r="BT21" s="150"/>
      <c r="BU21" s="150">
        <f t="shared" si="18"/>
        <v>215.55555555555554</v>
      </c>
      <c r="BW21" s="522">
        <f t="shared" si="19"/>
        <v>232.47877016666666</v>
      </c>
      <c r="BY21" s="527">
        <f t="shared" si="20"/>
        <v>795.29900761111116</v>
      </c>
      <c r="BZ21" s="181">
        <f t="shared" si="21"/>
        <v>0.77380443983783787</v>
      </c>
      <c r="CA21" s="520" t="b">
        <f t="shared" si="22"/>
        <v>0</v>
      </c>
    </row>
    <row r="22" spans="1:79" s="151" customFormat="1">
      <c r="A22" s="151" t="str">
        <f t="shared" si="0"/>
        <v>1EoKStandard Access koper 15mbMiddelOn-net (NLS1, 2)</v>
      </c>
      <c r="B22" s="151" t="str">
        <f t="shared" si="46"/>
        <v>1EoKStandard Access koper 15mbMiddelOn-net (NLS1, 2)</v>
      </c>
      <c r="C22" s="178">
        <v>1</v>
      </c>
      <c r="D22" s="415" t="s">
        <v>303</v>
      </c>
      <c r="E22" s="178" t="s">
        <v>278</v>
      </c>
      <c r="F22" s="107" t="s">
        <v>280</v>
      </c>
      <c r="G22" s="178" t="s">
        <v>281</v>
      </c>
      <c r="I22" s="178"/>
      <c r="J22" s="520" t="str">
        <f t="shared" si="2"/>
        <v>EoKStandard Access koper 15mbMiddelOn-net (NLS1, 2)</v>
      </c>
      <c r="L22" s="204">
        <f>INDEX(Mapping!$H:$H,MATCH(C$3&amp;C22,Mapping!$B:$B,0))</f>
        <v>1</v>
      </c>
      <c r="M22" s="204" t="str">
        <f>INDEX(Mapping!$H:$H,MATCH(D$3&amp;D22,Mapping!$B:$B,0))</f>
        <v>EoK</v>
      </c>
      <c r="N22" s="204" t="str">
        <f>INDEX(Mapping!$H:$H,MATCH(E$3&amp;E22,Mapping!$B:$B,0))</f>
        <v>Copper Standard Access 15Mbit/s</v>
      </c>
      <c r="O22" s="204" t="str">
        <f>INDEX(Mapping!$H:$H,MATCH(E22&amp;F22,Mapping!$B:$B,0))</f>
        <v/>
      </c>
      <c r="P22" s="204" t="str">
        <f>INDEX(Mapping!$H:$H,MATCH($E22&amp;$G22,Mapping!$B:$B,0))</f>
        <v>On-net (NLS1, 2)</v>
      </c>
      <c r="Q22" s="204">
        <f>INDEX(Mapping!$H:$H,MATCH($E22&amp;$G22&amp;"graafafstand",Mapping!$B:$B,0))</f>
        <v>0</v>
      </c>
      <c r="R22" s="204">
        <f>INDEX(Mapping!$H:$H,MATCH(R$3&amp;$E22,Mapping!$B:$B,0))</f>
        <v>1</v>
      </c>
      <c r="S22" s="204">
        <f>INDEX(Mapping!$H:$H,MATCH(S$3&amp;$E22,Mapping!$B:$B,0))</f>
        <v>1</v>
      </c>
      <c r="T22" s="139" t="str">
        <f t="shared" si="47"/>
        <v>Copper Standard Access 15Mbit/sOn-net (NLS1, 2)</v>
      </c>
      <c r="U22" s="151" t="str">
        <f t="shared" si="48"/>
        <v>Copper Standard Access 15Mbit/sOn-net (NLS1, 2)</v>
      </c>
      <c r="W22" s="521">
        <f>MATCH($J22,'Tarieven ZM'!$B:$B,0)</f>
        <v>157</v>
      </c>
      <c r="X22" s="204">
        <f>INDEX('Tarieven ZM'!$H:$H,$W22)</f>
        <v>1000</v>
      </c>
      <c r="Y22" s="198">
        <f>IF(E22="Standard Access in ZG BT gebieden",0,-INDEX(Parameters!$B:$B,MATCH(Y$3&amp;$C22,Parameters!$A:$A,0))*$X22)</f>
        <v>0</v>
      </c>
      <c r="Z22" s="198">
        <f>IF(E22="Standard Access in ZG BT gebieden",0,MAX(-INDEX(Parameters!$B:$B,MATCH(Z$3&amp;$C22,Parameters!$A:$A,0))*$X22,-INDEX(Parameters!$B:$B,MATCH("FactorMaxSalesMandaat"&amp;E22,Parameters!$A:$A,0))*INDEX(Parameters!$B:$B,MATCH("MaxSalesMandaatAccessVVE"&amp;$C22,Parameters!$A:$A,0))))</f>
        <v>0</v>
      </c>
      <c r="AA22" s="139">
        <f t="shared" si="49"/>
        <v>1000</v>
      </c>
      <c r="AB22" s="205">
        <f>AA22/INDEX(Parameters!$B:$B,MATCH("AfschrijftermijnVVE"&amp;12*$C22,Parameters!$A:$A,0))</f>
        <v>27.777777777777779</v>
      </c>
      <c r="AC22" s="204">
        <f>INDEX('Tarieven ZM'!$G:$G,$W22)</f>
        <v>1000</v>
      </c>
      <c r="AD22" s="198">
        <f>IF(E22="Standard Access in ZG BT gebieden",0,-INDEX(Parameters!$B:$B,MATCH(AD$3&amp;$C22,Parameters!$A:$A,0))*$AC22)</f>
        <v>0</v>
      </c>
      <c r="AE22" s="198">
        <f>IF(E22="Standard Access in ZG BT gebieden",0,-INDEX(Parameters!$B:$B,MATCH(AE$3,Parameters!$A:$A,0))*$AC22)</f>
        <v>0</v>
      </c>
      <c r="AF22" s="139">
        <f t="shared" si="50"/>
        <v>1000</v>
      </c>
      <c r="AG22" s="522">
        <f t="shared" si="51"/>
        <v>1027.7777777777778</v>
      </c>
      <c r="AH22" s="175"/>
      <c r="AI22" s="523">
        <f>IF(N22&lt;&gt;"nvt",MATCH($T22,'Tarieven W&amp;O'!$B:$B,0),"nvt")</f>
        <v>12</v>
      </c>
      <c r="AJ22" s="205">
        <f>IF(AI22&lt;&gt;"nvt",IF($D22="EoK",INDEX(Parameters!C:C,MATCH("NLSx EoK",Parameters!A:A,0)),INDEX('Tarieven W&amp;O'!$H:$H,$AI22)),0)*R22</f>
        <v>350</v>
      </c>
      <c r="AK22" s="204">
        <f>IF(AI22&lt;&gt;"nvt",INDEX('Tarieven W&amp;O'!$I:$I,$AI22),0)*R22</f>
        <v>75</v>
      </c>
      <c r="AL22" s="524">
        <f>IF(AI22&lt;&gt;"nvt",-INDEX(Parameters!$B:$B,MATCH(AL$3,Parameters!$A:$A,0))*(AJ22+AK22),0)</f>
        <v>0</v>
      </c>
      <c r="AM22" s="525"/>
      <c r="AN22" s="139">
        <f t="shared" si="52"/>
        <v>425</v>
      </c>
      <c r="AO22" s="205">
        <f>AN22/INDEX(Parameters!$B:$B,MATCH("AfschrijftermijnVVE"&amp;12*$C22,Parameters!$A:$A,0))</f>
        <v>11.805555555555555</v>
      </c>
      <c r="AP22" s="139">
        <f t="shared" si="9"/>
        <v>12</v>
      </c>
      <c r="AQ22" s="526">
        <f>IF(AP22&lt;&gt;"nvt",R22*INDEX('Tarieven W&amp;O'!$G:$G,$AP22),0)</f>
        <v>102.44</v>
      </c>
      <c r="AR22" s="524">
        <f>-INDEX(Parameters!$B:$B,MATCH(AR$3,Parameters!$A:$A,0))*(AQ22)</f>
        <v>0</v>
      </c>
      <c r="AS22" s="205">
        <f>IF(E22="straal access",'EDC Minus'!$H$192,IF(Q22&lt;&gt;"nvt",Q22*S22*'EDC Minus'!$H$292/590,0))</f>
        <v>0</v>
      </c>
      <c r="AT22" s="139"/>
      <c r="AU22" s="150">
        <f t="shared" si="53"/>
        <v>102.44</v>
      </c>
      <c r="AV22" s="150">
        <f t="shared" si="54"/>
        <v>114.24555555555555</v>
      </c>
      <c r="AX22" s="526">
        <f>Parameters!$B$6*AV22</f>
        <v>1.1424555555555556</v>
      </c>
      <c r="AY22" s="150">
        <v>0</v>
      </c>
      <c r="AZ22" s="150"/>
      <c r="BA22" s="150">
        <f t="shared" si="12"/>
        <v>1.1424555555555556</v>
      </c>
      <c r="BC22" s="522">
        <f t="shared" si="13"/>
        <v>115.38801111111111</v>
      </c>
      <c r="BD22" s="175"/>
      <c r="BE22" s="527">
        <f t="shared" si="14"/>
        <v>912.38976666666667</v>
      </c>
      <c r="BF22" s="181">
        <f t="shared" si="15"/>
        <v>0.88773058378378378</v>
      </c>
      <c r="BG22" s="520" t="b">
        <f t="shared" si="55"/>
        <v>0</v>
      </c>
      <c r="BI22" s="528" t="s">
        <v>2181</v>
      </c>
      <c r="BK22" s="151">
        <f>VLOOKUP(J22,'Tarieven ZM'!$B$136:$I$235,8,0)</f>
        <v>0</v>
      </c>
      <c r="BL22" s="151" t="str">
        <f>IF(M22="EoK",N22&amp;"AdvancedNLS type 1/2/3",IF(E22&lt;&gt;"Straal Access",INDEX(Mapping!J:J,MATCH(E22&amp;G22,Mapping!B:B,0)),E22))</f>
        <v>Copper Standard Access 15Mbit/sAdvancedNLS type 1/2/3</v>
      </c>
      <c r="BM22" s="184">
        <f>INDEX('inkoop ULL tbv EVPN'!J:J,MATCH($BL22,'inkoop ULL tbv EVPN'!$H:$H,0))</f>
        <v>78.97</v>
      </c>
      <c r="BN22" s="180">
        <f>BM22/INDEX(Parameters!$B:$B,MATCH("AfschrijftermijnVVE"&amp;12*$C22,Parameters!$A:$A,0))</f>
        <v>2.1936111111111112</v>
      </c>
      <c r="BO22" s="184">
        <f>INDEX('inkoop ULL tbv EVPN'!I:I,MATCH($BL22,'inkoop ULL tbv EVPN'!$H:$H,0))</f>
        <v>14.7296035</v>
      </c>
      <c r="BP22" s="184">
        <f t="shared" si="17"/>
        <v>16.92321461111111</v>
      </c>
      <c r="BR22" s="180">
        <f>Parameters!$B$12*AG22</f>
        <v>102.77777777777779</v>
      </c>
      <c r="BS22" s="180">
        <f>SUM(Distributievergoedingen!$F$12,Distributievergoedingen!$I$12,Distributievergoedingen!$L$12,Distributievergoedingen!$O$12)*AF22+SUM(Distributievergoedingen!$O$12*AA22+Distributievergoedingen!$R$12+Distributievergoedingen!$U$12+Distributievergoedingen!$X$12)/(MAX(36,12*C22))</f>
        <v>112.77777777777777</v>
      </c>
      <c r="BT22" s="150"/>
      <c r="BU22" s="150">
        <f t="shared" si="18"/>
        <v>215.55555555555554</v>
      </c>
      <c r="BW22" s="522">
        <f t="shared" si="19"/>
        <v>232.47877016666666</v>
      </c>
      <c r="BY22" s="527">
        <f t="shared" si="20"/>
        <v>795.29900761111116</v>
      </c>
      <c r="BZ22" s="181">
        <f t="shared" si="21"/>
        <v>0.77380443983783787</v>
      </c>
      <c r="CA22" s="520" t="b">
        <f t="shared" si="22"/>
        <v>0</v>
      </c>
    </row>
    <row r="23" spans="1:79" s="151" customFormat="1">
      <c r="A23" s="151" t="str">
        <f t="shared" si="0"/>
        <v>1EoKStandard Access koper 20mbMiddelOn-net (NLS1, 2)</v>
      </c>
      <c r="B23" s="151" t="str">
        <f t="shared" si="46"/>
        <v>1EoKStandard Access koper 20mbMiddelOn-net (NLS1, 2)</v>
      </c>
      <c r="C23" s="178">
        <v>1</v>
      </c>
      <c r="D23" s="415" t="s">
        <v>303</v>
      </c>
      <c r="E23" s="178" t="s">
        <v>279</v>
      </c>
      <c r="F23" s="107" t="s">
        <v>280</v>
      </c>
      <c r="G23" s="178" t="s">
        <v>281</v>
      </c>
      <c r="I23" s="178"/>
      <c r="J23" s="520" t="str">
        <f t="shared" si="2"/>
        <v>EoKStandard Access koper 20mbMiddelOn-net (NLS1, 2)</v>
      </c>
      <c r="L23" s="204">
        <f>INDEX(Mapping!$H:$H,MATCH(C$3&amp;C23,Mapping!$B:$B,0))</f>
        <v>1</v>
      </c>
      <c r="M23" s="204" t="str">
        <f>INDEX(Mapping!$H:$H,MATCH(D$3&amp;D23,Mapping!$B:$B,0))</f>
        <v>EoK</v>
      </c>
      <c r="N23" s="204" t="str">
        <f>INDEX(Mapping!$H:$H,MATCH(E$3&amp;E23,Mapping!$B:$B,0))</f>
        <v>Copper Standard Access 20Mbit/s</v>
      </c>
      <c r="O23" s="204" t="str">
        <f>INDEX(Mapping!$H:$H,MATCH(E23&amp;F23,Mapping!$B:$B,0))</f>
        <v/>
      </c>
      <c r="P23" s="204" t="str">
        <f>INDEX(Mapping!$H:$H,MATCH($E23&amp;$G23,Mapping!$B:$B,0))</f>
        <v>On-net (NLS1, 2)</v>
      </c>
      <c r="Q23" s="204">
        <f>INDEX(Mapping!$H:$H,MATCH($E23&amp;$G23&amp;"graafafstand",Mapping!$B:$B,0))</f>
        <v>0</v>
      </c>
      <c r="R23" s="204">
        <f>INDEX(Mapping!$H:$H,MATCH(R$3&amp;$E23,Mapping!$B:$B,0))</f>
        <v>1</v>
      </c>
      <c r="S23" s="204">
        <f>INDEX(Mapping!$H:$H,MATCH(S$3&amp;$E23,Mapping!$B:$B,0))</f>
        <v>1</v>
      </c>
      <c r="T23" s="139" t="str">
        <f t="shared" si="47"/>
        <v>Copper Standard Access 20Mbit/sOn-net (NLS1, 2)</v>
      </c>
      <c r="U23" s="151" t="str">
        <f t="shared" si="48"/>
        <v>Copper Standard Access 20Mbit/sOn-net (NLS1, 2)</v>
      </c>
      <c r="W23" s="521">
        <f>MATCH($J23,'Tarieven ZM'!$B:$B,0)</f>
        <v>158</v>
      </c>
      <c r="X23" s="204">
        <f>INDEX('Tarieven ZM'!$H:$H,$W23)</f>
        <v>1000</v>
      </c>
      <c r="Y23" s="198">
        <f>IF(E23="Standard Access in ZG BT gebieden",0,-INDEX(Parameters!$B:$B,MATCH(Y$3&amp;$C23,Parameters!$A:$A,0))*$X23)</f>
        <v>0</v>
      </c>
      <c r="Z23" s="198">
        <f>IF(E23="Standard Access in ZG BT gebieden",0,MAX(-INDEX(Parameters!$B:$B,MATCH(Z$3&amp;$C23,Parameters!$A:$A,0))*$X23,-INDEX(Parameters!$B:$B,MATCH("FactorMaxSalesMandaat"&amp;E23,Parameters!$A:$A,0))*INDEX(Parameters!$B:$B,MATCH("MaxSalesMandaatAccessVVE"&amp;$C23,Parameters!$A:$A,0))))</f>
        <v>0</v>
      </c>
      <c r="AA23" s="139">
        <f t="shared" si="49"/>
        <v>1000</v>
      </c>
      <c r="AB23" s="205">
        <f>AA23/INDEX(Parameters!$B:$B,MATCH("AfschrijftermijnVVE"&amp;12*$C23,Parameters!$A:$A,0))</f>
        <v>27.777777777777779</v>
      </c>
      <c r="AC23" s="204">
        <f>INDEX('Tarieven ZM'!$G:$G,$W23)</f>
        <v>1000</v>
      </c>
      <c r="AD23" s="198">
        <f>IF(E23="Standard Access in ZG BT gebieden",0,-INDEX(Parameters!$B:$B,MATCH(AD$3&amp;$C23,Parameters!$A:$A,0))*$AC23)</f>
        <v>0</v>
      </c>
      <c r="AE23" s="198">
        <f>IF(E23="Standard Access in ZG BT gebieden",0,-INDEX(Parameters!$B:$B,MATCH(AE$3,Parameters!$A:$A,0))*$AC23)</f>
        <v>0</v>
      </c>
      <c r="AF23" s="139">
        <f t="shared" si="50"/>
        <v>1000</v>
      </c>
      <c r="AG23" s="522">
        <f t="shared" si="51"/>
        <v>1027.7777777777778</v>
      </c>
      <c r="AH23" s="175"/>
      <c r="AI23" s="523">
        <f>IF(N23&lt;&gt;"nvt",MATCH($T23,'Tarieven W&amp;O'!$B:$B,0),"nvt")</f>
        <v>13</v>
      </c>
      <c r="AJ23" s="205">
        <f>IF(AI23&lt;&gt;"nvt",IF($D23="EoK",INDEX(Parameters!C:C,MATCH("NLSx EoK",Parameters!A:A,0)),INDEX('Tarieven W&amp;O'!$H:$H,$AI23)),0)*R23</f>
        <v>350</v>
      </c>
      <c r="AK23" s="204">
        <f>IF(AI23&lt;&gt;"nvt",INDEX('Tarieven W&amp;O'!$I:$I,$AI23),0)*R23</f>
        <v>75</v>
      </c>
      <c r="AL23" s="524">
        <f>IF(AI23&lt;&gt;"nvt",-INDEX(Parameters!$B:$B,MATCH(AL$3,Parameters!$A:$A,0))*(AJ23+AK23),0)</f>
        <v>0</v>
      </c>
      <c r="AM23" s="525"/>
      <c r="AN23" s="139">
        <f t="shared" si="52"/>
        <v>425</v>
      </c>
      <c r="AO23" s="205">
        <f>AN23/INDEX(Parameters!$B:$B,MATCH("AfschrijftermijnVVE"&amp;12*$C23,Parameters!$A:$A,0))</f>
        <v>11.805555555555555</v>
      </c>
      <c r="AP23" s="139">
        <f t="shared" si="9"/>
        <v>13</v>
      </c>
      <c r="AQ23" s="526">
        <f>IF(AP23&lt;&gt;"nvt",R23*INDEX('Tarieven W&amp;O'!$G:$G,$AP23),0)</f>
        <v>121.28</v>
      </c>
      <c r="AR23" s="524">
        <f>-INDEX(Parameters!$B:$B,MATCH(AR$3,Parameters!$A:$A,0))*(AQ23)</f>
        <v>0</v>
      </c>
      <c r="AS23" s="205">
        <f>IF(E23="straal access",'EDC Minus'!$H$192,IF(Q23&lt;&gt;"nvt",Q23*S23*'EDC Minus'!$H$292/590,0))</f>
        <v>0</v>
      </c>
      <c r="AT23" s="139"/>
      <c r="AU23" s="150">
        <f t="shared" si="53"/>
        <v>121.28</v>
      </c>
      <c r="AV23" s="150">
        <f t="shared" si="54"/>
        <v>133.08555555555554</v>
      </c>
      <c r="AX23" s="526">
        <f>Parameters!$B$6*AV23</f>
        <v>1.3308555555555555</v>
      </c>
      <c r="AY23" s="150">
        <v>0</v>
      </c>
      <c r="AZ23" s="150"/>
      <c r="BA23" s="150">
        <f t="shared" si="12"/>
        <v>1.3308555555555555</v>
      </c>
      <c r="BC23" s="522">
        <f t="shared" si="13"/>
        <v>134.4164111111111</v>
      </c>
      <c r="BD23" s="175"/>
      <c r="BE23" s="527">
        <f t="shared" si="14"/>
        <v>893.36136666666675</v>
      </c>
      <c r="BF23" s="181">
        <f t="shared" si="15"/>
        <v>0.86921646486486492</v>
      </c>
      <c r="BG23" s="520" t="b">
        <f t="shared" si="55"/>
        <v>0</v>
      </c>
      <c r="BI23" s="528" t="s">
        <v>2181</v>
      </c>
      <c r="BK23" s="151">
        <f>VLOOKUP(J23,'Tarieven ZM'!$B$136:$I$235,8,0)</f>
        <v>0</v>
      </c>
      <c r="BL23" s="151" t="str">
        <f>IF(M23="EoK",N23&amp;"AdvancedNLS type 1/2/3",IF(E23&lt;&gt;"Straal Access",INDEX(Mapping!J:J,MATCH(E23&amp;G23,Mapping!B:B,0)),E23))</f>
        <v>Copper Standard Access 20Mbit/sAdvancedNLS type 1/2/3</v>
      </c>
      <c r="BM23" s="184">
        <f>INDEX('inkoop ULL tbv EVPN'!J:J,MATCH($BL23,'inkoop ULL tbv EVPN'!$H:$H,0))</f>
        <v>78.97</v>
      </c>
      <c r="BN23" s="180">
        <f>BM23/INDEX(Parameters!$B:$B,MATCH("AfschrijftermijnVVE"&amp;12*$C23,Parameters!$A:$A,0))</f>
        <v>2.1936111111111112</v>
      </c>
      <c r="BO23" s="184">
        <f>INDEX('inkoop ULL tbv EVPN'!I:I,MATCH($BL23,'inkoop ULL tbv EVPN'!$H:$H,0))</f>
        <v>14.7296035</v>
      </c>
      <c r="BP23" s="184">
        <f t="shared" si="17"/>
        <v>16.92321461111111</v>
      </c>
      <c r="BR23" s="180">
        <f>Parameters!$B$12*AG23</f>
        <v>102.77777777777779</v>
      </c>
      <c r="BS23" s="180">
        <f>SUM(Distributievergoedingen!$F$12,Distributievergoedingen!$I$12,Distributievergoedingen!$L$12,Distributievergoedingen!$O$12)*AF23+SUM(Distributievergoedingen!$O$12*AA23+Distributievergoedingen!$R$12+Distributievergoedingen!$U$12+Distributievergoedingen!$X$12)/(MAX(36,12*C23))</f>
        <v>112.77777777777777</v>
      </c>
      <c r="BT23" s="150"/>
      <c r="BU23" s="150">
        <f t="shared" si="18"/>
        <v>215.55555555555554</v>
      </c>
      <c r="BW23" s="522">
        <f t="shared" si="19"/>
        <v>232.47877016666666</v>
      </c>
      <c r="BY23" s="527">
        <f t="shared" si="20"/>
        <v>795.29900761111116</v>
      </c>
      <c r="BZ23" s="181">
        <f t="shared" si="21"/>
        <v>0.77380443983783787</v>
      </c>
      <c r="CA23" s="520" t="b">
        <f t="shared" si="22"/>
        <v>0</v>
      </c>
    </row>
    <row r="24" spans="1:79" s="151" customFormat="1">
      <c r="A24" s="151" t="str">
        <f t="shared" si="0"/>
        <v>1EoKStandard Access koper 3mbMiddelOn-net (NLS3)</v>
      </c>
      <c r="B24" s="151" t="str">
        <f t="shared" si="46"/>
        <v>1EoKStandard Access koper 3mbMiddelOn-net (NLS3)</v>
      </c>
      <c r="C24" s="178">
        <v>1</v>
      </c>
      <c r="D24" s="415" t="s">
        <v>303</v>
      </c>
      <c r="E24" s="178" t="s">
        <v>268</v>
      </c>
      <c r="F24" s="107" t="s">
        <v>280</v>
      </c>
      <c r="G24" s="178" t="s">
        <v>3398</v>
      </c>
      <c r="I24" s="178"/>
      <c r="J24" s="520" t="str">
        <f t="shared" si="2"/>
        <v>EoKStandard Access koper 3mbMiddelOn-net (NLS3)</v>
      </c>
      <c r="L24" s="204">
        <f>INDEX(Mapping!$H:$H,MATCH(C$3&amp;C24,Mapping!$B:$B,0))</f>
        <v>1</v>
      </c>
      <c r="M24" s="204" t="str">
        <f>INDEX(Mapping!$H:$H,MATCH(D$3&amp;D24,Mapping!$B:$B,0))</f>
        <v>EoK</v>
      </c>
      <c r="N24" s="204" t="str">
        <f>INDEX(Mapping!$H:$H,MATCH(E$3&amp;E24,Mapping!$B:$B,0))</f>
        <v>Copper Standard Access 3Mbit/s</v>
      </c>
      <c r="O24" s="204" t="str">
        <f>INDEX(Mapping!$H:$H,MATCH(E24&amp;F24,Mapping!$B:$B,0))</f>
        <v/>
      </c>
      <c r="P24" s="204" t="str">
        <f>INDEX(Mapping!$H:$H,MATCH($E24&amp;$G24,Mapping!$B:$B,0))</f>
        <v>On-net (NLS3)</v>
      </c>
      <c r="Q24" s="204" t="str">
        <f>INDEX(Mapping!$H:$H,MATCH($E24&amp;$G24&amp;"graafafstand",Mapping!$B:$B,0))</f>
        <v>nvt</v>
      </c>
      <c r="R24" s="204">
        <f>INDEX(Mapping!$H:$H,MATCH(R$3&amp;$E24,Mapping!$B:$B,0))</f>
        <v>1</v>
      </c>
      <c r="S24" s="204">
        <f>INDEX(Mapping!$H:$H,MATCH(S$3&amp;$E24,Mapping!$B:$B,0))</f>
        <v>1</v>
      </c>
      <c r="T24" s="139" t="str">
        <f t="shared" si="47"/>
        <v>Copper Standard Access 3Mbit/sOn-net (NLS3)</v>
      </c>
      <c r="U24" s="151" t="str">
        <f t="shared" si="48"/>
        <v>Copper Standard Access 3Mbit/sOn-net (NLS3)</v>
      </c>
      <c r="W24" s="521">
        <f>MATCH($J24,'Tarieven ZM'!$B:$B,0)</f>
        <v>161</v>
      </c>
      <c r="X24" s="204">
        <f>INDEX('Tarieven ZM'!$H:$H,$W24)</f>
        <v>1000</v>
      </c>
      <c r="Y24" s="198">
        <f>IF(E24="Standard Access in ZG BT gebieden",0,-INDEX(Parameters!$B:$B,MATCH(Y$3&amp;$C24,Parameters!$A:$A,0))*$X24)</f>
        <v>0</v>
      </c>
      <c r="Z24" s="198">
        <f>IF(E24="Standard Access in ZG BT gebieden",0,MAX(-INDEX(Parameters!$B:$B,MATCH(Z$3&amp;$C24,Parameters!$A:$A,0))*$X24,-INDEX(Parameters!$B:$B,MATCH("FactorMaxSalesMandaat"&amp;E24,Parameters!$A:$A,0))*INDEX(Parameters!$B:$B,MATCH("MaxSalesMandaatAccessVVE"&amp;$C24,Parameters!$A:$A,0))))</f>
        <v>0</v>
      </c>
      <c r="AA24" s="139">
        <f t="shared" si="49"/>
        <v>1000</v>
      </c>
      <c r="AB24" s="205">
        <f>AA24/INDEX(Parameters!$B:$B,MATCH("AfschrijftermijnVVE"&amp;12*$C24,Parameters!$A:$A,0))</f>
        <v>27.777777777777779</v>
      </c>
      <c r="AC24" s="204">
        <f>INDEX('Tarieven ZM'!$G:$G,$W24)</f>
        <v>1000</v>
      </c>
      <c r="AD24" s="198">
        <f>IF(E24="Standard Access in ZG BT gebieden",0,-INDEX(Parameters!$B:$B,MATCH(AD$3&amp;$C24,Parameters!$A:$A,0))*$AC24)</f>
        <v>0</v>
      </c>
      <c r="AE24" s="198">
        <f>IF(E24="Standard Access in ZG BT gebieden",0,-INDEX(Parameters!$B:$B,MATCH(AE$3,Parameters!$A:$A,0))*$AC24)</f>
        <v>0</v>
      </c>
      <c r="AF24" s="139">
        <f t="shared" si="50"/>
        <v>1000</v>
      </c>
      <c r="AG24" s="522">
        <f t="shared" si="51"/>
        <v>1027.7777777777778</v>
      </c>
      <c r="AH24" s="175"/>
      <c r="AI24" s="523">
        <f>IF(N24&lt;&gt;"nvt",MATCH($T24,'Tarieven W&amp;O'!$B:$B,0),"nvt")</f>
        <v>16</v>
      </c>
      <c r="AJ24" s="205">
        <f>IF(AI24&lt;&gt;"nvt",IF($D24="EoK",INDEX(Parameters!C:C,MATCH("NLSx EoK",Parameters!A:A,0)),INDEX('Tarieven W&amp;O'!$H:$H,$AI24)),0)*R24</f>
        <v>350</v>
      </c>
      <c r="AK24" s="204">
        <f>IF(AI24&lt;&gt;"nvt",INDEX('Tarieven W&amp;O'!$I:$I,$AI24),0)*R24</f>
        <v>75</v>
      </c>
      <c r="AL24" s="524">
        <f>IF(AI24&lt;&gt;"nvt",-INDEX(Parameters!$B:$B,MATCH(AL$3,Parameters!$A:$A,0))*(AJ24+AK24),0)</f>
        <v>0</v>
      </c>
      <c r="AM24" s="525"/>
      <c r="AN24" s="139">
        <f t="shared" si="52"/>
        <v>425</v>
      </c>
      <c r="AO24" s="205">
        <f>AN24/INDEX(Parameters!$B:$B,MATCH("AfschrijftermijnVVE"&amp;12*$C24,Parameters!$A:$A,0))</f>
        <v>11.805555555555555</v>
      </c>
      <c r="AP24" s="139">
        <f t="shared" si="9"/>
        <v>16</v>
      </c>
      <c r="AQ24" s="526">
        <f>IF(AP24&lt;&gt;"nvt",R24*INDEX('Tarieven W&amp;O'!$G:$G,$AP24),0)</f>
        <v>41.5</v>
      </c>
      <c r="AR24" s="524">
        <f>-INDEX(Parameters!$B:$B,MATCH(AR$3,Parameters!$A:$A,0))*(AQ24)</f>
        <v>0</v>
      </c>
      <c r="AS24" s="205">
        <f>IF(E24="straal access",'EDC Minus'!$H$192,IF(Q24&lt;&gt;"nvt",Q24*S24*'EDC Minus'!$H$292/590,0))</f>
        <v>0</v>
      </c>
      <c r="AT24" s="139"/>
      <c r="AU24" s="150">
        <f t="shared" si="53"/>
        <v>41.5</v>
      </c>
      <c r="AV24" s="150">
        <f t="shared" si="54"/>
        <v>53.305555555555557</v>
      </c>
      <c r="AX24" s="526">
        <f>Parameters!$B$6*AV24</f>
        <v>0.53305555555555562</v>
      </c>
      <c r="AY24" s="150">
        <v>0</v>
      </c>
      <c r="AZ24" s="150"/>
      <c r="BA24" s="150">
        <f t="shared" si="12"/>
        <v>0.53305555555555562</v>
      </c>
      <c r="BC24" s="522">
        <f t="shared" ref="BC24:BC43" si="56">SUM(AV24,BA24)</f>
        <v>53.838611111111113</v>
      </c>
      <c r="BD24" s="175"/>
      <c r="BE24" s="527">
        <f t="shared" si="14"/>
        <v>973.93916666666667</v>
      </c>
      <c r="BF24" s="181">
        <f t="shared" si="15"/>
        <v>0.94761648648648644</v>
      </c>
      <c r="BG24" s="520" t="b">
        <f t="shared" si="55"/>
        <v>0</v>
      </c>
      <c r="BI24" s="528" t="s">
        <v>2181</v>
      </c>
      <c r="BK24" s="151">
        <f>VLOOKUP(J24,'Tarieven ZM'!$B$136:$I$235,8,0)</f>
        <v>0</v>
      </c>
      <c r="BL24" s="151" t="str">
        <f>IF(M24="EoK",N24&amp;"AdvancedNLS type 1/2/3",IF(E24&lt;&gt;"Straal Access",INDEX(Mapping!J:J,MATCH(E24&amp;G24,Mapping!B:B,0)),E24))</f>
        <v>Copper Standard Access 3Mbit/sAdvancedNLS type 1/2/3</v>
      </c>
      <c r="BM24" s="184">
        <f>INDEX('inkoop ULL tbv EVPN'!J:J,MATCH($BL24,'inkoop ULL tbv EVPN'!$H:$H,0))</f>
        <v>78.97</v>
      </c>
      <c r="BN24" s="180">
        <f>BM24/INDEX(Parameters!$B:$B,MATCH("AfschrijftermijnVVE"&amp;12*$C24,Parameters!$A:$A,0))</f>
        <v>2.1936111111111112</v>
      </c>
      <c r="BO24" s="184">
        <f>INDEX('inkoop ULL tbv EVPN'!I:I,MATCH($BL24,'inkoop ULL tbv EVPN'!$H:$H,0))</f>
        <v>14.7296035</v>
      </c>
      <c r="BP24" s="184">
        <f t="shared" ref="BP24:BP43" si="57">BN24+BO24</f>
        <v>16.92321461111111</v>
      </c>
      <c r="BR24" s="180">
        <f>Parameters!$B$12*AG24</f>
        <v>102.77777777777779</v>
      </c>
      <c r="BS24" s="180">
        <f>SUM(Distributievergoedingen!$F$12,Distributievergoedingen!$I$12,Distributievergoedingen!$L$12,Distributievergoedingen!$O$12)*AF24+SUM(Distributievergoedingen!$O$12*AA24+Distributievergoedingen!$R$12+Distributievergoedingen!$U$12+Distributievergoedingen!$X$12)/(MAX(36,12*C24))</f>
        <v>112.77777777777777</v>
      </c>
      <c r="BT24" s="150"/>
      <c r="BU24" s="150">
        <f t="shared" ref="BU24:BU43" si="58">SUM(BR24:BT24)</f>
        <v>215.55555555555554</v>
      </c>
      <c r="BW24" s="522">
        <f t="shared" ref="BW24:BW43" si="59">SUM(BP24,BU24)</f>
        <v>232.47877016666666</v>
      </c>
      <c r="BY24" s="527">
        <f t="shared" ref="BY24:BY43" si="60">AG24-BW24</f>
        <v>795.29900761111116</v>
      </c>
      <c r="BZ24" s="181">
        <f t="shared" ref="BZ24:BZ43" si="61">IF(AG24=0,-999%,BY24/AG24)</f>
        <v>0.77380443983783787</v>
      </c>
      <c r="CA24" s="520" t="b">
        <f t="shared" ref="CA24:CA43" si="62">BZ24&lt;0</f>
        <v>0</v>
      </c>
    </row>
    <row r="25" spans="1:79" s="151" customFormat="1">
      <c r="A25" s="151" t="str">
        <f t="shared" si="0"/>
        <v>1EoKStandard Access koper 5mbMiddelOn-net (NLS3)</v>
      </c>
      <c r="B25" s="151" t="str">
        <f t="shared" si="46"/>
        <v>1EoKStandard Access koper 5mbMiddelOn-net (NLS3)</v>
      </c>
      <c r="C25" s="178">
        <v>1</v>
      </c>
      <c r="D25" s="415" t="s">
        <v>303</v>
      </c>
      <c r="E25" s="178" t="s">
        <v>276</v>
      </c>
      <c r="F25" s="107" t="s">
        <v>280</v>
      </c>
      <c r="G25" s="178" t="s">
        <v>3398</v>
      </c>
      <c r="I25" s="178"/>
      <c r="J25" s="520" t="str">
        <f t="shared" si="2"/>
        <v>EoKStandard Access koper 5mbMiddelOn-net (NLS3)</v>
      </c>
      <c r="L25" s="204">
        <f>INDEX(Mapping!$H:$H,MATCH(C$3&amp;C25,Mapping!$B:$B,0))</f>
        <v>1</v>
      </c>
      <c r="M25" s="204" t="str">
        <f>INDEX(Mapping!$H:$H,MATCH(D$3&amp;D25,Mapping!$B:$B,0))</f>
        <v>EoK</v>
      </c>
      <c r="N25" s="204" t="str">
        <f>INDEX(Mapping!$H:$H,MATCH(E$3&amp;E25,Mapping!$B:$B,0))</f>
        <v>Copper Standard Access 5Mbit/s</v>
      </c>
      <c r="O25" s="204" t="str">
        <f>INDEX(Mapping!$H:$H,MATCH(E25&amp;F25,Mapping!$B:$B,0))</f>
        <v/>
      </c>
      <c r="P25" s="204" t="str">
        <f>INDEX(Mapping!$H:$H,MATCH($E25&amp;$G25,Mapping!$B:$B,0))</f>
        <v>On-net (NLS3)</v>
      </c>
      <c r="Q25" s="204" t="str">
        <f>INDEX(Mapping!$H:$H,MATCH($E25&amp;$G25&amp;"graafafstand",Mapping!$B:$B,0))</f>
        <v>nvt</v>
      </c>
      <c r="R25" s="204">
        <f>INDEX(Mapping!$H:$H,MATCH(R$3&amp;$E25,Mapping!$B:$B,0))</f>
        <v>1</v>
      </c>
      <c r="S25" s="204">
        <f>INDEX(Mapping!$H:$H,MATCH(S$3&amp;$E25,Mapping!$B:$B,0))</f>
        <v>1</v>
      </c>
      <c r="T25" s="139" t="str">
        <f t="shared" si="47"/>
        <v>Copper Standard Access 5Mbit/sOn-net (NLS3)</v>
      </c>
      <c r="U25" s="151" t="str">
        <f t="shared" si="48"/>
        <v>Copper Standard Access 5Mbit/sOn-net (NLS3)</v>
      </c>
      <c r="W25" s="521">
        <f>MATCH($J25,'Tarieven ZM'!$B:$B,0)</f>
        <v>162</v>
      </c>
      <c r="X25" s="204">
        <f>INDEX('Tarieven ZM'!$H:$H,$W25)</f>
        <v>1000</v>
      </c>
      <c r="Y25" s="198">
        <f>IF(E25="Standard Access in ZG BT gebieden",0,-INDEX(Parameters!$B:$B,MATCH(Y$3&amp;$C25,Parameters!$A:$A,0))*$X25)</f>
        <v>0</v>
      </c>
      <c r="Z25" s="198">
        <f>IF(E25="Standard Access in ZG BT gebieden",0,MAX(-INDEX(Parameters!$B:$B,MATCH(Z$3&amp;$C25,Parameters!$A:$A,0))*$X25,-INDEX(Parameters!$B:$B,MATCH("FactorMaxSalesMandaat"&amp;E25,Parameters!$A:$A,0))*INDEX(Parameters!$B:$B,MATCH("MaxSalesMandaatAccessVVE"&amp;$C25,Parameters!$A:$A,0))))</f>
        <v>0</v>
      </c>
      <c r="AA25" s="139">
        <f t="shared" si="49"/>
        <v>1000</v>
      </c>
      <c r="AB25" s="205">
        <f>AA25/INDEX(Parameters!$B:$B,MATCH("AfschrijftermijnVVE"&amp;12*$C25,Parameters!$A:$A,0))</f>
        <v>27.777777777777779</v>
      </c>
      <c r="AC25" s="204">
        <f>INDEX('Tarieven ZM'!$G:$G,$W25)</f>
        <v>1000</v>
      </c>
      <c r="AD25" s="198">
        <f>IF(E25="Standard Access in ZG BT gebieden",0,-INDEX(Parameters!$B:$B,MATCH(AD$3&amp;$C25,Parameters!$A:$A,0))*$AC25)</f>
        <v>0</v>
      </c>
      <c r="AE25" s="198">
        <f>IF(E25="Standard Access in ZG BT gebieden",0,-INDEX(Parameters!$B:$B,MATCH(AE$3,Parameters!$A:$A,0))*$AC25)</f>
        <v>0</v>
      </c>
      <c r="AF25" s="139">
        <f t="shared" si="50"/>
        <v>1000</v>
      </c>
      <c r="AG25" s="522">
        <f t="shared" si="51"/>
        <v>1027.7777777777778</v>
      </c>
      <c r="AH25" s="175"/>
      <c r="AI25" s="523">
        <f>IF(N25&lt;&gt;"nvt",MATCH($T25,'Tarieven W&amp;O'!$B:$B,0),"nvt")</f>
        <v>17</v>
      </c>
      <c r="AJ25" s="205">
        <f>IF(AI25&lt;&gt;"nvt",IF($D25="EoK",INDEX(Parameters!C:C,MATCH("NLSx EoK",Parameters!A:A,0)),INDEX('Tarieven W&amp;O'!$H:$H,$AI25)),0)*R25</f>
        <v>350</v>
      </c>
      <c r="AK25" s="204">
        <f>IF(AI25&lt;&gt;"nvt",INDEX('Tarieven W&amp;O'!$I:$I,$AI25),0)*R25</f>
        <v>75</v>
      </c>
      <c r="AL25" s="524">
        <f>IF(AI25&lt;&gt;"nvt",-INDEX(Parameters!$B:$B,MATCH(AL$3,Parameters!$A:$A,0))*(AJ25+AK25),0)</f>
        <v>0</v>
      </c>
      <c r="AM25" s="525"/>
      <c r="AN25" s="139">
        <f t="shared" si="52"/>
        <v>425</v>
      </c>
      <c r="AO25" s="205">
        <f>AN25/INDEX(Parameters!$B:$B,MATCH("AfschrijftermijnVVE"&amp;12*$C25,Parameters!$A:$A,0))</f>
        <v>11.805555555555555</v>
      </c>
      <c r="AP25" s="139">
        <f t="shared" si="9"/>
        <v>17</v>
      </c>
      <c r="AQ25" s="526">
        <f>IF(AP25&lt;&gt;"nvt",R25*INDEX('Tarieven W&amp;O'!$G:$G,$AP25),0)</f>
        <v>60.97</v>
      </c>
      <c r="AR25" s="524">
        <f>-INDEX(Parameters!$B:$B,MATCH(AR$3,Parameters!$A:$A,0))*(AQ25)</f>
        <v>0</v>
      </c>
      <c r="AS25" s="205">
        <f>IF(E25="straal access",'EDC Minus'!$H$192,IF(Q25&lt;&gt;"nvt",Q25*S25*'EDC Minus'!$H$292/590,0))</f>
        <v>0</v>
      </c>
      <c r="AT25" s="139"/>
      <c r="AU25" s="150">
        <f t="shared" si="53"/>
        <v>60.97</v>
      </c>
      <c r="AV25" s="150">
        <f t="shared" si="54"/>
        <v>72.775555555555556</v>
      </c>
      <c r="AX25" s="526">
        <f>Parameters!$B$6*AV25</f>
        <v>0.7277555555555556</v>
      </c>
      <c r="AY25" s="150">
        <v>0</v>
      </c>
      <c r="AZ25" s="150"/>
      <c r="BA25" s="150">
        <f t="shared" si="12"/>
        <v>0.7277555555555556</v>
      </c>
      <c r="BC25" s="522">
        <f t="shared" si="56"/>
        <v>73.503311111111117</v>
      </c>
      <c r="BD25" s="175"/>
      <c r="BE25" s="527">
        <f t="shared" si="14"/>
        <v>954.27446666666674</v>
      </c>
      <c r="BF25" s="181">
        <f t="shared" si="15"/>
        <v>0.92848326486486488</v>
      </c>
      <c r="BG25" s="520" t="b">
        <f t="shared" si="55"/>
        <v>0</v>
      </c>
      <c r="BI25" s="528" t="s">
        <v>2181</v>
      </c>
      <c r="BK25" s="151">
        <f>VLOOKUP(J25,'Tarieven ZM'!$B$136:$I$235,8,0)</f>
        <v>0</v>
      </c>
      <c r="BL25" s="151" t="str">
        <f>IF(M25="EoK",N25&amp;"AdvancedNLS type 1/2/3",IF(E25&lt;&gt;"Straal Access",INDEX(Mapping!J:J,MATCH(E25&amp;G25,Mapping!B:B,0)),E25))</f>
        <v>Copper Standard Access 5Mbit/sAdvancedNLS type 1/2/3</v>
      </c>
      <c r="BM25" s="184">
        <f>INDEX('inkoop ULL tbv EVPN'!J:J,MATCH($BL25,'inkoop ULL tbv EVPN'!$H:$H,0))</f>
        <v>78.97</v>
      </c>
      <c r="BN25" s="180">
        <f>BM25/INDEX(Parameters!$B:$B,MATCH("AfschrijftermijnVVE"&amp;12*$C25,Parameters!$A:$A,0))</f>
        <v>2.1936111111111112</v>
      </c>
      <c r="BO25" s="184">
        <f>INDEX('inkoop ULL tbv EVPN'!I:I,MATCH($BL25,'inkoop ULL tbv EVPN'!$H:$H,0))</f>
        <v>14.7296035</v>
      </c>
      <c r="BP25" s="184">
        <f t="shared" si="57"/>
        <v>16.92321461111111</v>
      </c>
      <c r="BR25" s="180">
        <f>Parameters!$B$12*AG25</f>
        <v>102.77777777777779</v>
      </c>
      <c r="BS25" s="180">
        <f>SUM(Distributievergoedingen!$F$12,Distributievergoedingen!$I$12,Distributievergoedingen!$L$12,Distributievergoedingen!$O$12)*AF25+SUM(Distributievergoedingen!$O$12*AA25+Distributievergoedingen!$R$12+Distributievergoedingen!$U$12+Distributievergoedingen!$X$12)/(MAX(36,12*C25))</f>
        <v>112.77777777777777</v>
      </c>
      <c r="BT25" s="150"/>
      <c r="BU25" s="150">
        <f t="shared" si="58"/>
        <v>215.55555555555554</v>
      </c>
      <c r="BW25" s="522">
        <f t="shared" si="59"/>
        <v>232.47877016666666</v>
      </c>
      <c r="BY25" s="527">
        <f t="shared" si="60"/>
        <v>795.29900761111116</v>
      </c>
      <c r="BZ25" s="181">
        <f t="shared" si="61"/>
        <v>0.77380443983783787</v>
      </c>
      <c r="CA25" s="520" t="b">
        <f t="shared" si="62"/>
        <v>0</v>
      </c>
    </row>
    <row r="26" spans="1:79" s="151" customFormat="1">
      <c r="A26" s="151" t="str">
        <f t="shared" si="0"/>
        <v>1EoKStandard Access koper 10mbMiddelOn-net (NLS3)</v>
      </c>
      <c r="B26" s="151" t="str">
        <f t="shared" si="46"/>
        <v>1EoKStandard Access koper 10mbMiddelOn-net (NLS3)</v>
      </c>
      <c r="C26" s="178">
        <v>1</v>
      </c>
      <c r="D26" s="415" t="s">
        <v>303</v>
      </c>
      <c r="E26" s="178" t="s">
        <v>277</v>
      </c>
      <c r="F26" s="107" t="s">
        <v>280</v>
      </c>
      <c r="G26" s="178" t="s">
        <v>3398</v>
      </c>
      <c r="I26" s="178"/>
      <c r="J26" s="520" t="str">
        <f t="shared" si="2"/>
        <v>EoKStandard Access koper 10mbMiddelOn-net (NLS3)</v>
      </c>
      <c r="L26" s="204">
        <f>INDEX(Mapping!$H:$H,MATCH(C$3&amp;C26,Mapping!$B:$B,0))</f>
        <v>1</v>
      </c>
      <c r="M26" s="204" t="str">
        <f>INDEX(Mapping!$H:$H,MATCH(D$3&amp;D26,Mapping!$B:$B,0))</f>
        <v>EoK</v>
      </c>
      <c r="N26" s="204" t="str">
        <f>INDEX(Mapping!$H:$H,MATCH(E$3&amp;E26,Mapping!$B:$B,0))</f>
        <v>Copper Standard Access 10Mbit/s</v>
      </c>
      <c r="O26" s="204" t="str">
        <f>INDEX(Mapping!$H:$H,MATCH(E26&amp;F26,Mapping!$B:$B,0))</f>
        <v/>
      </c>
      <c r="P26" s="204" t="str">
        <f>INDEX(Mapping!$H:$H,MATCH($E26&amp;$G26,Mapping!$B:$B,0))</f>
        <v>On-net (NLS3)</v>
      </c>
      <c r="Q26" s="204" t="str">
        <f>INDEX(Mapping!$H:$H,MATCH($E26&amp;$G26&amp;"graafafstand",Mapping!$B:$B,0))</f>
        <v>nvt</v>
      </c>
      <c r="R26" s="204">
        <f>INDEX(Mapping!$H:$H,MATCH(R$3&amp;$E26,Mapping!$B:$B,0))</f>
        <v>1</v>
      </c>
      <c r="S26" s="204">
        <f>INDEX(Mapping!$H:$H,MATCH(S$3&amp;$E26,Mapping!$B:$B,0))</f>
        <v>1</v>
      </c>
      <c r="T26" s="139" t="str">
        <f t="shared" si="47"/>
        <v>Copper Standard Access 10Mbit/sOn-net (NLS3)</v>
      </c>
      <c r="U26" s="151" t="str">
        <f t="shared" si="48"/>
        <v>Copper Standard Access 10Mbit/sOn-net (NLS3)</v>
      </c>
      <c r="W26" s="521">
        <f>MATCH($J26,'Tarieven ZM'!$B:$B,0)</f>
        <v>163</v>
      </c>
      <c r="X26" s="204">
        <f>INDEX('Tarieven ZM'!$H:$H,$W26)</f>
        <v>1000</v>
      </c>
      <c r="Y26" s="198">
        <f>IF(E26="Standard Access in ZG BT gebieden",0,-INDEX(Parameters!$B:$B,MATCH(Y$3&amp;$C26,Parameters!$A:$A,0))*$X26)</f>
        <v>0</v>
      </c>
      <c r="Z26" s="198">
        <f>IF(E26="Standard Access in ZG BT gebieden",0,MAX(-INDEX(Parameters!$B:$B,MATCH(Z$3&amp;$C26,Parameters!$A:$A,0))*$X26,-INDEX(Parameters!$B:$B,MATCH("FactorMaxSalesMandaat"&amp;E26,Parameters!$A:$A,0))*INDEX(Parameters!$B:$B,MATCH("MaxSalesMandaatAccessVVE"&amp;$C26,Parameters!$A:$A,0))))</f>
        <v>0</v>
      </c>
      <c r="AA26" s="139">
        <f t="shared" si="49"/>
        <v>1000</v>
      </c>
      <c r="AB26" s="205">
        <f>AA26/INDEX(Parameters!$B:$B,MATCH("AfschrijftermijnVVE"&amp;12*$C26,Parameters!$A:$A,0))</f>
        <v>27.777777777777779</v>
      </c>
      <c r="AC26" s="204">
        <f>INDEX('Tarieven ZM'!$G:$G,$W26)</f>
        <v>1000</v>
      </c>
      <c r="AD26" s="198">
        <f>IF(E26="Standard Access in ZG BT gebieden",0,-INDEX(Parameters!$B:$B,MATCH(AD$3&amp;$C26,Parameters!$A:$A,0))*$AC26)</f>
        <v>0</v>
      </c>
      <c r="AE26" s="198">
        <f>IF(E26="Standard Access in ZG BT gebieden",0,-INDEX(Parameters!$B:$B,MATCH(AE$3,Parameters!$A:$A,0))*$AC26)</f>
        <v>0</v>
      </c>
      <c r="AF26" s="139">
        <f t="shared" si="50"/>
        <v>1000</v>
      </c>
      <c r="AG26" s="522">
        <f t="shared" si="51"/>
        <v>1027.7777777777778</v>
      </c>
      <c r="AH26" s="175"/>
      <c r="AI26" s="523">
        <f>IF(N26&lt;&gt;"nvt",MATCH($T26,'Tarieven W&amp;O'!$B:$B,0),"nvt")</f>
        <v>18</v>
      </c>
      <c r="AJ26" s="205">
        <f>IF(AI26&lt;&gt;"nvt",IF($D26="EoK",INDEX(Parameters!C:C,MATCH("NLSx EoK",Parameters!A:A,0)),INDEX('Tarieven W&amp;O'!$H:$H,$AI26)),0)*R26</f>
        <v>350</v>
      </c>
      <c r="AK26" s="204">
        <f>IF(AI26&lt;&gt;"nvt",INDEX('Tarieven W&amp;O'!$I:$I,$AI26),0)*R26</f>
        <v>75</v>
      </c>
      <c r="AL26" s="524">
        <f>IF(AI26&lt;&gt;"nvt",-INDEX(Parameters!$B:$B,MATCH(AL$3,Parameters!$A:$A,0))*(AJ26+AK26),0)</f>
        <v>0</v>
      </c>
      <c r="AM26" s="525"/>
      <c r="AN26" s="139">
        <f t="shared" si="52"/>
        <v>425</v>
      </c>
      <c r="AO26" s="205">
        <f>AN26/INDEX(Parameters!$B:$B,MATCH("AfschrijftermijnVVE"&amp;12*$C26,Parameters!$A:$A,0))</f>
        <v>11.805555555555555</v>
      </c>
      <c r="AP26" s="139">
        <f t="shared" si="9"/>
        <v>18</v>
      </c>
      <c r="AQ26" s="526">
        <f>IF(AP26&lt;&gt;"nvt",R26*INDEX('Tarieven W&amp;O'!$G:$G,$AP26),0)</f>
        <v>83.59</v>
      </c>
      <c r="AR26" s="524">
        <f>-INDEX(Parameters!$B:$B,MATCH(AR$3,Parameters!$A:$A,0))*(AQ26)</f>
        <v>0</v>
      </c>
      <c r="AS26" s="205">
        <f>IF(E26="straal access",'EDC Minus'!$H$192,IF(Q26&lt;&gt;"nvt",Q26*S26*'EDC Minus'!$H$292/590,0))</f>
        <v>0</v>
      </c>
      <c r="AT26" s="139"/>
      <c r="AU26" s="150">
        <f t="shared" si="53"/>
        <v>83.59</v>
      </c>
      <c r="AV26" s="150">
        <f t="shared" si="54"/>
        <v>95.395555555555561</v>
      </c>
      <c r="AX26" s="526">
        <f>Parameters!$B$6*AV26</f>
        <v>0.95395555555555567</v>
      </c>
      <c r="AY26" s="150">
        <v>0</v>
      </c>
      <c r="AZ26" s="150"/>
      <c r="BA26" s="150">
        <f t="shared" si="12"/>
        <v>0.95395555555555567</v>
      </c>
      <c r="BC26" s="522">
        <f t="shared" si="56"/>
        <v>96.349511111111113</v>
      </c>
      <c r="BD26" s="175"/>
      <c r="BE26" s="527">
        <f t="shared" si="14"/>
        <v>931.42826666666667</v>
      </c>
      <c r="BF26" s="181">
        <f t="shared" si="15"/>
        <v>0.90625452972972964</v>
      </c>
      <c r="BG26" s="520" t="b">
        <f t="shared" si="55"/>
        <v>0</v>
      </c>
      <c r="BI26" s="528" t="s">
        <v>2181</v>
      </c>
      <c r="BK26" s="151">
        <f>VLOOKUP(J26,'Tarieven ZM'!$B$136:$I$235,8,0)</f>
        <v>0</v>
      </c>
      <c r="BL26" s="151" t="str">
        <f>IF(M26="EoK",N26&amp;"AdvancedNLS type 1/2/3",IF(E26&lt;&gt;"Straal Access",INDEX(Mapping!J:J,MATCH(E26&amp;G26,Mapping!B:B,0)),E26))</f>
        <v>Copper Standard Access 10Mbit/sAdvancedNLS type 1/2/3</v>
      </c>
      <c r="BM26" s="184">
        <f>INDEX('inkoop ULL tbv EVPN'!J:J,MATCH($BL26,'inkoop ULL tbv EVPN'!$H:$H,0))</f>
        <v>78.97</v>
      </c>
      <c r="BN26" s="180">
        <f>BM26/INDEX(Parameters!$B:$B,MATCH("AfschrijftermijnVVE"&amp;12*$C26,Parameters!$A:$A,0))</f>
        <v>2.1936111111111112</v>
      </c>
      <c r="BO26" s="184">
        <f>INDEX('inkoop ULL tbv EVPN'!I:I,MATCH($BL26,'inkoop ULL tbv EVPN'!$H:$H,0))</f>
        <v>14.7296035</v>
      </c>
      <c r="BP26" s="184">
        <f t="shared" si="57"/>
        <v>16.92321461111111</v>
      </c>
      <c r="BR26" s="180">
        <f>Parameters!$B$12*AG26</f>
        <v>102.77777777777779</v>
      </c>
      <c r="BS26" s="180">
        <f>SUM(Distributievergoedingen!$F$12,Distributievergoedingen!$I$12,Distributievergoedingen!$L$12,Distributievergoedingen!$O$12)*AF26+SUM(Distributievergoedingen!$O$12*AA26+Distributievergoedingen!$R$12+Distributievergoedingen!$U$12+Distributievergoedingen!$X$12)/(MAX(36,12*C26))</f>
        <v>112.77777777777777</v>
      </c>
      <c r="BT26" s="150"/>
      <c r="BU26" s="150">
        <f t="shared" si="58"/>
        <v>215.55555555555554</v>
      </c>
      <c r="BW26" s="522">
        <f t="shared" si="59"/>
        <v>232.47877016666666</v>
      </c>
      <c r="BY26" s="527">
        <f t="shared" si="60"/>
        <v>795.29900761111116</v>
      </c>
      <c r="BZ26" s="181">
        <f t="shared" si="61"/>
        <v>0.77380443983783787</v>
      </c>
      <c r="CA26" s="520" t="b">
        <f t="shared" si="62"/>
        <v>0</v>
      </c>
    </row>
    <row r="27" spans="1:79" s="151" customFormat="1">
      <c r="A27" s="151" t="str">
        <f t="shared" si="0"/>
        <v>1EoKStandard Access koper 15mbMiddelOn-net (NLS3)</v>
      </c>
      <c r="B27" s="151" t="str">
        <f t="shared" si="46"/>
        <v>1EoKStandard Access koper 15mbMiddelOn-net (NLS3)</v>
      </c>
      <c r="C27" s="178">
        <v>1</v>
      </c>
      <c r="D27" s="415" t="s">
        <v>303</v>
      </c>
      <c r="E27" s="178" t="s">
        <v>278</v>
      </c>
      <c r="F27" s="107" t="s">
        <v>280</v>
      </c>
      <c r="G27" s="178" t="s">
        <v>3398</v>
      </c>
      <c r="I27" s="178"/>
      <c r="J27" s="520" t="str">
        <f t="shared" si="2"/>
        <v>EoKStandard Access koper 15mbMiddelOn-net (NLS3)</v>
      </c>
      <c r="L27" s="204">
        <f>INDEX(Mapping!$H:$H,MATCH(C$3&amp;C27,Mapping!$B:$B,0))</f>
        <v>1</v>
      </c>
      <c r="M27" s="204" t="str">
        <f>INDEX(Mapping!$H:$H,MATCH(D$3&amp;D27,Mapping!$B:$B,0))</f>
        <v>EoK</v>
      </c>
      <c r="N27" s="204" t="str">
        <f>INDEX(Mapping!$H:$H,MATCH(E$3&amp;E27,Mapping!$B:$B,0))</f>
        <v>Copper Standard Access 15Mbit/s</v>
      </c>
      <c r="O27" s="204" t="str">
        <f>INDEX(Mapping!$H:$H,MATCH(E27&amp;F27,Mapping!$B:$B,0))</f>
        <v/>
      </c>
      <c r="P27" s="204" t="str">
        <f>INDEX(Mapping!$H:$H,MATCH($E27&amp;$G27,Mapping!$B:$B,0))</f>
        <v>On-net (NLS3)</v>
      </c>
      <c r="Q27" s="204" t="str">
        <f>INDEX(Mapping!$H:$H,MATCH($E27&amp;$G27&amp;"graafafstand",Mapping!$B:$B,0))</f>
        <v>nvt</v>
      </c>
      <c r="R27" s="204">
        <f>INDEX(Mapping!$H:$H,MATCH(R$3&amp;$E27,Mapping!$B:$B,0))</f>
        <v>1</v>
      </c>
      <c r="S27" s="204">
        <f>INDEX(Mapping!$H:$H,MATCH(S$3&amp;$E27,Mapping!$B:$B,0))</f>
        <v>1</v>
      </c>
      <c r="T27" s="139" t="str">
        <f t="shared" si="47"/>
        <v>Copper Standard Access 15Mbit/sOn-net (NLS3)</v>
      </c>
      <c r="U27" s="151" t="str">
        <f t="shared" si="48"/>
        <v>Copper Standard Access 15Mbit/sOn-net (NLS3)</v>
      </c>
      <c r="W27" s="521">
        <f>MATCH($J27,'Tarieven ZM'!$B:$B,0)</f>
        <v>164</v>
      </c>
      <c r="X27" s="204">
        <f>INDEX('Tarieven ZM'!$H:$H,$W27)</f>
        <v>1000</v>
      </c>
      <c r="Y27" s="198">
        <f>IF(E27="Standard Access in ZG BT gebieden",0,-INDEX(Parameters!$B:$B,MATCH(Y$3&amp;$C27,Parameters!$A:$A,0))*$X27)</f>
        <v>0</v>
      </c>
      <c r="Z27" s="198">
        <f>IF(E27="Standard Access in ZG BT gebieden",0,MAX(-INDEX(Parameters!$B:$B,MATCH(Z$3&amp;$C27,Parameters!$A:$A,0))*$X27,-INDEX(Parameters!$B:$B,MATCH("FactorMaxSalesMandaat"&amp;E27,Parameters!$A:$A,0))*INDEX(Parameters!$B:$B,MATCH("MaxSalesMandaatAccessVVE"&amp;$C27,Parameters!$A:$A,0))))</f>
        <v>0</v>
      </c>
      <c r="AA27" s="139">
        <f t="shared" si="49"/>
        <v>1000</v>
      </c>
      <c r="AB27" s="205">
        <f>AA27/INDEX(Parameters!$B:$B,MATCH("AfschrijftermijnVVE"&amp;12*$C27,Parameters!$A:$A,0))</f>
        <v>27.777777777777779</v>
      </c>
      <c r="AC27" s="204">
        <f>INDEX('Tarieven ZM'!$G:$G,$W27)</f>
        <v>1000</v>
      </c>
      <c r="AD27" s="198">
        <f>IF(E27="Standard Access in ZG BT gebieden",0,-INDEX(Parameters!$B:$B,MATCH(AD$3&amp;$C27,Parameters!$A:$A,0))*$AC27)</f>
        <v>0</v>
      </c>
      <c r="AE27" s="198">
        <f>IF(E27="Standard Access in ZG BT gebieden",0,-INDEX(Parameters!$B:$B,MATCH(AE$3,Parameters!$A:$A,0))*$AC27)</f>
        <v>0</v>
      </c>
      <c r="AF27" s="139">
        <f t="shared" si="50"/>
        <v>1000</v>
      </c>
      <c r="AG27" s="522">
        <f t="shared" si="51"/>
        <v>1027.7777777777778</v>
      </c>
      <c r="AH27" s="175"/>
      <c r="AI27" s="523">
        <f>IF(N27&lt;&gt;"nvt",MATCH($T27,'Tarieven W&amp;O'!$B:$B,0),"nvt")</f>
        <v>19</v>
      </c>
      <c r="AJ27" s="205">
        <f>IF(AI27&lt;&gt;"nvt",IF($D27="EoK",INDEX(Parameters!C:C,MATCH("NLSx EoK",Parameters!A:A,0)),INDEX('Tarieven W&amp;O'!$H:$H,$AI27)),0)*R27</f>
        <v>350</v>
      </c>
      <c r="AK27" s="204">
        <f>IF(AI27&lt;&gt;"nvt",INDEX('Tarieven W&amp;O'!$I:$I,$AI27),0)*R27</f>
        <v>75</v>
      </c>
      <c r="AL27" s="524">
        <f>IF(AI27&lt;&gt;"nvt",-INDEX(Parameters!$B:$B,MATCH(AL$3,Parameters!$A:$A,0))*(AJ27+AK27),0)</f>
        <v>0</v>
      </c>
      <c r="AM27" s="525"/>
      <c r="AN27" s="139">
        <f t="shared" si="52"/>
        <v>425</v>
      </c>
      <c r="AO27" s="205">
        <f>AN27/INDEX(Parameters!$B:$B,MATCH("AfschrijftermijnVVE"&amp;12*$C27,Parameters!$A:$A,0))</f>
        <v>11.805555555555555</v>
      </c>
      <c r="AP27" s="139">
        <f t="shared" si="9"/>
        <v>19</v>
      </c>
      <c r="AQ27" s="526">
        <f>IF(AP27&lt;&gt;"nvt",R27*INDEX('Tarieven W&amp;O'!$G:$G,$AP27),0)</f>
        <v>102.44</v>
      </c>
      <c r="AR27" s="524">
        <f>-INDEX(Parameters!$B:$B,MATCH(AR$3,Parameters!$A:$A,0))*(AQ27)</f>
        <v>0</v>
      </c>
      <c r="AS27" s="205">
        <f>IF(E27="straal access",'EDC Minus'!$H$192,IF(Q27&lt;&gt;"nvt",Q27*S27*'EDC Minus'!$H$292/590,0))</f>
        <v>0</v>
      </c>
      <c r="AT27" s="139"/>
      <c r="AU27" s="150">
        <f t="shared" si="53"/>
        <v>102.44</v>
      </c>
      <c r="AV27" s="150">
        <f t="shared" si="54"/>
        <v>114.24555555555555</v>
      </c>
      <c r="AX27" s="526">
        <f>Parameters!$B$6*AV27</f>
        <v>1.1424555555555556</v>
      </c>
      <c r="AY27" s="150">
        <v>0</v>
      </c>
      <c r="AZ27" s="150"/>
      <c r="BA27" s="150">
        <f t="shared" si="12"/>
        <v>1.1424555555555556</v>
      </c>
      <c r="BC27" s="522">
        <f t="shared" si="56"/>
        <v>115.38801111111111</v>
      </c>
      <c r="BD27" s="175"/>
      <c r="BE27" s="527">
        <f t="shared" si="14"/>
        <v>912.38976666666667</v>
      </c>
      <c r="BF27" s="181">
        <f t="shared" si="15"/>
        <v>0.88773058378378378</v>
      </c>
      <c r="BG27" s="520" t="b">
        <f t="shared" si="55"/>
        <v>0</v>
      </c>
      <c r="BI27" s="528" t="s">
        <v>2181</v>
      </c>
      <c r="BK27" s="151">
        <f>VLOOKUP(J27,'Tarieven ZM'!$B$136:$I$235,8,0)</f>
        <v>0</v>
      </c>
      <c r="BL27" s="151" t="str">
        <f>IF(M27="EoK",N27&amp;"AdvancedNLS type 1/2/3",IF(E27&lt;&gt;"Straal Access",INDEX(Mapping!J:J,MATCH(E27&amp;G27,Mapping!B:B,0)),E27))</f>
        <v>Copper Standard Access 15Mbit/sAdvancedNLS type 1/2/3</v>
      </c>
      <c r="BM27" s="184">
        <f>INDEX('inkoop ULL tbv EVPN'!J:J,MATCH($BL27,'inkoop ULL tbv EVPN'!$H:$H,0))</f>
        <v>78.97</v>
      </c>
      <c r="BN27" s="180">
        <f>BM27/INDEX(Parameters!$B:$B,MATCH("AfschrijftermijnVVE"&amp;12*$C27,Parameters!$A:$A,0))</f>
        <v>2.1936111111111112</v>
      </c>
      <c r="BO27" s="184">
        <f>INDEX('inkoop ULL tbv EVPN'!I:I,MATCH($BL27,'inkoop ULL tbv EVPN'!$H:$H,0))</f>
        <v>14.7296035</v>
      </c>
      <c r="BP27" s="184">
        <f t="shared" si="57"/>
        <v>16.92321461111111</v>
      </c>
      <c r="BR27" s="180">
        <f>Parameters!$B$12*AG27</f>
        <v>102.77777777777779</v>
      </c>
      <c r="BS27" s="180">
        <f>SUM(Distributievergoedingen!$F$12,Distributievergoedingen!$I$12,Distributievergoedingen!$L$12,Distributievergoedingen!$O$12)*AF27+SUM(Distributievergoedingen!$O$12*AA27+Distributievergoedingen!$R$12+Distributievergoedingen!$U$12+Distributievergoedingen!$X$12)/(MAX(36,12*C27))</f>
        <v>112.77777777777777</v>
      </c>
      <c r="BT27" s="150"/>
      <c r="BU27" s="150">
        <f t="shared" si="58"/>
        <v>215.55555555555554</v>
      </c>
      <c r="BW27" s="522">
        <f t="shared" si="59"/>
        <v>232.47877016666666</v>
      </c>
      <c r="BY27" s="527">
        <f t="shared" si="60"/>
        <v>795.29900761111116</v>
      </c>
      <c r="BZ27" s="181">
        <f t="shared" si="61"/>
        <v>0.77380443983783787</v>
      </c>
      <c r="CA27" s="520" t="b">
        <f t="shared" si="62"/>
        <v>0</v>
      </c>
    </row>
    <row r="28" spans="1:79" s="151" customFormat="1">
      <c r="A28" s="151" t="str">
        <f t="shared" si="0"/>
        <v>1EoKStandard Access koper 20mbMiddelOn-net (NLS3)</v>
      </c>
      <c r="B28" s="151" t="str">
        <f t="shared" si="46"/>
        <v>1EoKStandard Access koper 20mbMiddelOn-net (NLS3)</v>
      </c>
      <c r="C28" s="178">
        <v>1</v>
      </c>
      <c r="D28" s="415" t="s">
        <v>303</v>
      </c>
      <c r="E28" s="178" t="s">
        <v>279</v>
      </c>
      <c r="F28" s="107" t="s">
        <v>280</v>
      </c>
      <c r="G28" s="178" t="s">
        <v>3398</v>
      </c>
      <c r="I28" s="178"/>
      <c r="J28" s="520" t="str">
        <f t="shared" si="2"/>
        <v>EoKStandard Access koper 20mbMiddelOn-net (NLS3)</v>
      </c>
      <c r="L28" s="204">
        <f>INDEX(Mapping!$H:$H,MATCH(C$3&amp;C28,Mapping!$B:$B,0))</f>
        <v>1</v>
      </c>
      <c r="M28" s="204" t="str">
        <f>INDEX(Mapping!$H:$H,MATCH(D$3&amp;D28,Mapping!$B:$B,0))</f>
        <v>EoK</v>
      </c>
      <c r="N28" s="204" t="str">
        <f>INDEX(Mapping!$H:$H,MATCH(E$3&amp;E28,Mapping!$B:$B,0))</f>
        <v>Copper Standard Access 20Mbit/s</v>
      </c>
      <c r="O28" s="204" t="str">
        <f>INDEX(Mapping!$H:$H,MATCH(E28&amp;F28,Mapping!$B:$B,0))</f>
        <v/>
      </c>
      <c r="P28" s="204" t="str">
        <f>INDEX(Mapping!$H:$H,MATCH($E28&amp;$G28,Mapping!$B:$B,0))</f>
        <v>On-net (NLS3)</v>
      </c>
      <c r="Q28" s="204" t="str">
        <f>INDEX(Mapping!$H:$H,MATCH($E28&amp;$G28&amp;"graafafstand",Mapping!$B:$B,0))</f>
        <v>nvt</v>
      </c>
      <c r="R28" s="204">
        <f>INDEX(Mapping!$H:$H,MATCH(R$3&amp;$E28,Mapping!$B:$B,0))</f>
        <v>1</v>
      </c>
      <c r="S28" s="204">
        <f>INDEX(Mapping!$H:$H,MATCH(S$3&amp;$E28,Mapping!$B:$B,0))</f>
        <v>1</v>
      </c>
      <c r="T28" s="139" t="str">
        <f t="shared" si="47"/>
        <v>Copper Standard Access 20Mbit/sOn-net (NLS3)</v>
      </c>
      <c r="U28" s="151" t="str">
        <f t="shared" si="48"/>
        <v>Copper Standard Access 20Mbit/sOn-net (NLS3)</v>
      </c>
      <c r="W28" s="521">
        <f>MATCH($J28,'Tarieven ZM'!$B:$B,0)</f>
        <v>165</v>
      </c>
      <c r="X28" s="204">
        <f>INDEX('Tarieven ZM'!$H:$H,$W28)</f>
        <v>1000</v>
      </c>
      <c r="Y28" s="198">
        <f>IF(E28="Standard Access in ZG BT gebieden",0,-INDEX(Parameters!$B:$B,MATCH(Y$3&amp;$C28,Parameters!$A:$A,0))*$X28)</f>
        <v>0</v>
      </c>
      <c r="Z28" s="198">
        <f>IF(E28="Standard Access in ZG BT gebieden",0,MAX(-INDEX(Parameters!$B:$B,MATCH(Z$3&amp;$C28,Parameters!$A:$A,0))*$X28,-INDEX(Parameters!$B:$B,MATCH("FactorMaxSalesMandaat"&amp;E28,Parameters!$A:$A,0))*INDEX(Parameters!$B:$B,MATCH("MaxSalesMandaatAccessVVE"&amp;$C28,Parameters!$A:$A,0))))</f>
        <v>0</v>
      </c>
      <c r="AA28" s="139">
        <f t="shared" si="49"/>
        <v>1000</v>
      </c>
      <c r="AB28" s="205">
        <f>AA28/INDEX(Parameters!$B:$B,MATCH("AfschrijftermijnVVE"&amp;12*$C28,Parameters!$A:$A,0))</f>
        <v>27.777777777777779</v>
      </c>
      <c r="AC28" s="204">
        <f>INDEX('Tarieven ZM'!$G:$G,$W28)</f>
        <v>1000</v>
      </c>
      <c r="AD28" s="198">
        <f>IF(E28="Standard Access in ZG BT gebieden",0,-INDEX(Parameters!$B:$B,MATCH(AD$3&amp;$C28,Parameters!$A:$A,0))*$AC28)</f>
        <v>0</v>
      </c>
      <c r="AE28" s="198">
        <f>IF(E28="Standard Access in ZG BT gebieden",0,-INDEX(Parameters!$B:$B,MATCH(AE$3,Parameters!$A:$A,0))*$AC28)</f>
        <v>0</v>
      </c>
      <c r="AF28" s="139">
        <f t="shared" si="50"/>
        <v>1000</v>
      </c>
      <c r="AG28" s="522">
        <f t="shared" si="51"/>
        <v>1027.7777777777778</v>
      </c>
      <c r="AH28" s="175"/>
      <c r="AI28" s="523">
        <f>IF(N28&lt;&gt;"nvt",MATCH($T28,'Tarieven W&amp;O'!$B:$B,0),"nvt")</f>
        <v>20</v>
      </c>
      <c r="AJ28" s="205">
        <f>IF(AI28&lt;&gt;"nvt",IF($D28="EoK",INDEX(Parameters!C:C,MATCH("NLSx EoK",Parameters!A:A,0)),INDEX('Tarieven W&amp;O'!$H:$H,$AI28)),0)*R28</f>
        <v>350</v>
      </c>
      <c r="AK28" s="204">
        <f>IF(AI28&lt;&gt;"nvt",INDEX('Tarieven W&amp;O'!$I:$I,$AI28),0)*R28</f>
        <v>75</v>
      </c>
      <c r="AL28" s="524">
        <f>IF(AI28&lt;&gt;"nvt",-INDEX(Parameters!$B:$B,MATCH(AL$3,Parameters!$A:$A,0))*(AJ28+AK28),0)</f>
        <v>0</v>
      </c>
      <c r="AM28" s="525"/>
      <c r="AN28" s="139">
        <f t="shared" si="52"/>
        <v>425</v>
      </c>
      <c r="AO28" s="205">
        <f>AN28/INDEX(Parameters!$B:$B,MATCH("AfschrijftermijnVVE"&amp;12*$C28,Parameters!$A:$A,0))</f>
        <v>11.805555555555555</v>
      </c>
      <c r="AP28" s="139">
        <f t="shared" si="9"/>
        <v>20</v>
      </c>
      <c r="AQ28" s="526">
        <f>IF(AP28&lt;&gt;"nvt",R28*INDEX('Tarieven W&amp;O'!$G:$G,$AP28),0)</f>
        <v>121.28</v>
      </c>
      <c r="AR28" s="524">
        <f>-INDEX(Parameters!$B:$B,MATCH(AR$3,Parameters!$A:$A,0))*(AQ28)</f>
        <v>0</v>
      </c>
      <c r="AS28" s="205">
        <f>IF(E28="straal access",'EDC Minus'!$H$192,IF(Q28&lt;&gt;"nvt",Q28*S28*'EDC Minus'!$H$292/590,0))</f>
        <v>0</v>
      </c>
      <c r="AT28" s="139"/>
      <c r="AU28" s="150">
        <f t="shared" si="53"/>
        <v>121.28</v>
      </c>
      <c r="AV28" s="150">
        <f t="shared" si="54"/>
        <v>133.08555555555554</v>
      </c>
      <c r="AX28" s="526">
        <f>Parameters!$B$6*AV28</f>
        <v>1.3308555555555555</v>
      </c>
      <c r="AY28" s="150">
        <v>0</v>
      </c>
      <c r="AZ28" s="150"/>
      <c r="BA28" s="150">
        <f t="shared" si="12"/>
        <v>1.3308555555555555</v>
      </c>
      <c r="BC28" s="522">
        <f t="shared" si="56"/>
        <v>134.4164111111111</v>
      </c>
      <c r="BD28" s="175"/>
      <c r="BE28" s="527">
        <f t="shared" si="14"/>
        <v>893.36136666666675</v>
      </c>
      <c r="BF28" s="181">
        <f t="shared" si="15"/>
        <v>0.86921646486486492</v>
      </c>
      <c r="BG28" s="520" t="b">
        <f t="shared" si="55"/>
        <v>0</v>
      </c>
      <c r="BI28" s="528" t="s">
        <v>2181</v>
      </c>
      <c r="BK28" s="151">
        <f>VLOOKUP(J28,'Tarieven ZM'!$B$136:$I$235,8,0)</f>
        <v>0</v>
      </c>
      <c r="BL28" s="151" t="str">
        <f>IF(M28="EoK",N28&amp;"AdvancedNLS type 1/2/3",IF(E28&lt;&gt;"Straal Access",INDEX(Mapping!J:J,MATCH(E28&amp;G28,Mapping!B:B,0)),E28))</f>
        <v>Copper Standard Access 20Mbit/sAdvancedNLS type 1/2/3</v>
      </c>
      <c r="BM28" s="184">
        <f>INDEX('inkoop ULL tbv EVPN'!J:J,MATCH($BL28,'inkoop ULL tbv EVPN'!$H:$H,0))</f>
        <v>78.97</v>
      </c>
      <c r="BN28" s="180">
        <f>BM28/INDEX(Parameters!$B:$B,MATCH("AfschrijftermijnVVE"&amp;12*$C28,Parameters!$A:$A,0))</f>
        <v>2.1936111111111112</v>
      </c>
      <c r="BO28" s="184">
        <f>INDEX('inkoop ULL tbv EVPN'!I:I,MATCH($BL28,'inkoop ULL tbv EVPN'!$H:$H,0))</f>
        <v>14.7296035</v>
      </c>
      <c r="BP28" s="184">
        <f t="shared" si="57"/>
        <v>16.92321461111111</v>
      </c>
      <c r="BR28" s="180">
        <f>Parameters!$B$12*AG28</f>
        <v>102.77777777777779</v>
      </c>
      <c r="BS28" s="180">
        <f>SUM(Distributievergoedingen!$F$12,Distributievergoedingen!$I$12,Distributievergoedingen!$L$12,Distributievergoedingen!$O$12)*AF28+SUM(Distributievergoedingen!$O$12*AA28+Distributievergoedingen!$R$12+Distributievergoedingen!$U$12+Distributievergoedingen!$X$12)/(MAX(36,12*C28))</f>
        <v>112.77777777777777</v>
      </c>
      <c r="BT28" s="150"/>
      <c r="BU28" s="150">
        <f t="shared" si="58"/>
        <v>215.55555555555554</v>
      </c>
      <c r="BW28" s="522">
        <f t="shared" si="59"/>
        <v>232.47877016666666</v>
      </c>
      <c r="BY28" s="527">
        <f t="shared" si="60"/>
        <v>795.29900761111116</v>
      </c>
      <c r="BZ28" s="181">
        <f t="shared" si="61"/>
        <v>0.77380443983783787</v>
      </c>
      <c r="CA28" s="520" t="b">
        <f t="shared" si="62"/>
        <v>0</v>
      </c>
    </row>
    <row r="29" spans="1:79" s="151" customFormat="1">
      <c r="A29" s="151" t="str">
        <f t="shared" ref="A29:A43" si="63">C29&amp;D29&amp;E29&amp;F29&amp;G29</f>
        <v>1EoKStandard Access koper 3mbMiddel&lt; 250 meter</v>
      </c>
      <c r="B29" s="151" t="str">
        <f t="shared" si="46"/>
        <v>1EoKStandard Access koper 3mbMiddel&lt; 250 meter</v>
      </c>
      <c r="C29" s="178">
        <v>1</v>
      </c>
      <c r="D29" s="415" t="s">
        <v>303</v>
      </c>
      <c r="E29" s="178" t="s">
        <v>268</v>
      </c>
      <c r="F29" s="107" t="s">
        <v>280</v>
      </c>
      <c r="G29" s="178" t="s">
        <v>3397</v>
      </c>
      <c r="I29" s="178"/>
      <c r="J29" s="520" t="str">
        <f t="shared" ref="J29:J48" si="64">D29&amp;E29&amp;F29&amp;G29</f>
        <v>EoKStandard Access koper 3mbMiddel&lt; 250 meter</v>
      </c>
      <c r="L29" s="204">
        <f>INDEX(Mapping!$H:$H,MATCH(C$3&amp;C29,Mapping!$B:$B,0))</f>
        <v>1</v>
      </c>
      <c r="M29" s="204" t="str">
        <f>INDEX(Mapping!$H:$H,MATCH(D$3&amp;D29,Mapping!$B:$B,0))</f>
        <v>EoK</v>
      </c>
      <c r="N29" s="204" t="str">
        <f>INDEX(Mapping!$H:$H,MATCH(E$3&amp;E29,Mapping!$B:$B,0))</f>
        <v>Copper Standard Access 3Mbit/s</v>
      </c>
      <c r="O29" s="204" t="str">
        <f>INDEX(Mapping!$H:$H,MATCH(E29&amp;F29,Mapping!$B:$B,0))</f>
        <v/>
      </c>
      <c r="P29" s="204" t="str">
        <f>INDEX(Mapping!$H:$H,MATCH($E29&amp;$G29,Mapping!$B:$B,0))</f>
        <v>Nearnet</v>
      </c>
      <c r="Q29" s="204" t="str">
        <f>INDEX(Mapping!$H:$H,MATCH($E29&amp;$G29&amp;"graafafstand",Mapping!$B:$B,0))</f>
        <v>nvt</v>
      </c>
      <c r="R29" s="204">
        <f>INDEX(Mapping!$H:$H,MATCH(R$3&amp;$E29,Mapping!$B:$B,0))</f>
        <v>1</v>
      </c>
      <c r="S29" s="204">
        <f>INDEX(Mapping!$H:$H,MATCH(S$3&amp;$E29,Mapping!$B:$B,0))</f>
        <v>1</v>
      </c>
      <c r="T29" s="139" t="str">
        <f t="shared" si="47"/>
        <v>Copper Standard Access 3Mbit/sNearnet</v>
      </c>
      <c r="U29" s="151" t="str">
        <f t="shared" si="48"/>
        <v>Copper Standard Access 3Mbit/sNearnet</v>
      </c>
      <c r="W29" s="521">
        <f>MATCH($J29,'Tarieven ZM'!$B:$B,0)</f>
        <v>166</v>
      </c>
      <c r="X29" s="204">
        <f>INDEX('Tarieven ZM'!$H:$H,$W29)</f>
        <v>1000</v>
      </c>
      <c r="Y29" s="198">
        <f>IF(E29="Standard Access in ZG BT gebieden",0,-INDEX(Parameters!$B:$B,MATCH(Y$3&amp;$C29,Parameters!$A:$A,0))*$X29)</f>
        <v>0</v>
      </c>
      <c r="Z29" s="198">
        <f>IF(E29="Standard Access in ZG BT gebieden",0,MAX(-INDEX(Parameters!$B:$B,MATCH(Z$3&amp;$C29,Parameters!$A:$A,0))*$X29,-INDEX(Parameters!$B:$B,MATCH("FactorMaxSalesMandaat"&amp;E29,Parameters!$A:$A,0))*INDEX(Parameters!$B:$B,MATCH("MaxSalesMandaatAccessVVE"&amp;$C29,Parameters!$A:$A,0))))</f>
        <v>0</v>
      </c>
      <c r="AA29" s="139">
        <f t="shared" si="49"/>
        <v>1000</v>
      </c>
      <c r="AB29" s="205">
        <f>AA29/INDEX(Parameters!$B:$B,MATCH("AfschrijftermijnVVE"&amp;12*$C29,Parameters!$A:$A,0))</f>
        <v>27.777777777777779</v>
      </c>
      <c r="AC29" s="204">
        <f>INDEX('Tarieven ZM'!$G:$G,$W29)</f>
        <v>1000</v>
      </c>
      <c r="AD29" s="198">
        <f>IF(E29="Standard Access in ZG BT gebieden",0,-INDEX(Parameters!$B:$B,MATCH(AD$3&amp;$C29,Parameters!$A:$A,0))*$AC29)</f>
        <v>0</v>
      </c>
      <c r="AE29" s="198">
        <f>IF(E29="Standard Access in ZG BT gebieden",0,-INDEX(Parameters!$B:$B,MATCH(AE$3,Parameters!$A:$A,0))*$AC29)</f>
        <v>0</v>
      </c>
      <c r="AF29" s="139">
        <f t="shared" si="50"/>
        <v>1000</v>
      </c>
      <c r="AG29" s="522">
        <f t="shared" si="51"/>
        <v>1027.7777777777778</v>
      </c>
      <c r="AH29" s="175"/>
      <c r="AI29" s="523">
        <f>IF(N29&lt;&gt;"nvt",MATCH($T29,'Tarieven W&amp;O'!$B:$B,0),"nvt")</f>
        <v>23</v>
      </c>
      <c r="AJ29" s="205">
        <f>IF(AI29&lt;&gt;"nvt",IF($D29="EoK",INDEX(Parameters!C:C,MATCH("NLSx EoK",Parameters!A:A,0)),INDEX('Tarieven W&amp;O'!$H:$H,$AI29)),0)*R29</f>
        <v>350</v>
      </c>
      <c r="AK29" s="204">
        <f>IF(AI29&lt;&gt;"nvt",INDEX('Tarieven W&amp;O'!$I:$I,$AI29),0)*R29</f>
        <v>75</v>
      </c>
      <c r="AL29" s="524">
        <f>IF(AI29&lt;&gt;"nvt",-INDEX(Parameters!$B:$B,MATCH(AL$3,Parameters!$A:$A,0))*(AJ29+AK29),0)</f>
        <v>0</v>
      </c>
      <c r="AM29" s="525"/>
      <c r="AN29" s="139">
        <f t="shared" si="52"/>
        <v>425</v>
      </c>
      <c r="AO29" s="205">
        <f>AN29/INDEX(Parameters!$B:$B,MATCH("AfschrijftermijnVVE"&amp;12*$C29,Parameters!$A:$A,0))</f>
        <v>11.805555555555555</v>
      </c>
      <c r="AP29" s="139">
        <f t="shared" ref="AP29:AP43" si="65">AI29</f>
        <v>23</v>
      </c>
      <c r="AQ29" s="526">
        <f>IF(AP29&lt;&gt;"nvt",R29*INDEX('Tarieven W&amp;O'!$G:$G,$AP29),0)</f>
        <v>41.5</v>
      </c>
      <c r="AR29" s="524">
        <f>-INDEX(Parameters!$B:$B,MATCH(AR$3,Parameters!$A:$A,0))*(AQ29)</f>
        <v>0</v>
      </c>
      <c r="AS29" s="205">
        <f>IF(E29="straal access",'EDC Minus'!$H$192,IF(Q29&lt;&gt;"nvt",Q29*S29*'EDC Minus'!$H$292/590,0))</f>
        <v>0</v>
      </c>
      <c r="AT29" s="180"/>
      <c r="AU29" s="150">
        <f t="shared" si="53"/>
        <v>41.5</v>
      </c>
      <c r="AV29" s="150">
        <f t="shared" si="54"/>
        <v>53.305555555555557</v>
      </c>
      <c r="AX29" s="526">
        <f>Parameters!$B$6*AV29</f>
        <v>0.53305555555555562</v>
      </c>
      <c r="AY29" s="150">
        <v>0</v>
      </c>
      <c r="AZ29" s="150"/>
      <c r="BA29" s="150">
        <f t="shared" ref="BA29:BA43" si="66">SUM(AX29:AZ29)</f>
        <v>0.53305555555555562</v>
      </c>
      <c r="BC29" s="522">
        <f t="shared" si="56"/>
        <v>53.838611111111113</v>
      </c>
      <c r="BD29" s="175"/>
      <c r="BE29" s="527">
        <f t="shared" ref="BE29:BE48" si="67">AG29-BC29</f>
        <v>973.93916666666667</v>
      </c>
      <c r="BF29" s="181">
        <f t="shared" ref="BF29:BF48" si="68">IF(AG29=0,-999%,BE29/AG29)</f>
        <v>0.94761648648648644</v>
      </c>
      <c r="BG29" s="520" t="b">
        <f t="shared" si="55"/>
        <v>0</v>
      </c>
      <c r="BI29" s="528" t="s">
        <v>2181</v>
      </c>
      <c r="BK29" s="151">
        <f>VLOOKUP(J29,'Tarieven ZM'!$B$136:$I$235,8,0)</f>
        <v>0</v>
      </c>
      <c r="BL29" s="151" t="str">
        <f>IF(M29="EoK",N29&amp;"AdvancedNLS type 1/2/3",IF(E29&lt;&gt;"Straal Access",INDEX(Mapping!J:J,MATCH(E29&amp;G29,Mapping!B:B,0)),E29))</f>
        <v>Copper Standard Access 3Mbit/sAdvancedNLS type 1/2/3</v>
      </c>
      <c r="BM29" s="184">
        <f>INDEX('inkoop ULL tbv EVPN'!J:J,MATCH($BL29,'inkoop ULL tbv EVPN'!$H:$H,0))</f>
        <v>78.97</v>
      </c>
      <c r="BN29" s="180">
        <f>BM29/INDEX(Parameters!$B:$B,MATCH("AfschrijftermijnVVE"&amp;12*$C29,Parameters!$A:$A,0))</f>
        <v>2.1936111111111112</v>
      </c>
      <c r="BO29" s="184">
        <f>INDEX('inkoop ULL tbv EVPN'!I:I,MATCH($BL29,'inkoop ULL tbv EVPN'!$H:$H,0))</f>
        <v>14.7296035</v>
      </c>
      <c r="BP29" s="184">
        <f t="shared" si="57"/>
        <v>16.92321461111111</v>
      </c>
      <c r="BR29" s="180">
        <f>Parameters!$B$12*AG29</f>
        <v>102.77777777777779</v>
      </c>
      <c r="BS29" s="180">
        <f>SUM(Distributievergoedingen!$F$12,Distributievergoedingen!$I$12,Distributievergoedingen!$L$12,Distributievergoedingen!$O$12)*AF29+SUM(Distributievergoedingen!$O$12*AA29+Distributievergoedingen!$R$12+Distributievergoedingen!$U$12+Distributievergoedingen!$X$12)/(MAX(36,12*C29))</f>
        <v>112.77777777777777</v>
      </c>
      <c r="BT29" s="150"/>
      <c r="BU29" s="150">
        <f t="shared" si="58"/>
        <v>215.55555555555554</v>
      </c>
      <c r="BW29" s="522">
        <f t="shared" si="59"/>
        <v>232.47877016666666</v>
      </c>
      <c r="BY29" s="527">
        <f t="shared" si="60"/>
        <v>795.29900761111116</v>
      </c>
      <c r="BZ29" s="181">
        <f t="shared" si="61"/>
        <v>0.77380443983783787</v>
      </c>
      <c r="CA29" s="520" t="b">
        <f t="shared" si="62"/>
        <v>0</v>
      </c>
    </row>
    <row r="30" spans="1:79" s="151" customFormat="1">
      <c r="A30" s="151" t="str">
        <f t="shared" si="63"/>
        <v>1EoKStandard Access koper 5mbMiddel&lt; 250 meter</v>
      </c>
      <c r="B30" s="151" t="str">
        <f t="shared" si="46"/>
        <v>1EoKStandard Access koper 5mbMiddel&lt; 250 meter</v>
      </c>
      <c r="C30" s="178">
        <v>1</v>
      </c>
      <c r="D30" s="415" t="s">
        <v>303</v>
      </c>
      <c r="E30" s="178" t="s">
        <v>276</v>
      </c>
      <c r="F30" s="107" t="s">
        <v>280</v>
      </c>
      <c r="G30" s="178" t="s">
        <v>3397</v>
      </c>
      <c r="I30" s="178"/>
      <c r="J30" s="520" t="str">
        <f t="shared" si="64"/>
        <v>EoKStandard Access koper 5mbMiddel&lt; 250 meter</v>
      </c>
      <c r="L30" s="204">
        <f>INDEX(Mapping!$H:$H,MATCH(C$3&amp;C30,Mapping!$B:$B,0))</f>
        <v>1</v>
      </c>
      <c r="M30" s="204" t="str">
        <f>INDEX(Mapping!$H:$H,MATCH(D$3&amp;D30,Mapping!$B:$B,0))</f>
        <v>EoK</v>
      </c>
      <c r="N30" s="204" t="str">
        <f>INDEX(Mapping!$H:$H,MATCH(E$3&amp;E30,Mapping!$B:$B,0))</f>
        <v>Copper Standard Access 5Mbit/s</v>
      </c>
      <c r="O30" s="204" t="str">
        <f>INDEX(Mapping!$H:$H,MATCH(E30&amp;F30,Mapping!$B:$B,0))</f>
        <v/>
      </c>
      <c r="P30" s="204" t="str">
        <f>INDEX(Mapping!$H:$H,MATCH($E30&amp;$G30,Mapping!$B:$B,0))</f>
        <v>Nearnet</v>
      </c>
      <c r="Q30" s="204" t="str">
        <f>INDEX(Mapping!$H:$H,MATCH($E30&amp;$G30&amp;"graafafstand",Mapping!$B:$B,0))</f>
        <v>nvt</v>
      </c>
      <c r="R30" s="204">
        <f>INDEX(Mapping!$H:$H,MATCH(R$3&amp;$E30,Mapping!$B:$B,0))</f>
        <v>1</v>
      </c>
      <c r="S30" s="204">
        <f>INDEX(Mapping!$H:$H,MATCH(S$3&amp;$E30,Mapping!$B:$B,0))</f>
        <v>1</v>
      </c>
      <c r="T30" s="139" t="str">
        <f t="shared" si="47"/>
        <v>Copper Standard Access 5Mbit/sNearnet</v>
      </c>
      <c r="U30" s="151" t="str">
        <f t="shared" si="48"/>
        <v>Copper Standard Access 5Mbit/sNearnet</v>
      </c>
      <c r="W30" s="521">
        <f>MATCH($J30,'Tarieven ZM'!$B:$B,0)</f>
        <v>167</v>
      </c>
      <c r="X30" s="204">
        <f>INDEX('Tarieven ZM'!$H:$H,$W30)</f>
        <v>1000</v>
      </c>
      <c r="Y30" s="198">
        <f>IF(E30="Standard Access in ZG BT gebieden",0,-INDEX(Parameters!$B:$B,MATCH(Y$3&amp;$C30,Parameters!$A:$A,0))*$X30)</f>
        <v>0</v>
      </c>
      <c r="Z30" s="198">
        <f>IF(E30="Standard Access in ZG BT gebieden",0,MAX(-INDEX(Parameters!$B:$B,MATCH(Z$3&amp;$C30,Parameters!$A:$A,0))*$X30,-INDEX(Parameters!$B:$B,MATCH("FactorMaxSalesMandaat"&amp;E30,Parameters!$A:$A,0))*INDEX(Parameters!$B:$B,MATCH("MaxSalesMandaatAccessVVE"&amp;$C30,Parameters!$A:$A,0))))</f>
        <v>0</v>
      </c>
      <c r="AA30" s="139">
        <f t="shared" si="49"/>
        <v>1000</v>
      </c>
      <c r="AB30" s="205">
        <f>AA30/INDEX(Parameters!$B:$B,MATCH("AfschrijftermijnVVE"&amp;12*$C30,Parameters!$A:$A,0))</f>
        <v>27.777777777777779</v>
      </c>
      <c r="AC30" s="204">
        <f>INDEX('Tarieven ZM'!$G:$G,$W30)</f>
        <v>1000</v>
      </c>
      <c r="AD30" s="198">
        <f>IF(E30="Standard Access in ZG BT gebieden",0,-INDEX(Parameters!$B:$B,MATCH(AD$3&amp;$C30,Parameters!$A:$A,0))*$AC30)</f>
        <v>0</v>
      </c>
      <c r="AE30" s="198">
        <f>IF(E30="Standard Access in ZG BT gebieden",0,-INDEX(Parameters!$B:$B,MATCH(AE$3,Parameters!$A:$A,0))*$AC30)</f>
        <v>0</v>
      </c>
      <c r="AF30" s="139">
        <f t="shared" si="50"/>
        <v>1000</v>
      </c>
      <c r="AG30" s="522">
        <f t="shared" si="51"/>
        <v>1027.7777777777778</v>
      </c>
      <c r="AH30" s="175"/>
      <c r="AI30" s="523">
        <f>IF(N30&lt;&gt;"nvt",MATCH($T30,'Tarieven W&amp;O'!$B:$B,0),"nvt")</f>
        <v>24</v>
      </c>
      <c r="AJ30" s="205">
        <f>IF(AI30&lt;&gt;"nvt",IF($D30="EoK",INDEX(Parameters!C:C,MATCH("NLSx EoK",Parameters!A:A,0)),INDEX('Tarieven W&amp;O'!$H:$H,$AI30)),0)*R30</f>
        <v>350</v>
      </c>
      <c r="AK30" s="204">
        <f>IF(AI30&lt;&gt;"nvt",INDEX('Tarieven W&amp;O'!$I:$I,$AI30),0)*R30</f>
        <v>75</v>
      </c>
      <c r="AL30" s="524">
        <f>IF(AI30&lt;&gt;"nvt",-INDEX(Parameters!$B:$B,MATCH(AL$3,Parameters!$A:$A,0))*(AJ30+AK30),0)</f>
        <v>0</v>
      </c>
      <c r="AM30" s="525"/>
      <c r="AN30" s="139">
        <f t="shared" si="52"/>
        <v>425</v>
      </c>
      <c r="AO30" s="205">
        <f>AN30/INDEX(Parameters!$B:$B,MATCH("AfschrijftermijnVVE"&amp;12*$C30,Parameters!$A:$A,0))</f>
        <v>11.805555555555555</v>
      </c>
      <c r="AP30" s="139">
        <f t="shared" si="65"/>
        <v>24</v>
      </c>
      <c r="AQ30" s="526">
        <f>IF(AP30&lt;&gt;"nvt",R30*INDEX('Tarieven W&amp;O'!$G:$G,$AP30),0)</f>
        <v>60.97</v>
      </c>
      <c r="AR30" s="524">
        <f>-INDEX(Parameters!$B:$B,MATCH(AR$3,Parameters!$A:$A,0))*(AQ30)</f>
        <v>0</v>
      </c>
      <c r="AS30" s="205">
        <f>IF(E30="straal access",'EDC Minus'!$H$192,IF(Q30&lt;&gt;"nvt",Q30*S30*'EDC Minus'!$H$292/590,0))</f>
        <v>0</v>
      </c>
      <c r="AT30" s="139"/>
      <c r="AU30" s="150">
        <f t="shared" si="53"/>
        <v>60.97</v>
      </c>
      <c r="AV30" s="150">
        <f t="shared" si="54"/>
        <v>72.775555555555556</v>
      </c>
      <c r="AX30" s="526">
        <f>Parameters!$B$6*AV30</f>
        <v>0.7277555555555556</v>
      </c>
      <c r="AY30" s="150">
        <v>0</v>
      </c>
      <c r="AZ30" s="150"/>
      <c r="BA30" s="150">
        <f t="shared" si="66"/>
        <v>0.7277555555555556</v>
      </c>
      <c r="BC30" s="522">
        <f t="shared" si="56"/>
        <v>73.503311111111117</v>
      </c>
      <c r="BD30" s="175"/>
      <c r="BE30" s="527">
        <f t="shared" si="67"/>
        <v>954.27446666666674</v>
      </c>
      <c r="BF30" s="181">
        <f t="shared" si="68"/>
        <v>0.92848326486486488</v>
      </c>
      <c r="BG30" s="520" t="b">
        <f t="shared" si="55"/>
        <v>0</v>
      </c>
      <c r="BI30" s="528" t="s">
        <v>2181</v>
      </c>
      <c r="BK30" s="151">
        <f>VLOOKUP(J30,'Tarieven ZM'!$B$136:$I$235,8,0)</f>
        <v>0</v>
      </c>
      <c r="BL30" s="151" t="str">
        <f>IF(M30="EoK",N30&amp;"AdvancedNLS type 1/2/3",IF(E30&lt;&gt;"Straal Access",INDEX(Mapping!J:J,MATCH(E30&amp;G30,Mapping!B:B,0)),E30))</f>
        <v>Copper Standard Access 5Mbit/sAdvancedNLS type 1/2/3</v>
      </c>
      <c r="BM30" s="184">
        <f>INDEX('inkoop ULL tbv EVPN'!J:J,MATCH($BL30,'inkoop ULL tbv EVPN'!$H:$H,0))</f>
        <v>78.97</v>
      </c>
      <c r="BN30" s="180">
        <f>BM30/INDEX(Parameters!$B:$B,MATCH("AfschrijftermijnVVE"&amp;12*$C30,Parameters!$A:$A,0))</f>
        <v>2.1936111111111112</v>
      </c>
      <c r="BO30" s="184">
        <f>INDEX('inkoop ULL tbv EVPN'!I:I,MATCH($BL30,'inkoop ULL tbv EVPN'!$H:$H,0))</f>
        <v>14.7296035</v>
      </c>
      <c r="BP30" s="184">
        <f t="shared" si="57"/>
        <v>16.92321461111111</v>
      </c>
      <c r="BR30" s="180">
        <f>Parameters!$B$12*AG30</f>
        <v>102.77777777777779</v>
      </c>
      <c r="BS30" s="180">
        <f>SUM(Distributievergoedingen!$F$12,Distributievergoedingen!$I$12,Distributievergoedingen!$L$12,Distributievergoedingen!$O$12)*AF30+SUM(Distributievergoedingen!$O$12*AA30+Distributievergoedingen!$R$12+Distributievergoedingen!$U$12+Distributievergoedingen!$X$12)/(MAX(36,12*C30))</f>
        <v>112.77777777777777</v>
      </c>
      <c r="BT30" s="150"/>
      <c r="BU30" s="150">
        <f t="shared" si="58"/>
        <v>215.55555555555554</v>
      </c>
      <c r="BW30" s="522">
        <f t="shared" si="59"/>
        <v>232.47877016666666</v>
      </c>
      <c r="BY30" s="527">
        <f t="shared" si="60"/>
        <v>795.29900761111116</v>
      </c>
      <c r="BZ30" s="181">
        <f t="shared" si="61"/>
        <v>0.77380443983783787</v>
      </c>
      <c r="CA30" s="520" t="b">
        <f t="shared" si="62"/>
        <v>0</v>
      </c>
    </row>
    <row r="31" spans="1:79" s="151" customFormat="1">
      <c r="A31" s="151" t="str">
        <f t="shared" si="63"/>
        <v>1EoKStandard Access koper 10mbMiddel&lt; 250 meter</v>
      </c>
      <c r="B31" s="151" t="str">
        <f t="shared" si="46"/>
        <v>1EoKStandard Access koper 10mbMiddel&lt; 250 meter</v>
      </c>
      <c r="C31" s="178">
        <v>1</v>
      </c>
      <c r="D31" s="415" t="s">
        <v>303</v>
      </c>
      <c r="E31" s="178" t="s">
        <v>277</v>
      </c>
      <c r="F31" s="107" t="s">
        <v>280</v>
      </c>
      <c r="G31" s="178" t="s">
        <v>3397</v>
      </c>
      <c r="I31" s="178"/>
      <c r="J31" s="520" t="str">
        <f t="shared" si="64"/>
        <v>EoKStandard Access koper 10mbMiddel&lt; 250 meter</v>
      </c>
      <c r="L31" s="204">
        <f>INDEX(Mapping!$H:$H,MATCH(C$3&amp;C31,Mapping!$B:$B,0))</f>
        <v>1</v>
      </c>
      <c r="M31" s="204" t="str">
        <f>INDEX(Mapping!$H:$H,MATCH(D$3&amp;D31,Mapping!$B:$B,0))</f>
        <v>EoK</v>
      </c>
      <c r="N31" s="204" t="str">
        <f>INDEX(Mapping!$H:$H,MATCH(E$3&amp;E31,Mapping!$B:$B,0))</f>
        <v>Copper Standard Access 10Mbit/s</v>
      </c>
      <c r="O31" s="204" t="str">
        <f>INDEX(Mapping!$H:$H,MATCH(E31&amp;F31,Mapping!$B:$B,0))</f>
        <v/>
      </c>
      <c r="P31" s="204" t="str">
        <f>INDEX(Mapping!$H:$H,MATCH($E31&amp;$G31,Mapping!$B:$B,0))</f>
        <v>Nearnet</v>
      </c>
      <c r="Q31" s="204" t="str">
        <f>INDEX(Mapping!$H:$H,MATCH($E31&amp;$G31&amp;"graafafstand",Mapping!$B:$B,0))</f>
        <v>nvt</v>
      </c>
      <c r="R31" s="204">
        <f>INDEX(Mapping!$H:$H,MATCH(R$3&amp;$E31,Mapping!$B:$B,0))</f>
        <v>1</v>
      </c>
      <c r="S31" s="204">
        <f>INDEX(Mapping!$H:$H,MATCH(S$3&amp;$E31,Mapping!$B:$B,0))</f>
        <v>1</v>
      </c>
      <c r="T31" s="139" t="str">
        <f t="shared" si="47"/>
        <v>Copper Standard Access 10Mbit/sNearnet</v>
      </c>
      <c r="U31" s="151" t="str">
        <f t="shared" si="48"/>
        <v>Copper Standard Access 10Mbit/sNearnet</v>
      </c>
      <c r="W31" s="521">
        <f>MATCH($J31,'Tarieven ZM'!$B:$B,0)</f>
        <v>168</v>
      </c>
      <c r="X31" s="204">
        <f>INDEX('Tarieven ZM'!$H:$H,$W31)</f>
        <v>1000</v>
      </c>
      <c r="Y31" s="198">
        <f>IF(E31="Standard Access in ZG BT gebieden",0,-INDEX(Parameters!$B:$B,MATCH(Y$3&amp;$C31,Parameters!$A:$A,0))*$X31)</f>
        <v>0</v>
      </c>
      <c r="Z31" s="198">
        <f>IF(E31="Standard Access in ZG BT gebieden",0,MAX(-INDEX(Parameters!$B:$B,MATCH(Z$3&amp;$C31,Parameters!$A:$A,0))*$X31,-INDEX(Parameters!$B:$B,MATCH("FactorMaxSalesMandaat"&amp;E31,Parameters!$A:$A,0))*INDEX(Parameters!$B:$B,MATCH("MaxSalesMandaatAccessVVE"&amp;$C31,Parameters!$A:$A,0))))</f>
        <v>0</v>
      </c>
      <c r="AA31" s="139">
        <f t="shared" si="49"/>
        <v>1000</v>
      </c>
      <c r="AB31" s="205">
        <f>AA31/INDEX(Parameters!$B:$B,MATCH("AfschrijftermijnVVE"&amp;12*$C31,Parameters!$A:$A,0))</f>
        <v>27.777777777777779</v>
      </c>
      <c r="AC31" s="204">
        <f>INDEX('Tarieven ZM'!$G:$G,$W31)</f>
        <v>1000</v>
      </c>
      <c r="AD31" s="198">
        <f>IF(E31="Standard Access in ZG BT gebieden",0,-INDEX(Parameters!$B:$B,MATCH(AD$3&amp;$C31,Parameters!$A:$A,0))*$AC31)</f>
        <v>0</v>
      </c>
      <c r="AE31" s="198">
        <f>IF(E31="Standard Access in ZG BT gebieden",0,-INDEX(Parameters!$B:$B,MATCH(AE$3,Parameters!$A:$A,0))*$AC31)</f>
        <v>0</v>
      </c>
      <c r="AF31" s="139">
        <f t="shared" si="50"/>
        <v>1000</v>
      </c>
      <c r="AG31" s="522">
        <f t="shared" si="51"/>
        <v>1027.7777777777778</v>
      </c>
      <c r="AH31" s="175"/>
      <c r="AI31" s="523">
        <f>IF(N31&lt;&gt;"nvt",MATCH($T31,'Tarieven W&amp;O'!$B:$B,0),"nvt")</f>
        <v>25</v>
      </c>
      <c r="AJ31" s="205">
        <f>IF(AI31&lt;&gt;"nvt",IF($D31="EoK",INDEX(Parameters!C:C,MATCH("NLSx EoK",Parameters!A:A,0)),INDEX('Tarieven W&amp;O'!$H:$H,$AI31)),0)*R31</f>
        <v>350</v>
      </c>
      <c r="AK31" s="204">
        <f>IF(AI31&lt;&gt;"nvt",INDEX('Tarieven W&amp;O'!$I:$I,$AI31),0)*R31</f>
        <v>75</v>
      </c>
      <c r="AL31" s="524">
        <f>IF(AI31&lt;&gt;"nvt",-INDEX(Parameters!$B:$B,MATCH(AL$3,Parameters!$A:$A,0))*(AJ31+AK31),0)</f>
        <v>0</v>
      </c>
      <c r="AM31" s="525"/>
      <c r="AN31" s="139">
        <f t="shared" si="52"/>
        <v>425</v>
      </c>
      <c r="AO31" s="205">
        <f>AN31/INDEX(Parameters!$B:$B,MATCH("AfschrijftermijnVVE"&amp;12*$C31,Parameters!$A:$A,0))</f>
        <v>11.805555555555555</v>
      </c>
      <c r="AP31" s="139">
        <f t="shared" si="65"/>
        <v>25</v>
      </c>
      <c r="AQ31" s="526">
        <f>IF(AP31&lt;&gt;"nvt",R31*INDEX('Tarieven W&amp;O'!$G:$G,$AP31),0)</f>
        <v>83.59</v>
      </c>
      <c r="AR31" s="524">
        <f>-INDEX(Parameters!$B:$B,MATCH(AR$3,Parameters!$A:$A,0))*(AQ31)</f>
        <v>0</v>
      </c>
      <c r="AS31" s="205">
        <f>IF(E31="straal access",'EDC Minus'!$H$192,IF(Q31&lt;&gt;"nvt",Q31*S31*'EDC Minus'!$H$292/590,0))</f>
        <v>0</v>
      </c>
      <c r="AT31" s="139"/>
      <c r="AU31" s="150">
        <f t="shared" si="53"/>
        <v>83.59</v>
      </c>
      <c r="AV31" s="150">
        <f t="shared" si="54"/>
        <v>95.395555555555561</v>
      </c>
      <c r="AX31" s="526">
        <f>Parameters!$B$6*AV31</f>
        <v>0.95395555555555567</v>
      </c>
      <c r="AY31" s="150">
        <v>0</v>
      </c>
      <c r="AZ31" s="150"/>
      <c r="BA31" s="150">
        <f t="shared" si="66"/>
        <v>0.95395555555555567</v>
      </c>
      <c r="BC31" s="522">
        <f t="shared" si="56"/>
        <v>96.349511111111113</v>
      </c>
      <c r="BD31" s="175"/>
      <c r="BE31" s="527">
        <f t="shared" si="67"/>
        <v>931.42826666666667</v>
      </c>
      <c r="BF31" s="181">
        <f t="shared" si="68"/>
        <v>0.90625452972972964</v>
      </c>
      <c r="BG31" s="520" t="b">
        <f t="shared" si="55"/>
        <v>0</v>
      </c>
      <c r="BI31" s="528" t="s">
        <v>2181</v>
      </c>
      <c r="BK31" s="151">
        <f>VLOOKUP(J31,'Tarieven ZM'!$B$136:$I$235,8,0)</f>
        <v>0</v>
      </c>
      <c r="BL31" s="151" t="str">
        <f>IF(M31="EoK",N31&amp;"AdvancedNLS type 1/2/3",IF(E31&lt;&gt;"Straal Access",INDEX(Mapping!J:J,MATCH(E31&amp;G31,Mapping!B:B,0)),E31))</f>
        <v>Copper Standard Access 10Mbit/sAdvancedNLS type 1/2/3</v>
      </c>
      <c r="BM31" s="184">
        <f>INDEX('inkoop ULL tbv EVPN'!J:J,MATCH($BL31,'inkoop ULL tbv EVPN'!$H:$H,0))</f>
        <v>78.97</v>
      </c>
      <c r="BN31" s="180">
        <f>BM31/INDEX(Parameters!$B:$B,MATCH("AfschrijftermijnVVE"&amp;12*$C31,Parameters!$A:$A,0))</f>
        <v>2.1936111111111112</v>
      </c>
      <c r="BO31" s="184">
        <f>INDEX('inkoop ULL tbv EVPN'!I:I,MATCH($BL31,'inkoop ULL tbv EVPN'!$H:$H,0))</f>
        <v>14.7296035</v>
      </c>
      <c r="BP31" s="184">
        <f t="shared" si="57"/>
        <v>16.92321461111111</v>
      </c>
      <c r="BR31" s="180">
        <f>Parameters!$B$12*AG31</f>
        <v>102.77777777777779</v>
      </c>
      <c r="BS31" s="180">
        <f>SUM(Distributievergoedingen!$F$12,Distributievergoedingen!$I$12,Distributievergoedingen!$L$12,Distributievergoedingen!$O$12)*AF31+SUM(Distributievergoedingen!$O$12*AA31+Distributievergoedingen!$R$12+Distributievergoedingen!$U$12+Distributievergoedingen!$X$12)/(MAX(36,12*C31))</f>
        <v>112.77777777777777</v>
      </c>
      <c r="BT31" s="150"/>
      <c r="BU31" s="150">
        <f t="shared" si="58"/>
        <v>215.55555555555554</v>
      </c>
      <c r="BW31" s="522">
        <f t="shared" si="59"/>
        <v>232.47877016666666</v>
      </c>
      <c r="BY31" s="527">
        <f t="shared" si="60"/>
        <v>795.29900761111116</v>
      </c>
      <c r="BZ31" s="181">
        <f t="shared" si="61"/>
        <v>0.77380443983783787</v>
      </c>
      <c r="CA31" s="520" t="b">
        <f t="shared" si="62"/>
        <v>0</v>
      </c>
    </row>
    <row r="32" spans="1:79" s="151" customFormat="1">
      <c r="A32" s="151" t="str">
        <f t="shared" si="63"/>
        <v>1EoKStandard Access koper 15mbMiddel&lt; 250 meter</v>
      </c>
      <c r="B32" s="151" t="str">
        <f t="shared" si="46"/>
        <v>1EoKStandard Access koper 15mbMiddel&lt; 250 meter</v>
      </c>
      <c r="C32" s="178">
        <v>1</v>
      </c>
      <c r="D32" s="415" t="s">
        <v>303</v>
      </c>
      <c r="E32" s="178" t="s">
        <v>278</v>
      </c>
      <c r="F32" s="107" t="s">
        <v>280</v>
      </c>
      <c r="G32" s="178" t="s">
        <v>3397</v>
      </c>
      <c r="I32" s="178"/>
      <c r="J32" s="520" t="str">
        <f t="shared" si="64"/>
        <v>EoKStandard Access koper 15mbMiddel&lt; 250 meter</v>
      </c>
      <c r="L32" s="204">
        <f>INDEX(Mapping!$H:$H,MATCH(C$3&amp;C32,Mapping!$B:$B,0))</f>
        <v>1</v>
      </c>
      <c r="M32" s="204" t="str">
        <f>INDEX(Mapping!$H:$H,MATCH(D$3&amp;D32,Mapping!$B:$B,0))</f>
        <v>EoK</v>
      </c>
      <c r="N32" s="204" t="str">
        <f>INDEX(Mapping!$H:$H,MATCH(E$3&amp;E32,Mapping!$B:$B,0))</f>
        <v>Copper Standard Access 15Mbit/s</v>
      </c>
      <c r="O32" s="204" t="str">
        <f>INDEX(Mapping!$H:$H,MATCH(E32&amp;F32,Mapping!$B:$B,0))</f>
        <v/>
      </c>
      <c r="P32" s="204" t="str">
        <f>INDEX(Mapping!$H:$H,MATCH($E32&amp;$G32,Mapping!$B:$B,0))</f>
        <v>Nearnet</v>
      </c>
      <c r="Q32" s="204" t="str">
        <f>INDEX(Mapping!$H:$H,MATCH($E32&amp;$G32&amp;"graafafstand",Mapping!$B:$B,0))</f>
        <v>nvt</v>
      </c>
      <c r="R32" s="204">
        <f>INDEX(Mapping!$H:$H,MATCH(R$3&amp;$E32,Mapping!$B:$B,0))</f>
        <v>1</v>
      </c>
      <c r="S32" s="204">
        <f>INDEX(Mapping!$H:$H,MATCH(S$3&amp;$E32,Mapping!$B:$B,0))</f>
        <v>1</v>
      </c>
      <c r="T32" s="139" t="str">
        <f t="shared" si="47"/>
        <v>Copper Standard Access 15Mbit/sNearnet</v>
      </c>
      <c r="U32" s="151" t="str">
        <f t="shared" si="48"/>
        <v>Copper Standard Access 15Mbit/sNearnet</v>
      </c>
      <c r="W32" s="521">
        <f>MATCH($J32,'Tarieven ZM'!$B:$B,0)</f>
        <v>169</v>
      </c>
      <c r="X32" s="204">
        <f>INDEX('Tarieven ZM'!$H:$H,$W32)</f>
        <v>1000</v>
      </c>
      <c r="Y32" s="198">
        <f>IF(E32="Standard Access in ZG BT gebieden",0,-INDEX(Parameters!$B:$B,MATCH(Y$3&amp;$C32,Parameters!$A:$A,0))*$X32)</f>
        <v>0</v>
      </c>
      <c r="Z32" s="198">
        <f>IF(E32="Standard Access in ZG BT gebieden",0,MAX(-INDEX(Parameters!$B:$B,MATCH(Z$3&amp;$C32,Parameters!$A:$A,0))*$X32,-INDEX(Parameters!$B:$B,MATCH("FactorMaxSalesMandaat"&amp;E32,Parameters!$A:$A,0))*INDEX(Parameters!$B:$B,MATCH("MaxSalesMandaatAccessVVE"&amp;$C32,Parameters!$A:$A,0))))</f>
        <v>0</v>
      </c>
      <c r="AA32" s="139">
        <f t="shared" si="49"/>
        <v>1000</v>
      </c>
      <c r="AB32" s="205">
        <f>AA32/INDEX(Parameters!$B:$B,MATCH("AfschrijftermijnVVE"&amp;12*$C32,Parameters!$A:$A,0))</f>
        <v>27.777777777777779</v>
      </c>
      <c r="AC32" s="204">
        <f>INDEX('Tarieven ZM'!$G:$G,$W32)</f>
        <v>1000</v>
      </c>
      <c r="AD32" s="198">
        <f>IF(E32="Standard Access in ZG BT gebieden",0,-INDEX(Parameters!$B:$B,MATCH(AD$3&amp;$C32,Parameters!$A:$A,0))*$AC32)</f>
        <v>0</v>
      </c>
      <c r="AE32" s="198">
        <f>IF(E32="Standard Access in ZG BT gebieden",0,-INDEX(Parameters!$B:$B,MATCH(AE$3,Parameters!$A:$A,0))*$AC32)</f>
        <v>0</v>
      </c>
      <c r="AF32" s="139">
        <f t="shared" si="50"/>
        <v>1000</v>
      </c>
      <c r="AG32" s="522">
        <f t="shared" si="51"/>
        <v>1027.7777777777778</v>
      </c>
      <c r="AH32" s="175"/>
      <c r="AI32" s="523">
        <f>IF(N32&lt;&gt;"nvt",MATCH($T32,'Tarieven W&amp;O'!$B:$B,0),"nvt")</f>
        <v>26</v>
      </c>
      <c r="AJ32" s="205">
        <f>IF(AI32&lt;&gt;"nvt",IF($D32="EoK",INDEX(Parameters!C:C,MATCH("NLSx EoK",Parameters!A:A,0)),INDEX('Tarieven W&amp;O'!$H:$H,$AI32)),0)*R32</f>
        <v>350</v>
      </c>
      <c r="AK32" s="204">
        <f>IF(AI32&lt;&gt;"nvt",INDEX('Tarieven W&amp;O'!$I:$I,$AI32),0)*R32</f>
        <v>75</v>
      </c>
      <c r="AL32" s="524">
        <f>IF(AI32&lt;&gt;"nvt",-INDEX(Parameters!$B:$B,MATCH(AL$3,Parameters!$A:$A,0))*(AJ32+AK32),0)</f>
        <v>0</v>
      </c>
      <c r="AM32" s="525"/>
      <c r="AN32" s="139">
        <f t="shared" si="52"/>
        <v>425</v>
      </c>
      <c r="AO32" s="205">
        <f>AN32/INDEX(Parameters!$B:$B,MATCH("AfschrijftermijnVVE"&amp;12*$C32,Parameters!$A:$A,0))</f>
        <v>11.805555555555555</v>
      </c>
      <c r="AP32" s="139">
        <f t="shared" si="65"/>
        <v>26</v>
      </c>
      <c r="AQ32" s="526">
        <f>IF(AP32&lt;&gt;"nvt",R32*INDEX('Tarieven W&amp;O'!$G:$G,$AP32),0)</f>
        <v>102.44</v>
      </c>
      <c r="AR32" s="524">
        <f>-INDEX(Parameters!$B:$B,MATCH(AR$3,Parameters!$A:$A,0))*(AQ32)</f>
        <v>0</v>
      </c>
      <c r="AS32" s="205">
        <f>IF(E32="straal access",'EDC Minus'!$H$192,IF(Q32&lt;&gt;"nvt",Q32*S32*'EDC Minus'!$H$292/590,0))</f>
        <v>0</v>
      </c>
      <c r="AT32" s="139"/>
      <c r="AU32" s="150">
        <f t="shared" si="53"/>
        <v>102.44</v>
      </c>
      <c r="AV32" s="150">
        <f t="shared" si="54"/>
        <v>114.24555555555555</v>
      </c>
      <c r="AX32" s="526">
        <f>Parameters!$B$6*AV32</f>
        <v>1.1424555555555556</v>
      </c>
      <c r="AY32" s="150">
        <v>0</v>
      </c>
      <c r="AZ32" s="150"/>
      <c r="BA32" s="150">
        <f t="shared" si="66"/>
        <v>1.1424555555555556</v>
      </c>
      <c r="BC32" s="522">
        <f t="shared" si="56"/>
        <v>115.38801111111111</v>
      </c>
      <c r="BD32" s="175"/>
      <c r="BE32" s="527">
        <f t="shared" si="67"/>
        <v>912.38976666666667</v>
      </c>
      <c r="BF32" s="181">
        <f t="shared" si="68"/>
        <v>0.88773058378378378</v>
      </c>
      <c r="BG32" s="520" t="b">
        <f t="shared" si="55"/>
        <v>0</v>
      </c>
      <c r="BI32" s="528" t="s">
        <v>2181</v>
      </c>
      <c r="BK32" s="151">
        <f>VLOOKUP(J32,'Tarieven ZM'!$B$136:$I$235,8,0)</f>
        <v>0</v>
      </c>
      <c r="BL32" s="151" t="str">
        <f>IF(M32="EoK",N32&amp;"AdvancedNLS type 1/2/3",IF(E32&lt;&gt;"Straal Access",INDEX(Mapping!J:J,MATCH(E32&amp;G32,Mapping!B:B,0)),E32))</f>
        <v>Copper Standard Access 15Mbit/sAdvancedNLS type 1/2/3</v>
      </c>
      <c r="BM32" s="184">
        <f>INDEX('inkoop ULL tbv EVPN'!J:J,MATCH($BL32,'inkoop ULL tbv EVPN'!$H:$H,0))</f>
        <v>78.97</v>
      </c>
      <c r="BN32" s="180">
        <f>BM32/INDEX(Parameters!$B:$B,MATCH("AfschrijftermijnVVE"&amp;12*$C32,Parameters!$A:$A,0))</f>
        <v>2.1936111111111112</v>
      </c>
      <c r="BO32" s="184">
        <f>INDEX('inkoop ULL tbv EVPN'!I:I,MATCH($BL32,'inkoop ULL tbv EVPN'!$H:$H,0))</f>
        <v>14.7296035</v>
      </c>
      <c r="BP32" s="184">
        <f t="shared" si="57"/>
        <v>16.92321461111111</v>
      </c>
      <c r="BR32" s="180">
        <f>Parameters!$B$12*AG32</f>
        <v>102.77777777777779</v>
      </c>
      <c r="BS32" s="180">
        <f>SUM(Distributievergoedingen!$F$12,Distributievergoedingen!$I$12,Distributievergoedingen!$L$12,Distributievergoedingen!$O$12)*AF32+SUM(Distributievergoedingen!$O$12*AA32+Distributievergoedingen!$R$12+Distributievergoedingen!$U$12+Distributievergoedingen!$X$12)/(MAX(36,12*C32))</f>
        <v>112.77777777777777</v>
      </c>
      <c r="BT32" s="150"/>
      <c r="BU32" s="150">
        <f t="shared" si="58"/>
        <v>215.55555555555554</v>
      </c>
      <c r="BW32" s="522">
        <f t="shared" si="59"/>
        <v>232.47877016666666</v>
      </c>
      <c r="BY32" s="527">
        <f t="shared" si="60"/>
        <v>795.29900761111116</v>
      </c>
      <c r="BZ32" s="181">
        <f t="shared" si="61"/>
        <v>0.77380443983783787</v>
      </c>
      <c r="CA32" s="520" t="b">
        <f t="shared" si="62"/>
        <v>0</v>
      </c>
    </row>
    <row r="33" spans="1:79" s="151" customFormat="1">
      <c r="A33" s="151" t="str">
        <f t="shared" si="63"/>
        <v>1EoKStandard Access koper 20mbMiddel&lt; 250 meter</v>
      </c>
      <c r="B33" s="151" t="str">
        <f t="shared" si="46"/>
        <v>1EoKStandard Access koper 20mbMiddel&lt; 250 meter</v>
      </c>
      <c r="C33" s="178">
        <v>1</v>
      </c>
      <c r="D33" s="415" t="s">
        <v>303</v>
      </c>
      <c r="E33" s="178" t="s">
        <v>279</v>
      </c>
      <c r="F33" s="107" t="s">
        <v>280</v>
      </c>
      <c r="G33" s="178" t="s">
        <v>3397</v>
      </c>
      <c r="I33" s="178"/>
      <c r="J33" s="520" t="str">
        <f t="shared" si="64"/>
        <v>EoKStandard Access koper 20mbMiddel&lt; 250 meter</v>
      </c>
      <c r="L33" s="204">
        <f>INDEX(Mapping!$H:$H,MATCH(C$3&amp;C33,Mapping!$B:$B,0))</f>
        <v>1</v>
      </c>
      <c r="M33" s="204" t="str">
        <f>INDEX(Mapping!$H:$H,MATCH(D$3&amp;D33,Mapping!$B:$B,0))</f>
        <v>EoK</v>
      </c>
      <c r="N33" s="204" t="str">
        <f>INDEX(Mapping!$H:$H,MATCH(E$3&amp;E33,Mapping!$B:$B,0))</f>
        <v>Copper Standard Access 20Mbit/s</v>
      </c>
      <c r="O33" s="204" t="str">
        <f>INDEX(Mapping!$H:$H,MATCH(E33&amp;F33,Mapping!$B:$B,0))</f>
        <v/>
      </c>
      <c r="P33" s="204" t="str">
        <f>INDEX(Mapping!$H:$H,MATCH($E33&amp;$G33,Mapping!$B:$B,0))</f>
        <v>Nearnet</v>
      </c>
      <c r="Q33" s="204" t="str">
        <f>INDEX(Mapping!$H:$H,MATCH($E33&amp;$G33&amp;"graafafstand",Mapping!$B:$B,0))</f>
        <v>nvt</v>
      </c>
      <c r="R33" s="204">
        <f>INDEX(Mapping!$H:$H,MATCH(R$3&amp;$E33,Mapping!$B:$B,0))</f>
        <v>1</v>
      </c>
      <c r="S33" s="204">
        <f>INDEX(Mapping!$H:$H,MATCH(S$3&amp;$E33,Mapping!$B:$B,0))</f>
        <v>1</v>
      </c>
      <c r="T33" s="139" t="str">
        <f t="shared" si="47"/>
        <v>Copper Standard Access 20Mbit/sNearnet</v>
      </c>
      <c r="U33" s="151" t="str">
        <f t="shared" si="48"/>
        <v>Copper Standard Access 20Mbit/sNearnet</v>
      </c>
      <c r="W33" s="521">
        <f>MATCH($J33,'Tarieven ZM'!$B:$B,0)</f>
        <v>170</v>
      </c>
      <c r="X33" s="204">
        <f>INDEX('Tarieven ZM'!$H:$H,$W33)</f>
        <v>1000</v>
      </c>
      <c r="Y33" s="198">
        <f>IF(E33="Standard Access in ZG BT gebieden",0,-INDEX(Parameters!$B:$B,MATCH(Y$3&amp;$C33,Parameters!$A:$A,0))*$X33)</f>
        <v>0</v>
      </c>
      <c r="Z33" s="198">
        <f>IF(E33="Standard Access in ZG BT gebieden",0,MAX(-INDEX(Parameters!$B:$B,MATCH(Z$3&amp;$C33,Parameters!$A:$A,0))*$X33,-INDEX(Parameters!$B:$B,MATCH("FactorMaxSalesMandaat"&amp;E33,Parameters!$A:$A,0))*INDEX(Parameters!$B:$B,MATCH("MaxSalesMandaatAccessVVE"&amp;$C33,Parameters!$A:$A,0))))</f>
        <v>0</v>
      </c>
      <c r="AA33" s="139">
        <f t="shared" si="49"/>
        <v>1000</v>
      </c>
      <c r="AB33" s="205">
        <f>AA33/INDEX(Parameters!$B:$B,MATCH("AfschrijftermijnVVE"&amp;12*$C33,Parameters!$A:$A,0))</f>
        <v>27.777777777777779</v>
      </c>
      <c r="AC33" s="204">
        <f>INDEX('Tarieven ZM'!$G:$G,$W33)</f>
        <v>1000</v>
      </c>
      <c r="AD33" s="198">
        <f>IF(E33="Standard Access in ZG BT gebieden",0,-INDEX(Parameters!$B:$B,MATCH(AD$3&amp;$C33,Parameters!$A:$A,0))*$AC33)</f>
        <v>0</v>
      </c>
      <c r="AE33" s="198">
        <f>IF(E33="Standard Access in ZG BT gebieden",0,-INDEX(Parameters!$B:$B,MATCH(AE$3,Parameters!$A:$A,0))*$AC33)</f>
        <v>0</v>
      </c>
      <c r="AF33" s="139">
        <f t="shared" si="50"/>
        <v>1000</v>
      </c>
      <c r="AG33" s="522">
        <f t="shared" si="51"/>
        <v>1027.7777777777778</v>
      </c>
      <c r="AH33" s="175"/>
      <c r="AI33" s="523">
        <f>IF(N33&lt;&gt;"nvt",MATCH($T33,'Tarieven W&amp;O'!$B:$B,0),"nvt")</f>
        <v>27</v>
      </c>
      <c r="AJ33" s="205">
        <f>IF(AI33&lt;&gt;"nvt",IF($D33="EoK",INDEX(Parameters!C:C,MATCH("NLSx EoK",Parameters!A:A,0)),INDEX('Tarieven W&amp;O'!$H:$H,$AI33)),0)*R33</f>
        <v>350</v>
      </c>
      <c r="AK33" s="204">
        <f>IF(AI33&lt;&gt;"nvt",INDEX('Tarieven W&amp;O'!$I:$I,$AI33),0)*R33</f>
        <v>75</v>
      </c>
      <c r="AL33" s="524">
        <f>IF(AI33&lt;&gt;"nvt",-INDEX(Parameters!$B:$B,MATCH(AL$3,Parameters!$A:$A,0))*(AJ33+AK33),0)</f>
        <v>0</v>
      </c>
      <c r="AM33" s="525"/>
      <c r="AN33" s="139">
        <f t="shared" si="52"/>
        <v>425</v>
      </c>
      <c r="AO33" s="205">
        <f>AN33/INDEX(Parameters!$B:$B,MATCH("AfschrijftermijnVVE"&amp;12*$C33,Parameters!$A:$A,0))</f>
        <v>11.805555555555555</v>
      </c>
      <c r="AP33" s="139">
        <f t="shared" si="65"/>
        <v>27</v>
      </c>
      <c r="AQ33" s="526">
        <f>IF(AP33&lt;&gt;"nvt",R33*INDEX('Tarieven W&amp;O'!$G:$G,$AP33),0)</f>
        <v>121.28</v>
      </c>
      <c r="AR33" s="524">
        <f>-INDEX(Parameters!$B:$B,MATCH(AR$3,Parameters!$A:$A,0))*(AQ33)</f>
        <v>0</v>
      </c>
      <c r="AS33" s="205">
        <f>IF(E33="straal access",'EDC Minus'!$H$192,IF(Q33&lt;&gt;"nvt",Q33*S33*'EDC Minus'!$H$292/590,0))</f>
        <v>0</v>
      </c>
      <c r="AT33" s="139"/>
      <c r="AU33" s="150">
        <f t="shared" si="53"/>
        <v>121.28</v>
      </c>
      <c r="AV33" s="150">
        <f t="shared" si="54"/>
        <v>133.08555555555554</v>
      </c>
      <c r="AX33" s="526">
        <f>Parameters!$B$6*AV33</f>
        <v>1.3308555555555555</v>
      </c>
      <c r="AY33" s="150">
        <v>0</v>
      </c>
      <c r="AZ33" s="150"/>
      <c r="BA33" s="150">
        <f t="shared" si="66"/>
        <v>1.3308555555555555</v>
      </c>
      <c r="BC33" s="522">
        <f t="shared" si="56"/>
        <v>134.4164111111111</v>
      </c>
      <c r="BD33" s="175"/>
      <c r="BE33" s="527">
        <f t="shared" si="67"/>
        <v>893.36136666666675</v>
      </c>
      <c r="BF33" s="181">
        <f t="shared" si="68"/>
        <v>0.86921646486486492</v>
      </c>
      <c r="BG33" s="520" t="b">
        <f t="shared" si="55"/>
        <v>0</v>
      </c>
      <c r="BI33" s="528" t="s">
        <v>2181</v>
      </c>
      <c r="BK33" s="151">
        <f>VLOOKUP(J33,'Tarieven ZM'!$B$136:$I$235,8,0)</f>
        <v>0</v>
      </c>
      <c r="BL33" s="151" t="str">
        <f>IF(M33="EoK",N33&amp;"AdvancedNLS type 1/2/3",IF(E33&lt;&gt;"Straal Access",INDEX(Mapping!J:J,MATCH(E33&amp;G33,Mapping!B:B,0)),E33))</f>
        <v>Copper Standard Access 20Mbit/sAdvancedNLS type 1/2/3</v>
      </c>
      <c r="BM33" s="184">
        <f>INDEX('inkoop ULL tbv EVPN'!J:J,MATCH($BL33,'inkoop ULL tbv EVPN'!$H:$H,0))</f>
        <v>78.97</v>
      </c>
      <c r="BN33" s="180">
        <f>BM33/INDEX(Parameters!$B:$B,MATCH("AfschrijftermijnVVE"&amp;12*$C33,Parameters!$A:$A,0))</f>
        <v>2.1936111111111112</v>
      </c>
      <c r="BO33" s="184">
        <f>INDEX('inkoop ULL tbv EVPN'!I:I,MATCH($BL33,'inkoop ULL tbv EVPN'!$H:$H,0))</f>
        <v>14.7296035</v>
      </c>
      <c r="BP33" s="184">
        <f t="shared" si="57"/>
        <v>16.92321461111111</v>
      </c>
      <c r="BR33" s="180">
        <f>Parameters!$B$12*AG33</f>
        <v>102.77777777777779</v>
      </c>
      <c r="BS33" s="180">
        <f>SUM(Distributievergoedingen!$F$12,Distributievergoedingen!$I$12,Distributievergoedingen!$L$12,Distributievergoedingen!$O$12)*AF33+SUM(Distributievergoedingen!$O$12*AA33+Distributievergoedingen!$R$12+Distributievergoedingen!$U$12+Distributievergoedingen!$X$12)/(MAX(36,12*C33))</f>
        <v>112.77777777777777</v>
      </c>
      <c r="BT33" s="150"/>
      <c r="BU33" s="150">
        <f t="shared" si="58"/>
        <v>215.55555555555554</v>
      </c>
      <c r="BW33" s="522">
        <f t="shared" si="59"/>
        <v>232.47877016666666</v>
      </c>
      <c r="BY33" s="527">
        <f t="shared" si="60"/>
        <v>795.29900761111116</v>
      </c>
      <c r="BZ33" s="181">
        <f t="shared" si="61"/>
        <v>0.77380443983783787</v>
      </c>
      <c r="CA33" s="520" t="b">
        <f t="shared" si="62"/>
        <v>0</v>
      </c>
    </row>
    <row r="34" spans="1:79" s="151" customFormat="1">
      <c r="A34" s="151" t="str">
        <f t="shared" si="63"/>
        <v>1EoKStandard Access koper 3mbLaagOn-net (NLS1, 2)</v>
      </c>
      <c r="B34" s="151" t="str">
        <f t="shared" ref="B34:B43" si="69">A34</f>
        <v>1EoKStandard Access koper 3mbLaagOn-net (NLS1, 2)</v>
      </c>
      <c r="C34" s="178">
        <v>1</v>
      </c>
      <c r="D34" s="415" t="s">
        <v>303</v>
      </c>
      <c r="E34" s="178" t="s">
        <v>268</v>
      </c>
      <c r="F34" s="107" t="s">
        <v>275</v>
      </c>
      <c r="G34" s="178" t="s">
        <v>281</v>
      </c>
      <c r="I34" s="178"/>
      <c r="J34" s="520" t="str">
        <f t="shared" si="64"/>
        <v>EoKStandard Access koper 3mbLaagOn-net (NLS1, 2)</v>
      </c>
      <c r="L34" s="204">
        <f>INDEX(Mapping!$H:$H,MATCH(C$3&amp;C34,Mapping!$B:$B,0))</f>
        <v>1</v>
      </c>
      <c r="M34" s="204" t="str">
        <f>INDEX(Mapping!$H:$H,MATCH(D$3&amp;D34,Mapping!$B:$B,0))</f>
        <v>EoK</v>
      </c>
      <c r="N34" s="204" t="str">
        <f>INDEX(Mapping!$H:$H,MATCH(E$3&amp;E34,Mapping!$B:$B,0))</f>
        <v>Copper Standard Access 3Mbit/s</v>
      </c>
      <c r="O34" s="204" t="str">
        <f>INDEX(Mapping!$H:$H,MATCH(E34&amp;F34,Mapping!$B:$B,0))</f>
        <v/>
      </c>
      <c r="P34" s="204" t="str">
        <f>INDEX(Mapping!$H:$H,MATCH($E34&amp;$G34,Mapping!$B:$B,0))</f>
        <v>On-net (NLS1, 2)</v>
      </c>
      <c r="Q34" s="204">
        <f>INDEX(Mapping!$H:$H,MATCH($E34&amp;$G34&amp;"graafafstand",Mapping!$B:$B,0))</f>
        <v>0</v>
      </c>
      <c r="R34" s="204">
        <f>INDEX(Mapping!$H:$H,MATCH(R$3&amp;$E34,Mapping!$B:$B,0))</f>
        <v>1</v>
      </c>
      <c r="S34" s="204">
        <f>INDEX(Mapping!$H:$H,MATCH(S$3&amp;$E34,Mapping!$B:$B,0))</f>
        <v>1</v>
      </c>
      <c r="T34" s="139" t="str">
        <f t="shared" ref="T34:T43" si="70">N34&amp;O34&amp;P34</f>
        <v>Copper Standard Access 3Mbit/sOn-net (NLS1, 2)</v>
      </c>
      <c r="U34" s="151" t="str">
        <f t="shared" ref="U34:U43" si="71">T34</f>
        <v>Copper Standard Access 3Mbit/sOn-net (NLS1, 2)</v>
      </c>
      <c r="W34" s="521">
        <f>MATCH($J34,'Tarieven ZM'!$B:$B,0)</f>
        <v>171</v>
      </c>
      <c r="X34" s="204">
        <f>INDEX('Tarieven ZM'!$H:$H,$W34)</f>
        <v>1000</v>
      </c>
      <c r="Y34" s="198">
        <f>IF(E34="Standard Access in ZG BT gebieden",0,-INDEX(Parameters!$B:$B,MATCH(Y$3&amp;$C34,Parameters!$A:$A,0))*$X34)</f>
        <v>0</v>
      </c>
      <c r="Z34" s="198">
        <f>IF(E34="Standard Access in ZG BT gebieden",0,MAX(-INDEX(Parameters!$B:$B,MATCH(Z$3&amp;$C34,Parameters!$A:$A,0))*$X34,-INDEX(Parameters!$B:$B,MATCH("FactorMaxSalesMandaat"&amp;E34,Parameters!$A:$A,0))*INDEX(Parameters!$B:$B,MATCH("MaxSalesMandaatAccessVVE"&amp;$C34,Parameters!$A:$A,0))))</f>
        <v>0</v>
      </c>
      <c r="AA34" s="139">
        <f t="shared" ref="AA34:AA43" si="72">SUM(X34:Z34)</f>
        <v>1000</v>
      </c>
      <c r="AB34" s="205">
        <f>AA34/INDEX(Parameters!$B:$B,MATCH("AfschrijftermijnVVE"&amp;12*$C34,Parameters!$A:$A,0))</f>
        <v>27.777777777777779</v>
      </c>
      <c r="AC34" s="204">
        <f>INDEX('Tarieven ZM'!$G:$G,$W34)</f>
        <v>1000</v>
      </c>
      <c r="AD34" s="198">
        <f>IF(E34="Standard Access in ZG BT gebieden",0,-INDEX(Parameters!$B:$B,MATCH(AD$3&amp;$C34,Parameters!$A:$A,0))*$AC34)</f>
        <v>0</v>
      </c>
      <c r="AE34" s="198">
        <f>IF(E34="Standard Access in ZG BT gebieden",0,-INDEX(Parameters!$B:$B,MATCH(AE$3,Parameters!$A:$A,0))*$AC34)</f>
        <v>0</v>
      </c>
      <c r="AF34" s="139">
        <f t="shared" ref="AF34:AF43" si="73">SUM(AC34:AE34)</f>
        <v>1000</v>
      </c>
      <c r="AG34" s="522">
        <f t="shared" ref="AG34:AG43" si="74">SUM(AB34,AF34)</f>
        <v>1027.7777777777778</v>
      </c>
      <c r="AH34" s="175"/>
      <c r="AI34" s="523">
        <f>IF(N34&lt;&gt;"nvt",MATCH($T34,'Tarieven W&amp;O'!$B:$B,0),"nvt")</f>
        <v>9</v>
      </c>
      <c r="AJ34" s="205">
        <f>IF(AI34&lt;&gt;"nvt",IF($D34="EoK",INDEX(Parameters!C:C,MATCH("NLSx EoK",Parameters!A:A,0)),INDEX('Tarieven W&amp;O'!$H:$H,$AI34)),0)*R34</f>
        <v>350</v>
      </c>
      <c r="AK34" s="204">
        <f>IF(AI34&lt;&gt;"nvt",INDEX('Tarieven W&amp;O'!$I:$I,$AI34),0)*R34</f>
        <v>75</v>
      </c>
      <c r="AL34" s="524">
        <f>IF(AI34&lt;&gt;"nvt",-INDEX(Parameters!$B:$B,MATCH(AL$3,Parameters!$A:$A,0))*(AJ34+AK34),0)</f>
        <v>0</v>
      </c>
      <c r="AM34" s="525"/>
      <c r="AN34" s="139">
        <f t="shared" ref="AN34:AN43" si="75">SUM(AJ34:AM34)</f>
        <v>425</v>
      </c>
      <c r="AO34" s="205">
        <f>AN34/INDEX(Parameters!$B:$B,MATCH("AfschrijftermijnVVE"&amp;12*$C34,Parameters!$A:$A,0))</f>
        <v>11.805555555555555</v>
      </c>
      <c r="AP34" s="139">
        <f t="shared" si="65"/>
        <v>9</v>
      </c>
      <c r="AQ34" s="526">
        <f>IF(AP34&lt;&gt;"nvt",R34*INDEX('Tarieven W&amp;O'!$G:$G,$AP34),0)</f>
        <v>41.5</v>
      </c>
      <c r="AR34" s="524">
        <f>-INDEX(Parameters!$B:$B,MATCH(AR$3,Parameters!$A:$A,0))*(AQ34)</f>
        <v>0</v>
      </c>
      <c r="AS34" s="205">
        <f>IF(E34="straal access",'EDC Minus'!$H$192,IF(Q34&lt;&gt;"nvt",Q34*S34*'EDC Minus'!$H$292/590,0))</f>
        <v>0</v>
      </c>
      <c r="AT34" s="139"/>
      <c r="AU34" s="150">
        <f t="shared" ref="AU34:AU43" si="76">SUM(AQ34:AT34)</f>
        <v>41.5</v>
      </c>
      <c r="AV34" s="150">
        <f t="shared" ref="AV34:AV43" si="77">SUM(AO34,AU34)</f>
        <v>53.305555555555557</v>
      </c>
      <c r="AX34" s="526">
        <f>Parameters!$B$6*AV34</f>
        <v>0.53305555555555562</v>
      </c>
      <c r="AY34" s="150">
        <v>0</v>
      </c>
      <c r="AZ34" s="150"/>
      <c r="BA34" s="150">
        <f t="shared" si="66"/>
        <v>0.53305555555555562</v>
      </c>
      <c r="BC34" s="522">
        <f t="shared" si="56"/>
        <v>53.838611111111113</v>
      </c>
      <c r="BD34" s="175"/>
      <c r="BE34" s="527">
        <f t="shared" si="67"/>
        <v>973.93916666666667</v>
      </c>
      <c r="BF34" s="181">
        <f t="shared" si="68"/>
        <v>0.94761648648648644</v>
      </c>
      <c r="BG34" s="520" t="b">
        <f t="shared" ref="BG34:BG43" si="78">BF34&lt;0</f>
        <v>0</v>
      </c>
      <c r="BI34" s="528" t="s">
        <v>2181</v>
      </c>
      <c r="BK34" s="151">
        <f>VLOOKUP(J34,'Tarieven ZM'!$B$136:$I$235,8,0)</f>
        <v>0</v>
      </c>
      <c r="BL34" s="151" t="str">
        <f>IF(M34="EoK",N34&amp;"AdvancedNLS type 1/2/3",IF(E34&lt;&gt;"Straal Access",INDEX(Mapping!J:J,MATCH(E34&amp;G34,Mapping!B:B,0)),E34))</f>
        <v>Copper Standard Access 3Mbit/sAdvancedNLS type 1/2/3</v>
      </c>
      <c r="BM34" s="184">
        <f>INDEX('inkoop ULL tbv EVPN'!J:J,MATCH($BL34,'inkoop ULL tbv EVPN'!$H:$H,0))</f>
        <v>78.97</v>
      </c>
      <c r="BN34" s="180">
        <f>BM34/INDEX(Parameters!$B:$B,MATCH("AfschrijftermijnVVE"&amp;12*$C34,Parameters!$A:$A,0))</f>
        <v>2.1936111111111112</v>
      </c>
      <c r="BO34" s="184">
        <f>INDEX('inkoop ULL tbv EVPN'!I:I,MATCH($BL34,'inkoop ULL tbv EVPN'!$H:$H,0))</f>
        <v>14.7296035</v>
      </c>
      <c r="BP34" s="184">
        <f t="shared" si="57"/>
        <v>16.92321461111111</v>
      </c>
      <c r="BR34" s="180">
        <f>Parameters!$B$12*AG34</f>
        <v>102.77777777777779</v>
      </c>
      <c r="BS34" s="180">
        <f>SUM(Distributievergoedingen!$F$12,Distributievergoedingen!$I$12,Distributievergoedingen!$L$12,Distributievergoedingen!$O$12)*AF34+SUM(Distributievergoedingen!$O$12*AA34+Distributievergoedingen!$R$12+Distributievergoedingen!$U$12+Distributievergoedingen!$X$12)/(MAX(36,12*C34))</f>
        <v>112.77777777777777</v>
      </c>
      <c r="BT34" s="150"/>
      <c r="BU34" s="150">
        <f t="shared" si="58"/>
        <v>215.55555555555554</v>
      </c>
      <c r="BW34" s="522">
        <f t="shared" si="59"/>
        <v>232.47877016666666</v>
      </c>
      <c r="BY34" s="527">
        <f t="shared" si="60"/>
        <v>795.29900761111116</v>
      </c>
      <c r="BZ34" s="181">
        <f t="shared" si="61"/>
        <v>0.77380443983783787</v>
      </c>
      <c r="CA34" s="520" t="b">
        <f t="shared" si="62"/>
        <v>0</v>
      </c>
    </row>
    <row r="35" spans="1:79" s="151" customFormat="1">
      <c r="A35" s="151" t="str">
        <f t="shared" si="63"/>
        <v>1EoKStandard Access koper 5mbLaagOn-net (NLS1, 2)</v>
      </c>
      <c r="B35" s="151" t="str">
        <f t="shared" si="69"/>
        <v>1EoKStandard Access koper 5mbLaagOn-net (NLS1, 2)</v>
      </c>
      <c r="C35" s="178">
        <v>1</v>
      </c>
      <c r="D35" s="415" t="s">
        <v>303</v>
      </c>
      <c r="E35" s="178" t="s">
        <v>276</v>
      </c>
      <c r="F35" s="107" t="s">
        <v>275</v>
      </c>
      <c r="G35" s="178" t="s">
        <v>281</v>
      </c>
      <c r="I35" s="178"/>
      <c r="J35" s="520" t="str">
        <f t="shared" si="64"/>
        <v>EoKStandard Access koper 5mbLaagOn-net (NLS1, 2)</v>
      </c>
      <c r="L35" s="204">
        <f>INDEX(Mapping!$H:$H,MATCH(C$3&amp;C35,Mapping!$B:$B,0))</f>
        <v>1</v>
      </c>
      <c r="M35" s="204" t="str">
        <f>INDEX(Mapping!$H:$H,MATCH(D$3&amp;D35,Mapping!$B:$B,0))</f>
        <v>EoK</v>
      </c>
      <c r="N35" s="204" t="str">
        <f>INDEX(Mapping!$H:$H,MATCH(E$3&amp;E35,Mapping!$B:$B,0))</f>
        <v>Copper Standard Access 5Mbit/s</v>
      </c>
      <c r="O35" s="204" t="str">
        <f>INDEX(Mapping!$H:$H,MATCH(E35&amp;F35,Mapping!$B:$B,0))</f>
        <v/>
      </c>
      <c r="P35" s="204" t="str">
        <f>INDEX(Mapping!$H:$H,MATCH($E35&amp;$G35,Mapping!$B:$B,0))</f>
        <v>On-net (NLS1, 2)</v>
      </c>
      <c r="Q35" s="204">
        <f>INDEX(Mapping!$H:$H,MATCH($E35&amp;$G35&amp;"graafafstand",Mapping!$B:$B,0))</f>
        <v>0</v>
      </c>
      <c r="R35" s="204">
        <f>INDEX(Mapping!$H:$H,MATCH(R$3&amp;$E35,Mapping!$B:$B,0))</f>
        <v>1</v>
      </c>
      <c r="S35" s="204">
        <f>INDEX(Mapping!$H:$H,MATCH(S$3&amp;$E35,Mapping!$B:$B,0))</f>
        <v>1</v>
      </c>
      <c r="T35" s="139" t="str">
        <f t="shared" si="70"/>
        <v>Copper Standard Access 5Mbit/sOn-net (NLS1, 2)</v>
      </c>
      <c r="U35" s="151" t="str">
        <f t="shared" si="71"/>
        <v>Copper Standard Access 5Mbit/sOn-net (NLS1, 2)</v>
      </c>
      <c r="W35" s="521">
        <f>MATCH($J35,'Tarieven ZM'!$B:$B,0)</f>
        <v>172</v>
      </c>
      <c r="X35" s="204">
        <f>INDEX('Tarieven ZM'!$H:$H,$W35)</f>
        <v>1000</v>
      </c>
      <c r="Y35" s="198">
        <f>IF(E35="Standard Access in ZG BT gebieden",0,-INDEX(Parameters!$B:$B,MATCH(Y$3&amp;$C35,Parameters!$A:$A,0))*$X35)</f>
        <v>0</v>
      </c>
      <c r="Z35" s="198">
        <f>IF(E35="Standard Access in ZG BT gebieden",0,MAX(-INDEX(Parameters!$B:$B,MATCH(Z$3&amp;$C35,Parameters!$A:$A,0))*$X35,-INDEX(Parameters!$B:$B,MATCH("FactorMaxSalesMandaat"&amp;E35,Parameters!$A:$A,0))*INDEX(Parameters!$B:$B,MATCH("MaxSalesMandaatAccessVVE"&amp;$C35,Parameters!$A:$A,0))))</f>
        <v>0</v>
      </c>
      <c r="AA35" s="139">
        <f t="shared" si="72"/>
        <v>1000</v>
      </c>
      <c r="AB35" s="205">
        <f>AA35/INDEX(Parameters!$B:$B,MATCH("AfschrijftermijnVVE"&amp;12*$C35,Parameters!$A:$A,0))</f>
        <v>27.777777777777779</v>
      </c>
      <c r="AC35" s="204">
        <f>INDEX('Tarieven ZM'!$G:$G,$W35)</f>
        <v>1000</v>
      </c>
      <c r="AD35" s="198">
        <f>IF(E35="Standard Access in ZG BT gebieden",0,-INDEX(Parameters!$B:$B,MATCH(AD$3&amp;$C35,Parameters!$A:$A,0))*$AC35)</f>
        <v>0</v>
      </c>
      <c r="AE35" s="198">
        <f>IF(E35="Standard Access in ZG BT gebieden",0,-INDEX(Parameters!$B:$B,MATCH(AE$3,Parameters!$A:$A,0))*$AC35)</f>
        <v>0</v>
      </c>
      <c r="AF35" s="139">
        <f t="shared" si="73"/>
        <v>1000</v>
      </c>
      <c r="AG35" s="522">
        <f t="shared" si="74"/>
        <v>1027.7777777777778</v>
      </c>
      <c r="AH35" s="175"/>
      <c r="AI35" s="523">
        <f>IF(N35&lt;&gt;"nvt",MATCH($T35,'Tarieven W&amp;O'!$B:$B,0),"nvt")</f>
        <v>10</v>
      </c>
      <c r="AJ35" s="205">
        <f>IF(AI35&lt;&gt;"nvt",IF($D35="EoK",INDEX(Parameters!C:C,MATCH("NLSx EoK",Parameters!A:A,0)),INDEX('Tarieven W&amp;O'!$H:$H,$AI35)),0)*R35</f>
        <v>350</v>
      </c>
      <c r="AK35" s="204">
        <f>IF(AI35&lt;&gt;"nvt",INDEX('Tarieven W&amp;O'!$I:$I,$AI35),0)*R35</f>
        <v>75</v>
      </c>
      <c r="AL35" s="524">
        <f>IF(AI35&lt;&gt;"nvt",-INDEX(Parameters!$B:$B,MATCH(AL$3,Parameters!$A:$A,0))*(AJ35+AK35),0)</f>
        <v>0</v>
      </c>
      <c r="AM35" s="525"/>
      <c r="AN35" s="139">
        <f t="shared" si="75"/>
        <v>425</v>
      </c>
      <c r="AO35" s="205">
        <f>AN35/INDEX(Parameters!$B:$B,MATCH("AfschrijftermijnVVE"&amp;12*$C35,Parameters!$A:$A,0))</f>
        <v>11.805555555555555</v>
      </c>
      <c r="AP35" s="139">
        <f t="shared" si="65"/>
        <v>10</v>
      </c>
      <c r="AQ35" s="526">
        <f>IF(AP35&lt;&gt;"nvt",R35*INDEX('Tarieven W&amp;O'!$G:$G,$AP35),0)</f>
        <v>60.97</v>
      </c>
      <c r="AR35" s="524">
        <f>-INDEX(Parameters!$B:$B,MATCH(AR$3,Parameters!$A:$A,0))*(AQ35)</f>
        <v>0</v>
      </c>
      <c r="AS35" s="205">
        <f>IF(E35="straal access",'EDC Minus'!$H$192,IF(Q35&lt;&gt;"nvt",Q35*S35*'EDC Minus'!$H$292/590,0))</f>
        <v>0</v>
      </c>
      <c r="AT35" s="139"/>
      <c r="AU35" s="150">
        <f t="shared" si="76"/>
        <v>60.97</v>
      </c>
      <c r="AV35" s="150">
        <f t="shared" si="77"/>
        <v>72.775555555555556</v>
      </c>
      <c r="AX35" s="526">
        <f>Parameters!$B$6*AV35</f>
        <v>0.7277555555555556</v>
      </c>
      <c r="AY35" s="150">
        <v>0</v>
      </c>
      <c r="AZ35" s="150"/>
      <c r="BA35" s="150">
        <f t="shared" si="66"/>
        <v>0.7277555555555556</v>
      </c>
      <c r="BC35" s="522">
        <f t="shared" si="56"/>
        <v>73.503311111111117</v>
      </c>
      <c r="BD35" s="175"/>
      <c r="BE35" s="527">
        <f t="shared" si="67"/>
        <v>954.27446666666674</v>
      </c>
      <c r="BF35" s="181">
        <f t="shared" si="68"/>
        <v>0.92848326486486488</v>
      </c>
      <c r="BG35" s="520" t="b">
        <f t="shared" si="78"/>
        <v>0</v>
      </c>
      <c r="BI35" s="528" t="s">
        <v>2181</v>
      </c>
      <c r="BK35" s="151">
        <f>VLOOKUP(J35,'Tarieven ZM'!$B$136:$I$235,8,0)</f>
        <v>0</v>
      </c>
      <c r="BL35" s="151" t="str">
        <f>IF(M35="EoK",N35&amp;"AdvancedNLS type 1/2/3",IF(E35&lt;&gt;"Straal Access",INDEX(Mapping!J:J,MATCH(E35&amp;G35,Mapping!B:B,0)),E35))</f>
        <v>Copper Standard Access 5Mbit/sAdvancedNLS type 1/2/3</v>
      </c>
      <c r="BM35" s="184">
        <f>INDEX('inkoop ULL tbv EVPN'!J:J,MATCH($BL35,'inkoop ULL tbv EVPN'!$H:$H,0))</f>
        <v>78.97</v>
      </c>
      <c r="BN35" s="180">
        <f>BM35/INDEX(Parameters!$B:$B,MATCH("AfschrijftermijnVVE"&amp;12*$C35,Parameters!$A:$A,0))</f>
        <v>2.1936111111111112</v>
      </c>
      <c r="BO35" s="184">
        <f>INDEX('inkoop ULL tbv EVPN'!I:I,MATCH($BL35,'inkoop ULL tbv EVPN'!$H:$H,0))</f>
        <v>14.7296035</v>
      </c>
      <c r="BP35" s="184">
        <f t="shared" si="57"/>
        <v>16.92321461111111</v>
      </c>
      <c r="BR35" s="180">
        <f>Parameters!$B$12*AG35</f>
        <v>102.77777777777779</v>
      </c>
      <c r="BS35" s="180">
        <f>SUM(Distributievergoedingen!$F$12,Distributievergoedingen!$I$12,Distributievergoedingen!$L$12,Distributievergoedingen!$O$12)*AF35+SUM(Distributievergoedingen!$O$12*AA35+Distributievergoedingen!$R$12+Distributievergoedingen!$U$12+Distributievergoedingen!$X$12)/(MAX(36,12*C35))</f>
        <v>112.77777777777777</v>
      </c>
      <c r="BT35" s="150"/>
      <c r="BU35" s="150">
        <f t="shared" si="58"/>
        <v>215.55555555555554</v>
      </c>
      <c r="BW35" s="522">
        <f t="shared" si="59"/>
        <v>232.47877016666666</v>
      </c>
      <c r="BY35" s="527">
        <f t="shared" si="60"/>
        <v>795.29900761111116</v>
      </c>
      <c r="BZ35" s="181">
        <f t="shared" si="61"/>
        <v>0.77380443983783787</v>
      </c>
      <c r="CA35" s="520" t="b">
        <f t="shared" si="62"/>
        <v>0</v>
      </c>
    </row>
    <row r="36" spans="1:79" s="151" customFormat="1">
      <c r="A36" s="151" t="str">
        <f t="shared" si="63"/>
        <v>1EoKStandard Access koper 10mbLaagOn-net (NLS1, 2)</v>
      </c>
      <c r="B36" s="151" t="str">
        <f t="shared" si="69"/>
        <v>1EoKStandard Access koper 10mbLaagOn-net (NLS1, 2)</v>
      </c>
      <c r="C36" s="178">
        <v>1</v>
      </c>
      <c r="D36" s="415" t="s">
        <v>303</v>
      </c>
      <c r="E36" s="178" t="s">
        <v>277</v>
      </c>
      <c r="F36" s="107" t="s">
        <v>275</v>
      </c>
      <c r="G36" s="178" t="s">
        <v>281</v>
      </c>
      <c r="I36" s="178"/>
      <c r="J36" s="520" t="str">
        <f t="shared" si="64"/>
        <v>EoKStandard Access koper 10mbLaagOn-net (NLS1, 2)</v>
      </c>
      <c r="L36" s="204">
        <f>INDEX(Mapping!$H:$H,MATCH(C$3&amp;C36,Mapping!$B:$B,0))</f>
        <v>1</v>
      </c>
      <c r="M36" s="204" t="str">
        <f>INDEX(Mapping!$H:$H,MATCH(D$3&amp;D36,Mapping!$B:$B,0))</f>
        <v>EoK</v>
      </c>
      <c r="N36" s="204" t="str">
        <f>INDEX(Mapping!$H:$H,MATCH(E$3&amp;E36,Mapping!$B:$B,0))</f>
        <v>Copper Standard Access 10Mbit/s</v>
      </c>
      <c r="O36" s="204" t="str">
        <f>INDEX(Mapping!$H:$H,MATCH(E36&amp;F36,Mapping!$B:$B,0))</f>
        <v/>
      </c>
      <c r="P36" s="204" t="str">
        <f>INDEX(Mapping!$H:$H,MATCH($E36&amp;$G36,Mapping!$B:$B,0))</f>
        <v>On-net (NLS1, 2)</v>
      </c>
      <c r="Q36" s="204">
        <f>INDEX(Mapping!$H:$H,MATCH($E36&amp;$G36&amp;"graafafstand",Mapping!$B:$B,0))</f>
        <v>0</v>
      </c>
      <c r="R36" s="204">
        <f>INDEX(Mapping!$H:$H,MATCH(R$3&amp;$E36,Mapping!$B:$B,0))</f>
        <v>1</v>
      </c>
      <c r="S36" s="204">
        <f>INDEX(Mapping!$H:$H,MATCH(S$3&amp;$E36,Mapping!$B:$B,0))</f>
        <v>1</v>
      </c>
      <c r="T36" s="139" t="str">
        <f t="shared" si="70"/>
        <v>Copper Standard Access 10Mbit/sOn-net (NLS1, 2)</v>
      </c>
      <c r="U36" s="151" t="str">
        <f t="shared" si="71"/>
        <v>Copper Standard Access 10Mbit/sOn-net (NLS1, 2)</v>
      </c>
      <c r="W36" s="521">
        <f>MATCH($J36,'Tarieven ZM'!$B:$B,0)</f>
        <v>173</v>
      </c>
      <c r="X36" s="204">
        <f>INDEX('Tarieven ZM'!$H:$H,$W36)</f>
        <v>1000</v>
      </c>
      <c r="Y36" s="198">
        <f>IF(E36="Standard Access in ZG BT gebieden",0,-INDEX(Parameters!$B:$B,MATCH(Y$3&amp;$C36,Parameters!$A:$A,0))*$X36)</f>
        <v>0</v>
      </c>
      <c r="Z36" s="198">
        <f>IF(E36="Standard Access in ZG BT gebieden",0,MAX(-INDEX(Parameters!$B:$B,MATCH(Z$3&amp;$C36,Parameters!$A:$A,0))*$X36,-INDEX(Parameters!$B:$B,MATCH("FactorMaxSalesMandaat"&amp;E36,Parameters!$A:$A,0))*INDEX(Parameters!$B:$B,MATCH("MaxSalesMandaatAccessVVE"&amp;$C36,Parameters!$A:$A,0))))</f>
        <v>0</v>
      </c>
      <c r="AA36" s="139">
        <f t="shared" si="72"/>
        <v>1000</v>
      </c>
      <c r="AB36" s="205">
        <f>AA36/INDEX(Parameters!$B:$B,MATCH("AfschrijftermijnVVE"&amp;12*$C36,Parameters!$A:$A,0))</f>
        <v>27.777777777777779</v>
      </c>
      <c r="AC36" s="204">
        <f>INDEX('Tarieven ZM'!$G:$G,$W36)</f>
        <v>1000</v>
      </c>
      <c r="AD36" s="198">
        <f>IF(E36="Standard Access in ZG BT gebieden",0,-INDEX(Parameters!$B:$B,MATCH(AD$3&amp;$C36,Parameters!$A:$A,0))*$AC36)</f>
        <v>0</v>
      </c>
      <c r="AE36" s="198">
        <f>IF(E36="Standard Access in ZG BT gebieden",0,-INDEX(Parameters!$B:$B,MATCH(AE$3,Parameters!$A:$A,0))*$AC36)</f>
        <v>0</v>
      </c>
      <c r="AF36" s="139">
        <f t="shared" si="73"/>
        <v>1000</v>
      </c>
      <c r="AG36" s="522">
        <f t="shared" si="74"/>
        <v>1027.7777777777778</v>
      </c>
      <c r="AH36" s="175"/>
      <c r="AI36" s="523">
        <f>IF(N36&lt;&gt;"nvt",MATCH($T36,'Tarieven W&amp;O'!$B:$B,0),"nvt")</f>
        <v>11</v>
      </c>
      <c r="AJ36" s="205">
        <f>IF(AI36&lt;&gt;"nvt",IF($D36="EoK",INDEX(Parameters!C:C,MATCH("NLSx EoK",Parameters!A:A,0)),INDEX('Tarieven W&amp;O'!$H:$H,$AI36)),0)*R36</f>
        <v>350</v>
      </c>
      <c r="AK36" s="204">
        <f>IF(AI36&lt;&gt;"nvt",INDEX('Tarieven W&amp;O'!$I:$I,$AI36),0)*R36</f>
        <v>75</v>
      </c>
      <c r="AL36" s="524">
        <f>IF(AI36&lt;&gt;"nvt",-INDEX(Parameters!$B:$B,MATCH(AL$3,Parameters!$A:$A,0))*(AJ36+AK36),0)</f>
        <v>0</v>
      </c>
      <c r="AM36" s="525"/>
      <c r="AN36" s="139">
        <f t="shared" si="75"/>
        <v>425</v>
      </c>
      <c r="AO36" s="205">
        <f>AN36/INDEX(Parameters!$B:$B,MATCH("AfschrijftermijnVVE"&amp;12*$C36,Parameters!$A:$A,0))</f>
        <v>11.805555555555555</v>
      </c>
      <c r="AP36" s="139">
        <f t="shared" si="65"/>
        <v>11</v>
      </c>
      <c r="AQ36" s="526">
        <f>IF(AP36&lt;&gt;"nvt",R36*INDEX('Tarieven W&amp;O'!$G:$G,$AP36),0)</f>
        <v>83.59</v>
      </c>
      <c r="AR36" s="524">
        <f>-INDEX(Parameters!$B:$B,MATCH(AR$3,Parameters!$A:$A,0))*(AQ36)</f>
        <v>0</v>
      </c>
      <c r="AS36" s="205">
        <f>IF(E36="straal access",'EDC Minus'!$H$192,IF(Q36&lt;&gt;"nvt",Q36*S36*'EDC Minus'!$H$292/590,0))</f>
        <v>0</v>
      </c>
      <c r="AT36" s="139"/>
      <c r="AU36" s="150">
        <f t="shared" si="76"/>
        <v>83.59</v>
      </c>
      <c r="AV36" s="150">
        <f t="shared" si="77"/>
        <v>95.395555555555561</v>
      </c>
      <c r="AX36" s="526">
        <f>Parameters!$B$6*AV36</f>
        <v>0.95395555555555567</v>
      </c>
      <c r="AY36" s="150">
        <v>0</v>
      </c>
      <c r="AZ36" s="150"/>
      <c r="BA36" s="150">
        <f t="shared" si="66"/>
        <v>0.95395555555555567</v>
      </c>
      <c r="BC36" s="522">
        <f t="shared" si="56"/>
        <v>96.349511111111113</v>
      </c>
      <c r="BD36" s="175"/>
      <c r="BE36" s="527">
        <f t="shared" si="67"/>
        <v>931.42826666666667</v>
      </c>
      <c r="BF36" s="181">
        <f t="shared" si="68"/>
        <v>0.90625452972972964</v>
      </c>
      <c r="BG36" s="520" t="b">
        <f t="shared" si="78"/>
        <v>0</v>
      </c>
      <c r="BI36" s="528" t="s">
        <v>2181</v>
      </c>
      <c r="BK36" s="151">
        <f>VLOOKUP(J36,'Tarieven ZM'!$B$136:$I$235,8,0)</f>
        <v>0</v>
      </c>
      <c r="BL36" s="151" t="str">
        <f>IF(M36="EoK",N36&amp;"AdvancedNLS type 1/2/3",IF(E36&lt;&gt;"Straal Access",INDEX(Mapping!J:J,MATCH(E36&amp;G36,Mapping!B:B,0)),E36))</f>
        <v>Copper Standard Access 10Mbit/sAdvancedNLS type 1/2/3</v>
      </c>
      <c r="BM36" s="184">
        <f>INDEX('inkoop ULL tbv EVPN'!J:J,MATCH($BL36,'inkoop ULL tbv EVPN'!$H:$H,0))</f>
        <v>78.97</v>
      </c>
      <c r="BN36" s="180">
        <f>BM36/INDEX(Parameters!$B:$B,MATCH("AfschrijftermijnVVE"&amp;12*$C36,Parameters!$A:$A,0))</f>
        <v>2.1936111111111112</v>
      </c>
      <c r="BO36" s="184">
        <f>INDEX('inkoop ULL tbv EVPN'!I:I,MATCH($BL36,'inkoop ULL tbv EVPN'!$H:$H,0))</f>
        <v>14.7296035</v>
      </c>
      <c r="BP36" s="184">
        <f t="shared" si="57"/>
        <v>16.92321461111111</v>
      </c>
      <c r="BR36" s="180">
        <f>Parameters!$B$12*AG36</f>
        <v>102.77777777777779</v>
      </c>
      <c r="BS36" s="180">
        <f>SUM(Distributievergoedingen!$F$12,Distributievergoedingen!$I$12,Distributievergoedingen!$L$12,Distributievergoedingen!$O$12)*AF36+SUM(Distributievergoedingen!$O$12*AA36+Distributievergoedingen!$R$12+Distributievergoedingen!$U$12+Distributievergoedingen!$X$12)/(MAX(36,12*C36))</f>
        <v>112.77777777777777</v>
      </c>
      <c r="BT36" s="150"/>
      <c r="BU36" s="150">
        <f t="shared" si="58"/>
        <v>215.55555555555554</v>
      </c>
      <c r="BW36" s="522">
        <f t="shared" si="59"/>
        <v>232.47877016666666</v>
      </c>
      <c r="BY36" s="527">
        <f t="shared" si="60"/>
        <v>795.29900761111116</v>
      </c>
      <c r="BZ36" s="181">
        <f t="shared" si="61"/>
        <v>0.77380443983783787</v>
      </c>
      <c r="CA36" s="520" t="b">
        <f t="shared" si="62"/>
        <v>0</v>
      </c>
    </row>
    <row r="37" spans="1:79" s="151" customFormat="1">
      <c r="A37" s="151" t="str">
        <f t="shared" si="63"/>
        <v>1EoKStandard Access koper 15mbLaagOn-net (NLS1, 2)</v>
      </c>
      <c r="B37" s="151" t="str">
        <f t="shared" si="69"/>
        <v>1EoKStandard Access koper 15mbLaagOn-net (NLS1, 2)</v>
      </c>
      <c r="C37" s="178">
        <v>1</v>
      </c>
      <c r="D37" s="415" t="s">
        <v>303</v>
      </c>
      <c r="E37" s="178" t="s">
        <v>278</v>
      </c>
      <c r="F37" s="107" t="s">
        <v>275</v>
      </c>
      <c r="G37" s="178" t="s">
        <v>281</v>
      </c>
      <c r="I37" s="178"/>
      <c r="J37" s="520" t="str">
        <f t="shared" si="64"/>
        <v>EoKStandard Access koper 15mbLaagOn-net (NLS1, 2)</v>
      </c>
      <c r="L37" s="204">
        <f>INDEX(Mapping!$H:$H,MATCH(C$3&amp;C37,Mapping!$B:$B,0))</f>
        <v>1</v>
      </c>
      <c r="M37" s="204" t="str">
        <f>INDEX(Mapping!$H:$H,MATCH(D$3&amp;D37,Mapping!$B:$B,0))</f>
        <v>EoK</v>
      </c>
      <c r="N37" s="204" t="str">
        <f>INDEX(Mapping!$H:$H,MATCH(E$3&amp;E37,Mapping!$B:$B,0))</f>
        <v>Copper Standard Access 15Mbit/s</v>
      </c>
      <c r="O37" s="204" t="str">
        <f>INDEX(Mapping!$H:$H,MATCH(E37&amp;F37,Mapping!$B:$B,0))</f>
        <v/>
      </c>
      <c r="P37" s="204" t="str">
        <f>INDEX(Mapping!$H:$H,MATCH($E37&amp;$G37,Mapping!$B:$B,0))</f>
        <v>On-net (NLS1, 2)</v>
      </c>
      <c r="Q37" s="204">
        <f>INDEX(Mapping!$H:$H,MATCH($E37&amp;$G37&amp;"graafafstand",Mapping!$B:$B,0))</f>
        <v>0</v>
      </c>
      <c r="R37" s="204">
        <f>INDEX(Mapping!$H:$H,MATCH(R$3&amp;$E37,Mapping!$B:$B,0))</f>
        <v>1</v>
      </c>
      <c r="S37" s="204">
        <f>INDEX(Mapping!$H:$H,MATCH(S$3&amp;$E37,Mapping!$B:$B,0))</f>
        <v>1</v>
      </c>
      <c r="T37" s="139" t="str">
        <f t="shared" si="70"/>
        <v>Copper Standard Access 15Mbit/sOn-net (NLS1, 2)</v>
      </c>
      <c r="U37" s="151" t="str">
        <f t="shared" si="71"/>
        <v>Copper Standard Access 15Mbit/sOn-net (NLS1, 2)</v>
      </c>
      <c r="W37" s="521">
        <f>MATCH($J37,'Tarieven ZM'!$B:$B,0)</f>
        <v>174</v>
      </c>
      <c r="X37" s="204">
        <f>INDEX('Tarieven ZM'!$H:$H,$W37)</f>
        <v>1000</v>
      </c>
      <c r="Y37" s="198">
        <f>IF(E37="Standard Access in ZG BT gebieden",0,-INDEX(Parameters!$B:$B,MATCH(Y$3&amp;$C37,Parameters!$A:$A,0))*$X37)</f>
        <v>0</v>
      </c>
      <c r="Z37" s="198">
        <f>IF(E37="Standard Access in ZG BT gebieden",0,MAX(-INDEX(Parameters!$B:$B,MATCH(Z$3&amp;$C37,Parameters!$A:$A,0))*$X37,-INDEX(Parameters!$B:$B,MATCH("FactorMaxSalesMandaat"&amp;E37,Parameters!$A:$A,0))*INDEX(Parameters!$B:$B,MATCH("MaxSalesMandaatAccessVVE"&amp;$C37,Parameters!$A:$A,0))))</f>
        <v>0</v>
      </c>
      <c r="AA37" s="139">
        <f t="shared" si="72"/>
        <v>1000</v>
      </c>
      <c r="AB37" s="205">
        <f>AA37/INDEX(Parameters!$B:$B,MATCH("AfschrijftermijnVVE"&amp;12*$C37,Parameters!$A:$A,0))</f>
        <v>27.777777777777779</v>
      </c>
      <c r="AC37" s="204">
        <f>INDEX('Tarieven ZM'!$G:$G,$W37)</f>
        <v>1000</v>
      </c>
      <c r="AD37" s="198">
        <f>IF(E37="Standard Access in ZG BT gebieden",0,-INDEX(Parameters!$B:$B,MATCH(AD$3&amp;$C37,Parameters!$A:$A,0))*$AC37)</f>
        <v>0</v>
      </c>
      <c r="AE37" s="198">
        <f>IF(E37="Standard Access in ZG BT gebieden",0,-INDEX(Parameters!$B:$B,MATCH(AE$3,Parameters!$A:$A,0))*$AC37)</f>
        <v>0</v>
      </c>
      <c r="AF37" s="139">
        <f t="shared" si="73"/>
        <v>1000</v>
      </c>
      <c r="AG37" s="522">
        <f t="shared" si="74"/>
        <v>1027.7777777777778</v>
      </c>
      <c r="AH37" s="175"/>
      <c r="AI37" s="523">
        <f>IF(N37&lt;&gt;"nvt",MATCH($T37,'Tarieven W&amp;O'!$B:$B,0),"nvt")</f>
        <v>12</v>
      </c>
      <c r="AJ37" s="205">
        <f>IF(AI37&lt;&gt;"nvt",IF($D37="EoK",INDEX(Parameters!C:C,MATCH("NLSx EoK",Parameters!A:A,0)),INDEX('Tarieven W&amp;O'!$H:$H,$AI37)),0)*R37</f>
        <v>350</v>
      </c>
      <c r="AK37" s="204">
        <f>IF(AI37&lt;&gt;"nvt",INDEX('Tarieven W&amp;O'!$I:$I,$AI37),0)*R37</f>
        <v>75</v>
      </c>
      <c r="AL37" s="524">
        <f>IF(AI37&lt;&gt;"nvt",-INDEX(Parameters!$B:$B,MATCH(AL$3,Parameters!$A:$A,0))*(AJ37+AK37),0)</f>
        <v>0</v>
      </c>
      <c r="AM37" s="525"/>
      <c r="AN37" s="139">
        <f t="shared" si="75"/>
        <v>425</v>
      </c>
      <c r="AO37" s="205">
        <f>AN37/INDEX(Parameters!$B:$B,MATCH("AfschrijftermijnVVE"&amp;12*$C37,Parameters!$A:$A,0))</f>
        <v>11.805555555555555</v>
      </c>
      <c r="AP37" s="139">
        <f t="shared" si="65"/>
        <v>12</v>
      </c>
      <c r="AQ37" s="526">
        <f>IF(AP37&lt;&gt;"nvt",R37*INDEX('Tarieven W&amp;O'!$G:$G,$AP37),0)</f>
        <v>102.44</v>
      </c>
      <c r="AR37" s="524">
        <f>-INDEX(Parameters!$B:$B,MATCH(AR$3,Parameters!$A:$A,0))*(AQ37)</f>
        <v>0</v>
      </c>
      <c r="AS37" s="205">
        <f>IF(E37="straal access",'EDC Minus'!$H$192,IF(Q37&lt;&gt;"nvt",Q37*S37*'EDC Minus'!$H$292/590,0))</f>
        <v>0</v>
      </c>
      <c r="AT37" s="139"/>
      <c r="AU37" s="150">
        <f t="shared" si="76"/>
        <v>102.44</v>
      </c>
      <c r="AV37" s="150">
        <f t="shared" si="77"/>
        <v>114.24555555555555</v>
      </c>
      <c r="AX37" s="526">
        <f>Parameters!$B$6*AV37</f>
        <v>1.1424555555555556</v>
      </c>
      <c r="AY37" s="150">
        <v>0</v>
      </c>
      <c r="AZ37" s="150"/>
      <c r="BA37" s="150">
        <f t="shared" si="66"/>
        <v>1.1424555555555556</v>
      </c>
      <c r="BC37" s="522">
        <f t="shared" si="56"/>
        <v>115.38801111111111</v>
      </c>
      <c r="BD37" s="175"/>
      <c r="BE37" s="527">
        <f t="shared" si="67"/>
        <v>912.38976666666667</v>
      </c>
      <c r="BF37" s="181">
        <f t="shared" si="68"/>
        <v>0.88773058378378378</v>
      </c>
      <c r="BG37" s="520" t="b">
        <f t="shared" si="78"/>
        <v>0</v>
      </c>
      <c r="BI37" s="528" t="s">
        <v>2181</v>
      </c>
      <c r="BK37" s="151">
        <f>VLOOKUP(J37,'Tarieven ZM'!$B$136:$I$235,8,0)</f>
        <v>0</v>
      </c>
      <c r="BL37" s="151" t="str">
        <f>IF(M37="EoK",N37&amp;"AdvancedNLS type 1/2/3",IF(E37&lt;&gt;"Straal Access",INDEX(Mapping!J:J,MATCH(E37&amp;G37,Mapping!B:B,0)),E37))</f>
        <v>Copper Standard Access 15Mbit/sAdvancedNLS type 1/2/3</v>
      </c>
      <c r="BM37" s="184">
        <f>INDEX('inkoop ULL tbv EVPN'!J:J,MATCH($BL37,'inkoop ULL tbv EVPN'!$H:$H,0))</f>
        <v>78.97</v>
      </c>
      <c r="BN37" s="180">
        <f>BM37/INDEX(Parameters!$B:$B,MATCH("AfschrijftermijnVVE"&amp;12*$C37,Parameters!$A:$A,0))</f>
        <v>2.1936111111111112</v>
      </c>
      <c r="BO37" s="184">
        <f>INDEX('inkoop ULL tbv EVPN'!I:I,MATCH($BL37,'inkoop ULL tbv EVPN'!$H:$H,0))</f>
        <v>14.7296035</v>
      </c>
      <c r="BP37" s="184">
        <f t="shared" si="57"/>
        <v>16.92321461111111</v>
      </c>
      <c r="BR37" s="180">
        <f>Parameters!$B$12*AG37</f>
        <v>102.77777777777779</v>
      </c>
      <c r="BS37" s="180">
        <f>SUM(Distributievergoedingen!$F$12,Distributievergoedingen!$I$12,Distributievergoedingen!$L$12,Distributievergoedingen!$O$12)*AF37+SUM(Distributievergoedingen!$O$12*AA37+Distributievergoedingen!$R$12+Distributievergoedingen!$U$12+Distributievergoedingen!$X$12)/(MAX(36,12*C37))</f>
        <v>112.77777777777777</v>
      </c>
      <c r="BT37" s="150"/>
      <c r="BU37" s="150">
        <f t="shared" si="58"/>
        <v>215.55555555555554</v>
      </c>
      <c r="BW37" s="522">
        <f t="shared" si="59"/>
        <v>232.47877016666666</v>
      </c>
      <c r="BY37" s="527">
        <f t="shared" si="60"/>
        <v>795.29900761111116</v>
      </c>
      <c r="BZ37" s="181">
        <f t="shared" si="61"/>
        <v>0.77380443983783787</v>
      </c>
      <c r="CA37" s="520" t="b">
        <f t="shared" si="62"/>
        <v>0</v>
      </c>
    </row>
    <row r="38" spans="1:79" s="151" customFormat="1">
      <c r="A38" s="151" t="str">
        <f t="shared" si="63"/>
        <v>1EoKStandard Access koper 20mbLaagOn-net (NLS1, 2)</v>
      </c>
      <c r="B38" s="151" t="str">
        <f t="shared" si="69"/>
        <v>1EoKStandard Access koper 20mbLaagOn-net (NLS1, 2)</v>
      </c>
      <c r="C38" s="178">
        <v>1</v>
      </c>
      <c r="D38" s="415" t="s">
        <v>303</v>
      </c>
      <c r="E38" s="178" t="s">
        <v>279</v>
      </c>
      <c r="F38" s="107" t="s">
        <v>275</v>
      </c>
      <c r="G38" s="178" t="s">
        <v>281</v>
      </c>
      <c r="I38" s="178"/>
      <c r="J38" s="520" t="str">
        <f t="shared" si="64"/>
        <v>EoKStandard Access koper 20mbLaagOn-net (NLS1, 2)</v>
      </c>
      <c r="L38" s="204">
        <f>INDEX(Mapping!$H:$H,MATCH(C$3&amp;C38,Mapping!$B:$B,0))</f>
        <v>1</v>
      </c>
      <c r="M38" s="204" t="str">
        <f>INDEX(Mapping!$H:$H,MATCH(D$3&amp;D38,Mapping!$B:$B,0))</f>
        <v>EoK</v>
      </c>
      <c r="N38" s="204" t="str">
        <f>INDEX(Mapping!$H:$H,MATCH(E$3&amp;E38,Mapping!$B:$B,0))</f>
        <v>Copper Standard Access 20Mbit/s</v>
      </c>
      <c r="O38" s="204" t="str">
        <f>INDEX(Mapping!$H:$H,MATCH(E38&amp;F38,Mapping!$B:$B,0))</f>
        <v/>
      </c>
      <c r="P38" s="204" t="str">
        <f>INDEX(Mapping!$H:$H,MATCH($E38&amp;$G38,Mapping!$B:$B,0))</f>
        <v>On-net (NLS1, 2)</v>
      </c>
      <c r="Q38" s="204">
        <f>INDEX(Mapping!$H:$H,MATCH($E38&amp;$G38&amp;"graafafstand",Mapping!$B:$B,0))</f>
        <v>0</v>
      </c>
      <c r="R38" s="204">
        <f>INDEX(Mapping!$H:$H,MATCH(R$3&amp;$E38,Mapping!$B:$B,0))</f>
        <v>1</v>
      </c>
      <c r="S38" s="204">
        <f>INDEX(Mapping!$H:$H,MATCH(S$3&amp;$E38,Mapping!$B:$B,0))</f>
        <v>1</v>
      </c>
      <c r="T38" s="139" t="str">
        <f t="shared" si="70"/>
        <v>Copper Standard Access 20Mbit/sOn-net (NLS1, 2)</v>
      </c>
      <c r="U38" s="151" t="str">
        <f t="shared" si="71"/>
        <v>Copper Standard Access 20Mbit/sOn-net (NLS1, 2)</v>
      </c>
      <c r="W38" s="521">
        <f>MATCH($J38,'Tarieven ZM'!$B:$B,0)</f>
        <v>175</v>
      </c>
      <c r="X38" s="204">
        <f>INDEX('Tarieven ZM'!$H:$H,$W38)</f>
        <v>1000</v>
      </c>
      <c r="Y38" s="198">
        <f>IF(E38="Standard Access in ZG BT gebieden",0,-INDEX(Parameters!$B:$B,MATCH(Y$3&amp;$C38,Parameters!$A:$A,0))*$X38)</f>
        <v>0</v>
      </c>
      <c r="Z38" s="198">
        <f>IF(E38="Standard Access in ZG BT gebieden",0,MAX(-INDEX(Parameters!$B:$B,MATCH(Z$3&amp;$C38,Parameters!$A:$A,0))*$X38,-INDEX(Parameters!$B:$B,MATCH("FactorMaxSalesMandaat"&amp;E38,Parameters!$A:$A,0))*INDEX(Parameters!$B:$B,MATCH("MaxSalesMandaatAccessVVE"&amp;$C38,Parameters!$A:$A,0))))</f>
        <v>0</v>
      </c>
      <c r="AA38" s="139">
        <f t="shared" si="72"/>
        <v>1000</v>
      </c>
      <c r="AB38" s="205">
        <f>AA38/INDEX(Parameters!$B:$B,MATCH("AfschrijftermijnVVE"&amp;12*$C38,Parameters!$A:$A,0))</f>
        <v>27.777777777777779</v>
      </c>
      <c r="AC38" s="204">
        <f>INDEX('Tarieven ZM'!$G:$G,$W38)</f>
        <v>1000</v>
      </c>
      <c r="AD38" s="198">
        <f>IF(E38="Standard Access in ZG BT gebieden",0,-INDEX(Parameters!$B:$B,MATCH(AD$3&amp;$C38,Parameters!$A:$A,0))*$AC38)</f>
        <v>0</v>
      </c>
      <c r="AE38" s="198">
        <f>IF(E38="Standard Access in ZG BT gebieden",0,-INDEX(Parameters!$B:$B,MATCH(AE$3,Parameters!$A:$A,0))*$AC38)</f>
        <v>0</v>
      </c>
      <c r="AF38" s="139">
        <f t="shared" si="73"/>
        <v>1000</v>
      </c>
      <c r="AG38" s="522">
        <f t="shared" si="74"/>
        <v>1027.7777777777778</v>
      </c>
      <c r="AH38" s="175"/>
      <c r="AI38" s="523">
        <f>IF(N38&lt;&gt;"nvt",MATCH($T38,'Tarieven W&amp;O'!$B:$B,0),"nvt")</f>
        <v>13</v>
      </c>
      <c r="AJ38" s="205">
        <f>IF(AI38&lt;&gt;"nvt",IF($D38="EoK",INDEX(Parameters!C:C,MATCH("NLSx EoK",Parameters!A:A,0)),INDEX('Tarieven W&amp;O'!$H:$H,$AI38)),0)*R38</f>
        <v>350</v>
      </c>
      <c r="AK38" s="204">
        <f>IF(AI38&lt;&gt;"nvt",INDEX('Tarieven W&amp;O'!$I:$I,$AI38),0)*R38</f>
        <v>75</v>
      </c>
      <c r="AL38" s="524">
        <f>IF(AI38&lt;&gt;"nvt",-INDEX(Parameters!$B:$B,MATCH(AL$3,Parameters!$A:$A,0))*(AJ38+AK38),0)</f>
        <v>0</v>
      </c>
      <c r="AM38" s="525"/>
      <c r="AN38" s="139">
        <f t="shared" si="75"/>
        <v>425</v>
      </c>
      <c r="AO38" s="205">
        <f>AN38/INDEX(Parameters!$B:$B,MATCH("AfschrijftermijnVVE"&amp;12*$C38,Parameters!$A:$A,0))</f>
        <v>11.805555555555555</v>
      </c>
      <c r="AP38" s="139">
        <f t="shared" si="65"/>
        <v>13</v>
      </c>
      <c r="AQ38" s="526">
        <f>IF(AP38&lt;&gt;"nvt",R38*INDEX('Tarieven W&amp;O'!$G:$G,$AP38),0)</f>
        <v>121.28</v>
      </c>
      <c r="AR38" s="524">
        <f>-INDEX(Parameters!$B:$B,MATCH(AR$3,Parameters!$A:$A,0))*(AQ38)</f>
        <v>0</v>
      </c>
      <c r="AS38" s="205">
        <f>IF(E38="straal access",'EDC Minus'!$H$192,IF(Q38&lt;&gt;"nvt",Q38*S38*'EDC Minus'!$H$292/590,0))</f>
        <v>0</v>
      </c>
      <c r="AT38" s="139"/>
      <c r="AU38" s="150">
        <f t="shared" si="76"/>
        <v>121.28</v>
      </c>
      <c r="AV38" s="150">
        <f t="shared" si="77"/>
        <v>133.08555555555554</v>
      </c>
      <c r="AX38" s="526">
        <f>Parameters!$B$6*AV38</f>
        <v>1.3308555555555555</v>
      </c>
      <c r="AY38" s="150">
        <v>0</v>
      </c>
      <c r="AZ38" s="150"/>
      <c r="BA38" s="150">
        <f t="shared" si="66"/>
        <v>1.3308555555555555</v>
      </c>
      <c r="BC38" s="522">
        <f t="shared" si="56"/>
        <v>134.4164111111111</v>
      </c>
      <c r="BD38" s="175"/>
      <c r="BE38" s="527">
        <f t="shared" si="67"/>
        <v>893.36136666666675</v>
      </c>
      <c r="BF38" s="181">
        <f t="shared" si="68"/>
        <v>0.86921646486486492</v>
      </c>
      <c r="BG38" s="520" t="b">
        <f t="shared" si="78"/>
        <v>0</v>
      </c>
      <c r="BI38" s="528" t="s">
        <v>2181</v>
      </c>
      <c r="BK38" s="151">
        <f>VLOOKUP(J38,'Tarieven ZM'!$B$136:$I$235,8,0)</f>
        <v>0</v>
      </c>
      <c r="BL38" s="151" t="str">
        <f>IF(M38="EoK",N38&amp;"AdvancedNLS type 1/2/3",IF(E38&lt;&gt;"Straal Access",INDEX(Mapping!J:J,MATCH(E38&amp;G38,Mapping!B:B,0)),E38))</f>
        <v>Copper Standard Access 20Mbit/sAdvancedNLS type 1/2/3</v>
      </c>
      <c r="BM38" s="184">
        <f>INDEX('inkoop ULL tbv EVPN'!J:J,MATCH($BL38,'inkoop ULL tbv EVPN'!$H:$H,0))</f>
        <v>78.97</v>
      </c>
      <c r="BN38" s="180">
        <f>BM38/INDEX(Parameters!$B:$B,MATCH("AfschrijftermijnVVE"&amp;12*$C38,Parameters!$A:$A,0))</f>
        <v>2.1936111111111112</v>
      </c>
      <c r="BO38" s="184">
        <f>INDEX('inkoop ULL tbv EVPN'!I:I,MATCH($BL38,'inkoop ULL tbv EVPN'!$H:$H,0))</f>
        <v>14.7296035</v>
      </c>
      <c r="BP38" s="184">
        <f t="shared" si="57"/>
        <v>16.92321461111111</v>
      </c>
      <c r="BR38" s="180">
        <f>Parameters!$B$12*AG38</f>
        <v>102.77777777777779</v>
      </c>
      <c r="BS38" s="180">
        <f>SUM(Distributievergoedingen!$F$12,Distributievergoedingen!$I$12,Distributievergoedingen!$L$12,Distributievergoedingen!$O$12)*AF38+SUM(Distributievergoedingen!$O$12*AA38+Distributievergoedingen!$R$12+Distributievergoedingen!$U$12+Distributievergoedingen!$X$12)/(MAX(36,12*C38))</f>
        <v>112.77777777777777</v>
      </c>
      <c r="BT38" s="150"/>
      <c r="BU38" s="150">
        <f t="shared" si="58"/>
        <v>215.55555555555554</v>
      </c>
      <c r="BW38" s="522">
        <f t="shared" si="59"/>
        <v>232.47877016666666</v>
      </c>
      <c r="BY38" s="527">
        <f t="shared" si="60"/>
        <v>795.29900761111116</v>
      </c>
      <c r="BZ38" s="181">
        <f t="shared" si="61"/>
        <v>0.77380443983783787</v>
      </c>
      <c r="CA38" s="520" t="b">
        <f t="shared" si="62"/>
        <v>0</v>
      </c>
    </row>
    <row r="39" spans="1:79" s="151" customFormat="1">
      <c r="A39" s="151" t="str">
        <f t="shared" si="63"/>
        <v>1EoKStandard Access koper 3mbLaagOn-net (NLS3)</v>
      </c>
      <c r="B39" s="151" t="str">
        <f t="shared" si="69"/>
        <v>1EoKStandard Access koper 3mbLaagOn-net (NLS3)</v>
      </c>
      <c r="C39" s="178">
        <v>1</v>
      </c>
      <c r="D39" s="415" t="s">
        <v>303</v>
      </c>
      <c r="E39" s="178" t="s">
        <v>268</v>
      </c>
      <c r="F39" s="107" t="s">
        <v>275</v>
      </c>
      <c r="G39" s="178" t="s">
        <v>3398</v>
      </c>
      <c r="I39" s="178"/>
      <c r="J39" s="520" t="str">
        <f t="shared" si="64"/>
        <v>EoKStandard Access koper 3mbLaagOn-net (NLS3)</v>
      </c>
      <c r="L39" s="204">
        <f>INDEX(Mapping!$H:$H,MATCH(C$3&amp;C39,Mapping!$B:$B,0))</f>
        <v>1</v>
      </c>
      <c r="M39" s="204" t="str">
        <f>INDEX(Mapping!$H:$H,MATCH(D$3&amp;D39,Mapping!$B:$B,0))</f>
        <v>EoK</v>
      </c>
      <c r="N39" s="204" t="str">
        <f>INDEX(Mapping!$H:$H,MATCH(E$3&amp;E39,Mapping!$B:$B,0))</f>
        <v>Copper Standard Access 3Mbit/s</v>
      </c>
      <c r="O39" s="204" t="str">
        <f>INDEX(Mapping!$H:$H,MATCH(E39&amp;F39,Mapping!$B:$B,0))</f>
        <v/>
      </c>
      <c r="P39" s="204" t="str">
        <f>INDEX(Mapping!$H:$H,MATCH($E39&amp;$G39,Mapping!$B:$B,0))</f>
        <v>On-net (NLS3)</v>
      </c>
      <c r="Q39" s="204" t="str">
        <f>INDEX(Mapping!$H:$H,MATCH($E39&amp;$G39&amp;"graafafstand",Mapping!$B:$B,0))</f>
        <v>nvt</v>
      </c>
      <c r="R39" s="204">
        <f>INDEX(Mapping!$H:$H,MATCH(R$3&amp;$E39,Mapping!$B:$B,0))</f>
        <v>1</v>
      </c>
      <c r="S39" s="204">
        <f>INDEX(Mapping!$H:$H,MATCH(S$3&amp;$E39,Mapping!$B:$B,0))</f>
        <v>1</v>
      </c>
      <c r="T39" s="139" t="str">
        <f t="shared" si="70"/>
        <v>Copper Standard Access 3Mbit/sOn-net (NLS3)</v>
      </c>
      <c r="U39" s="151" t="str">
        <f t="shared" si="71"/>
        <v>Copper Standard Access 3Mbit/sOn-net (NLS3)</v>
      </c>
      <c r="W39" s="521">
        <f>MATCH($J39,'Tarieven ZM'!$B:$B,0)</f>
        <v>178</v>
      </c>
      <c r="X39" s="204">
        <f>INDEX('Tarieven ZM'!$H:$H,$W39)</f>
        <v>1000</v>
      </c>
      <c r="Y39" s="198">
        <f>IF(E39="Standard Access in ZG BT gebieden",0,-INDEX(Parameters!$B:$B,MATCH(Y$3&amp;$C39,Parameters!$A:$A,0))*$X39)</f>
        <v>0</v>
      </c>
      <c r="Z39" s="198">
        <f>IF(E39="Standard Access in ZG BT gebieden",0,MAX(-INDEX(Parameters!$B:$B,MATCH(Z$3&amp;$C39,Parameters!$A:$A,0))*$X39,-INDEX(Parameters!$B:$B,MATCH("FactorMaxSalesMandaat"&amp;E39,Parameters!$A:$A,0))*INDEX(Parameters!$B:$B,MATCH("MaxSalesMandaatAccessVVE"&amp;$C39,Parameters!$A:$A,0))))</f>
        <v>0</v>
      </c>
      <c r="AA39" s="139">
        <f t="shared" si="72"/>
        <v>1000</v>
      </c>
      <c r="AB39" s="205">
        <f>AA39/INDEX(Parameters!$B:$B,MATCH("AfschrijftermijnVVE"&amp;12*$C39,Parameters!$A:$A,0))</f>
        <v>27.777777777777779</v>
      </c>
      <c r="AC39" s="204">
        <f>INDEX('Tarieven ZM'!$G:$G,$W39)</f>
        <v>1000</v>
      </c>
      <c r="AD39" s="198">
        <f>IF(E39="Standard Access in ZG BT gebieden",0,-INDEX(Parameters!$B:$B,MATCH(AD$3&amp;$C39,Parameters!$A:$A,0))*$AC39)</f>
        <v>0</v>
      </c>
      <c r="AE39" s="198">
        <f>IF(E39="Standard Access in ZG BT gebieden",0,-INDEX(Parameters!$B:$B,MATCH(AE$3,Parameters!$A:$A,0))*$AC39)</f>
        <v>0</v>
      </c>
      <c r="AF39" s="139">
        <f t="shared" si="73"/>
        <v>1000</v>
      </c>
      <c r="AG39" s="522">
        <f t="shared" si="74"/>
        <v>1027.7777777777778</v>
      </c>
      <c r="AH39" s="175"/>
      <c r="AI39" s="523">
        <f>IF(N39&lt;&gt;"nvt",MATCH($T39,'Tarieven W&amp;O'!$B:$B,0),"nvt")</f>
        <v>16</v>
      </c>
      <c r="AJ39" s="205">
        <f>IF(AI39&lt;&gt;"nvt",IF($D39="EoK",INDEX(Parameters!C:C,MATCH("NLSx EoK",Parameters!A:A,0)),INDEX('Tarieven W&amp;O'!$H:$H,$AI39)),0)*R39</f>
        <v>350</v>
      </c>
      <c r="AK39" s="204">
        <f>IF(AI39&lt;&gt;"nvt",INDEX('Tarieven W&amp;O'!$I:$I,$AI39),0)*R39</f>
        <v>75</v>
      </c>
      <c r="AL39" s="524">
        <f>IF(AI39&lt;&gt;"nvt",-INDEX(Parameters!$B:$B,MATCH(AL$3,Parameters!$A:$A,0))*(AJ39+AK39),0)</f>
        <v>0</v>
      </c>
      <c r="AM39" s="525"/>
      <c r="AN39" s="139">
        <f t="shared" si="75"/>
        <v>425</v>
      </c>
      <c r="AO39" s="205">
        <f>AN39/INDEX(Parameters!$B:$B,MATCH("AfschrijftermijnVVE"&amp;12*$C39,Parameters!$A:$A,0))</f>
        <v>11.805555555555555</v>
      </c>
      <c r="AP39" s="139">
        <f t="shared" si="65"/>
        <v>16</v>
      </c>
      <c r="AQ39" s="526">
        <f>IF(AP39&lt;&gt;"nvt",R39*INDEX('Tarieven W&amp;O'!$G:$G,$AP39),0)</f>
        <v>41.5</v>
      </c>
      <c r="AR39" s="524">
        <f>-INDEX(Parameters!$B:$B,MATCH(AR$3,Parameters!$A:$A,0))*(AQ39)</f>
        <v>0</v>
      </c>
      <c r="AS39" s="205">
        <f>IF(E39="straal access",'EDC Minus'!$H$192,IF(Q39&lt;&gt;"nvt",Q39*S39*'EDC Minus'!$H$292/590,0))</f>
        <v>0</v>
      </c>
      <c r="AT39" s="180"/>
      <c r="AU39" s="150">
        <f t="shared" si="76"/>
        <v>41.5</v>
      </c>
      <c r="AV39" s="150">
        <f t="shared" si="77"/>
        <v>53.305555555555557</v>
      </c>
      <c r="AX39" s="526">
        <f>Parameters!$B$6*AV39</f>
        <v>0.53305555555555562</v>
      </c>
      <c r="AY39" s="150">
        <v>0</v>
      </c>
      <c r="AZ39" s="150"/>
      <c r="BA39" s="150">
        <f t="shared" si="66"/>
        <v>0.53305555555555562</v>
      </c>
      <c r="BC39" s="522">
        <f t="shared" si="56"/>
        <v>53.838611111111113</v>
      </c>
      <c r="BD39" s="175"/>
      <c r="BE39" s="527">
        <f t="shared" si="67"/>
        <v>973.93916666666667</v>
      </c>
      <c r="BF39" s="181">
        <f t="shared" si="68"/>
        <v>0.94761648648648644</v>
      </c>
      <c r="BG39" s="520" t="b">
        <f t="shared" si="78"/>
        <v>0</v>
      </c>
      <c r="BI39" s="528" t="s">
        <v>2181</v>
      </c>
      <c r="BK39" s="151">
        <f>VLOOKUP(J39,'Tarieven ZM'!$B$136:$I$235,8,0)</f>
        <v>0</v>
      </c>
      <c r="BL39" s="151" t="str">
        <f>IF(M39="EoK",N39&amp;"AdvancedNLS type 1/2/3",IF(E39&lt;&gt;"Straal Access",INDEX(Mapping!J:J,MATCH(E39&amp;G39,Mapping!B:B,0)),E39))</f>
        <v>Copper Standard Access 3Mbit/sAdvancedNLS type 1/2/3</v>
      </c>
      <c r="BM39" s="184">
        <f>INDEX('inkoop ULL tbv EVPN'!J:J,MATCH($BL39,'inkoop ULL tbv EVPN'!$H:$H,0))</f>
        <v>78.97</v>
      </c>
      <c r="BN39" s="180">
        <f>BM39/INDEX(Parameters!$B:$B,MATCH("AfschrijftermijnVVE"&amp;12*$C39,Parameters!$A:$A,0))</f>
        <v>2.1936111111111112</v>
      </c>
      <c r="BO39" s="184">
        <f>INDEX('inkoop ULL tbv EVPN'!I:I,MATCH($BL39,'inkoop ULL tbv EVPN'!$H:$H,0))</f>
        <v>14.7296035</v>
      </c>
      <c r="BP39" s="184">
        <f t="shared" si="57"/>
        <v>16.92321461111111</v>
      </c>
      <c r="BR39" s="180">
        <f>Parameters!$B$12*AG39</f>
        <v>102.77777777777779</v>
      </c>
      <c r="BS39" s="180">
        <f>SUM(Distributievergoedingen!$F$12,Distributievergoedingen!$I$12,Distributievergoedingen!$L$12,Distributievergoedingen!$O$12)*AF39+SUM(Distributievergoedingen!$O$12*AA39+Distributievergoedingen!$R$12+Distributievergoedingen!$U$12+Distributievergoedingen!$X$12)/(MAX(36,12*C39))</f>
        <v>112.77777777777777</v>
      </c>
      <c r="BT39" s="150"/>
      <c r="BU39" s="150">
        <f t="shared" si="58"/>
        <v>215.55555555555554</v>
      </c>
      <c r="BW39" s="522">
        <f t="shared" si="59"/>
        <v>232.47877016666666</v>
      </c>
      <c r="BY39" s="527">
        <f t="shared" si="60"/>
        <v>795.29900761111116</v>
      </c>
      <c r="BZ39" s="181">
        <f t="shared" si="61"/>
        <v>0.77380443983783787</v>
      </c>
      <c r="CA39" s="520" t="b">
        <f t="shared" si="62"/>
        <v>0</v>
      </c>
    </row>
    <row r="40" spans="1:79" s="151" customFormat="1">
      <c r="A40" s="151" t="str">
        <f t="shared" si="63"/>
        <v>1EoKStandard Access koper 5mbLaagOn-net (NLS3)</v>
      </c>
      <c r="B40" s="151" t="str">
        <f t="shared" si="69"/>
        <v>1EoKStandard Access koper 5mbLaagOn-net (NLS3)</v>
      </c>
      <c r="C40" s="178">
        <v>1</v>
      </c>
      <c r="D40" s="415" t="s">
        <v>303</v>
      </c>
      <c r="E40" s="178" t="s">
        <v>276</v>
      </c>
      <c r="F40" s="107" t="s">
        <v>275</v>
      </c>
      <c r="G40" s="178" t="s">
        <v>3398</v>
      </c>
      <c r="I40" s="178"/>
      <c r="J40" s="520" t="str">
        <f t="shared" si="64"/>
        <v>EoKStandard Access koper 5mbLaagOn-net (NLS3)</v>
      </c>
      <c r="L40" s="204">
        <f>INDEX(Mapping!$H:$H,MATCH(C$3&amp;C40,Mapping!$B:$B,0))</f>
        <v>1</v>
      </c>
      <c r="M40" s="204" t="str">
        <f>INDEX(Mapping!$H:$H,MATCH(D$3&amp;D40,Mapping!$B:$B,0))</f>
        <v>EoK</v>
      </c>
      <c r="N40" s="204" t="str">
        <f>INDEX(Mapping!$H:$H,MATCH(E$3&amp;E40,Mapping!$B:$B,0))</f>
        <v>Copper Standard Access 5Mbit/s</v>
      </c>
      <c r="O40" s="204" t="str">
        <f>INDEX(Mapping!$H:$H,MATCH(E40&amp;F40,Mapping!$B:$B,0))</f>
        <v/>
      </c>
      <c r="P40" s="204" t="str">
        <f>INDEX(Mapping!$H:$H,MATCH($E40&amp;$G40,Mapping!$B:$B,0))</f>
        <v>On-net (NLS3)</v>
      </c>
      <c r="Q40" s="204" t="str">
        <f>INDEX(Mapping!$H:$H,MATCH($E40&amp;$G40&amp;"graafafstand",Mapping!$B:$B,0))</f>
        <v>nvt</v>
      </c>
      <c r="R40" s="204">
        <f>INDEX(Mapping!$H:$H,MATCH(R$3&amp;$E40,Mapping!$B:$B,0))</f>
        <v>1</v>
      </c>
      <c r="S40" s="204">
        <f>INDEX(Mapping!$H:$H,MATCH(S$3&amp;$E40,Mapping!$B:$B,0))</f>
        <v>1</v>
      </c>
      <c r="T40" s="139" t="str">
        <f t="shared" si="70"/>
        <v>Copper Standard Access 5Mbit/sOn-net (NLS3)</v>
      </c>
      <c r="U40" s="151" t="str">
        <f t="shared" si="71"/>
        <v>Copper Standard Access 5Mbit/sOn-net (NLS3)</v>
      </c>
      <c r="W40" s="521">
        <f>MATCH($J40,'Tarieven ZM'!$B:$B,0)</f>
        <v>179</v>
      </c>
      <c r="X40" s="204">
        <f>INDEX('Tarieven ZM'!$H:$H,$W40)</f>
        <v>1000</v>
      </c>
      <c r="Y40" s="198">
        <f>IF(E40="Standard Access in ZG BT gebieden",0,-INDEX(Parameters!$B:$B,MATCH(Y$3&amp;$C40,Parameters!$A:$A,0))*$X40)</f>
        <v>0</v>
      </c>
      <c r="Z40" s="198">
        <f>IF(E40="Standard Access in ZG BT gebieden",0,MAX(-INDEX(Parameters!$B:$B,MATCH(Z$3&amp;$C40,Parameters!$A:$A,0))*$X40,-INDEX(Parameters!$B:$B,MATCH("FactorMaxSalesMandaat"&amp;E40,Parameters!$A:$A,0))*INDEX(Parameters!$B:$B,MATCH("MaxSalesMandaatAccessVVE"&amp;$C40,Parameters!$A:$A,0))))</f>
        <v>0</v>
      </c>
      <c r="AA40" s="139">
        <f t="shared" si="72"/>
        <v>1000</v>
      </c>
      <c r="AB40" s="205">
        <f>AA40/INDEX(Parameters!$B:$B,MATCH("AfschrijftermijnVVE"&amp;12*$C40,Parameters!$A:$A,0))</f>
        <v>27.777777777777779</v>
      </c>
      <c r="AC40" s="204">
        <f>INDEX('Tarieven ZM'!$G:$G,$W40)</f>
        <v>1000</v>
      </c>
      <c r="AD40" s="198">
        <f>IF(E40="Standard Access in ZG BT gebieden",0,-INDEX(Parameters!$B:$B,MATCH(AD$3&amp;$C40,Parameters!$A:$A,0))*$AC40)</f>
        <v>0</v>
      </c>
      <c r="AE40" s="198">
        <f>IF(E40="Standard Access in ZG BT gebieden",0,-INDEX(Parameters!$B:$B,MATCH(AE$3,Parameters!$A:$A,0))*$AC40)</f>
        <v>0</v>
      </c>
      <c r="AF40" s="139">
        <f t="shared" si="73"/>
        <v>1000</v>
      </c>
      <c r="AG40" s="522">
        <f t="shared" si="74"/>
        <v>1027.7777777777778</v>
      </c>
      <c r="AH40" s="175"/>
      <c r="AI40" s="523">
        <f>IF(N40&lt;&gt;"nvt",MATCH($T40,'Tarieven W&amp;O'!$B:$B,0),"nvt")</f>
        <v>17</v>
      </c>
      <c r="AJ40" s="205">
        <f>IF(AI40&lt;&gt;"nvt",IF($D40="EoK",INDEX(Parameters!C:C,MATCH("NLSx EoK",Parameters!A:A,0)),INDEX('Tarieven W&amp;O'!$H:$H,$AI40)),0)*R40</f>
        <v>350</v>
      </c>
      <c r="AK40" s="204">
        <f>IF(AI40&lt;&gt;"nvt",INDEX('Tarieven W&amp;O'!$I:$I,$AI40),0)*R40</f>
        <v>75</v>
      </c>
      <c r="AL40" s="524">
        <f>IF(AI40&lt;&gt;"nvt",-INDEX(Parameters!$B:$B,MATCH(AL$3,Parameters!$A:$A,0))*(AJ40+AK40),0)</f>
        <v>0</v>
      </c>
      <c r="AM40" s="525"/>
      <c r="AN40" s="139">
        <f t="shared" si="75"/>
        <v>425</v>
      </c>
      <c r="AO40" s="205">
        <f>AN40/INDEX(Parameters!$B:$B,MATCH("AfschrijftermijnVVE"&amp;12*$C40,Parameters!$A:$A,0))</f>
        <v>11.805555555555555</v>
      </c>
      <c r="AP40" s="139">
        <f t="shared" si="65"/>
        <v>17</v>
      </c>
      <c r="AQ40" s="526">
        <f>IF(AP40&lt;&gt;"nvt",R40*INDEX('Tarieven W&amp;O'!$G:$G,$AP40),0)</f>
        <v>60.97</v>
      </c>
      <c r="AR40" s="524">
        <f>-INDEX(Parameters!$B:$B,MATCH(AR$3,Parameters!$A:$A,0))*(AQ40)</f>
        <v>0</v>
      </c>
      <c r="AS40" s="205">
        <f>IF(E40="straal access",'EDC Minus'!$H$192,IF(Q40&lt;&gt;"nvt",Q40*S40*'EDC Minus'!$H$292/590,0))</f>
        <v>0</v>
      </c>
      <c r="AT40" s="139"/>
      <c r="AU40" s="150">
        <f t="shared" si="76"/>
        <v>60.97</v>
      </c>
      <c r="AV40" s="150">
        <f t="shared" si="77"/>
        <v>72.775555555555556</v>
      </c>
      <c r="AX40" s="526">
        <f>Parameters!$B$6*AV40</f>
        <v>0.7277555555555556</v>
      </c>
      <c r="AY40" s="150">
        <v>0</v>
      </c>
      <c r="AZ40" s="150"/>
      <c r="BA40" s="150">
        <f t="shared" si="66"/>
        <v>0.7277555555555556</v>
      </c>
      <c r="BC40" s="522">
        <f t="shared" si="56"/>
        <v>73.503311111111117</v>
      </c>
      <c r="BD40" s="175"/>
      <c r="BE40" s="527">
        <f t="shared" si="67"/>
        <v>954.27446666666674</v>
      </c>
      <c r="BF40" s="181">
        <f t="shared" si="68"/>
        <v>0.92848326486486488</v>
      </c>
      <c r="BG40" s="520" t="b">
        <f t="shared" si="78"/>
        <v>0</v>
      </c>
      <c r="BI40" s="528" t="s">
        <v>2181</v>
      </c>
      <c r="BK40" s="151">
        <f>VLOOKUP(J40,'Tarieven ZM'!$B$136:$I$235,8,0)</f>
        <v>0</v>
      </c>
      <c r="BL40" s="151" t="str">
        <f>IF(M40="EoK",N40&amp;"AdvancedNLS type 1/2/3",IF(E40&lt;&gt;"Straal Access",INDEX(Mapping!J:J,MATCH(E40&amp;G40,Mapping!B:B,0)),E40))</f>
        <v>Copper Standard Access 5Mbit/sAdvancedNLS type 1/2/3</v>
      </c>
      <c r="BM40" s="184">
        <f>INDEX('inkoop ULL tbv EVPN'!J:J,MATCH($BL40,'inkoop ULL tbv EVPN'!$H:$H,0))</f>
        <v>78.97</v>
      </c>
      <c r="BN40" s="180">
        <f>BM40/INDEX(Parameters!$B:$B,MATCH("AfschrijftermijnVVE"&amp;12*$C40,Parameters!$A:$A,0))</f>
        <v>2.1936111111111112</v>
      </c>
      <c r="BO40" s="184">
        <f>INDEX('inkoop ULL tbv EVPN'!I:I,MATCH($BL40,'inkoop ULL tbv EVPN'!$H:$H,0))</f>
        <v>14.7296035</v>
      </c>
      <c r="BP40" s="184">
        <f t="shared" si="57"/>
        <v>16.92321461111111</v>
      </c>
      <c r="BR40" s="180">
        <f>Parameters!$B$12*AG40</f>
        <v>102.77777777777779</v>
      </c>
      <c r="BS40" s="180">
        <f>SUM(Distributievergoedingen!$F$12,Distributievergoedingen!$I$12,Distributievergoedingen!$L$12,Distributievergoedingen!$O$12)*AF40+SUM(Distributievergoedingen!$O$12*AA40+Distributievergoedingen!$R$12+Distributievergoedingen!$U$12+Distributievergoedingen!$X$12)/(MAX(36,12*C40))</f>
        <v>112.77777777777777</v>
      </c>
      <c r="BT40" s="150"/>
      <c r="BU40" s="150">
        <f t="shared" si="58"/>
        <v>215.55555555555554</v>
      </c>
      <c r="BW40" s="522">
        <f t="shared" si="59"/>
        <v>232.47877016666666</v>
      </c>
      <c r="BY40" s="527">
        <f t="shared" si="60"/>
        <v>795.29900761111116</v>
      </c>
      <c r="BZ40" s="181">
        <f t="shared" si="61"/>
        <v>0.77380443983783787</v>
      </c>
      <c r="CA40" s="520" t="b">
        <f t="shared" si="62"/>
        <v>0</v>
      </c>
    </row>
    <row r="41" spans="1:79" s="151" customFormat="1">
      <c r="A41" s="151" t="str">
        <f t="shared" si="63"/>
        <v>1EoKStandard Access koper 10mbLaagOn-net (NLS3)</v>
      </c>
      <c r="B41" s="151" t="str">
        <f t="shared" si="69"/>
        <v>1EoKStandard Access koper 10mbLaagOn-net (NLS3)</v>
      </c>
      <c r="C41" s="178">
        <v>1</v>
      </c>
      <c r="D41" s="415" t="s">
        <v>303</v>
      </c>
      <c r="E41" s="178" t="s">
        <v>277</v>
      </c>
      <c r="F41" s="107" t="s">
        <v>275</v>
      </c>
      <c r="G41" s="178" t="s">
        <v>3398</v>
      </c>
      <c r="I41" s="178"/>
      <c r="J41" s="520" t="str">
        <f t="shared" si="64"/>
        <v>EoKStandard Access koper 10mbLaagOn-net (NLS3)</v>
      </c>
      <c r="L41" s="204">
        <f>INDEX(Mapping!$H:$H,MATCH(C$3&amp;C41,Mapping!$B:$B,0))</f>
        <v>1</v>
      </c>
      <c r="M41" s="204" t="str">
        <f>INDEX(Mapping!$H:$H,MATCH(D$3&amp;D41,Mapping!$B:$B,0))</f>
        <v>EoK</v>
      </c>
      <c r="N41" s="204" t="str">
        <f>INDEX(Mapping!$H:$H,MATCH(E$3&amp;E41,Mapping!$B:$B,0))</f>
        <v>Copper Standard Access 10Mbit/s</v>
      </c>
      <c r="O41" s="204" t="str">
        <f>INDEX(Mapping!$H:$H,MATCH(E41&amp;F41,Mapping!$B:$B,0))</f>
        <v/>
      </c>
      <c r="P41" s="204" t="str">
        <f>INDEX(Mapping!$H:$H,MATCH($E41&amp;$G41,Mapping!$B:$B,0))</f>
        <v>On-net (NLS3)</v>
      </c>
      <c r="Q41" s="204" t="str">
        <f>INDEX(Mapping!$H:$H,MATCH($E41&amp;$G41&amp;"graafafstand",Mapping!$B:$B,0))</f>
        <v>nvt</v>
      </c>
      <c r="R41" s="204">
        <f>INDEX(Mapping!$H:$H,MATCH(R$3&amp;$E41,Mapping!$B:$B,0))</f>
        <v>1</v>
      </c>
      <c r="S41" s="204">
        <f>INDEX(Mapping!$H:$H,MATCH(S$3&amp;$E41,Mapping!$B:$B,0))</f>
        <v>1</v>
      </c>
      <c r="T41" s="139" t="str">
        <f t="shared" si="70"/>
        <v>Copper Standard Access 10Mbit/sOn-net (NLS3)</v>
      </c>
      <c r="U41" s="151" t="str">
        <f t="shared" si="71"/>
        <v>Copper Standard Access 10Mbit/sOn-net (NLS3)</v>
      </c>
      <c r="W41" s="521">
        <f>MATCH($J41,'Tarieven ZM'!$B:$B,0)</f>
        <v>180</v>
      </c>
      <c r="X41" s="204">
        <f>INDEX('Tarieven ZM'!$H:$H,$W41)</f>
        <v>1000</v>
      </c>
      <c r="Y41" s="198">
        <f>IF(E41="Standard Access in ZG BT gebieden",0,-INDEX(Parameters!$B:$B,MATCH(Y$3&amp;$C41,Parameters!$A:$A,0))*$X41)</f>
        <v>0</v>
      </c>
      <c r="Z41" s="198">
        <f>IF(E41="Standard Access in ZG BT gebieden",0,MAX(-INDEX(Parameters!$B:$B,MATCH(Z$3&amp;$C41,Parameters!$A:$A,0))*$X41,-INDEX(Parameters!$B:$B,MATCH("FactorMaxSalesMandaat"&amp;E41,Parameters!$A:$A,0))*INDEX(Parameters!$B:$B,MATCH("MaxSalesMandaatAccessVVE"&amp;$C41,Parameters!$A:$A,0))))</f>
        <v>0</v>
      </c>
      <c r="AA41" s="139">
        <f t="shared" si="72"/>
        <v>1000</v>
      </c>
      <c r="AB41" s="205">
        <f>AA41/INDEX(Parameters!$B:$B,MATCH("AfschrijftermijnVVE"&amp;12*$C41,Parameters!$A:$A,0))</f>
        <v>27.777777777777779</v>
      </c>
      <c r="AC41" s="204">
        <f>INDEX('Tarieven ZM'!$G:$G,$W41)</f>
        <v>1000</v>
      </c>
      <c r="AD41" s="198">
        <f>IF(E41="Standard Access in ZG BT gebieden",0,-INDEX(Parameters!$B:$B,MATCH(AD$3&amp;$C41,Parameters!$A:$A,0))*$AC41)</f>
        <v>0</v>
      </c>
      <c r="AE41" s="198">
        <f>IF(E41="Standard Access in ZG BT gebieden",0,-INDEX(Parameters!$B:$B,MATCH(AE$3,Parameters!$A:$A,0))*$AC41)</f>
        <v>0</v>
      </c>
      <c r="AF41" s="139">
        <f t="shared" si="73"/>
        <v>1000</v>
      </c>
      <c r="AG41" s="522">
        <f t="shared" si="74"/>
        <v>1027.7777777777778</v>
      </c>
      <c r="AH41" s="175"/>
      <c r="AI41" s="523">
        <f>IF(N41&lt;&gt;"nvt",MATCH($T41,'Tarieven W&amp;O'!$B:$B,0),"nvt")</f>
        <v>18</v>
      </c>
      <c r="AJ41" s="205">
        <f>IF(AI41&lt;&gt;"nvt",IF($D41="EoK",INDEX(Parameters!C:C,MATCH("NLSx EoK",Parameters!A:A,0)),INDEX('Tarieven W&amp;O'!$H:$H,$AI41)),0)*R41</f>
        <v>350</v>
      </c>
      <c r="AK41" s="204">
        <f>IF(AI41&lt;&gt;"nvt",INDEX('Tarieven W&amp;O'!$I:$I,$AI41),0)*R41</f>
        <v>75</v>
      </c>
      <c r="AL41" s="524">
        <f>IF(AI41&lt;&gt;"nvt",-INDEX(Parameters!$B:$B,MATCH(AL$3,Parameters!$A:$A,0))*(AJ41+AK41),0)</f>
        <v>0</v>
      </c>
      <c r="AM41" s="525"/>
      <c r="AN41" s="139">
        <f t="shared" si="75"/>
        <v>425</v>
      </c>
      <c r="AO41" s="205">
        <f>AN41/INDEX(Parameters!$B:$B,MATCH("AfschrijftermijnVVE"&amp;12*$C41,Parameters!$A:$A,0))</f>
        <v>11.805555555555555</v>
      </c>
      <c r="AP41" s="139">
        <f t="shared" si="65"/>
        <v>18</v>
      </c>
      <c r="AQ41" s="526">
        <f>IF(AP41&lt;&gt;"nvt",R41*INDEX('Tarieven W&amp;O'!$G:$G,$AP41),0)</f>
        <v>83.59</v>
      </c>
      <c r="AR41" s="524">
        <f>-INDEX(Parameters!$B:$B,MATCH(AR$3,Parameters!$A:$A,0))*(AQ41)</f>
        <v>0</v>
      </c>
      <c r="AS41" s="205">
        <f>IF(E41="straal access",'EDC Minus'!$H$192,IF(Q41&lt;&gt;"nvt",Q41*S41*'EDC Minus'!$H$292/590,0))</f>
        <v>0</v>
      </c>
      <c r="AT41" s="139"/>
      <c r="AU41" s="150">
        <f t="shared" si="76"/>
        <v>83.59</v>
      </c>
      <c r="AV41" s="150">
        <f t="shared" si="77"/>
        <v>95.395555555555561</v>
      </c>
      <c r="AX41" s="526">
        <f>Parameters!$B$6*AV41</f>
        <v>0.95395555555555567</v>
      </c>
      <c r="AY41" s="150">
        <v>0</v>
      </c>
      <c r="AZ41" s="150"/>
      <c r="BA41" s="150">
        <f t="shared" si="66"/>
        <v>0.95395555555555567</v>
      </c>
      <c r="BC41" s="522">
        <f t="shared" si="56"/>
        <v>96.349511111111113</v>
      </c>
      <c r="BD41" s="175"/>
      <c r="BE41" s="527">
        <f t="shared" si="67"/>
        <v>931.42826666666667</v>
      </c>
      <c r="BF41" s="181">
        <f t="shared" si="68"/>
        <v>0.90625452972972964</v>
      </c>
      <c r="BG41" s="520" t="b">
        <f t="shared" si="78"/>
        <v>0</v>
      </c>
      <c r="BI41" s="528" t="s">
        <v>2181</v>
      </c>
      <c r="BK41" s="151">
        <f>VLOOKUP(J41,'Tarieven ZM'!$B$136:$I$235,8,0)</f>
        <v>0</v>
      </c>
      <c r="BL41" s="151" t="str">
        <f>IF(M41="EoK",N41&amp;"AdvancedNLS type 1/2/3",IF(E41&lt;&gt;"Straal Access",INDEX(Mapping!J:J,MATCH(E41&amp;G41,Mapping!B:B,0)),E41))</f>
        <v>Copper Standard Access 10Mbit/sAdvancedNLS type 1/2/3</v>
      </c>
      <c r="BM41" s="184">
        <f>INDEX('inkoop ULL tbv EVPN'!J:J,MATCH($BL41,'inkoop ULL tbv EVPN'!$H:$H,0))</f>
        <v>78.97</v>
      </c>
      <c r="BN41" s="180">
        <f>BM41/INDEX(Parameters!$B:$B,MATCH("AfschrijftermijnVVE"&amp;12*$C41,Parameters!$A:$A,0))</f>
        <v>2.1936111111111112</v>
      </c>
      <c r="BO41" s="184">
        <f>INDEX('inkoop ULL tbv EVPN'!I:I,MATCH($BL41,'inkoop ULL tbv EVPN'!$H:$H,0))</f>
        <v>14.7296035</v>
      </c>
      <c r="BP41" s="184">
        <f t="shared" si="57"/>
        <v>16.92321461111111</v>
      </c>
      <c r="BR41" s="180">
        <f>Parameters!$B$12*AG41</f>
        <v>102.77777777777779</v>
      </c>
      <c r="BS41" s="180">
        <f>SUM(Distributievergoedingen!$F$12,Distributievergoedingen!$I$12,Distributievergoedingen!$L$12,Distributievergoedingen!$O$12)*AF41+SUM(Distributievergoedingen!$O$12*AA41+Distributievergoedingen!$R$12+Distributievergoedingen!$U$12+Distributievergoedingen!$X$12)/(MAX(36,12*C41))</f>
        <v>112.77777777777777</v>
      </c>
      <c r="BT41" s="150"/>
      <c r="BU41" s="150">
        <f t="shared" si="58"/>
        <v>215.55555555555554</v>
      </c>
      <c r="BW41" s="522">
        <f t="shared" si="59"/>
        <v>232.47877016666666</v>
      </c>
      <c r="BY41" s="527">
        <f t="shared" si="60"/>
        <v>795.29900761111116</v>
      </c>
      <c r="BZ41" s="181">
        <f t="shared" si="61"/>
        <v>0.77380443983783787</v>
      </c>
      <c r="CA41" s="520" t="b">
        <f t="shared" si="62"/>
        <v>0</v>
      </c>
    </row>
    <row r="42" spans="1:79" s="151" customFormat="1">
      <c r="A42" s="151" t="str">
        <f t="shared" si="63"/>
        <v>1EoKStandard Access koper 15mbLaagOn-net (NLS3)</v>
      </c>
      <c r="B42" s="151" t="str">
        <f t="shared" si="69"/>
        <v>1EoKStandard Access koper 15mbLaagOn-net (NLS3)</v>
      </c>
      <c r="C42" s="178">
        <v>1</v>
      </c>
      <c r="D42" s="415" t="s">
        <v>303</v>
      </c>
      <c r="E42" s="178" t="s">
        <v>278</v>
      </c>
      <c r="F42" s="107" t="s">
        <v>275</v>
      </c>
      <c r="G42" s="178" t="s">
        <v>3398</v>
      </c>
      <c r="I42" s="178"/>
      <c r="J42" s="520" t="str">
        <f t="shared" si="64"/>
        <v>EoKStandard Access koper 15mbLaagOn-net (NLS3)</v>
      </c>
      <c r="L42" s="204">
        <f>INDEX(Mapping!$H:$H,MATCH(C$3&amp;C42,Mapping!$B:$B,0))</f>
        <v>1</v>
      </c>
      <c r="M42" s="204" t="str">
        <f>INDEX(Mapping!$H:$H,MATCH(D$3&amp;D42,Mapping!$B:$B,0))</f>
        <v>EoK</v>
      </c>
      <c r="N42" s="204" t="str">
        <f>INDEX(Mapping!$H:$H,MATCH(E$3&amp;E42,Mapping!$B:$B,0))</f>
        <v>Copper Standard Access 15Mbit/s</v>
      </c>
      <c r="O42" s="204" t="str">
        <f>INDEX(Mapping!$H:$H,MATCH(E42&amp;F42,Mapping!$B:$B,0))</f>
        <v/>
      </c>
      <c r="P42" s="204" t="str">
        <f>INDEX(Mapping!$H:$H,MATCH($E42&amp;$G42,Mapping!$B:$B,0))</f>
        <v>On-net (NLS3)</v>
      </c>
      <c r="Q42" s="204" t="str">
        <f>INDEX(Mapping!$H:$H,MATCH($E42&amp;$G42&amp;"graafafstand",Mapping!$B:$B,0))</f>
        <v>nvt</v>
      </c>
      <c r="R42" s="204">
        <f>INDEX(Mapping!$H:$H,MATCH(R$3&amp;$E42,Mapping!$B:$B,0))</f>
        <v>1</v>
      </c>
      <c r="S42" s="204">
        <f>INDEX(Mapping!$H:$H,MATCH(S$3&amp;$E42,Mapping!$B:$B,0))</f>
        <v>1</v>
      </c>
      <c r="T42" s="139" t="str">
        <f t="shared" si="70"/>
        <v>Copper Standard Access 15Mbit/sOn-net (NLS3)</v>
      </c>
      <c r="U42" s="151" t="str">
        <f t="shared" si="71"/>
        <v>Copper Standard Access 15Mbit/sOn-net (NLS3)</v>
      </c>
      <c r="W42" s="521">
        <f>MATCH($J42,'Tarieven ZM'!$B:$B,0)</f>
        <v>181</v>
      </c>
      <c r="X42" s="204">
        <f>INDEX('Tarieven ZM'!$H:$H,$W42)</f>
        <v>1000</v>
      </c>
      <c r="Y42" s="198">
        <f>IF(E42="Standard Access in ZG BT gebieden",0,-INDEX(Parameters!$B:$B,MATCH(Y$3&amp;$C42,Parameters!$A:$A,0))*$X42)</f>
        <v>0</v>
      </c>
      <c r="Z42" s="198">
        <f>IF(E42="Standard Access in ZG BT gebieden",0,MAX(-INDEX(Parameters!$B:$B,MATCH(Z$3&amp;$C42,Parameters!$A:$A,0))*$X42,-INDEX(Parameters!$B:$B,MATCH("FactorMaxSalesMandaat"&amp;E42,Parameters!$A:$A,0))*INDEX(Parameters!$B:$B,MATCH("MaxSalesMandaatAccessVVE"&amp;$C42,Parameters!$A:$A,0))))</f>
        <v>0</v>
      </c>
      <c r="AA42" s="139">
        <f t="shared" si="72"/>
        <v>1000</v>
      </c>
      <c r="AB42" s="205">
        <f>AA42/INDEX(Parameters!$B:$B,MATCH("AfschrijftermijnVVE"&amp;12*$C42,Parameters!$A:$A,0))</f>
        <v>27.777777777777779</v>
      </c>
      <c r="AC42" s="204">
        <f>INDEX('Tarieven ZM'!$G:$G,$W42)</f>
        <v>1000</v>
      </c>
      <c r="AD42" s="198">
        <f>IF(E42="Standard Access in ZG BT gebieden",0,-INDEX(Parameters!$B:$B,MATCH(AD$3&amp;$C42,Parameters!$A:$A,0))*$AC42)</f>
        <v>0</v>
      </c>
      <c r="AE42" s="198">
        <f>IF(E42="Standard Access in ZG BT gebieden",0,-INDEX(Parameters!$B:$B,MATCH(AE$3,Parameters!$A:$A,0))*$AC42)</f>
        <v>0</v>
      </c>
      <c r="AF42" s="139">
        <f t="shared" si="73"/>
        <v>1000</v>
      </c>
      <c r="AG42" s="522">
        <f t="shared" si="74"/>
        <v>1027.7777777777778</v>
      </c>
      <c r="AH42" s="175"/>
      <c r="AI42" s="523">
        <f>IF(N42&lt;&gt;"nvt",MATCH($T42,'Tarieven W&amp;O'!$B:$B,0),"nvt")</f>
        <v>19</v>
      </c>
      <c r="AJ42" s="205">
        <f>IF(AI42&lt;&gt;"nvt",IF($D42="EoK",INDEX(Parameters!C:C,MATCH("NLSx EoK",Parameters!A:A,0)),INDEX('Tarieven W&amp;O'!$H:$H,$AI42)),0)*R42</f>
        <v>350</v>
      </c>
      <c r="AK42" s="204">
        <f>IF(AI42&lt;&gt;"nvt",INDEX('Tarieven W&amp;O'!$I:$I,$AI42),0)*R42</f>
        <v>75</v>
      </c>
      <c r="AL42" s="524">
        <f>IF(AI42&lt;&gt;"nvt",-INDEX(Parameters!$B:$B,MATCH(AL$3,Parameters!$A:$A,0))*(AJ42+AK42),0)</f>
        <v>0</v>
      </c>
      <c r="AM42" s="525"/>
      <c r="AN42" s="139">
        <f t="shared" si="75"/>
        <v>425</v>
      </c>
      <c r="AO42" s="205">
        <f>AN42/INDEX(Parameters!$B:$B,MATCH("AfschrijftermijnVVE"&amp;12*$C42,Parameters!$A:$A,0))</f>
        <v>11.805555555555555</v>
      </c>
      <c r="AP42" s="139">
        <f t="shared" si="65"/>
        <v>19</v>
      </c>
      <c r="AQ42" s="526">
        <f>IF(AP42&lt;&gt;"nvt",R42*INDEX('Tarieven W&amp;O'!$G:$G,$AP42),0)</f>
        <v>102.44</v>
      </c>
      <c r="AR42" s="524">
        <f>-INDEX(Parameters!$B:$B,MATCH(AR$3,Parameters!$A:$A,0))*(AQ42)</f>
        <v>0</v>
      </c>
      <c r="AS42" s="205">
        <f>IF(E42="straal access",'EDC Minus'!$H$192,IF(Q42&lt;&gt;"nvt",Q42*S42*'EDC Minus'!$H$292/590,0))</f>
        <v>0</v>
      </c>
      <c r="AT42" s="139"/>
      <c r="AU42" s="150">
        <f t="shared" si="76"/>
        <v>102.44</v>
      </c>
      <c r="AV42" s="150">
        <f t="shared" si="77"/>
        <v>114.24555555555555</v>
      </c>
      <c r="AX42" s="526">
        <f>Parameters!$B$6*AV42</f>
        <v>1.1424555555555556</v>
      </c>
      <c r="AY42" s="150">
        <v>0</v>
      </c>
      <c r="AZ42" s="150"/>
      <c r="BA42" s="150">
        <f t="shared" si="66"/>
        <v>1.1424555555555556</v>
      </c>
      <c r="BC42" s="522">
        <f t="shared" si="56"/>
        <v>115.38801111111111</v>
      </c>
      <c r="BD42" s="175"/>
      <c r="BE42" s="527">
        <f t="shared" si="67"/>
        <v>912.38976666666667</v>
      </c>
      <c r="BF42" s="181">
        <f t="shared" si="68"/>
        <v>0.88773058378378378</v>
      </c>
      <c r="BG42" s="520" t="b">
        <f t="shared" si="78"/>
        <v>0</v>
      </c>
      <c r="BI42" s="528" t="s">
        <v>2181</v>
      </c>
      <c r="BK42" s="151">
        <f>VLOOKUP(J42,'Tarieven ZM'!$B$136:$I$235,8,0)</f>
        <v>0</v>
      </c>
      <c r="BL42" s="151" t="str">
        <f>IF(M42="EoK",N42&amp;"AdvancedNLS type 1/2/3",IF(E42&lt;&gt;"Straal Access",INDEX(Mapping!J:J,MATCH(E42&amp;G42,Mapping!B:B,0)),E42))</f>
        <v>Copper Standard Access 15Mbit/sAdvancedNLS type 1/2/3</v>
      </c>
      <c r="BM42" s="184">
        <f>INDEX('inkoop ULL tbv EVPN'!J:J,MATCH($BL42,'inkoop ULL tbv EVPN'!$H:$H,0))</f>
        <v>78.97</v>
      </c>
      <c r="BN42" s="180">
        <f>BM42/INDEX(Parameters!$B:$B,MATCH("AfschrijftermijnVVE"&amp;12*$C42,Parameters!$A:$A,0))</f>
        <v>2.1936111111111112</v>
      </c>
      <c r="BO42" s="184">
        <f>INDEX('inkoop ULL tbv EVPN'!I:I,MATCH($BL42,'inkoop ULL tbv EVPN'!$H:$H,0))</f>
        <v>14.7296035</v>
      </c>
      <c r="BP42" s="184">
        <f t="shared" si="57"/>
        <v>16.92321461111111</v>
      </c>
      <c r="BR42" s="180">
        <f>Parameters!$B$12*AG42</f>
        <v>102.77777777777779</v>
      </c>
      <c r="BS42" s="180">
        <f>SUM(Distributievergoedingen!$F$12,Distributievergoedingen!$I$12,Distributievergoedingen!$L$12,Distributievergoedingen!$O$12)*AF42+SUM(Distributievergoedingen!$O$12*AA42+Distributievergoedingen!$R$12+Distributievergoedingen!$U$12+Distributievergoedingen!$X$12)/(MAX(36,12*C42))</f>
        <v>112.77777777777777</v>
      </c>
      <c r="BT42" s="150"/>
      <c r="BU42" s="150">
        <f t="shared" si="58"/>
        <v>215.55555555555554</v>
      </c>
      <c r="BW42" s="522">
        <f t="shared" si="59"/>
        <v>232.47877016666666</v>
      </c>
      <c r="BY42" s="527">
        <f t="shared" si="60"/>
        <v>795.29900761111116</v>
      </c>
      <c r="BZ42" s="181">
        <f t="shared" si="61"/>
        <v>0.77380443983783787</v>
      </c>
      <c r="CA42" s="520" t="b">
        <f t="shared" si="62"/>
        <v>0</v>
      </c>
    </row>
    <row r="43" spans="1:79" s="151" customFormat="1">
      <c r="A43" s="151" t="str">
        <f t="shared" si="63"/>
        <v>1EoKStandard Access koper 20mbLaagOn-net (NLS3)</v>
      </c>
      <c r="B43" s="151" t="str">
        <f t="shared" si="69"/>
        <v>1EoKStandard Access koper 20mbLaagOn-net (NLS3)</v>
      </c>
      <c r="C43" s="178">
        <v>1</v>
      </c>
      <c r="D43" s="415" t="s">
        <v>303</v>
      </c>
      <c r="E43" s="178" t="s">
        <v>279</v>
      </c>
      <c r="F43" s="107" t="s">
        <v>275</v>
      </c>
      <c r="G43" s="178" t="s">
        <v>3398</v>
      </c>
      <c r="I43" s="178"/>
      <c r="J43" s="520" t="str">
        <f t="shared" si="64"/>
        <v>EoKStandard Access koper 20mbLaagOn-net (NLS3)</v>
      </c>
      <c r="L43" s="204">
        <f>INDEX(Mapping!$H:$H,MATCH(C$3&amp;C43,Mapping!$B:$B,0))</f>
        <v>1</v>
      </c>
      <c r="M43" s="204" t="str">
        <f>INDEX(Mapping!$H:$H,MATCH(D$3&amp;D43,Mapping!$B:$B,0))</f>
        <v>EoK</v>
      </c>
      <c r="N43" s="204" t="str">
        <f>INDEX(Mapping!$H:$H,MATCH(E$3&amp;E43,Mapping!$B:$B,0))</f>
        <v>Copper Standard Access 20Mbit/s</v>
      </c>
      <c r="O43" s="204" t="str">
        <f>INDEX(Mapping!$H:$H,MATCH(E43&amp;F43,Mapping!$B:$B,0))</f>
        <v/>
      </c>
      <c r="P43" s="204" t="str">
        <f>INDEX(Mapping!$H:$H,MATCH($E43&amp;$G43,Mapping!$B:$B,0))</f>
        <v>On-net (NLS3)</v>
      </c>
      <c r="Q43" s="204" t="str">
        <f>INDEX(Mapping!$H:$H,MATCH($E43&amp;$G43&amp;"graafafstand",Mapping!$B:$B,0))</f>
        <v>nvt</v>
      </c>
      <c r="R43" s="204">
        <f>INDEX(Mapping!$H:$H,MATCH(R$3&amp;$E43,Mapping!$B:$B,0))</f>
        <v>1</v>
      </c>
      <c r="S43" s="204">
        <f>INDEX(Mapping!$H:$H,MATCH(S$3&amp;$E43,Mapping!$B:$B,0))</f>
        <v>1</v>
      </c>
      <c r="T43" s="139" t="str">
        <f t="shared" si="70"/>
        <v>Copper Standard Access 20Mbit/sOn-net (NLS3)</v>
      </c>
      <c r="U43" s="151" t="str">
        <f t="shared" si="71"/>
        <v>Copper Standard Access 20Mbit/sOn-net (NLS3)</v>
      </c>
      <c r="W43" s="521">
        <f>MATCH($J43,'Tarieven ZM'!$B:$B,0)</f>
        <v>182</v>
      </c>
      <c r="X43" s="204">
        <f>INDEX('Tarieven ZM'!$H:$H,$W43)</f>
        <v>1000</v>
      </c>
      <c r="Y43" s="198">
        <f>IF(E43="Standard Access in ZG BT gebieden",0,-INDEX(Parameters!$B:$B,MATCH(Y$3&amp;$C43,Parameters!$A:$A,0))*$X43)</f>
        <v>0</v>
      </c>
      <c r="Z43" s="198">
        <f>IF(E43="Standard Access in ZG BT gebieden",0,MAX(-INDEX(Parameters!$B:$B,MATCH(Z$3&amp;$C43,Parameters!$A:$A,0))*$X43,-INDEX(Parameters!$B:$B,MATCH("FactorMaxSalesMandaat"&amp;E43,Parameters!$A:$A,0))*INDEX(Parameters!$B:$B,MATCH("MaxSalesMandaatAccessVVE"&amp;$C43,Parameters!$A:$A,0))))</f>
        <v>0</v>
      </c>
      <c r="AA43" s="139">
        <f t="shared" si="72"/>
        <v>1000</v>
      </c>
      <c r="AB43" s="205">
        <f>AA43/INDEX(Parameters!$B:$B,MATCH("AfschrijftermijnVVE"&amp;12*$C43,Parameters!$A:$A,0))</f>
        <v>27.777777777777779</v>
      </c>
      <c r="AC43" s="204">
        <f>INDEX('Tarieven ZM'!$G:$G,$W43)</f>
        <v>1000</v>
      </c>
      <c r="AD43" s="198">
        <f>IF(E43="Standard Access in ZG BT gebieden",0,-INDEX(Parameters!$B:$B,MATCH(AD$3&amp;$C43,Parameters!$A:$A,0))*$AC43)</f>
        <v>0</v>
      </c>
      <c r="AE43" s="198">
        <f>IF(E43="Standard Access in ZG BT gebieden",0,-INDEX(Parameters!$B:$B,MATCH(AE$3,Parameters!$A:$A,0))*$AC43)</f>
        <v>0</v>
      </c>
      <c r="AF43" s="139">
        <f t="shared" si="73"/>
        <v>1000</v>
      </c>
      <c r="AG43" s="522">
        <f t="shared" si="74"/>
        <v>1027.7777777777778</v>
      </c>
      <c r="AH43" s="175"/>
      <c r="AI43" s="523">
        <f>IF(N43&lt;&gt;"nvt",MATCH($T43,'Tarieven W&amp;O'!$B:$B,0),"nvt")</f>
        <v>20</v>
      </c>
      <c r="AJ43" s="205">
        <f>IF(AI43&lt;&gt;"nvt",IF($D43="EoK",INDEX(Parameters!C:C,MATCH("NLSx EoK",Parameters!A:A,0)),INDEX('Tarieven W&amp;O'!$H:$H,$AI43)),0)*R43</f>
        <v>350</v>
      </c>
      <c r="AK43" s="204">
        <f>IF(AI43&lt;&gt;"nvt",INDEX('Tarieven W&amp;O'!$I:$I,$AI43),0)*R43</f>
        <v>75</v>
      </c>
      <c r="AL43" s="524">
        <f>IF(AI43&lt;&gt;"nvt",-INDEX(Parameters!$B:$B,MATCH(AL$3,Parameters!$A:$A,0))*(AJ43+AK43),0)</f>
        <v>0</v>
      </c>
      <c r="AM43" s="525"/>
      <c r="AN43" s="139">
        <f t="shared" si="75"/>
        <v>425</v>
      </c>
      <c r="AO43" s="205">
        <f>AN43/INDEX(Parameters!$B:$B,MATCH("AfschrijftermijnVVE"&amp;12*$C43,Parameters!$A:$A,0))</f>
        <v>11.805555555555555</v>
      </c>
      <c r="AP43" s="139">
        <f t="shared" si="65"/>
        <v>20</v>
      </c>
      <c r="AQ43" s="526">
        <f>IF(AP43&lt;&gt;"nvt",R43*INDEX('Tarieven W&amp;O'!$G:$G,$AP43),0)</f>
        <v>121.28</v>
      </c>
      <c r="AR43" s="524">
        <f>-INDEX(Parameters!$B:$B,MATCH(AR$3,Parameters!$A:$A,0))*(AQ43)</f>
        <v>0</v>
      </c>
      <c r="AS43" s="205">
        <f>IF(E43="straal access",'EDC Minus'!$H$192,IF(Q43&lt;&gt;"nvt",Q43*S43*'EDC Minus'!$H$292/590,0))</f>
        <v>0</v>
      </c>
      <c r="AT43" s="139"/>
      <c r="AU43" s="150">
        <f t="shared" si="76"/>
        <v>121.28</v>
      </c>
      <c r="AV43" s="150">
        <f t="shared" si="77"/>
        <v>133.08555555555554</v>
      </c>
      <c r="AX43" s="526">
        <f>Parameters!$B$6*AV43</f>
        <v>1.3308555555555555</v>
      </c>
      <c r="AY43" s="150">
        <v>0</v>
      </c>
      <c r="AZ43" s="150"/>
      <c r="BA43" s="150">
        <f t="shared" si="66"/>
        <v>1.3308555555555555</v>
      </c>
      <c r="BC43" s="522">
        <f t="shared" si="56"/>
        <v>134.4164111111111</v>
      </c>
      <c r="BD43" s="175"/>
      <c r="BE43" s="527">
        <f t="shared" si="67"/>
        <v>893.36136666666675</v>
      </c>
      <c r="BF43" s="181">
        <f t="shared" si="68"/>
        <v>0.86921646486486492</v>
      </c>
      <c r="BG43" s="520" t="b">
        <f t="shared" si="78"/>
        <v>0</v>
      </c>
      <c r="BI43" s="528" t="s">
        <v>2181</v>
      </c>
      <c r="BK43" s="151">
        <f>VLOOKUP(J43,'Tarieven ZM'!$B$136:$I$235,8,0)</f>
        <v>0</v>
      </c>
      <c r="BL43" s="151" t="str">
        <f>IF(M43="EoK",N43&amp;"AdvancedNLS type 1/2/3",IF(E43&lt;&gt;"Straal Access",INDEX(Mapping!J:J,MATCH(E43&amp;G43,Mapping!B:B,0)),E43))</f>
        <v>Copper Standard Access 20Mbit/sAdvancedNLS type 1/2/3</v>
      </c>
      <c r="BM43" s="184">
        <f>INDEX('inkoop ULL tbv EVPN'!J:J,MATCH($BL43,'inkoop ULL tbv EVPN'!$H:$H,0))</f>
        <v>78.97</v>
      </c>
      <c r="BN43" s="180">
        <f>BM43/INDEX(Parameters!$B:$B,MATCH("AfschrijftermijnVVE"&amp;12*$C43,Parameters!$A:$A,0))</f>
        <v>2.1936111111111112</v>
      </c>
      <c r="BO43" s="184">
        <f>INDEX('inkoop ULL tbv EVPN'!I:I,MATCH($BL43,'inkoop ULL tbv EVPN'!$H:$H,0))</f>
        <v>14.7296035</v>
      </c>
      <c r="BP43" s="184">
        <f t="shared" si="57"/>
        <v>16.92321461111111</v>
      </c>
      <c r="BR43" s="180">
        <f>Parameters!$B$12*AG43</f>
        <v>102.77777777777779</v>
      </c>
      <c r="BS43" s="180">
        <f>SUM(Distributievergoedingen!$F$12,Distributievergoedingen!$I$12,Distributievergoedingen!$L$12,Distributievergoedingen!$O$12)*AF43+SUM(Distributievergoedingen!$O$12*AA43+Distributievergoedingen!$R$12+Distributievergoedingen!$U$12+Distributievergoedingen!$X$12)/(MAX(36,12*C43))</f>
        <v>112.77777777777777</v>
      </c>
      <c r="BT43" s="150"/>
      <c r="BU43" s="150">
        <f t="shared" si="58"/>
        <v>215.55555555555554</v>
      </c>
      <c r="BW43" s="522">
        <f t="shared" si="59"/>
        <v>232.47877016666666</v>
      </c>
      <c r="BY43" s="527">
        <f t="shared" si="60"/>
        <v>795.29900761111116</v>
      </c>
      <c r="BZ43" s="181">
        <f t="shared" si="61"/>
        <v>0.77380443983783787</v>
      </c>
      <c r="CA43" s="520" t="b">
        <f t="shared" si="62"/>
        <v>0</v>
      </c>
    </row>
    <row r="44" spans="1:79" s="151" customFormat="1">
      <c r="A44" s="151" t="str">
        <f t="shared" ref="A44:A48" si="79">C44&amp;D44&amp;E44&amp;F44&amp;G44</f>
        <v>1EoKStandard Access koper 3mbLaag&lt; 250 meter</v>
      </c>
      <c r="B44" s="151" t="str">
        <f t="shared" ref="B44:B48" si="80">A44</f>
        <v>1EoKStandard Access koper 3mbLaag&lt; 250 meter</v>
      </c>
      <c r="C44" s="178">
        <v>1</v>
      </c>
      <c r="D44" s="415" t="s">
        <v>303</v>
      </c>
      <c r="E44" s="178" t="s">
        <v>268</v>
      </c>
      <c r="F44" s="107" t="s">
        <v>275</v>
      </c>
      <c r="G44" s="178" t="s">
        <v>3397</v>
      </c>
      <c r="I44" s="178"/>
      <c r="J44" s="520" t="str">
        <f t="shared" si="64"/>
        <v>EoKStandard Access koper 3mbLaag&lt; 250 meter</v>
      </c>
      <c r="L44" s="204">
        <f>INDEX(Mapping!$H:$H,MATCH(C$3&amp;C44,Mapping!$B:$B,0))</f>
        <v>1</v>
      </c>
      <c r="M44" s="204" t="str">
        <f>INDEX(Mapping!$H:$H,MATCH(D$3&amp;D44,Mapping!$B:$B,0))</f>
        <v>EoK</v>
      </c>
      <c r="N44" s="204" t="str">
        <f>INDEX(Mapping!$H:$H,MATCH(E$3&amp;E44,Mapping!$B:$B,0))</f>
        <v>Copper Standard Access 3Mbit/s</v>
      </c>
      <c r="O44" s="204" t="str">
        <f>INDEX(Mapping!$H:$H,MATCH(E44&amp;F44,Mapping!$B:$B,0))</f>
        <v/>
      </c>
      <c r="P44" s="204" t="str">
        <f>INDEX(Mapping!$H:$H,MATCH($E44&amp;$G44,Mapping!$B:$B,0))</f>
        <v>Nearnet</v>
      </c>
      <c r="Q44" s="204" t="str">
        <f>INDEX(Mapping!$H:$H,MATCH($E44&amp;$G44&amp;"graafafstand",Mapping!$B:$B,0))</f>
        <v>nvt</v>
      </c>
      <c r="R44" s="204">
        <f>INDEX(Mapping!$H:$H,MATCH(R$3&amp;$E44,Mapping!$B:$B,0))</f>
        <v>1</v>
      </c>
      <c r="S44" s="204">
        <f>INDEX(Mapping!$H:$H,MATCH(S$3&amp;$E44,Mapping!$B:$B,0))</f>
        <v>1</v>
      </c>
      <c r="T44" s="139" t="str">
        <f t="shared" ref="T44:T48" si="81">N44&amp;O44&amp;P44</f>
        <v>Copper Standard Access 3Mbit/sNearnet</v>
      </c>
      <c r="U44" s="151" t="str">
        <f t="shared" ref="U44:U48" si="82">T44</f>
        <v>Copper Standard Access 3Mbit/sNearnet</v>
      </c>
      <c r="W44" s="521">
        <f>MATCH($J44,'Tarieven ZM'!$B:$B,0)</f>
        <v>183</v>
      </c>
      <c r="X44" s="204">
        <f>INDEX('Tarieven ZM'!$H:$H,$W44)</f>
        <v>1000</v>
      </c>
      <c r="Y44" s="198">
        <f>IF(E44="Standard Access in ZG BT gebieden",0,-INDEX(Parameters!$B:$B,MATCH(Y$3&amp;$C44,Parameters!$A:$A,0))*$X44)</f>
        <v>0</v>
      </c>
      <c r="Z44" s="198">
        <f>IF(E44="Standard Access in ZG BT gebieden",0,MAX(-INDEX(Parameters!$B:$B,MATCH(Z$3&amp;$C44,Parameters!$A:$A,0))*$X44,-INDEX(Parameters!$B:$B,MATCH("FactorMaxSalesMandaat"&amp;E44,Parameters!$A:$A,0))*INDEX(Parameters!$B:$B,MATCH("MaxSalesMandaatAccessVVE"&amp;$C44,Parameters!$A:$A,0))))</f>
        <v>0</v>
      </c>
      <c r="AA44" s="139">
        <f t="shared" ref="AA44:AA48" si="83">SUM(X44:Z44)</f>
        <v>1000</v>
      </c>
      <c r="AB44" s="205">
        <f>AA44/INDEX(Parameters!$B:$B,MATCH("AfschrijftermijnVVE"&amp;12*$C44,Parameters!$A:$A,0))</f>
        <v>27.777777777777779</v>
      </c>
      <c r="AC44" s="204">
        <f>INDEX('Tarieven ZM'!$G:$G,$W44)</f>
        <v>1000</v>
      </c>
      <c r="AD44" s="198">
        <f>IF(E44="Standard Access in ZG BT gebieden",0,-INDEX(Parameters!$B:$B,MATCH(AD$3&amp;$C44,Parameters!$A:$A,0))*$AC44)</f>
        <v>0</v>
      </c>
      <c r="AE44" s="198">
        <f>IF(E44="Standard Access in ZG BT gebieden",0,-INDEX(Parameters!$B:$B,MATCH(AE$3,Parameters!$A:$A,0))*$AC44)</f>
        <v>0</v>
      </c>
      <c r="AF44" s="139">
        <f t="shared" ref="AF44:AF48" si="84">SUM(AC44:AE44)</f>
        <v>1000</v>
      </c>
      <c r="AG44" s="522">
        <f t="shared" ref="AG44:AG48" si="85">SUM(AB44,AF44)</f>
        <v>1027.7777777777778</v>
      </c>
      <c r="AH44" s="175"/>
      <c r="AI44" s="523">
        <f>IF(N44&lt;&gt;"nvt",MATCH($T44,'Tarieven W&amp;O'!$B:$B,0),"nvt")</f>
        <v>23</v>
      </c>
      <c r="AJ44" s="205">
        <f>IF(AI44&lt;&gt;"nvt",IF($D44="EoK",INDEX(Parameters!C:C,MATCH("NLSx EoK",Parameters!A:A,0)),INDEX('Tarieven W&amp;O'!$H:$H,$AI44)),0)*R44</f>
        <v>350</v>
      </c>
      <c r="AK44" s="204">
        <f>IF(AI44&lt;&gt;"nvt",INDEX('Tarieven W&amp;O'!$I:$I,$AI44),0)*R44</f>
        <v>75</v>
      </c>
      <c r="AL44" s="524">
        <f>IF(AI44&lt;&gt;"nvt",-INDEX(Parameters!$B:$B,MATCH(AL$3,Parameters!$A:$A,0))*(AJ44+AK44),0)</f>
        <v>0</v>
      </c>
      <c r="AM44" s="525"/>
      <c r="AN44" s="139">
        <f t="shared" ref="AN44:AN48" si="86">SUM(AJ44:AM44)</f>
        <v>425</v>
      </c>
      <c r="AO44" s="205">
        <f>AN44/INDEX(Parameters!$B:$B,MATCH("AfschrijftermijnVVE"&amp;12*$C44,Parameters!$A:$A,0))</f>
        <v>11.805555555555555</v>
      </c>
      <c r="AP44" s="139">
        <f t="shared" ref="AP44:AP48" si="87">AI44</f>
        <v>23</v>
      </c>
      <c r="AQ44" s="526">
        <f>IF(AP44&lt;&gt;"nvt",R44*INDEX('Tarieven W&amp;O'!$G:$G,$AP44),0)</f>
        <v>41.5</v>
      </c>
      <c r="AR44" s="524">
        <f>-INDEX(Parameters!$B:$B,MATCH(AR$3,Parameters!$A:$A,0))*(AQ44)</f>
        <v>0</v>
      </c>
      <c r="AS44" s="205">
        <f>IF(E44="straal access",'EDC Minus'!$H$192,IF(Q44&lt;&gt;"nvt",Q44*S44*'EDC Minus'!$H$292/590,0))</f>
        <v>0</v>
      </c>
      <c r="AT44" s="139"/>
      <c r="AU44" s="150">
        <f t="shared" ref="AU44:AU48" si="88">SUM(AQ44:AT44)</f>
        <v>41.5</v>
      </c>
      <c r="AV44" s="150">
        <f t="shared" ref="AV44:AV48" si="89">SUM(AO44,AU44)</f>
        <v>53.305555555555557</v>
      </c>
      <c r="AX44" s="526">
        <f>Parameters!$B$6*AV44</f>
        <v>0.53305555555555562</v>
      </c>
      <c r="AY44" s="150">
        <v>0</v>
      </c>
      <c r="AZ44" s="150"/>
      <c r="BA44" s="150">
        <f t="shared" ref="BA44:BA48" si="90">SUM(AX44:AZ44)</f>
        <v>0.53305555555555562</v>
      </c>
      <c r="BC44" s="522">
        <f t="shared" ref="BC44:BC62" si="91">SUM(AV44,BA44)</f>
        <v>53.838611111111113</v>
      </c>
      <c r="BD44" s="175"/>
      <c r="BE44" s="527">
        <f t="shared" si="67"/>
        <v>973.93916666666667</v>
      </c>
      <c r="BF44" s="181">
        <f t="shared" si="68"/>
        <v>0.94761648648648644</v>
      </c>
      <c r="BG44" s="520" t="b">
        <f t="shared" ref="BG44:BG48" si="92">BF44&lt;0</f>
        <v>0</v>
      </c>
      <c r="BI44" s="528" t="s">
        <v>2181</v>
      </c>
      <c r="BK44" s="151">
        <f>VLOOKUP(J44,'Tarieven ZM'!$B$136:$I$235,8,0)</f>
        <v>0</v>
      </c>
      <c r="BL44" s="151" t="str">
        <f>IF(M44="EoK",N44&amp;"AdvancedNLS type 1/2/3",IF(E44&lt;&gt;"Straal Access",INDEX(Mapping!J:J,MATCH(E44&amp;G44,Mapping!B:B,0)),E44))</f>
        <v>Copper Standard Access 3Mbit/sAdvancedNLS type 1/2/3</v>
      </c>
      <c r="BM44" s="184">
        <f>INDEX('inkoop ULL tbv EVPN'!J:J,MATCH($BL44,'inkoop ULL tbv EVPN'!$H:$H,0))</f>
        <v>78.97</v>
      </c>
      <c r="BN44" s="180">
        <f>BM44/INDEX(Parameters!$B:$B,MATCH("AfschrijftermijnVVE"&amp;12*$C44,Parameters!$A:$A,0))</f>
        <v>2.1936111111111112</v>
      </c>
      <c r="BO44" s="184">
        <f>INDEX('inkoop ULL tbv EVPN'!I:I,MATCH($BL44,'inkoop ULL tbv EVPN'!$H:$H,0))</f>
        <v>14.7296035</v>
      </c>
      <c r="BP44" s="184">
        <f t="shared" ref="BP44:BP62" si="93">BN44+BO44</f>
        <v>16.92321461111111</v>
      </c>
      <c r="BR44" s="180">
        <f>Parameters!$B$12*AG44</f>
        <v>102.77777777777779</v>
      </c>
      <c r="BS44" s="180">
        <f>SUM(Distributievergoedingen!$F$12,Distributievergoedingen!$I$12,Distributievergoedingen!$L$12,Distributievergoedingen!$O$12)*AF44+SUM(Distributievergoedingen!$O$12*AA44+Distributievergoedingen!$R$12+Distributievergoedingen!$U$12+Distributievergoedingen!$X$12)/(MAX(36,12*C44))</f>
        <v>112.77777777777777</v>
      </c>
      <c r="BT44" s="150"/>
      <c r="BU44" s="150">
        <f t="shared" ref="BU44:BU62" si="94">SUM(BR44:BT44)</f>
        <v>215.55555555555554</v>
      </c>
      <c r="BW44" s="522">
        <f t="shared" ref="BW44:BW62" si="95">SUM(BP44,BU44)</f>
        <v>232.47877016666666</v>
      </c>
      <c r="BY44" s="527">
        <f t="shared" ref="BY44:BY62" si="96">AG44-BW44</f>
        <v>795.29900761111116</v>
      </c>
      <c r="BZ44" s="181">
        <f t="shared" ref="BZ44:BZ62" si="97">IF(AG44=0,-999%,BY44/AG44)</f>
        <v>0.77380443983783787</v>
      </c>
      <c r="CA44" s="520" t="b">
        <f t="shared" ref="CA44:CA62" si="98">BZ44&lt;0</f>
        <v>0</v>
      </c>
    </row>
    <row r="45" spans="1:79" s="151" customFormat="1">
      <c r="A45" s="151" t="str">
        <f t="shared" si="79"/>
        <v>1EoKStandard Access koper 5mbLaag&lt; 250 meter</v>
      </c>
      <c r="B45" s="151" t="str">
        <f t="shared" si="80"/>
        <v>1EoKStandard Access koper 5mbLaag&lt; 250 meter</v>
      </c>
      <c r="C45" s="178">
        <v>1</v>
      </c>
      <c r="D45" s="415" t="s">
        <v>303</v>
      </c>
      <c r="E45" s="178" t="s">
        <v>276</v>
      </c>
      <c r="F45" s="107" t="s">
        <v>275</v>
      </c>
      <c r="G45" s="178" t="s">
        <v>3397</v>
      </c>
      <c r="I45" s="178"/>
      <c r="J45" s="520" t="str">
        <f t="shared" si="64"/>
        <v>EoKStandard Access koper 5mbLaag&lt; 250 meter</v>
      </c>
      <c r="L45" s="204">
        <f>INDEX(Mapping!$H:$H,MATCH(C$3&amp;C45,Mapping!$B:$B,0))</f>
        <v>1</v>
      </c>
      <c r="M45" s="204" t="str">
        <f>INDEX(Mapping!$H:$H,MATCH(D$3&amp;D45,Mapping!$B:$B,0))</f>
        <v>EoK</v>
      </c>
      <c r="N45" s="204" t="str">
        <f>INDEX(Mapping!$H:$H,MATCH(E$3&amp;E45,Mapping!$B:$B,0))</f>
        <v>Copper Standard Access 5Mbit/s</v>
      </c>
      <c r="O45" s="204" t="str">
        <f>INDEX(Mapping!$H:$H,MATCH(E45&amp;F45,Mapping!$B:$B,0))</f>
        <v/>
      </c>
      <c r="P45" s="204" t="str">
        <f>INDEX(Mapping!$H:$H,MATCH($E45&amp;$G45,Mapping!$B:$B,0))</f>
        <v>Nearnet</v>
      </c>
      <c r="Q45" s="204" t="str">
        <f>INDEX(Mapping!$H:$H,MATCH($E45&amp;$G45&amp;"graafafstand",Mapping!$B:$B,0))</f>
        <v>nvt</v>
      </c>
      <c r="R45" s="204">
        <f>INDEX(Mapping!$H:$H,MATCH(R$3&amp;$E45,Mapping!$B:$B,0))</f>
        <v>1</v>
      </c>
      <c r="S45" s="204">
        <f>INDEX(Mapping!$H:$H,MATCH(S$3&amp;$E45,Mapping!$B:$B,0))</f>
        <v>1</v>
      </c>
      <c r="T45" s="139" t="str">
        <f t="shared" si="81"/>
        <v>Copper Standard Access 5Mbit/sNearnet</v>
      </c>
      <c r="U45" s="151" t="str">
        <f t="shared" si="82"/>
        <v>Copper Standard Access 5Mbit/sNearnet</v>
      </c>
      <c r="W45" s="521">
        <f>MATCH($J45,'Tarieven ZM'!$B:$B,0)</f>
        <v>184</v>
      </c>
      <c r="X45" s="204">
        <f>INDEX('Tarieven ZM'!$H:$H,$W45)</f>
        <v>1000</v>
      </c>
      <c r="Y45" s="198">
        <f>IF(E45="Standard Access in ZG BT gebieden",0,-INDEX(Parameters!$B:$B,MATCH(Y$3&amp;$C45,Parameters!$A:$A,0))*$X45)</f>
        <v>0</v>
      </c>
      <c r="Z45" s="198">
        <f>IF(E45="Standard Access in ZG BT gebieden",0,MAX(-INDEX(Parameters!$B:$B,MATCH(Z$3&amp;$C45,Parameters!$A:$A,0))*$X45,-INDEX(Parameters!$B:$B,MATCH("FactorMaxSalesMandaat"&amp;E45,Parameters!$A:$A,0))*INDEX(Parameters!$B:$B,MATCH("MaxSalesMandaatAccessVVE"&amp;$C45,Parameters!$A:$A,0))))</f>
        <v>0</v>
      </c>
      <c r="AA45" s="139">
        <f t="shared" si="83"/>
        <v>1000</v>
      </c>
      <c r="AB45" s="205">
        <f>AA45/INDEX(Parameters!$B:$B,MATCH("AfschrijftermijnVVE"&amp;12*$C45,Parameters!$A:$A,0))</f>
        <v>27.777777777777779</v>
      </c>
      <c r="AC45" s="204">
        <f>INDEX('Tarieven ZM'!$G:$G,$W45)</f>
        <v>1000</v>
      </c>
      <c r="AD45" s="198">
        <f>IF(E45="Standard Access in ZG BT gebieden",0,-INDEX(Parameters!$B:$B,MATCH(AD$3&amp;$C45,Parameters!$A:$A,0))*$AC45)</f>
        <v>0</v>
      </c>
      <c r="AE45" s="198">
        <f>IF(E45="Standard Access in ZG BT gebieden",0,-INDEX(Parameters!$B:$B,MATCH(AE$3,Parameters!$A:$A,0))*$AC45)</f>
        <v>0</v>
      </c>
      <c r="AF45" s="139">
        <f t="shared" si="84"/>
        <v>1000</v>
      </c>
      <c r="AG45" s="522">
        <f t="shared" si="85"/>
        <v>1027.7777777777778</v>
      </c>
      <c r="AH45" s="175"/>
      <c r="AI45" s="523">
        <f>IF(N45&lt;&gt;"nvt",MATCH($T45,'Tarieven W&amp;O'!$B:$B,0),"nvt")</f>
        <v>24</v>
      </c>
      <c r="AJ45" s="205">
        <f>IF(AI45&lt;&gt;"nvt",IF($D45="EoK",INDEX(Parameters!C:C,MATCH("NLSx EoK",Parameters!A:A,0)),INDEX('Tarieven W&amp;O'!$H:$H,$AI45)),0)*R45</f>
        <v>350</v>
      </c>
      <c r="AK45" s="204">
        <f>IF(AI45&lt;&gt;"nvt",INDEX('Tarieven W&amp;O'!$I:$I,$AI45),0)*R45</f>
        <v>75</v>
      </c>
      <c r="AL45" s="524">
        <f>IF(AI45&lt;&gt;"nvt",-INDEX(Parameters!$B:$B,MATCH(AL$3,Parameters!$A:$A,0))*(AJ45+AK45),0)</f>
        <v>0</v>
      </c>
      <c r="AM45" s="525"/>
      <c r="AN45" s="139">
        <f t="shared" si="86"/>
        <v>425</v>
      </c>
      <c r="AO45" s="205">
        <f>AN45/INDEX(Parameters!$B:$B,MATCH("AfschrijftermijnVVE"&amp;12*$C45,Parameters!$A:$A,0))</f>
        <v>11.805555555555555</v>
      </c>
      <c r="AP45" s="139">
        <f t="shared" si="87"/>
        <v>24</v>
      </c>
      <c r="AQ45" s="526">
        <f>IF(AP45&lt;&gt;"nvt",R45*INDEX('Tarieven W&amp;O'!$G:$G,$AP45),0)</f>
        <v>60.97</v>
      </c>
      <c r="AR45" s="524">
        <f>-INDEX(Parameters!$B:$B,MATCH(AR$3,Parameters!$A:$A,0))*(AQ45)</f>
        <v>0</v>
      </c>
      <c r="AS45" s="205">
        <f>IF(E45="straal access",'EDC Minus'!$H$192,IF(Q45&lt;&gt;"nvt",Q45*S45*'EDC Minus'!$H$292/590,0))</f>
        <v>0</v>
      </c>
      <c r="AT45" s="139"/>
      <c r="AU45" s="150">
        <f t="shared" si="88"/>
        <v>60.97</v>
      </c>
      <c r="AV45" s="150">
        <f t="shared" si="89"/>
        <v>72.775555555555556</v>
      </c>
      <c r="AX45" s="526">
        <f>Parameters!$B$6*AV45</f>
        <v>0.7277555555555556</v>
      </c>
      <c r="AY45" s="150">
        <v>0</v>
      </c>
      <c r="AZ45" s="150"/>
      <c r="BA45" s="150">
        <f t="shared" si="90"/>
        <v>0.7277555555555556</v>
      </c>
      <c r="BC45" s="522">
        <f t="shared" si="91"/>
        <v>73.503311111111117</v>
      </c>
      <c r="BD45" s="175"/>
      <c r="BE45" s="527">
        <f t="shared" si="67"/>
        <v>954.27446666666674</v>
      </c>
      <c r="BF45" s="181">
        <f t="shared" si="68"/>
        <v>0.92848326486486488</v>
      </c>
      <c r="BG45" s="520" t="b">
        <f t="shared" si="92"/>
        <v>0</v>
      </c>
      <c r="BI45" s="528" t="s">
        <v>2181</v>
      </c>
      <c r="BJ45" s="175"/>
      <c r="BK45" s="151">
        <f>VLOOKUP(J45,'Tarieven ZM'!$B$136:$I$235,8,0)</f>
        <v>0</v>
      </c>
      <c r="BL45" s="151" t="str">
        <f>IF(M45="EoK",N45&amp;"AdvancedNLS type 1/2/3",IF(E45&lt;&gt;"Straal Access",INDEX(Mapping!J:J,MATCH(E45&amp;G45,Mapping!B:B,0)),E45))</f>
        <v>Copper Standard Access 5Mbit/sAdvancedNLS type 1/2/3</v>
      </c>
      <c r="BM45" s="184">
        <f>INDEX('inkoop ULL tbv EVPN'!J:J,MATCH($BL45,'inkoop ULL tbv EVPN'!$H:$H,0))</f>
        <v>78.97</v>
      </c>
      <c r="BN45" s="180">
        <f>BM45/INDEX(Parameters!$B:$B,MATCH("AfschrijftermijnVVE"&amp;12*$C45,Parameters!$A:$A,0))</f>
        <v>2.1936111111111112</v>
      </c>
      <c r="BO45" s="184">
        <f>INDEX('inkoop ULL tbv EVPN'!I:I,MATCH($BL45,'inkoop ULL tbv EVPN'!$H:$H,0))</f>
        <v>14.7296035</v>
      </c>
      <c r="BP45" s="184">
        <f t="shared" si="93"/>
        <v>16.92321461111111</v>
      </c>
      <c r="BR45" s="180">
        <f>Parameters!$B$12*AG45</f>
        <v>102.77777777777779</v>
      </c>
      <c r="BS45" s="180">
        <f>SUM(Distributievergoedingen!$F$12,Distributievergoedingen!$I$12,Distributievergoedingen!$L$12,Distributievergoedingen!$O$12)*AF45+SUM(Distributievergoedingen!$O$12*AA45+Distributievergoedingen!$R$12+Distributievergoedingen!$U$12+Distributievergoedingen!$X$12)/(MAX(36,12*C45))</f>
        <v>112.77777777777777</v>
      </c>
      <c r="BT45" s="150"/>
      <c r="BU45" s="150">
        <f t="shared" si="94"/>
        <v>215.55555555555554</v>
      </c>
      <c r="BW45" s="522">
        <f t="shared" si="95"/>
        <v>232.47877016666666</v>
      </c>
      <c r="BY45" s="527">
        <f t="shared" si="96"/>
        <v>795.29900761111116</v>
      </c>
      <c r="BZ45" s="181">
        <f t="shared" si="97"/>
        <v>0.77380443983783787</v>
      </c>
      <c r="CA45" s="520" t="b">
        <f t="shared" si="98"/>
        <v>0</v>
      </c>
    </row>
    <row r="46" spans="1:79" s="151" customFormat="1">
      <c r="A46" s="151" t="str">
        <f t="shared" si="79"/>
        <v>1EoKStandard Access koper 10mbLaag&lt; 250 meter</v>
      </c>
      <c r="B46" s="151" t="str">
        <f t="shared" si="80"/>
        <v>1EoKStandard Access koper 10mbLaag&lt; 250 meter</v>
      </c>
      <c r="C46" s="178">
        <v>1</v>
      </c>
      <c r="D46" s="415" t="s">
        <v>303</v>
      </c>
      <c r="E46" s="178" t="s">
        <v>277</v>
      </c>
      <c r="F46" s="107" t="s">
        <v>275</v>
      </c>
      <c r="G46" s="178" t="s">
        <v>3397</v>
      </c>
      <c r="I46" s="178"/>
      <c r="J46" s="520" t="str">
        <f t="shared" si="64"/>
        <v>EoKStandard Access koper 10mbLaag&lt; 250 meter</v>
      </c>
      <c r="L46" s="204">
        <f>INDEX(Mapping!$H:$H,MATCH(C$3&amp;C46,Mapping!$B:$B,0))</f>
        <v>1</v>
      </c>
      <c r="M46" s="204" t="str">
        <f>INDEX(Mapping!$H:$H,MATCH(D$3&amp;D46,Mapping!$B:$B,0))</f>
        <v>EoK</v>
      </c>
      <c r="N46" s="204" t="str">
        <f>INDEX(Mapping!$H:$H,MATCH(E$3&amp;E46,Mapping!$B:$B,0))</f>
        <v>Copper Standard Access 10Mbit/s</v>
      </c>
      <c r="O46" s="204" t="str">
        <f>INDEX(Mapping!$H:$H,MATCH(E46&amp;F46,Mapping!$B:$B,0))</f>
        <v/>
      </c>
      <c r="P46" s="204" t="str">
        <f>INDEX(Mapping!$H:$H,MATCH($E46&amp;$G46,Mapping!$B:$B,0))</f>
        <v>Nearnet</v>
      </c>
      <c r="Q46" s="204" t="str">
        <f>INDEX(Mapping!$H:$H,MATCH($E46&amp;$G46&amp;"graafafstand",Mapping!$B:$B,0))</f>
        <v>nvt</v>
      </c>
      <c r="R46" s="204">
        <f>INDEX(Mapping!$H:$H,MATCH(R$3&amp;$E46,Mapping!$B:$B,0))</f>
        <v>1</v>
      </c>
      <c r="S46" s="204">
        <f>INDEX(Mapping!$H:$H,MATCH(S$3&amp;$E46,Mapping!$B:$B,0))</f>
        <v>1</v>
      </c>
      <c r="T46" s="139" t="str">
        <f t="shared" si="81"/>
        <v>Copper Standard Access 10Mbit/sNearnet</v>
      </c>
      <c r="U46" s="151" t="str">
        <f t="shared" si="82"/>
        <v>Copper Standard Access 10Mbit/sNearnet</v>
      </c>
      <c r="W46" s="521">
        <f>MATCH($J46,'Tarieven ZM'!$B:$B,0)</f>
        <v>185</v>
      </c>
      <c r="X46" s="204">
        <f>INDEX('Tarieven ZM'!$H:$H,$W46)</f>
        <v>1000</v>
      </c>
      <c r="Y46" s="198">
        <f>IF(E46="Standard Access in ZG BT gebieden",0,-INDEX(Parameters!$B:$B,MATCH(Y$3&amp;$C46,Parameters!$A:$A,0))*$X46)</f>
        <v>0</v>
      </c>
      <c r="Z46" s="198">
        <f>IF(E46="Standard Access in ZG BT gebieden",0,MAX(-INDEX(Parameters!$B:$B,MATCH(Z$3&amp;$C46,Parameters!$A:$A,0))*$X46,-INDEX(Parameters!$B:$B,MATCH("FactorMaxSalesMandaat"&amp;E46,Parameters!$A:$A,0))*INDEX(Parameters!$B:$B,MATCH("MaxSalesMandaatAccessVVE"&amp;$C46,Parameters!$A:$A,0))))</f>
        <v>0</v>
      </c>
      <c r="AA46" s="139">
        <f t="shared" si="83"/>
        <v>1000</v>
      </c>
      <c r="AB46" s="205">
        <f>AA46/INDEX(Parameters!$B:$B,MATCH("AfschrijftermijnVVE"&amp;12*$C46,Parameters!$A:$A,0))</f>
        <v>27.777777777777779</v>
      </c>
      <c r="AC46" s="204">
        <f>INDEX('Tarieven ZM'!$G:$G,$W46)</f>
        <v>1000</v>
      </c>
      <c r="AD46" s="198">
        <f>IF(E46="Standard Access in ZG BT gebieden",0,-INDEX(Parameters!$B:$B,MATCH(AD$3&amp;$C46,Parameters!$A:$A,0))*$AC46)</f>
        <v>0</v>
      </c>
      <c r="AE46" s="198">
        <f>IF(E46="Standard Access in ZG BT gebieden",0,-INDEX(Parameters!$B:$B,MATCH(AE$3,Parameters!$A:$A,0))*$AC46)</f>
        <v>0</v>
      </c>
      <c r="AF46" s="139">
        <f t="shared" si="84"/>
        <v>1000</v>
      </c>
      <c r="AG46" s="522">
        <f t="shared" si="85"/>
        <v>1027.7777777777778</v>
      </c>
      <c r="AH46" s="175"/>
      <c r="AI46" s="523">
        <f>IF(N46&lt;&gt;"nvt",MATCH($T46,'Tarieven W&amp;O'!$B:$B,0),"nvt")</f>
        <v>25</v>
      </c>
      <c r="AJ46" s="205">
        <f>IF(AI46&lt;&gt;"nvt",IF($D46="EoK",INDEX(Parameters!C:C,MATCH("NLSx EoK",Parameters!A:A,0)),INDEX('Tarieven W&amp;O'!$H:$H,$AI46)),0)*R46</f>
        <v>350</v>
      </c>
      <c r="AK46" s="204">
        <f>IF(AI46&lt;&gt;"nvt",INDEX('Tarieven W&amp;O'!$I:$I,$AI46),0)*R46</f>
        <v>75</v>
      </c>
      <c r="AL46" s="524">
        <f>IF(AI46&lt;&gt;"nvt",-INDEX(Parameters!$B:$B,MATCH(AL$3,Parameters!$A:$A,0))*(AJ46+AK46),0)</f>
        <v>0</v>
      </c>
      <c r="AM46" s="525"/>
      <c r="AN46" s="139">
        <f t="shared" si="86"/>
        <v>425</v>
      </c>
      <c r="AO46" s="205">
        <f>AN46/INDEX(Parameters!$B:$B,MATCH("AfschrijftermijnVVE"&amp;12*$C46,Parameters!$A:$A,0))</f>
        <v>11.805555555555555</v>
      </c>
      <c r="AP46" s="139">
        <f t="shared" si="87"/>
        <v>25</v>
      </c>
      <c r="AQ46" s="526">
        <f>IF(AP46&lt;&gt;"nvt",R46*INDEX('Tarieven W&amp;O'!$G:$G,$AP46),0)</f>
        <v>83.59</v>
      </c>
      <c r="AR46" s="524">
        <f>-INDEX(Parameters!$B:$B,MATCH(AR$3,Parameters!$A:$A,0))*(AQ46)</f>
        <v>0</v>
      </c>
      <c r="AS46" s="205">
        <f>IF(E46="straal access",'EDC Minus'!$H$192,IF(Q46&lt;&gt;"nvt",Q46*S46*'EDC Minus'!$H$292/590,0))</f>
        <v>0</v>
      </c>
      <c r="AT46" s="139"/>
      <c r="AU46" s="150">
        <f t="shared" si="88"/>
        <v>83.59</v>
      </c>
      <c r="AV46" s="150">
        <f t="shared" si="89"/>
        <v>95.395555555555561</v>
      </c>
      <c r="AX46" s="526">
        <f>Parameters!$B$6*AV46</f>
        <v>0.95395555555555567</v>
      </c>
      <c r="AY46" s="150">
        <v>0</v>
      </c>
      <c r="AZ46" s="150"/>
      <c r="BA46" s="150">
        <f t="shared" si="90"/>
        <v>0.95395555555555567</v>
      </c>
      <c r="BC46" s="522">
        <f t="shared" si="91"/>
        <v>96.349511111111113</v>
      </c>
      <c r="BD46" s="175"/>
      <c r="BE46" s="527">
        <f t="shared" si="67"/>
        <v>931.42826666666667</v>
      </c>
      <c r="BF46" s="181">
        <f t="shared" si="68"/>
        <v>0.90625452972972964</v>
      </c>
      <c r="BG46" s="520" t="b">
        <f t="shared" si="92"/>
        <v>0</v>
      </c>
      <c r="BI46" s="528" t="s">
        <v>2181</v>
      </c>
      <c r="BK46" s="151">
        <f>VLOOKUP(J46,'Tarieven ZM'!$B$136:$I$235,8,0)</f>
        <v>0</v>
      </c>
      <c r="BL46" s="151" t="str">
        <f>IF(M46="EoK",N46&amp;"AdvancedNLS type 1/2/3",IF(E46&lt;&gt;"Straal Access",INDEX(Mapping!J:J,MATCH(E46&amp;G46,Mapping!B:B,0)),E46))</f>
        <v>Copper Standard Access 10Mbit/sAdvancedNLS type 1/2/3</v>
      </c>
      <c r="BM46" s="184">
        <f>INDEX('inkoop ULL tbv EVPN'!J:J,MATCH($BL46,'inkoop ULL tbv EVPN'!$H:$H,0))</f>
        <v>78.97</v>
      </c>
      <c r="BN46" s="180">
        <f>BM46/INDEX(Parameters!$B:$B,MATCH("AfschrijftermijnVVE"&amp;12*$C46,Parameters!$A:$A,0))</f>
        <v>2.1936111111111112</v>
      </c>
      <c r="BO46" s="184">
        <f>INDEX('inkoop ULL tbv EVPN'!I:I,MATCH($BL46,'inkoop ULL tbv EVPN'!$H:$H,0))</f>
        <v>14.7296035</v>
      </c>
      <c r="BP46" s="184">
        <f t="shared" si="93"/>
        <v>16.92321461111111</v>
      </c>
      <c r="BR46" s="180">
        <f>Parameters!$B$12*AG46</f>
        <v>102.77777777777779</v>
      </c>
      <c r="BS46" s="180">
        <f>SUM(Distributievergoedingen!$F$12,Distributievergoedingen!$I$12,Distributievergoedingen!$L$12,Distributievergoedingen!$O$12)*AF46+SUM(Distributievergoedingen!$O$12*AA46+Distributievergoedingen!$R$12+Distributievergoedingen!$U$12+Distributievergoedingen!$X$12)/(MAX(36,12*C46))</f>
        <v>112.77777777777777</v>
      </c>
      <c r="BT46" s="150"/>
      <c r="BU46" s="150">
        <f t="shared" si="94"/>
        <v>215.55555555555554</v>
      </c>
      <c r="BW46" s="522">
        <f t="shared" si="95"/>
        <v>232.47877016666666</v>
      </c>
      <c r="BY46" s="527">
        <f t="shared" si="96"/>
        <v>795.29900761111116</v>
      </c>
      <c r="BZ46" s="181">
        <f t="shared" si="97"/>
        <v>0.77380443983783787</v>
      </c>
      <c r="CA46" s="520" t="b">
        <f t="shared" si="98"/>
        <v>0</v>
      </c>
    </row>
    <row r="47" spans="1:79" s="151" customFormat="1">
      <c r="A47" s="151" t="str">
        <f t="shared" si="79"/>
        <v>1EoKStandard Access koper 15mbLaag&lt; 250 meter</v>
      </c>
      <c r="B47" s="151" t="str">
        <f t="shared" si="80"/>
        <v>1EoKStandard Access koper 15mbLaag&lt; 250 meter</v>
      </c>
      <c r="C47" s="178">
        <v>1</v>
      </c>
      <c r="D47" s="415" t="s">
        <v>303</v>
      </c>
      <c r="E47" s="178" t="s">
        <v>278</v>
      </c>
      <c r="F47" s="107" t="s">
        <v>275</v>
      </c>
      <c r="G47" s="178" t="s">
        <v>3397</v>
      </c>
      <c r="I47" s="178"/>
      <c r="J47" s="520" t="str">
        <f t="shared" si="64"/>
        <v>EoKStandard Access koper 15mbLaag&lt; 250 meter</v>
      </c>
      <c r="L47" s="204">
        <f>INDEX(Mapping!$H:$H,MATCH(C$3&amp;C47,Mapping!$B:$B,0))</f>
        <v>1</v>
      </c>
      <c r="M47" s="204" t="str">
        <f>INDEX(Mapping!$H:$H,MATCH(D$3&amp;D47,Mapping!$B:$B,0))</f>
        <v>EoK</v>
      </c>
      <c r="N47" s="204" t="str">
        <f>INDEX(Mapping!$H:$H,MATCH(E$3&amp;E47,Mapping!$B:$B,0))</f>
        <v>Copper Standard Access 15Mbit/s</v>
      </c>
      <c r="O47" s="204" t="str">
        <f>INDEX(Mapping!$H:$H,MATCH(E47&amp;F47,Mapping!$B:$B,0))</f>
        <v/>
      </c>
      <c r="P47" s="204" t="str">
        <f>INDEX(Mapping!$H:$H,MATCH($E47&amp;$G47,Mapping!$B:$B,0))</f>
        <v>Nearnet</v>
      </c>
      <c r="Q47" s="204" t="str">
        <f>INDEX(Mapping!$H:$H,MATCH($E47&amp;$G47&amp;"graafafstand",Mapping!$B:$B,0))</f>
        <v>nvt</v>
      </c>
      <c r="R47" s="204">
        <f>INDEX(Mapping!$H:$H,MATCH(R$3&amp;$E47,Mapping!$B:$B,0))</f>
        <v>1</v>
      </c>
      <c r="S47" s="204">
        <f>INDEX(Mapping!$H:$H,MATCH(S$3&amp;$E47,Mapping!$B:$B,0))</f>
        <v>1</v>
      </c>
      <c r="T47" s="139" t="str">
        <f t="shared" si="81"/>
        <v>Copper Standard Access 15Mbit/sNearnet</v>
      </c>
      <c r="U47" s="151" t="str">
        <f t="shared" si="82"/>
        <v>Copper Standard Access 15Mbit/sNearnet</v>
      </c>
      <c r="W47" s="521">
        <f>MATCH($J47,'Tarieven ZM'!$B:$B,0)</f>
        <v>186</v>
      </c>
      <c r="X47" s="204">
        <f>INDEX('Tarieven ZM'!$H:$H,$W47)</f>
        <v>1000</v>
      </c>
      <c r="Y47" s="198">
        <f>IF(E47="Standard Access in ZG BT gebieden",0,-INDEX(Parameters!$B:$B,MATCH(Y$3&amp;$C47,Parameters!$A:$A,0))*$X47)</f>
        <v>0</v>
      </c>
      <c r="Z47" s="198">
        <f>IF(E47="Standard Access in ZG BT gebieden",0,MAX(-INDEX(Parameters!$B:$B,MATCH(Z$3&amp;$C47,Parameters!$A:$A,0))*$X47,-INDEX(Parameters!$B:$B,MATCH("FactorMaxSalesMandaat"&amp;E47,Parameters!$A:$A,0))*INDEX(Parameters!$B:$B,MATCH("MaxSalesMandaatAccessVVE"&amp;$C47,Parameters!$A:$A,0))))</f>
        <v>0</v>
      </c>
      <c r="AA47" s="139">
        <f t="shared" si="83"/>
        <v>1000</v>
      </c>
      <c r="AB47" s="205">
        <f>AA47/INDEX(Parameters!$B:$B,MATCH("AfschrijftermijnVVE"&amp;12*$C47,Parameters!$A:$A,0))</f>
        <v>27.777777777777779</v>
      </c>
      <c r="AC47" s="204">
        <f>INDEX('Tarieven ZM'!$G:$G,$W47)</f>
        <v>1000</v>
      </c>
      <c r="AD47" s="198">
        <f>IF(E47="Standard Access in ZG BT gebieden",0,-INDEX(Parameters!$B:$B,MATCH(AD$3&amp;$C47,Parameters!$A:$A,0))*$AC47)</f>
        <v>0</v>
      </c>
      <c r="AE47" s="198">
        <f>IF(E47="Standard Access in ZG BT gebieden",0,-INDEX(Parameters!$B:$B,MATCH(AE$3,Parameters!$A:$A,0))*$AC47)</f>
        <v>0</v>
      </c>
      <c r="AF47" s="139">
        <f t="shared" si="84"/>
        <v>1000</v>
      </c>
      <c r="AG47" s="522">
        <f t="shared" si="85"/>
        <v>1027.7777777777778</v>
      </c>
      <c r="AH47" s="175"/>
      <c r="AI47" s="523">
        <f>IF(N47&lt;&gt;"nvt",MATCH($T47,'Tarieven W&amp;O'!$B:$B,0),"nvt")</f>
        <v>26</v>
      </c>
      <c r="AJ47" s="205">
        <f>IF(AI47&lt;&gt;"nvt",IF($D47="EoK",INDEX(Parameters!C:C,MATCH("NLSx EoK",Parameters!A:A,0)),INDEX('Tarieven W&amp;O'!$H:$H,$AI47)),0)*R47</f>
        <v>350</v>
      </c>
      <c r="AK47" s="204">
        <f>IF(AI47&lt;&gt;"nvt",INDEX('Tarieven W&amp;O'!$I:$I,$AI47),0)*R47</f>
        <v>75</v>
      </c>
      <c r="AL47" s="524">
        <f>IF(AI47&lt;&gt;"nvt",-INDEX(Parameters!$B:$B,MATCH(AL$3,Parameters!$A:$A,0))*(AJ47+AK47),0)</f>
        <v>0</v>
      </c>
      <c r="AM47" s="525"/>
      <c r="AN47" s="139">
        <f t="shared" si="86"/>
        <v>425</v>
      </c>
      <c r="AO47" s="205">
        <f>AN47/INDEX(Parameters!$B:$B,MATCH("AfschrijftermijnVVE"&amp;12*$C47,Parameters!$A:$A,0))</f>
        <v>11.805555555555555</v>
      </c>
      <c r="AP47" s="139">
        <f t="shared" si="87"/>
        <v>26</v>
      </c>
      <c r="AQ47" s="526">
        <f>IF(AP47&lt;&gt;"nvt",R47*INDEX('Tarieven W&amp;O'!$G:$G,$AP47),0)</f>
        <v>102.44</v>
      </c>
      <c r="AR47" s="524">
        <f>-INDEX(Parameters!$B:$B,MATCH(AR$3,Parameters!$A:$A,0))*(AQ47)</f>
        <v>0</v>
      </c>
      <c r="AS47" s="205">
        <f>IF(E47="straal access",'EDC Minus'!$H$192,IF(Q47&lt;&gt;"nvt",Q47*S47*'EDC Minus'!$H$292/590,0))</f>
        <v>0</v>
      </c>
      <c r="AT47" s="139"/>
      <c r="AU47" s="150">
        <f t="shared" si="88"/>
        <v>102.44</v>
      </c>
      <c r="AV47" s="150">
        <f t="shared" si="89"/>
        <v>114.24555555555555</v>
      </c>
      <c r="AX47" s="526">
        <f>Parameters!$B$6*AV47</f>
        <v>1.1424555555555556</v>
      </c>
      <c r="AY47" s="150">
        <v>0</v>
      </c>
      <c r="AZ47" s="150"/>
      <c r="BA47" s="150">
        <f t="shared" si="90"/>
        <v>1.1424555555555556</v>
      </c>
      <c r="BC47" s="522">
        <f t="shared" si="91"/>
        <v>115.38801111111111</v>
      </c>
      <c r="BD47" s="175"/>
      <c r="BE47" s="527">
        <f t="shared" si="67"/>
        <v>912.38976666666667</v>
      </c>
      <c r="BF47" s="181">
        <f t="shared" si="68"/>
        <v>0.88773058378378378</v>
      </c>
      <c r="BG47" s="520" t="b">
        <f t="shared" si="92"/>
        <v>0</v>
      </c>
      <c r="BI47" s="528" t="s">
        <v>2181</v>
      </c>
      <c r="BK47" s="151">
        <f>VLOOKUP(J47,'Tarieven ZM'!$B$136:$I$235,8,0)</f>
        <v>0</v>
      </c>
      <c r="BL47" s="151" t="str">
        <f>IF(M47="EoK",N47&amp;"AdvancedNLS type 1/2/3",IF(E47&lt;&gt;"Straal Access",INDEX(Mapping!J:J,MATCH(E47&amp;G47,Mapping!B:B,0)),E47))</f>
        <v>Copper Standard Access 15Mbit/sAdvancedNLS type 1/2/3</v>
      </c>
      <c r="BM47" s="184">
        <f>INDEX('inkoop ULL tbv EVPN'!J:J,MATCH($BL47,'inkoop ULL tbv EVPN'!$H:$H,0))</f>
        <v>78.97</v>
      </c>
      <c r="BN47" s="180">
        <f>BM47/INDEX(Parameters!$B:$B,MATCH("AfschrijftermijnVVE"&amp;12*$C47,Parameters!$A:$A,0))</f>
        <v>2.1936111111111112</v>
      </c>
      <c r="BO47" s="184">
        <f>INDEX('inkoop ULL tbv EVPN'!I:I,MATCH($BL47,'inkoop ULL tbv EVPN'!$H:$H,0))</f>
        <v>14.7296035</v>
      </c>
      <c r="BP47" s="184">
        <f t="shared" si="93"/>
        <v>16.92321461111111</v>
      </c>
      <c r="BR47" s="180">
        <f>Parameters!$B$12*AG47</f>
        <v>102.77777777777779</v>
      </c>
      <c r="BS47" s="180">
        <f>SUM(Distributievergoedingen!$F$12,Distributievergoedingen!$I$12,Distributievergoedingen!$L$12,Distributievergoedingen!$O$12)*AF47+SUM(Distributievergoedingen!$O$12*AA47+Distributievergoedingen!$R$12+Distributievergoedingen!$U$12+Distributievergoedingen!$X$12)/(MAX(36,12*C47))</f>
        <v>112.77777777777777</v>
      </c>
      <c r="BT47" s="150"/>
      <c r="BU47" s="150">
        <f t="shared" si="94"/>
        <v>215.55555555555554</v>
      </c>
      <c r="BW47" s="522">
        <f t="shared" si="95"/>
        <v>232.47877016666666</v>
      </c>
      <c r="BY47" s="527">
        <f t="shared" si="96"/>
        <v>795.29900761111116</v>
      </c>
      <c r="BZ47" s="181">
        <f t="shared" si="97"/>
        <v>0.77380443983783787</v>
      </c>
      <c r="CA47" s="520" t="b">
        <f t="shared" si="98"/>
        <v>0</v>
      </c>
    </row>
    <row r="48" spans="1:79" s="151" customFormat="1">
      <c r="A48" s="151" t="str">
        <f t="shared" si="79"/>
        <v>1EoKStandard Access koper 20mbLaag&lt; 250 meter</v>
      </c>
      <c r="B48" s="151" t="str">
        <f t="shared" si="80"/>
        <v>1EoKStandard Access koper 20mbLaag&lt; 250 meter</v>
      </c>
      <c r="C48" s="178">
        <v>1</v>
      </c>
      <c r="D48" s="415" t="s">
        <v>303</v>
      </c>
      <c r="E48" s="178" t="s">
        <v>279</v>
      </c>
      <c r="F48" s="107" t="s">
        <v>275</v>
      </c>
      <c r="G48" s="178" t="s">
        <v>3397</v>
      </c>
      <c r="I48" s="178"/>
      <c r="J48" s="520" t="str">
        <f t="shared" si="64"/>
        <v>EoKStandard Access koper 20mbLaag&lt; 250 meter</v>
      </c>
      <c r="L48" s="204">
        <f>INDEX(Mapping!$H:$H,MATCH(C$3&amp;C48,Mapping!$B:$B,0))</f>
        <v>1</v>
      </c>
      <c r="M48" s="204" t="str">
        <f>INDEX(Mapping!$H:$H,MATCH(D$3&amp;D48,Mapping!$B:$B,0))</f>
        <v>EoK</v>
      </c>
      <c r="N48" s="204" t="str">
        <f>INDEX(Mapping!$H:$H,MATCH(E$3&amp;E48,Mapping!$B:$B,0))</f>
        <v>Copper Standard Access 20Mbit/s</v>
      </c>
      <c r="O48" s="204" t="str">
        <f>INDEX(Mapping!$H:$H,MATCH(E48&amp;F48,Mapping!$B:$B,0))</f>
        <v/>
      </c>
      <c r="P48" s="204" t="str">
        <f>INDEX(Mapping!$H:$H,MATCH($E48&amp;$G48,Mapping!$B:$B,0))</f>
        <v>Nearnet</v>
      </c>
      <c r="Q48" s="204" t="str">
        <f>INDEX(Mapping!$H:$H,MATCH($E48&amp;$G48&amp;"graafafstand",Mapping!$B:$B,0))</f>
        <v>nvt</v>
      </c>
      <c r="R48" s="204">
        <f>INDEX(Mapping!$H:$H,MATCH(R$3&amp;$E48,Mapping!$B:$B,0))</f>
        <v>1</v>
      </c>
      <c r="S48" s="204">
        <f>INDEX(Mapping!$H:$H,MATCH(S$3&amp;$E48,Mapping!$B:$B,0))</f>
        <v>1</v>
      </c>
      <c r="T48" s="139" t="str">
        <f t="shared" si="81"/>
        <v>Copper Standard Access 20Mbit/sNearnet</v>
      </c>
      <c r="U48" s="151" t="str">
        <f t="shared" si="82"/>
        <v>Copper Standard Access 20Mbit/sNearnet</v>
      </c>
      <c r="W48" s="521">
        <f>MATCH($J48,'Tarieven ZM'!$B:$B,0)</f>
        <v>187</v>
      </c>
      <c r="X48" s="204">
        <f>INDEX('Tarieven ZM'!$H:$H,$W48)</f>
        <v>1000</v>
      </c>
      <c r="Y48" s="198">
        <f>IF(E48="Standard Access in ZG BT gebieden",0,-INDEX(Parameters!$B:$B,MATCH(Y$3&amp;$C48,Parameters!$A:$A,0))*$X48)</f>
        <v>0</v>
      </c>
      <c r="Z48" s="198">
        <f>IF(E48="Standard Access in ZG BT gebieden",0,MAX(-INDEX(Parameters!$B:$B,MATCH(Z$3&amp;$C48,Parameters!$A:$A,0))*$X48,-INDEX(Parameters!$B:$B,MATCH("FactorMaxSalesMandaat"&amp;E48,Parameters!$A:$A,0))*INDEX(Parameters!$B:$B,MATCH("MaxSalesMandaatAccessVVE"&amp;$C48,Parameters!$A:$A,0))))</f>
        <v>0</v>
      </c>
      <c r="AA48" s="139">
        <f t="shared" si="83"/>
        <v>1000</v>
      </c>
      <c r="AB48" s="205">
        <f>AA48/INDEX(Parameters!$B:$B,MATCH("AfschrijftermijnVVE"&amp;12*$C48,Parameters!$A:$A,0))</f>
        <v>27.777777777777779</v>
      </c>
      <c r="AC48" s="204">
        <f>INDEX('Tarieven ZM'!$G:$G,$W48)</f>
        <v>1000</v>
      </c>
      <c r="AD48" s="198">
        <f>IF(E48="Standard Access in ZG BT gebieden",0,-INDEX(Parameters!$B:$B,MATCH(AD$3&amp;$C48,Parameters!$A:$A,0))*$AC48)</f>
        <v>0</v>
      </c>
      <c r="AE48" s="198">
        <f>IF(E48="Standard Access in ZG BT gebieden",0,-INDEX(Parameters!$B:$B,MATCH(AE$3,Parameters!$A:$A,0))*$AC48)</f>
        <v>0</v>
      </c>
      <c r="AF48" s="139">
        <f t="shared" si="84"/>
        <v>1000</v>
      </c>
      <c r="AG48" s="522">
        <f t="shared" si="85"/>
        <v>1027.7777777777778</v>
      </c>
      <c r="AH48" s="175"/>
      <c r="AI48" s="523">
        <f>IF(N48&lt;&gt;"nvt",MATCH($T48,'Tarieven W&amp;O'!$B:$B,0),"nvt")</f>
        <v>27</v>
      </c>
      <c r="AJ48" s="205">
        <f>IF(AI48&lt;&gt;"nvt",IF($D48="EoK",INDEX(Parameters!C:C,MATCH("NLSx EoK",Parameters!A:A,0)),INDEX('Tarieven W&amp;O'!$H:$H,$AI48)),0)*R48</f>
        <v>350</v>
      </c>
      <c r="AK48" s="204">
        <f>IF(AI48&lt;&gt;"nvt",INDEX('Tarieven W&amp;O'!$I:$I,$AI48),0)*R48</f>
        <v>75</v>
      </c>
      <c r="AL48" s="524">
        <f>IF(AI48&lt;&gt;"nvt",-INDEX(Parameters!$B:$B,MATCH(AL$3,Parameters!$A:$A,0))*(AJ48+AK48),0)</f>
        <v>0</v>
      </c>
      <c r="AM48" s="525"/>
      <c r="AN48" s="139">
        <f t="shared" si="86"/>
        <v>425</v>
      </c>
      <c r="AO48" s="205">
        <f>AN48/INDEX(Parameters!$B:$B,MATCH("AfschrijftermijnVVE"&amp;12*$C48,Parameters!$A:$A,0))</f>
        <v>11.805555555555555</v>
      </c>
      <c r="AP48" s="139">
        <f t="shared" si="87"/>
        <v>27</v>
      </c>
      <c r="AQ48" s="526">
        <f>IF(AP48&lt;&gt;"nvt",R48*INDEX('Tarieven W&amp;O'!$G:$G,$AP48),0)</f>
        <v>121.28</v>
      </c>
      <c r="AR48" s="524">
        <f>-INDEX(Parameters!$B:$B,MATCH(AR$3,Parameters!$A:$A,0))*(AQ48)</f>
        <v>0</v>
      </c>
      <c r="AS48" s="205">
        <f>IF(E48="straal access",'EDC Minus'!$H$192,IF(Q48&lt;&gt;"nvt",Q48*S48*'EDC Minus'!$H$292/590,0))</f>
        <v>0</v>
      </c>
      <c r="AT48" s="139"/>
      <c r="AU48" s="150">
        <f t="shared" si="88"/>
        <v>121.28</v>
      </c>
      <c r="AV48" s="150">
        <f t="shared" si="89"/>
        <v>133.08555555555554</v>
      </c>
      <c r="AX48" s="526">
        <f>Parameters!$B$6*AV48</f>
        <v>1.3308555555555555</v>
      </c>
      <c r="AY48" s="150">
        <v>0</v>
      </c>
      <c r="AZ48" s="150"/>
      <c r="BA48" s="150">
        <f t="shared" si="90"/>
        <v>1.3308555555555555</v>
      </c>
      <c r="BC48" s="522">
        <f t="shared" si="91"/>
        <v>134.4164111111111</v>
      </c>
      <c r="BD48" s="175"/>
      <c r="BE48" s="527">
        <f t="shared" si="67"/>
        <v>893.36136666666675</v>
      </c>
      <c r="BF48" s="181">
        <f t="shared" si="68"/>
        <v>0.86921646486486492</v>
      </c>
      <c r="BG48" s="520" t="b">
        <f t="shared" si="92"/>
        <v>0</v>
      </c>
      <c r="BI48" s="528" t="s">
        <v>2181</v>
      </c>
      <c r="BK48" s="151">
        <f>VLOOKUP(J48,'Tarieven ZM'!$B$136:$I$235,8,0)</f>
        <v>0</v>
      </c>
      <c r="BL48" s="151" t="str">
        <f>IF(M48="EoK",N48&amp;"AdvancedNLS type 1/2/3",IF(E48&lt;&gt;"Straal Access",INDEX(Mapping!J:J,MATCH(E48&amp;G48,Mapping!B:B,0)),E48))</f>
        <v>Copper Standard Access 20Mbit/sAdvancedNLS type 1/2/3</v>
      </c>
      <c r="BM48" s="184">
        <f>INDEX('inkoop ULL tbv EVPN'!J:J,MATCH($BL48,'inkoop ULL tbv EVPN'!$H:$H,0))</f>
        <v>78.97</v>
      </c>
      <c r="BN48" s="180">
        <f>BM48/INDEX(Parameters!$B:$B,MATCH("AfschrijftermijnVVE"&amp;12*$C48,Parameters!$A:$A,0))</f>
        <v>2.1936111111111112</v>
      </c>
      <c r="BO48" s="184">
        <f>INDEX('inkoop ULL tbv EVPN'!I:I,MATCH($BL48,'inkoop ULL tbv EVPN'!$H:$H,0))</f>
        <v>14.7296035</v>
      </c>
      <c r="BP48" s="184">
        <f t="shared" si="93"/>
        <v>16.92321461111111</v>
      </c>
      <c r="BR48" s="180">
        <f>Parameters!$B$12*AG48</f>
        <v>102.77777777777779</v>
      </c>
      <c r="BS48" s="180">
        <f>SUM(Distributievergoedingen!$F$12,Distributievergoedingen!$I$12,Distributievergoedingen!$L$12,Distributievergoedingen!$O$12)*AF48+SUM(Distributievergoedingen!$O$12*AA48+Distributievergoedingen!$R$12+Distributievergoedingen!$U$12+Distributievergoedingen!$X$12)/(MAX(36,12*C48))</f>
        <v>112.77777777777777</v>
      </c>
      <c r="BT48" s="150"/>
      <c r="BU48" s="150">
        <f t="shared" si="94"/>
        <v>215.55555555555554</v>
      </c>
      <c r="BW48" s="522">
        <f t="shared" si="95"/>
        <v>232.47877016666666</v>
      </c>
      <c r="BY48" s="527">
        <f t="shared" si="96"/>
        <v>795.29900761111116</v>
      </c>
      <c r="BZ48" s="181">
        <f t="shared" si="97"/>
        <v>0.77380443983783787</v>
      </c>
      <c r="CA48" s="520" t="b">
        <f t="shared" si="98"/>
        <v>0</v>
      </c>
    </row>
    <row r="49" spans="1:79" s="151" customFormat="1">
      <c r="A49" s="151" t="str">
        <f t="shared" ref="A49:A58" si="99">C49&amp;D49&amp;E49&amp;F49&amp;G49</f>
        <v>2EoKStandard Access koper 3mbHoogOn-net (NLS1, 2)</v>
      </c>
      <c r="B49" s="151" t="str">
        <f t="shared" ref="B49:B58" si="100">A49</f>
        <v>2EoKStandard Access koper 3mbHoogOn-net (NLS1, 2)</v>
      </c>
      <c r="C49" s="178">
        <v>2</v>
      </c>
      <c r="D49" s="415" t="s">
        <v>303</v>
      </c>
      <c r="E49" s="178" t="s">
        <v>268</v>
      </c>
      <c r="F49" s="107" t="s">
        <v>274</v>
      </c>
      <c r="G49" s="178" t="s">
        <v>281</v>
      </c>
      <c r="I49" s="178"/>
      <c r="J49" s="520" t="str">
        <f t="shared" ref="J49:J63" si="101">D49&amp;E49&amp;F49&amp;G49</f>
        <v>EoKStandard Access koper 3mbHoogOn-net (NLS1, 2)</v>
      </c>
      <c r="L49" s="204">
        <f>INDEX(Mapping!$H:$H,MATCH(C$3&amp;C49,Mapping!$B:$B,0))</f>
        <v>1</v>
      </c>
      <c r="M49" s="204" t="str">
        <f>INDEX(Mapping!$H:$H,MATCH(D$3&amp;D49,Mapping!$B:$B,0))</f>
        <v>EoK</v>
      </c>
      <c r="N49" s="204" t="str">
        <f>INDEX(Mapping!$H:$H,MATCH(E$3&amp;E49,Mapping!$B:$B,0))</f>
        <v>Copper Standard Access 3Mbit/s</v>
      </c>
      <c r="O49" s="204" t="str">
        <f>INDEX(Mapping!$H:$H,MATCH(E49&amp;F49,Mapping!$B:$B,0))</f>
        <v/>
      </c>
      <c r="P49" s="204" t="str">
        <f>INDEX(Mapping!$H:$H,MATCH($E49&amp;$G49,Mapping!$B:$B,0))</f>
        <v>On-net (NLS1, 2)</v>
      </c>
      <c r="Q49" s="204">
        <f>INDEX(Mapping!$H:$H,MATCH($E49&amp;$G49&amp;"graafafstand",Mapping!$B:$B,0))</f>
        <v>0</v>
      </c>
      <c r="R49" s="204">
        <f>INDEX(Mapping!$H:$H,MATCH(R$3&amp;$E49,Mapping!$B:$B,0))</f>
        <v>1</v>
      </c>
      <c r="S49" s="204">
        <f>INDEX(Mapping!$H:$H,MATCH(S$3&amp;$E49,Mapping!$B:$B,0))</f>
        <v>1</v>
      </c>
      <c r="T49" s="139" t="str">
        <f t="shared" ref="T49:T58" si="102">N49&amp;O49&amp;P49</f>
        <v>Copper Standard Access 3Mbit/sOn-net (NLS1, 2)</v>
      </c>
      <c r="U49" s="151" t="str">
        <f t="shared" ref="U49:U58" si="103">T49</f>
        <v>Copper Standard Access 3Mbit/sOn-net (NLS1, 2)</v>
      </c>
      <c r="W49" s="521">
        <f>MATCH($J49,'Tarieven ZM'!$B:$B,0)</f>
        <v>137</v>
      </c>
      <c r="X49" s="204">
        <f>INDEX('Tarieven ZM'!$H:$H,$W49)</f>
        <v>1000</v>
      </c>
      <c r="Y49" s="198">
        <f>IF(E49="Standard Access in ZG BT gebieden",0,-INDEX(Parameters!$B:$B,MATCH(Y$3&amp;$C49,Parameters!$A:$A,0))*$X49)</f>
        <v>0</v>
      </c>
      <c r="Z49" s="198">
        <f>IF(E49="Standard Access in ZG BT gebieden",0,MAX(-INDEX(Parameters!$B:$B,MATCH(Z$3&amp;$C49,Parameters!$A:$A,0))*$X49,-INDEX(Parameters!$B:$B,MATCH("FactorMaxSalesMandaat"&amp;E49,Parameters!$A:$A,0))*INDEX(Parameters!$B:$B,MATCH("MaxSalesMandaatAccessVVE"&amp;$C49,Parameters!$A:$A,0))))</f>
        <v>0</v>
      </c>
      <c r="AA49" s="139">
        <f t="shared" ref="AA49:AA58" si="104">SUM(X49:Z49)</f>
        <v>1000</v>
      </c>
      <c r="AB49" s="205">
        <f>AA49/INDEX(Parameters!$B:$B,MATCH("AfschrijftermijnVVE"&amp;12*$C49,Parameters!$A:$A,0))</f>
        <v>27.777777777777779</v>
      </c>
      <c r="AC49" s="204">
        <f>INDEX('Tarieven ZM'!$G:$G,$W49)</f>
        <v>1000</v>
      </c>
      <c r="AD49" s="198">
        <f>IF(E49="Standard Access in ZG BT gebieden",0,-INDEX(Parameters!$B:$B,MATCH(AD$3&amp;$C49,Parameters!$A:$A,0))*$AC49)</f>
        <v>0</v>
      </c>
      <c r="AE49" s="198">
        <f>IF(E49="Standard Access in ZG BT gebieden",0,-INDEX(Parameters!$B:$B,MATCH(AE$3,Parameters!$A:$A,0))*$AC49)</f>
        <v>0</v>
      </c>
      <c r="AF49" s="139">
        <f t="shared" ref="AF49:AF58" si="105">SUM(AC49:AE49)</f>
        <v>1000</v>
      </c>
      <c r="AG49" s="522">
        <f t="shared" ref="AG49:AG58" si="106">SUM(AB49,AF49)</f>
        <v>1027.7777777777778</v>
      </c>
      <c r="AH49" s="175"/>
      <c r="AI49" s="523">
        <f>IF(N49&lt;&gt;"nvt",MATCH($T49,'Tarieven W&amp;O'!$B:$B,0),"nvt")</f>
        <v>9</v>
      </c>
      <c r="AJ49" s="205">
        <f>IF(AI49&lt;&gt;"nvt",IF($D49="EoK",INDEX(Parameters!C:C,MATCH("NLSx EoK",Parameters!A:A,0)),INDEX('Tarieven W&amp;O'!$H:$H,$AI49)),0)*R49</f>
        <v>350</v>
      </c>
      <c r="AK49" s="204">
        <f>IF(AI49&lt;&gt;"nvt",INDEX('Tarieven W&amp;O'!$I:$I,$AI49),0)*R49</f>
        <v>75</v>
      </c>
      <c r="AL49" s="524">
        <f>IF(AI49&lt;&gt;"nvt",-INDEX(Parameters!$B:$B,MATCH(AL$3,Parameters!$A:$A,0))*(AJ49+AK49),0)</f>
        <v>0</v>
      </c>
      <c r="AM49" s="525"/>
      <c r="AN49" s="139">
        <f t="shared" ref="AN49:AN58" si="107">SUM(AJ49:AM49)</f>
        <v>425</v>
      </c>
      <c r="AO49" s="205">
        <f>AN49/INDEX(Parameters!$B:$B,MATCH("AfschrijftermijnVVE"&amp;12*$C49,Parameters!$A:$A,0))</f>
        <v>11.805555555555555</v>
      </c>
      <c r="AP49" s="139">
        <f t="shared" ref="AP49:AP58" si="108">AI49</f>
        <v>9</v>
      </c>
      <c r="AQ49" s="526">
        <f>IF(AP49&lt;&gt;"nvt",R49*INDEX('Tarieven W&amp;O'!$G:$G,$AP49),0)</f>
        <v>41.5</v>
      </c>
      <c r="AR49" s="524">
        <f>-INDEX(Parameters!$B:$B,MATCH(AR$3,Parameters!$A:$A,0))*(AQ49)</f>
        <v>0</v>
      </c>
      <c r="AS49" s="205">
        <f>IF(E49="straal access",'EDC Minus'!$H$192,IF(Q49&lt;&gt;"nvt",Q49*S49*'EDC Minus'!$H$292/590,0))</f>
        <v>0</v>
      </c>
      <c r="AT49" s="139"/>
      <c r="AU49" s="150">
        <f t="shared" ref="AU49:AU58" si="109">SUM(AQ49:AT49)</f>
        <v>41.5</v>
      </c>
      <c r="AV49" s="150">
        <f t="shared" ref="AV49:AV58" si="110">SUM(AO49,AU49)</f>
        <v>53.305555555555557</v>
      </c>
      <c r="AX49" s="526">
        <f>Parameters!$B$6*AV49</f>
        <v>0.53305555555555562</v>
      </c>
      <c r="AY49" s="150">
        <v>0</v>
      </c>
      <c r="AZ49" s="150"/>
      <c r="BA49" s="150">
        <f t="shared" ref="BA49:BA58" si="111">SUM(AX49:AZ49)</f>
        <v>0.53305555555555562</v>
      </c>
      <c r="BC49" s="522">
        <f t="shared" si="91"/>
        <v>53.838611111111113</v>
      </c>
      <c r="BD49" s="175"/>
      <c r="BE49" s="527">
        <f t="shared" ref="BE49:BE67" si="112">AG49-BC49</f>
        <v>973.93916666666667</v>
      </c>
      <c r="BF49" s="181">
        <f t="shared" ref="BF49:BF67" si="113">IF(AG49=0,-999%,BE49/AG49)</f>
        <v>0.94761648648648644</v>
      </c>
      <c r="BG49" s="520" t="b">
        <f t="shared" ref="BG49:BG58" si="114">BF49&lt;0</f>
        <v>0</v>
      </c>
      <c r="BI49" s="528" t="s">
        <v>2181</v>
      </c>
      <c r="BK49" s="151">
        <f>VLOOKUP(J49,'Tarieven ZM'!$B$136:$I$235,8,0)</f>
        <v>0</v>
      </c>
      <c r="BL49" s="151" t="str">
        <f>IF(M49="EoK",N49&amp;"AdvancedNLS type 1/2/3",IF(E49&lt;&gt;"Straal Access",INDEX(Mapping!J:J,MATCH(E49&amp;G49,Mapping!B:B,0)),E49))</f>
        <v>Copper Standard Access 3Mbit/sAdvancedNLS type 1/2/3</v>
      </c>
      <c r="BM49" s="184">
        <f>INDEX('inkoop ULL tbv EVPN'!J:J,MATCH($BL49,'inkoop ULL tbv EVPN'!$H:$H,0))</f>
        <v>78.97</v>
      </c>
      <c r="BN49" s="180">
        <f>BM49/INDEX(Parameters!$B:$B,MATCH("AfschrijftermijnVVE"&amp;12*$C49,Parameters!$A:$A,0))</f>
        <v>2.1936111111111112</v>
      </c>
      <c r="BO49" s="184">
        <f>INDEX('inkoop ULL tbv EVPN'!I:I,MATCH($BL49,'inkoop ULL tbv EVPN'!$H:$H,0))</f>
        <v>14.7296035</v>
      </c>
      <c r="BP49" s="184">
        <f t="shared" si="93"/>
        <v>16.92321461111111</v>
      </c>
      <c r="BR49" s="180">
        <f>Parameters!$B$12*AG49</f>
        <v>102.77777777777779</v>
      </c>
      <c r="BS49" s="180">
        <f>SUM(Distributievergoedingen!$F$12,Distributievergoedingen!$I$12,Distributievergoedingen!$L$12,Distributievergoedingen!$O$12)*AF49+SUM(Distributievergoedingen!$O$12*AA49+Distributievergoedingen!$R$12+Distributievergoedingen!$U$12+Distributievergoedingen!$X$12)/(MAX(36,12*C49))</f>
        <v>112.77777777777777</v>
      </c>
      <c r="BT49" s="150"/>
      <c r="BU49" s="150">
        <f t="shared" si="94"/>
        <v>215.55555555555554</v>
      </c>
      <c r="BW49" s="522">
        <f t="shared" si="95"/>
        <v>232.47877016666666</v>
      </c>
      <c r="BY49" s="527">
        <f t="shared" si="96"/>
        <v>795.29900761111116</v>
      </c>
      <c r="BZ49" s="181">
        <f t="shared" si="97"/>
        <v>0.77380443983783787</v>
      </c>
      <c r="CA49" s="520" t="b">
        <f t="shared" si="98"/>
        <v>0</v>
      </c>
    </row>
    <row r="50" spans="1:79" s="151" customFormat="1">
      <c r="A50" s="151" t="str">
        <f t="shared" si="99"/>
        <v>2EoKStandard Access koper 5mbHoogOn-net (NLS1, 2)</v>
      </c>
      <c r="B50" s="151" t="str">
        <f t="shared" si="100"/>
        <v>2EoKStandard Access koper 5mbHoogOn-net (NLS1, 2)</v>
      </c>
      <c r="C50" s="178">
        <v>2</v>
      </c>
      <c r="D50" s="415" t="s">
        <v>303</v>
      </c>
      <c r="E50" s="178" t="s">
        <v>276</v>
      </c>
      <c r="F50" s="107" t="s">
        <v>274</v>
      </c>
      <c r="G50" s="178" t="s">
        <v>281</v>
      </c>
      <c r="I50" s="178"/>
      <c r="J50" s="520" t="str">
        <f t="shared" si="101"/>
        <v>EoKStandard Access koper 5mbHoogOn-net (NLS1, 2)</v>
      </c>
      <c r="L50" s="204">
        <f>INDEX(Mapping!$H:$H,MATCH(C$3&amp;C50,Mapping!$B:$B,0))</f>
        <v>1</v>
      </c>
      <c r="M50" s="204" t="str">
        <f>INDEX(Mapping!$H:$H,MATCH(D$3&amp;D50,Mapping!$B:$B,0))</f>
        <v>EoK</v>
      </c>
      <c r="N50" s="204" t="str">
        <f>INDEX(Mapping!$H:$H,MATCH(E$3&amp;E50,Mapping!$B:$B,0))</f>
        <v>Copper Standard Access 5Mbit/s</v>
      </c>
      <c r="O50" s="204" t="str">
        <f>INDEX(Mapping!$H:$H,MATCH(E50&amp;F50,Mapping!$B:$B,0))</f>
        <v/>
      </c>
      <c r="P50" s="204" t="str">
        <f>INDEX(Mapping!$H:$H,MATCH($E50&amp;$G50,Mapping!$B:$B,0))</f>
        <v>On-net (NLS1, 2)</v>
      </c>
      <c r="Q50" s="204">
        <f>INDEX(Mapping!$H:$H,MATCH($E50&amp;$G50&amp;"graafafstand",Mapping!$B:$B,0))</f>
        <v>0</v>
      </c>
      <c r="R50" s="204">
        <f>INDEX(Mapping!$H:$H,MATCH(R$3&amp;$E50,Mapping!$B:$B,0))</f>
        <v>1</v>
      </c>
      <c r="S50" s="204">
        <f>INDEX(Mapping!$H:$H,MATCH(S$3&amp;$E50,Mapping!$B:$B,0))</f>
        <v>1</v>
      </c>
      <c r="T50" s="139" t="str">
        <f t="shared" si="102"/>
        <v>Copper Standard Access 5Mbit/sOn-net (NLS1, 2)</v>
      </c>
      <c r="U50" s="151" t="str">
        <f t="shared" si="103"/>
        <v>Copper Standard Access 5Mbit/sOn-net (NLS1, 2)</v>
      </c>
      <c r="W50" s="521">
        <f>MATCH($J50,'Tarieven ZM'!$B:$B,0)</f>
        <v>138</v>
      </c>
      <c r="X50" s="204">
        <f>INDEX('Tarieven ZM'!$H:$H,$W50)</f>
        <v>1000</v>
      </c>
      <c r="Y50" s="198">
        <f>IF(E50="Standard Access in ZG BT gebieden",0,-INDEX(Parameters!$B:$B,MATCH(Y$3&amp;$C50,Parameters!$A:$A,0))*$X50)</f>
        <v>0</v>
      </c>
      <c r="Z50" s="198">
        <f>IF(E50="Standard Access in ZG BT gebieden",0,MAX(-INDEX(Parameters!$B:$B,MATCH(Z$3&amp;$C50,Parameters!$A:$A,0))*$X50,-INDEX(Parameters!$B:$B,MATCH("FactorMaxSalesMandaat"&amp;E50,Parameters!$A:$A,0))*INDEX(Parameters!$B:$B,MATCH("MaxSalesMandaatAccessVVE"&amp;$C50,Parameters!$A:$A,0))))</f>
        <v>0</v>
      </c>
      <c r="AA50" s="139">
        <f t="shared" si="104"/>
        <v>1000</v>
      </c>
      <c r="AB50" s="205">
        <f>AA50/INDEX(Parameters!$B:$B,MATCH("AfschrijftermijnVVE"&amp;12*$C50,Parameters!$A:$A,0))</f>
        <v>27.777777777777779</v>
      </c>
      <c r="AC50" s="204">
        <f>INDEX('Tarieven ZM'!$G:$G,$W50)</f>
        <v>1000</v>
      </c>
      <c r="AD50" s="198">
        <f>IF(E50="Standard Access in ZG BT gebieden",0,-INDEX(Parameters!$B:$B,MATCH(AD$3&amp;$C50,Parameters!$A:$A,0))*$AC50)</f>
        <v>0</v>
      </c>
      <c r="AE50" s="198">
        <f>IF(E50="Standard Access in ZG BT gebieden",0,-INDEX(Parameters!$B:$B,MATCH(AE$3,Parameters!$A:$A,0))*$AC50)</f>
        <v>0</v>
      </c>
      <c r="AF50" s="139">
        <f t="shared" si="105"/>
        <v>1000</v>
      </c>
      <c r="AG50" s="522">
        <f t="shared" si="106"/>
        <v>1027.7777777777778</v>
      </c>
      <c r="AH50" s="175"/>
      <c r="AI50" s="523">
        <f>IF(N50&lt;&gt;"nvt",MATCH($T50,'Tarieven W&amp;O'!$B:$B,0),"nvt")</f>
        <v>10</v>
      </c>
      <c r="AJ50" s="205">
        <f>IF(AI50&lt;&gt;"nvt",IF($D50="EoK",INDEX(Parameters!C:C,MATCH("NLSx EoK",Parameters!A:A,0)),INDEX('Tarieven W&amp;O'!$H:$H,$AI50)),0)*R50</f>
        <v>350</v>
      </c>
      <c r="AK50" s="204">
        <f>IF(AI50&lt;&gt;"nvt",INDEX('Tarieven W&amp;O'!$I:$I,$AI50),0)*R50</f>
        <v>75</v>
      </c>
      <c r="AL50" s="524">
        <f>IF(AI50&lt;&gt;"nvt",-INDEX(Parameters!$B:$B,MATCH(AL$3,Parameters!$A:$A,0))*(AJ50+AK50),0)</f>
        <v>0</v>
      </c>
      <c r="AM50" s="525"/>
      <c r="AN50" s="139">
        <f t="shared" si="107"/>
        <v>425</v>
      </c>
      <c r="AO50" s="205">
        <f>AN50/INDEX(Parameters!$B:$B,MATCH("AfschrijftermijnVVE"&amp;12*$C50,Parameters!$A:$A,0))</f>
        <v>11.805555555555555</v>
      </c>
      <c r="AP50" s="139">
        <f t="shared" si="108"/>
        <v>10</v>
      </c>
      <c r="AQ50" s="526">
        <f>IF(AP50&lt;&gt;"nvt",R50*INDEX('Tarieven W&amp;O'!$G:$G,$AP50),0)</f>
        <v>60.97</v>
      </c>
      <c r="AR50" s="524">
        <f>-INDEX(Parameters!$B:$B,MATCH(AR$3,Parameters!$A:$A,0))*(AQ50)</f>
        <v>0</v>
      </c>
      <c r="AS50" s="205">
        <f>IF(E50="straal access",'EDC Minus'!$H$192,IF(Q50&lt;&gt;"nvt",Q50*S50*'EDC Minus'!$H$292/590,0))</f>
        <v>0</v>
      </c>
      <c r="AT50" s="139"/>
      <c r="AU50" s="150">
        <f t="shared" si="109"/>
        <v>60.97</v>
      </c>
      <c r="AV50" s="150">
        <f t="shared" si="110"/>
        <v>72.775555555555556</v>
      </c>
      <c r="AX50" s="526">
        <f>Parameters!$B$6*AV50</f>
        <v>0.7277555555555556</v>
      </c>
      <c r="AY50" s="150">
        <v>0</v>
      </c>
      <c r="AZ50" s="150"/>
      <c r="BA50" s="150">
        <f t="shared" si="111"/>
        <v>0.7277555555555556</v>
      </c>
      <c r="BC50" s="522">
        <f t="shared" si="91"/>
        <v>73.503311111111117</v>
      </c>
      <c r="BD50" s="175"/>
      <c r="BE50" s="527">
        <f t="shared" si="112"/>
        <v>954.27446666666674</v>
      </c>
      <c r="BF50" s="181">
        <f t="shared" si="113"/>
        <v>0.92848326486486488</v>
      </c>
      <c r="BG50" s="520" t="b">
        <f t="shared" si="114"/>
        <v>0</v>
      </c>
      <c r="BI50" s="528" t="s">
        <v>2181</v>
      </c>
      <c r="BK50" s="151">
        <f>VLOOKUP(J50,'Tarieven ZM'!$B$136:$I$235,8,0)</f>
        <v>0</v>
      </c>
      <c r="BL50" s="151" t="str">
        <f>IF(M50="EoK",N50&amp;"AdvancedNLS type 1/2/3",IF(E50&lt;&gt;"Straal Access",INDEX(Mapping!J:J,MATCH(E50&amp;G50,Mapping!B:B,0)),E50))</f>
        <v>Copper Standard Access 5Mbit/sAdvancedNLS type 1/2/3</v>
      </c>
      <c r="BM50" s="184">
        <f>INDEX('inkoop ULL tbv EVPN'!J:J,MATCH($BL50,'inkoop ULL tbv EVPN'!$H:$H,0))</f>
        <v>78.97</v>
      </c>
      <c r="BN50" s="180">
        <f>BM50/INDEX(Parameters!$B:$B,MATCH("AfschrijftermijnVVE"&amp;12*$C50,Parameters!$A:$A,0))</f>
        <v>2.1936111111111112</v>
      </c>
      <c r="BO50" s="184">
        <f>INDEX('inkoop ULL tbv EVPN'!I:I,MATCH($BL50,'inkoop ULL tbv EVPN'!$H:$H,0))</f>
        <v>14.7296035</v>
      </c>
      <c r="BP50" s="184">
        <f t="shared" si="93"/>
        <v>16.92321461111111</v>
      </c>
      <c r="BR50" s="180">
        <f>Parameters!$B$12*AG50</f>
        <v>102.77777777777779</v>
      </c>
      <c r="BS50" s="180">
        <f>SUM(Distributievergoedingen!$F$12,Distributievergoedingen!$I$12,Distributievergoedingen!$L$12,Distributievergoedingen!$O$12)*AF50+SUM(Distributievergoedingen!$O$12*AA50+Distributievergoedingen!$R$12+Distributievergoedingen!$U$12+Distributievergoedingen!$X$12)/(MAX(36,12*C50))</f>
        <v>112.77777777777777</v>
      </c>
      <c r="BT50" s="150"/>
      <c r="BU50" s="150">
        <f t="shared" si="94"/>
        <v>215.55555555555554</v>
      </c>
      <c r="BW50" s="522">
        <f t="shared" si="95"/>
        <v>232.47877016666666</v>
      </c>
      <c r="BY50" s="527">
        <f t="shared" si="96"/>
        <v>795.29900761111116</v>
      </c>
      <c r="BZ50" s="181">
        <f t="shared" si="97"/>
        <v>0.77380443983783787</v>
      </c>
      <c r="CA50" s="520" t="b">
        <f t="shared" si="98"/>
        <v>0</v>
      </c>
    </row>
    <row r="51" spans="1:79" s="151" customFormat="1">
      <c r="A51" s="151" t="str">
        <f t="shared" si="99"/>
        <v>2EoKStandard Access koper 10mbHoogOn-net (NLS1, 2)</v>
      </c>
      <c r="B51" s="151" t="str">
        <f t="shared" si="100"/>
        <v>2EoKStandard Access koper 10mbHoogOn-net (NLS1, 2)</v>
      </c>
      <c r="C51" s="178">
        <v>2</v>
      </c>
      <c r="D51" s="415" t="s">
        <v>303</v>
      </c>
      <c r="E51" s="178" t="s">
        <v>277</v>
      </c>
      <c r="F51" s="107" t="s">
        <v>274</v>
      </c>
      <c r="G51" s="178" t="s">
        <v>281</v>
      </c>
      <c r="I51" s="178"/>
      <c r="J51" s="520" t="str">
        <f t="shared" si="101"/>
        <v>EoKStandard Access koper 10mbHoogOn-net (NLS1, 2)</v>
      </c>
      <c r="L51" s="204">
        <f>INDEX(Mapping!$H:$H,MATCH(C$3&amp;C51,Mapping!$B:$B,0))</f>
        <v>1</v>
      </c>
      <c r="M51" s="204" t="str">
        <f>INDEX(Mapping!$H:$H,MATCH(D$3&amp;D51,Mapping!$B:$B,0))</f>
        <v>EoK</v>
      </c>
      <c r="N51" s="204" t="str">
        <f>INDEX(Mapping!$H:$H,MATCH(E$3&amp;E51,Mapping!$B:$B,0))</f>
        <v>Copper Standard Access 10Mbit/s</v>
      </c>
      <c r="O51" s="204" t="str">
        <f>INDEX(Mapping!$H:$H,MATCH(E51&amp;F51,Mapping!$B:$B,0))</f>
        <v/>
      </c>
      <c r="P51" s="204" t="str">
        <f>INDEX(Mapping!$H:$H,MATCH($E51&amp;$G51,Mapping!$B:$B,0))</f>
        <v>On-net (NLS1, 2)</v>
      </c>
      <c r="Q51" s="204">
        <f>INDEX(Mapping!$H:$H,MATCH($E51&amp;$G51&amp;"graafafstand",Mapping!$B:$B,0))</f>
        <v>0</v>
      </c>
      <c r="R51" s="204">
        <f>INDEX(Mapping!$H:$H,MATCH(R$3&amp;$E51,Mapping!$B:$B,0))</f>
        <v>1</v>
      </c>
      <c r="S51" s="204">
        <f>INDEX(Mapping!$H:$H,MATCH(S$3&amp;$E51,Mapping!$B:$B,0))</f>
        <v>1</v>
      </c>
      <c r="T51" s="139" t="str">
        <f t="shared" si="102"/>
        <v>Copper Standard Access 10Mbit/sOn-net (NLS1, 2)</v>
      </c>
      <c r="U51" s="151" t="str">
        <f t="shared" si="103"/>
        <v>Copper Standard Access 10Mbit/sOn-net (NLS1, 2)</v>
      </c>
      <c r="W51" s="521">
        <f>MATCH($J51,'Tarieven ZM'!$B:$B,0)</f>
        <v>139</v>
      </c>
      <c r="X51" s="204">
        <f>INDEX('Tarieven ZM'!$H:$H,$W51)</f>
        <v>1000</v>
      </c>
      <c r="Y51" s="198">
        <f>IF(E51="Standard Access in ZG BT gebieden",0,-INDEX(Parameters!$B:$B,MATCH(Y$3&amp;$C51,Parameters!$A:$A,0))*$X51)</f>
        <v>0</v>
      </c>
      <c r="Z51" s="198">
        <f>IF(E51="Standard Access in ZG BT gebieden",0,MAX(-INDEX(Parameters!$B:$B,MATCH(Z$3&amp;$C51,Parameters!$A:$A,0))*$X51,-INDEX(Parameters!$B:$B,MATCH("FactorMaxSalesMandaat"&amp;E51,Parameters!$A:$A,0))*INDEX(Parameters!$B:$B,MATCH("MaxSalesMandaatAccessVVE"&amp;$C51,Parameters!$A:$A,0))))</f>
        <v>0</v>
      </c>
      <c r="AA51" s="139">
        <f t="shared" si="104"/>
        <v>1000</v>
      </c>
      <c r="AB51" s="205">
        <f>AA51/INDEX(Parameters!$B:$B,MATCH("AfschrijftermijnVVE"&amp;12*$C51,Parameters!$A:$A,0))</f>
        <v>27.777777777777779</v>
      </c>
      <c r="AC51" s="204">
        <f>INDEX('Tarieven ZM'!$G:$G,$W51)</f>
        <v>1000</v>
      </c>
      <c r="AD51" s="198">
        <f>IF(E51="Standard Access in ZG BT gebieden",0,-INDEX(Parameters!$B:$B,MATCH(AD$3&amp;$C51,Parameters!$A:$A,0))*$AC51)</f>
        <v>0</v>
      </c>
      <c r="AE51" s="198">
        <f>IF(E51="Standard Access in ZG BT gebieden",0,-INDEX(Parameters!$B:$B,MATCH(AE$3,Parameters!$A:$A,0))*$AC51)</f>
        <v>0</v>
      </c>
      <c r="AF51" s="139">
        <f t="shared" si="105"/>
        <v>1000</v>
      </c>
      <c r="AG51" s="522">
        <f t="shared" si="106"/>
        <v>1027.7777777777778</v>
      </c>
      <c r="AH51" s="175"/>
      <c r="AI51" s="523">
        <f>IF(N51&lt;&gt;"nvt",MATCH($T51,'Tarieven W&amp;O'!$B:$B,0),"nvt")</f>
        <v>11</v>
      </c>
      <c r="AJ51" s="205">
        <f>IF(AI51&lt;&gt;"nvt",IF($D51="EoK",INDEX(Parameters!C:C,MATCH("NLSx EoK",Parameters!A:A,0)),INDEX('Tarieven W&amp;O'!$H:$H,$AI51)),0)*R51</f>
        <v>350</v>
      </c>
      <c r="AK51" s="204">
        <f>IF(AI51&lt;&gt;"nvt",INDEX('Tarieven W&amp;O'!$I:$I,$AI51),0)*R51</f>
        <v>75</v>
      </c>
      <c r="AL51" s="524">
        <f>IF(AI51&lt;&gt;"nvt",-INDEX(Parameters!$B:$B,MATCH(AL$3,Parameters!$A:$A,0))*(AJ51+AK51),0)</f>
        <v>0</v>
      </c>
      <c r="AM51" s="525"/>
      <c r="AN51" s="139">
        <f t="shared" si="107"/>
        <v>425</v>
      </c>
      <c r="AO51" s="205">
        <f>AN51/INDEX(Parameters!$B:$B,MATCH("AfschrijftermijnVVE"&amp;12*$C51,Parameters!$A:$A,0))</f>
        <v>11.805555555555555</v>
      </c>
      <c r="AP51" s="139">
        <f t="shared" si="108"/>
        <v>11</v>
      </c>
      <c r="AQ51" s="526">
        <f>IF(AP51&lt;&gt;"nvt",R51*INDEX('Tarieven W&amp;O'!$G:$G,$AP51),0)</f>
        <v>83.59</v>
      </c>
      <c r="AR51" s="524">
        <f>-INDEX(Parameters!$B:$B,MATCH(AR$3,Parameters!$A:$A,0))*(AQ51)</f>
        <v>0</v>
      </c>
      <c r="AS51" s="205">
        <f>IF(E51="straal access",'EDC Minus'!$H$192,IF(Q51&lt;&gt;"nvt",Q51*S51*'EDC Minus'!$H$292/590,0))</f>
        <v>0</v>
      </c>
      <c r="AT51" s="139"/>
      <c r="AU51" s="150">
        <f t="shared" si="109"/>
        <v>83.59</v>
      </c>
      <c r="AV51" s="150">
        <f t="shared" si="110"/>
        <v>95.395555555555561</v>
      </c>
      <c r="AX51" s="526">
        <f>Parameters!$B$6*AV51</f>
        <v>0.95395555555555567</v>
      </c>
      <c r="AY51" s="150">
        <v>0</v>
      </c>
      <c r="AZ51" s="150"/>
      <c r="BA51" s="150">
        <f t="shared" si="111"/>
        <v>0.95395555555555567</v>
      </c>
      <c r="BC51" s="522">
        <f t="shared" si="91"/>
        <v>96.349511111111113</v>
      </c>
      <c r="BD51" s="175"/>
      <c r="BE51" s="527">
        <f t="shared" si="112"/>
        <v>931.42826666666667</v>
      </c>
      <c r="BF51" s="181">
        <f t="shared" si="113"/>
        <v>0.90625452972972964</v>
      </c>
      <c r="BG51" s="520" t="b">
        <f t="shared" si="114"/>
        <v>0</v>
      </c>
      <c r="BI51" s="528" t="s">
        <v>2181</v>
      </c>
      <c r="BK51" s="151">
        <f>VLOOKUP(J51,'Tarieven ZM'!$B$136:$I$235,8,0)</f>
        <v>0</v>
      </c>
      <c r="BL51" s="151" t="str">
        <f>IF(M51="EoK",N51&amp;"AdvancedNLS type 1/2/3",IF(E51&lt;&gt;"Straal Access",INDEX(Mapping!J:J,MATCH(E51&amp;G51,Mapping!B:B,0)),E51))</f>
        <v>Copper Standard Access 10Mbit/sAdvancedNLS type 1/2/3</v>
      </c>
      <c r="BM51" s="184">
        <f>INDEX('inkoop ULL tbv EVPN'!J:J,MATCH($BL51,'inkoop ULL tbv EVPN'!$H:$H,0))</f>
        <v>78.97</v>
      </c>
      <c r="BN51" s="180">
        <f>BM51/INDEX(Parameters!$B:$B,MATCH("AfschrijftermijnVVE"&amp;12*$C51,Parameters!$A:$A,0))</f>
        <v>2.1936111111111112</v>
      </c>
      <c r="BO51" s="184">
        <f>INDEX('inkoop ULL tbv EVPN'!I:I,MATCH($BL51,'inkoop ULL tbv EVPN'!$H:$H,0))</f>
        <v>14.7296035</v>
      </c>
      <c r="BP51" s="184">
        <f t="shared" si="93"/>
        <v>16.92321461111111</v>
      </c>
      <c r="BR51" s="180">
        <f>Parameters!$B$12*AG51</f>
        <v>102.77777777777779</v>
      </c>
      <c r="BS51" s="180">
        <f>SUM(Distributievergoedingen!$F$12,Distributievergoedingen!$I$12,Distributievergoedingen!$L$12,Distributievergoedingen!$O$12)*AF51+SUM(Distributievergoedingen!$O$12*AA51+Distributievergoedingen!$R$12+Distributievergoedingen!$U$12+Distributievergoedingen!$X$12)/(MAX(36,12*C51))</f>
        <v>112.77777777777777</v>
      </c>
      <c r="BT51" s="150"/>
      <c r="BU51" s="150">
        <f t="shared" si="94"/>
        <v>215.55555555555554</v>
      </c>
      <c r="BW51" s="522">
        <f t="shared" si="95"/>
        <v>232.47877016666666</v>
      </c>
      <c r="BY51" s="527">
        <f t="shared" si="96"/>
        <v>795.29900761111116</v>
      </c>
      <c r="BZ51" s="181">
        <f t="shared" si="97"/>
        <v>0.77380443983783787</v>
      </c>
      <c r="CA51" s="520" t="b">
        <f t="shared" si="98"/>
        <v>0</v>
      </c>
    </row>
    <row r="52" spans="1:79" s="151" customFormat="1">
      <c r="A52" s="151" t="str">
        <f t="shared" si="99"/>
        <v>2EoKStandard Access koper 15mbHoogOn-net (NLS1, 2)</v>
      </c>
      <c r="B52" s="151" t="str">
        <f t="shared" si="100"/>
        <v>2EoKStandard Access koper 15mbHoogOn-net (NLS1, 2)</v>
      </c>
      <c r="C52" s="178">
        <v>2</v>
      </c>
      <c r="D52" s="415" t="s">
        <v>303</v>
      </c>
      <c r="E52" s="178" t="s">
        <v>278</v>
      </c>
      <c r="F52" s="107" t="s">
        <v>274</v>
      </c>
      <c r="G52" s="178" t="s">
        <v>281</v>
      </c>
      <c r="I52" s="178"/>
      <c r="J52" s="520" t="str">
        <f t="shared" si="101"/>
        <v>EoKStandard Access koper 15mbHoogOn-net (NLS1, 2)</v>
      </c>
      <c r="L52" s="204">
        <f>INDEX(Mapping!$H:$H,MATCH(C$3&amp;C52,Mapping!$B:$B,0))</f>
        <v>1</v>
      </c>
      <c r="M52" s="204" t="str">
        <f>INDEX(Mapping!$H:$H,MATCH(D$3&amp;D52,Mapping!$B:$B,0))</f>
        <v>EoK</v>
      </c>
      <c r="N52" s="204" t="str">
        <f>INDEX(Mapping!$H:$H,MATCH(E$3&amp;E52,Mapping!$B:$B,0))</f>
        <v>Copper Standard Access 15Mbit/s</v>
      </c>
      <c r="O52" s="204" t="str">
        <f>INDEX(Mapping!$H:$H,MATCH(E52&amp;F52,Mapping!$B:$B,0))</f>
        <v/>
      </c>
      <c r="P52" s="204" t="str">
        <f>INDEX(Mapping!$H:$H,MATCH($E52&amp;$G52,Mapping!$B:$B,0))</f>
        <v>On-net (NLS1, 2)</v>
      </c>
      <c r="Q52" s="204">
        <f>INDEX(Mapping!$H:$H,MATCH($E52&amp;$G52&amp;"graafafstand",Mapping!$B:$B,0))</f>
        <v>0</v>
      </c>
      <c r="R52" s="204">
        <f>INDEX(Mapping!$H:$H,MATCH(R$3&amp;$E52,Mapping!$B:$B,0))</f>
        <v>1</v>
      </c>
      <c r="S52" s="204">
        <f>INDEX(Mapping!$H:$H,MATCH(S$3&amp;$E52,Mapping!$B:$B,0))</f>
        <v>1</v>
      </c>
      <c r="T52" s="139" t="str">
        <f t="shared" si="102"/>
        <v>Copper Standard Access 15Mbit/sOn-net (NLS1, 2)</v>
      </c>
      <c r="U52" s="151" t="str">
        <f t="shared" si="103"/>
        <v>Copper Standard Access 15Mbit/sOn-net (NLS1, 2)</v>
      </c>
      <c r="W52" s="521">
        <f>MATCH($J52,'Tarieven ZM'!$B:$B,0)</f>
        <v>140</v>
      </c>
      <c r="X52" s="204">
        <f>INDEX('Tarieven ZM'!$H:$H,$W52)</f>
        <v>1000</v>
      </c>
      <c r="Y52" s="198">
        <f>IF(E52="Standard Access in ZG BT gebieden",0,-INDEX(Parameters!$B:$B,MATCH(Y$3&amp;$C52,Parameters!$A:$A,0))*$X52)</f>
        <v>0</v>
      </c>
      <c r="Z52" s="198">
        <f>IF(E52="Standard Access in ZG BT gebieden",0,MAX(-INDEX(Parameters!$B:$B,MATCH(Z$3&amp;$C52,Parameters!$A:$A,0))*$X52,-INDEX(Parameters!$B:$B,MATCH("FactorMaxSalesMandaat"&amp;E52,Parameters!$A:$A,0))*INDEX(Parameters!$B:$B,MATCH("MaxSalesMandaatAccessVVE"&amp;$C52,Parameters!$A:$A,0))))</f>
        <v>0</v>
      </c>
      <c r="AA52" s="139">
        <f t="shared" si="104"/>
        <v>1000</v>
      </c>
      <c r="AB52" s="205">
        <f>AA52/INDEX(Parameters!$B:$B,MATCH("AfschrijftermijnVVE"&amp;12*$C52,Parameters!$A:$A,0))</f>
        <v>27.777777777777779</v>
      </c>
      <c r="AC52" s="204">
        <f>INDEX('Tarieven ZM'!$G:$G,$W52)</f>
        <v>1000</v>
      </c>
      <c r="AD52" s="198">
        <f>IF(E52="Standard Access in ZG BT gebieden",0,-INDEX(Parameters!$B:$B,MATCH(AD$3&amp;$C52,Parameters!$A:$A,0))*$AC52)</f>
        <v>0</v>
      </c>
      <c r="AE52" s="198">
        <f>IF(E52="Standard Access in ZG BT gebieden",0,-INDEX(Parameters!$B:$B,MATCH(AE$3,Parameters!$A:$A,0))*$AC52)</f>
        <v>0</v>
      </c>
      <c r="AF52" s="139">
        <f t="shared" si="105"/>
        <v>1000</v>
      </c>
      <c r="AG52" s="522">
        <f t="shared" si="106"/>
        <v>1027.7777777777778</v>
      </c>
      <c r="AH52" s="175"/>
      <c r="AI52" s="523">
        <f>IF(N52&lt;&gt;"nvt",MATCH($T52,'Tarieven W&amp;O'!$B:$B,0),"nvt")</f>
        <v>12</v>
      </c>
      <c r="AJ52" s="205">
        <f>IF(AI52&lt;&gt;"nvt",IF($D52="EoK",INDEX(Parameters!C:C,MATCH("NLSx EoK",Parameters!A:A,0)),INDEX('Tarieven W&amp;O'!$H:$H,$AI52)),0)*R52</f>
        <v>350</v>
      </c>
      <c r="AK52" s="204">
        <f>IF(AI52&lt;&gt;"nvt",INDEX('Tarieven W&amp;O'!$I:$I,$AI52),0)*R52</f>
        <v>75</v>
      </c>
      <c r="AL52" s="524">
        <f>IF(AI52&lt;&gt;"nvt",-INDEX(Parameters!$B:$B,MATCH(AL$3,Parameters!$A:$A,0))*(AJ52+AK52),0)</f>
        <v>0</v>
      </c>
      <c r="AM52" s="525"/>
      <c r="AN52" s="139">
        <f t="shared" si="107"/>
        <v>425</v>
      </c>
      <c r="AO52" s="205">
        <f>AN52/INDEX(Parameters!$B:$B,MATCH("AfschrijftermijnVVE"&amp;12*$C52,Parameters!$A:$A,0))</f>
        <v>11.805555555555555</v>
      </c>
      <c r="AP52" s="139">
        <f t="shared" si="108"/>
        <v>12</v>
      </c>
      <c r="AQ52" s="526">
        <f>IF(AP52&lt;&gt;"nvt",R52*INDEX('Tarieven W&amp;O'!$G:$G,$AP52),0)</f>
        <v>102.44</v>
      </c>
      <c r="AR52" s="524">
        <f>-INDEX(Parameters!$B:$B,MATCH(AR$3,Parameters!$A:$A,0))*(AQ52)</f>
        <v>0</v>
      </c>
      <c r="AS52" s="205">
        <f>IF(E52="straal access",'EDC Minus'!$H$192,IF(Q52&lt;&gt;"nvt",Q52*S52*'EDC Minus'!$H$292/590,0))</f>
        <v>0</v>
      </c>
      <c r="AT52" s="139"/>
      <c r="AU52" s="150">
        <f t="shared" si="109"/>
        <v>102.44</v>
      </c>
      <c r="AV52" s="150">
        <f t="shared" si="110"/>
        <v>114.24555555555555</v>
      </c>
      <c r="AX52" s="526">
        <f>Parameters!$B$6*AV52</f>
        <v>1.1424555555555556</v>
      </c>
      <c r="AY52" s="150">
        <v>0</v>
      </c>
      <c r="AZ52" s="150"/>
      <c r="BA52" s="150">
        <f t="shared" si="111"/>
        <v>1.1424555555555556</v>
      </c>
      <c r="BC52" s="522">
        <f t="shared" si="91"/>
        <v>115.38801111111111</v>
      </c>
      <c r="BD52" s="175"/>
      <c r="BE52" s="527">
        <f t="shared" si="112"/>
        <v>912.38976666666667</v>
      </c>
      <c r="BF52" s="181">
        <f t="shared" si="113"/>
        <v>0.88773058378378378</v>
      </c>
      <c r="BG52" s="520" t="b">
        <f t="shared" si="114"/>
        <v>0</v>
      </c>
      <c r="BI52" s="528" t="s">
        <v>2181</v>
      </c>
      <c r="BK52" s="151">
        <f>VLOOKUP(J52,'Tarieven ZM'!$B$136:$I$235,8,0)</f>
        <v>0</v>
      </c>
      <c r="BL52" s="151" t="str">
        <f>IF(M52="EoK",N52&amp;"AdvancedNLS type 1/2/3",IF(E52&lt;&gt;"Straal Access",INDEX(Mapping!J:J,MATCH(E52&amp;G52,Mapping!B:B,0)),E52))</f>
        <v>Copper Standard Access 15Mbit/sAdvancedNLS type 1/2/3</v>
      </c>
      <c r="BM52" s="184">
        <f>INDEX('inkoop ULL tbv EVPN'!J:J,MATCH($BL52,'inkoop ULL tbv EVPN'!$H:$H,0))</f>
        <v>78.97</v>
      </c>
      <c r="BN52" s="180">
        <f>BM52/INDEX(Parameters!$B:$B,MATCH("AfschrijftermijnVVE"&amp;12*$C52,Parameters!$A:$A,0))</f>
        <v>2.1936111111111112</v>
      </c>
      <c r="BO52" s="184">
        <f>INDEX('inkoop ULL tbv EVPN'!I:I,MATCH($BL52,'inkoop ULL tbv EVPN'!$H:$H,0))</f>
        <v>14.7296035</v>
      </c>
      <c r="BP52" s="184">
        <f t="shared" si="93"/>
        <v>16.92321461111111</v>
      </c>
      <c r="BR52" s="180">
        <f>Parameters!$B$12*AG52</f>
        <v>102.77777777777779</v>
      </c>
      <c r="BS52" s="180">
        <f>SUM(Distributievergoedingen!$F$12,Distributievergoedingen!$I$12,Distributievergoedingen!$L$12,Distributievergoedingen!$O$12)*AF52+SUM(Distributievergoedingen!$O$12*AA52+Distributievergoedingen!$R$12+Distributievergoedingen!$U$12+Distributievergoedingen!$X$12)/(MAX(36,12*C52))</f>
        <v>112.77777777777777</v>
      </c>
      <c r="BT52" s="150"/>
      <c r="BU52" s="150">
        <f t="shared" si="94"/>
        <v>215.55555555555554</v>
      </c>
      <c r="BW52" s="522">
        <f t="shared" si="95"/>
        <v>232.47877016666666</v>
      </c>
      <c r="BY52" s="527">
        <f t="shared" si="96"/>
        <v>795.29900761111116</v>
      </c>
      <c r="BZ52" s="181">
        <f t="shared" si="97"/>
        <v>0.77380443983783787</v>
      </c>
      <c r="CA52" s="520" t="b">
        <f t="shared" si="98"/>
        <v>0</v>
      </c>
    </row>
    <row r="53" spans="1:79" s="151" customFormat="1">
      <c r="A53" s="151" t="str">
        <f t="shared" si="99"/>
        <v>2EoKStandard Access koper 20mbHoogOn-net (NLS1, 2)</v>
      </c>
      <c r="B53" s="151" t="str">
        <f t="shared" si="100"/>
        <v>2EoKStandard Access koper 20mbHoogOn-net (NLS1, 2)</v>
      </c>
      <c r="C53" s="178">
        <v>2</v>
      </c>
      <c r="D53" s="415" t="s">
        <v>303</v>
      </c>
      <c r="E53" s="178" t="s">
        <v>279</v>
      </c>
      <c r="F53" s="107" t="s">
        <v>274</v>
      </c>
      <c r="G53" s="178" t="s">
        <v>281</v>
      </c>
      <c r="I53" s="178"/>
      <c r="J53" s="520" t="str">
        <f t="shared" si="101"/>
        <v>EoKStandard Access koper 20mbHoogOn-net (NLS1, 2)</v>
      </c>
      <c r="L53" s="204">
        <f>INDEX(Mapping!$H:$H,MATCH(C$3&amp;C53,Mapping!$B:$B,0))</f>
        <v>1</v>
      </c>
      <c r="M53" s="204" t="str">
        <f>INDEX(Mapping!$H:$H,MATCH(D$3&amp;D53,Mapping!$B:$B,0))</f>
        <v>EoK</v>
      </c>
      <c r="N53" s="204" t="str">
        <f>INDEX(Mapping!$H:$H,MATCH(E$3&amp;E53,Mapping!$B:$B,0))</f>
        <v>Copper Standard Access 20Mbit/s</v>
      </c>
      <c r="O53" s="204" t="str">
        <f>INDEX(Mapping!$H:$H,MATCH(E53&amp;F53,Mapping!$B:$B,0))</f>
        <v/>
      </c>
      <c r="P53" s="204" t="str">
        <f>INDEX(Mapping!$H:$H,MATCH($E53&amp;$G53,Mapping!$B:$B,0))</f>
        <v>On-net (NLS1, 2)</v>
      </c>
      <c r="Q53" s="204">
        <f>INDEX(Mapping!$H:$H,MATCH($E53&amp;$G53&amp;"graafafstand",Mapping!$B:$B,0))</f>
        <v>0</v>
      </c>
      <c r="R53" s="204">
        <f>INDEX(Mapping!$H:$H,MATCH(R$3&amp;$E53,Mapping!$B:$B,0))</f>
        <v>1</v>
      </c>
      <c r="S53" s="204">
        <f>INDEX(Mapping!$H:$H,MATCH(S$3&amp;$E53,Mapping!$B:$B,0))</f>
        <v>1</v>
      </c>
      <c r="T53" s="139" t="str">
        <f t="shared" si="102"/>
        <v>Copper Standard Access 20Mbit/sOn-net (NLS1, 2)</v>
      </c>
      <c r="U53" s="151" t="str">
        <f t="shared" si="103"/>
        <v>Copper Standard Access 20Mbit/sOn-net (NLS1, 2)</v>
      </c>
      <c r="W53" s="521">
        <f>MATCH($J53,'Tarieven ZM'!$B:$B,0)</f>
        <v>141</v>
      </c>
      <c r="X53" s="204">
        <f>INDEX('Tarieven ZM'!$H:$H,$W53)</f>
        <v>1000</v>
      </c>
      <c r="Y53" s="198">
        <f>IF(E53="Standard Access in ZG BT gebieden",0,-INDEX(Parameters!$B:$B,MATCH(Y$3&amp;$C53,Parameters!$A:$A,0))*$X53)</f>
        <v>0</v>
      </c>
      <c r="Z53" s="198">
        <f>IF(E53="Standard Access in ZG BT gebieden",0,MAX(-INDEX(Parameters!$B:$B,MATCH(Z$3&amp;$C53,Parameters!$A:$A,0))*$X53,-INDEX(Parameters!$B:$B,MATCH("FactorMaxSalesMandaat"&amp;E53,Parameters!$A:$A,0))*INDEX(Parameters!$B:$B,MATCH("MaxSalesMandaatAccessVVE"&amp;$C53,Parameters!$A:$A,0))))</f>
        <v>0</v>
      </c>
      <c r="AA53" s="139">
        <f t="shared" si="104"/>
        <v>1000</v>
      </c>
      <c r="AB53" s="205">
        <f>AA53/INDEX(Parameters!$B:$B,MATCH("AfschrijftermijnVVE"&amp;12*$C53,Parameters!$A:$A,0))</f>
        <v>27.777777777777779</v>
      </c>
      <c r="AC53" s="204">
        <f>INDEX('Tarieven ZM'!$G:$G,$W53)</f>
        <v>1000</v>
      </c>
      <c r="AD53" s="198">
        <f>IF(E53="Standard Access in ZG BT gebieden",0,-INDEX(Parameters!$B:$B,MATCH(AD$3&amp;$C53,Parameters!$A:$A,0))*$AC53)</f>
        <v>0</v>
      </c>
      <c r="AE53" s="198">
        <f>IF(E53="Standard Access in ZG BT gebieden",0,-INDEX(Parameters!$B:$B,MATCH(AE$3,Parameters!$A:$A,0))*$AC53)</f>
        <v>0</v>
      </c>
      <c r="AF53" s="139">
        <f t="shared" si="105"/>
        <v>1000</v>
      </c>
      <c r="AG53" s="522">
        <f t="shared" si="106"/>
        <v>1027.7777777777778</v>
      </c>
      <c r="AH53" s="175"/>
      <c r="AI53" s="523">
        <f>IF(N53&lt;&gt;"nvt",MATCH($T53,'Tarieven W&amp;O'!$B:$B,0),"nvt")</f>
        <v>13</v>
      </c>
      <c r="AJ53" s="205">
        <f>IF(AI53&lt;&gt;"nvt",IF($D53="EoK",INDEX(Parameters!C:C,MATCH("NLSx EoK",Parameters!A:A,0)),INDEX('Tarieven W&amp;O'!$H:$H,$AI53)),0)*R53</f>
        <v>350</v>
      </c>
      <c r="AK53" s="204">
        <f>IF(AI53&lt;&gt;"nvt",INDEX('Tarieven W&amp;O'!$I:$I,$AI53),0)*R53</f>
        <v>75</v>
      </c>
      <c r="AL53" s="524">
        <f>IF(AI53&lt;&gt;"nvt",-INDEX(Parameters!$B:$B,MATCH(AL$3,Parameters!$A:$A,0))*(AJ53+AK53),0)</f>
        <v>0</v>
      </c>
      <c r="AM53" s="525"/>
      <c r="AN53" s="139">
        <f t="shared" si="107"/>
        <v>425</v>
      </c>
      <c r="AO53" s="205">
        <f>AN53/INDEX(Parameters!$B:$B,MATCH("AfschrijftermijnVVE"&amp;12*$C53,Parameters!$A:$A,0))</f>
        <v>11.805555555555555</v>
      </c>
      <c r="AP53" s="139">
        <f t="shared" si="108"/>
        <v>13</v>
      </c>
      <c r="AQ53" s="526">
        <f>IF(AP53&lt;&gt;"nvt",R53*INDEX('Tarieven W&amp;O'!$G:$G,$AP53),0)</f>
        <v>121.28</v>
      </c>
      <c r="AR53" s="524">
        <f>-INDEX(Parameters!$B:$B,MATCH(AR$3,Parameters!$A:$A,0))*(AQ53)</f>
        <v>0</v>
      </c>
      <c r="AS53" s="205">
        <f>IF(E53="straal access",'EDC Minus'!$H$192,IF(Q53&lt;&gt;"nvt",Q53*S53*'EDC Minus'!$H$292/590,0))</f>
        <v>0</v>
      </c>
      <c r="AT53" s="139"/>
      <c r="AU53" s="150">
        <f t="shared" si="109"/>
        <v>121.28</v>
      </c>
      <c r="AV53" s="150">
        <f t="shared" si="110"/>
        <v>133.08555555555554</v>
      </c>
      <c r="AX53" s="526">
        <f>Parameters!$B$6*AV53</f>
        <v>1.3308555555555555</v>
      </c>
      <c r="AY53" s="150">
        <v>0</v>
      </c>
      <c r="AZ53" s="150"/>
      <c r="BA53" s="150">
        <f t="shared" si="111"/>
        <v>1.3308555555555555</v>
      </c>
      <c r="BC53" s="522">
        <f t="shared" si="91"/>
        <v>134.4164111111111</v>
      </c>
      <c r="BD53" s="175"/>
      <c r="BE53" s="527">
        <f t="shared" si="112"/>
        <v>893.36136666666675</v>
      </c>
      <c r="BF53" s="181">
        <f t="shared" si="113"/>
        <v>0.86921646486486492</v>
      </c>
      <c r="BG53" s="520" t="b">
        <f t="shared" si="114"/>
        <v>0</v>
      </c>
      <c r="BI53" s="528" t="s">
        <v>2181</v>
      </c>
      <c r="BK53" s="151">
        <f>VLOOKUP(J53,'Tarieven ZM'!$B$136:$I$235,8,0)</f>
        <v>0</v>
      </c>
      <c r="BL53" s="151" t="str">
        <f>IF(M53="EoK",N53&amp;"AdvancedNLS type 1/2/3",IF(E53&lt;&gt;"Straal Access",INDEX(Mapping!J:J,MATCH(E53&amp;G53,Mapping!B:B,0)),E53))</f>
        <v>Copper Standard Access 20Mbit/sAdvancedNLS type 1/2/3</v>
      </c>
      <c r="BM53" s="184">
        <f>INDEX('inkoop ULL tbv EVPN'!J:J,MATCH($BL53,'inkoop ULL tbv EVPN'!$H:$H,0))</f>
        <v>78.97</v>
      </c>
      <c r="BN53" s="180">
        <f>BM53/INDEX(Parameters!$B:$B,MATCH("AfschrijftermijnVVE"&amp;12*$C53,Parameters!$A:$A,0))</f>
        <v>2.1936111111111112</v>
      </c>
      <c r="BO53" s="184">
        <f>INDEX('inkoop ULL tbv EVPN'!I:I,MATCH($BL53,'inkoop ULL tbv EVPN'!$H:$H,0))</f>
        <v>14.7296035</v>
      </c>
      <c r="BP53" s="184">
        <f t="shared" si="93"/>
        <v>16.92321461111111</v>
      </c>
      <c r="BR53" s="180">
        <f>Parameters!$B$12*AG53</f>
        <v>102.77777777777779</v>
      </c>
      <c r="BS53" s="180">
        <f>SUM(Distributievergoedingen!$F$12,Distributievergoedingen!$I$12,Distributievergoedingen!$L$12,Distributievergoedingen!$O$12)*AF53+SUM(Distributievergoedingen!$O$12*AA53+Distributievergoedingen!$R$12+Distributievergoedingen!$U$12+Distributievergoedingen!$X$12)/(MAX(36,12*C53))</f>
        <v>112.77777777777777</v>
      </c>
      <c r="BT53" s="150"/>
      <c r="BU53" s="150">
        <f t="shared" si="94"/>
        <v>215.55555555555554</v>
      </c>
      <c r="BW53" s="522">
        <f t="shared" si="95"/>
        <v>232.47877016666666</v>
      </c>
      <c r="BY53" s="527">
        <f t="shared" si="96"/>
        <v>795.29900761111116</v>
      </c>
      <c r="BZ53" s="181">
        <f t="shared" si="97"/>
        <v>0.77380443983783787</v>
      </c>
      <c r="CA53" s="520" t="b">
        <f t="shared" si="98"/>
        <v>0</v>
      </c>
    </row>
    <row r="54" spans="1:79" s="151" customFormat="1">
      <c r="A54" s="151" t="str">
        <f t="shared" si="99"/>
        <v>2EoKStandard Access koper 3mbHoogOn-net (NLS3)</v>
      </c>
      <c r="B54" s="151" t="str">
        <f t="shared" si="100"/>
        <v>2EoKStandard Access koper 3mbHoogOn-net (NLS3)</v>
      </c>
      <c r="C54" s="178">
        <v>2</v>
      </c>
      <c r="D54" s="415" t="s">
        <v>303</v>
      </c>
      <c r="E54" s="178" t="s">
        <v>268</v>
      </c>
      <c r="F54" s="107" t="s">
        <v>274</v>
      </c>
      <c r="G54" s="178" t="s">
        <v>3398</v>
      </c>
      <c r="I54" s="178"/>
      <c r="J54" s="520" t="str">
        <f t="shared" si="101"/>
        <v>EoKStandard Access koper 3mbHoogOn-net (NLS3)</v>
      </c>
      <c r="L54" s="204">
        <f>INDEX(Mapping!$H:$H,MATCH(C$3&amp;C54,Mapping!$B:$B,0))</f>
        <v>1</v>
      </c>
      <c r="M54" s="204" t="str">
        <f>INDEX(Mapping!$H:$H,MATCH(D$3&amp;D54,Mapping!$B:$B,0))</f>
        <v>EoK</v>
      </c>
      <c r="N54" s="204" t="str">
        <f>INDEX(Mapping!$H:$H,MATCH(E$3&amp;E54,Mapping!$B:$B,0))</f>
        <v>Copper Standard Access 3Mbit/s</v>
      </c>
      <c r="O54" s="204" t="str">
        <f>INDEX(Mapping!$H:$H,MATCH(E54&amp;F54,Mapping!$B:$B,0))</f>
        <v/>
      </c>
      <c r="P54" s="204" t="str">
        <f>INDEX(Mapping!$H:$H,MATCH($E54&amp;$G54,Mapping!$B:$B,0))</f>
        <v>On-net (NLS3)</v>
      </c>
      <c r="Q54" s="204" t="str">
        <f>INDEX(Mapping!$H:$H,MATCH($E54&amp;$G54&amp;"graafafstand",Mapping!$B:$B,0))</f>
        <v>nvt</v>
      </c>
      <c r="R54" s="204">
        <f>INDEX(Mapping!$H:$H,MATCH(R$3&amp;$E54,Mapping!$B:$B,0))</f>
        <v>1</v>
      </c>
      <c r="S54" s="204">
        <f>INDEX(Mapping!$H:$H,MATCH(S$3&amp;$E54,Mapping!$B:$B,0))</f>
        <v>1</v>
      </c>
      <c r="T54" s="139" t="str">
        <f t="shared" si="102"/>
        <v>Copper Standard Access 3Mbit/sOn-net (NLS3)</v>
      </c>
      <c r="U54" s="151" t="str">
        <f t="shared" si="103"/>
        <v>Copper Standard Access 3Mbit/sOn-net (NLS3)</v>
      </c>
      <c r="W54" s="521">
        <f>MATCH($J54,'Tarieven ZM'!$B:$B,0)</f>
        <v>144</v>
      </c>
      <c r="X54" s="204">
        <f>INDEX('Tarieven ZM'!$H:$H,$W54)</f>
        <v>1000</v>
      </c>
      <c r="Y54" s="198">
        <f>IF(E54="Standard Access in ZG BT gebieden",0,-INDEX(Parameters!$B:$B,MATCH(Y$3&amp;$C54,Parameters!$A:$A,0))*$X54)</f>
        <v>0</v>
      </c>
      <c r="Z54" s="198">
        <f>IF(E54="Standard Access in ZG BT gebieden",0,MAX(-INDEX(Parameters!$B:$B,MATCH(Z$3&amp;$C54,Parameters!$A:$A,0))*$X54,-INDEX(Parameters!$B:$B,MATCH("FactorMaxSalesMandaat"&amp;E54,Parameters!$A:$A,0))*INDEX(Parameters!$B:$B,MATCH("MaxSalesMandaatAccessVVE"&amp;$C54,Parameters!$A:$A,0))))</f>
        <v>0</v>
      </c>
      <c r="AA54" s="139">
        <f t="shared" si="104"/>
        <v>1000</v>
      </c>
      <c r="AB54" s="205">
        <f>AA54/INDEX(Parameters!$B:$B,MATCH("AfschrijftermijnVVE"&amp;12*$C54,Parameters!$A:$A,0))</f>
        <v>27.777777777777779</v>
      </c>
      <c r="AC54" s="204">
        <f>INDEX('Tarieven ZM'!$G:$G,$W54)</f>
        <v>1000</v>
      </c>
      <c r="AD54" s="198">
        <f>IF(E54="Standard Access in ZG BT gebieden",0,-INDEX(Parameters!$B:$B,MATCH(AD$3&amp;$C54,Parameters!$A:$A,0))*$AC54)</f>
        <v>0</v>
      </c>
      <c r="AE54" s="198">
        <f>IF(E54="Standard Access in ZG BT gebieden",0,-INDEX(Parameters!$B:$B,MATCH(AE$3,Parameters!$A:$A,0))*$AC54)</f>
        <v>0</v>
      </c>
      <c r="AF54" s="139">
        <f t="shared" si="105"/>
        <v>1000</v>
      </c>
      <c r="AG54" s="522">
        <f t="shared" si="106"/>
        <v>1027.7777777777778</v>
      </c>
      <c r="AH54" s="175"/>
      <c r="AI54" s="523">
        <f>IF(N54&lt;&gt;"nvt",MATCH($T54,'Tarieven W&amp;O'!$B:$B,0),"nvt")</f>
        <v>16</v>
      </c>
      <c r="AJ54" s="205">
        <f>IF(AI54&lt;&gt;"nvt",IF($D54="EoK",INDEX(Parameters!C:C,MATCH("NLSx EoK",Parameters!A:A,0)),INDEX('Tarieven W&amp;O'!$H:$H,$AI54)),0)*R54</f>
        <v>350</v>
      </c>
      <c r="AK54" s="204">
        <f>IF(AI54&lt;&gt;"nvt",INDEX('Tarieven W&amp;O'!$I:$I,$AI54),0)*R54</f>
        <v>75</v>
      </c>
      <c r="AL54" s="524">
        <f>IF(AI54&lt;&gt;"nvt",-INDEX(Parameters!$B:$B,MATCH(AL$3,Parameters!$A:$A,0))*(AJ54+AK54),0)</f>
        <v>0</v>
      </c>
      <c r="AM54" s="525"/>
      <c r="AN54" s="139">
        <f t="shared" si="107"/>
        <v>425</v>
      </c>
      <c r="AO54" s="205">
        <f>AN54/INDEX(Parameters!$B:$B,MATCH("AfschrijftermijnVVE"&amp;12*$C54,Parameters!$A:$A,0))</f>
        <v>11.805555555555555</v>
      </c>
      <c r="AP54" s="139">
        <f t="shared" si="108"/>
        <v>16</v>
      </c>
      <c r="AQ54" s="526">
        <f>IF(AP54&lt;&gt;"nvt",R54*INDEX('Tarieven W&amp;O'!$G:$G,$AP54),0)</f>
        <v>41.5</v>
      </c>
      <c r="AR54" s="524">
        <f>-INDEX(Parameters!$B:$B,MATCH(AR$3,Parameters!$A:$A,0))*(AQ54)</f>
        <v>0</v>
      </c>
      <c r="AS54" s="205">
        <f>IF(E54="straal access",'EDC Minus'!$H$192,IF(Q54&lt;&gt;"nvt",Q54*S54*'EDC Minus'!$H$292/590,0))</f>
        <v>0</v>
      </c>
      <c r="AT54" s="139"/>
      <c r="AU54" s="150">
        <f t="shared" si="109"/>
        <v>41.5</v>
      </c>
      <c r="AV54" s="150">
        <f t="shared" si="110"/>
        <v>53.305555555555557</v>
      </c>
      <c r="AX54" s="526">
        <f>Parameters!$B$6*AV54</f>
        <v>0.53305555555555562</v>
      </c>
      <c r="AY54" s="150">
        <v>0</v>
      </c>
      <c r="AZ54" s="150"/>
      <c r="BA54" s="150">
        <f t="shared" si="111"/>
        <v>0.53305555555555562</v>
      </c>
      <c r="BC54" s="522">
        <f t="shared" si="91"/>
        <v>53.838611111111113</v>
      </c>
      <c r="BD54" s="175"/>
      <c r="BE54" s="527">
        <f t="shared" si="112"/>
        <v>973.93916666666667</v>
      </c>
      <c r="BF54" s="181">
        <f t="shared" si="113"/>
        <v>0.94761648648648644</v>
      </c>
      <c r="BG54" s="520" t="b">
        <f t="shared" si="114"/>
        <v>0</v>
      </c>
      <c r="BI54" s="528" t="s">
        <v>2181</v>
      </c>
      <c r="BK54" s="151">
        <f>VLOOKUP(J54,'Tarieven ZM'!$B$136:$I$235,8,0)</f>
        <v>0</v>
      </c>
      <c r="BL54" s="151" t="str">
        <f>IF(M54="EoK",N54&amp;"AdvancedNLS type 1/2/3",IF(E54&lt;&gt;"Straal Access",INDEX(Mapping!J:J,MATCH(E54&amp;G54,Mapping!B:B,0)),E54))</f>
        <v>Copper Standard Access 3Mbit/sAdvancedNLS type 1/2/3</v>
      </c>
      <c r="BM54" s="184">
        <f>INDEX('inkoop ULL tbv EVPN'!J:J,MATCH($BL54,'inkoop ULL tbv EVPN'!$H:$H,0))</f>
        <v>78.97</v>
      </c>
      <c r="BN54" s="180">
        <f>BM54/INDEX(Parameters!$B:$B,MATCH("AfschrijftermijnVVE"&amp;12*$C54,Parameters!$A:$A,0))</f>
        <v>2.1936111111111112</v>
      </c>
      <c r="BO54" s="184">
        <f>INDEX('inkoop ULL tbv EVPN'!I:I,MATCH($BL54,'inkoop ULL tbv EVPN'!$H:$H,0))</f>
        <v>14.7296035</v>
      </c>
      <c r="BP54" s="184">
        <f t="shared" si="93"/>
        <v>16.92321461111111</v>
      </c>
      <c r="BR54" s="180">
        <f>Parameters!$B$12*AG54</f>
        <v>102.77777777777779</v>
      </c>
      <c r="BS54" s="180">
        <f>SUM(Distributievergoedingen!$F$12,Distributievergoedingen!$I$12,Distributievergoedingen!$L$12,Distributievergoedingen!$O$12)*AF54+SUM(Distributievergoedingen!$O$12*AA54+Distributievergoedingen!$R$12+Distributievergoedingen!$U$12+Distributievergoedingen!$X$12)/(MAX(36,12*C54))</f>
        <v>112.77777777777777</v>
      </c>
      <c r="BT54" s="150"/>
      <c r="BU54" s="150">
        <f t="shared" si="94"/>
        <v>215.55555555555554</v>
      </c>
      <c r="BW54" s="522">
        <f t="shared" si="95"/>
        <v>232.47877016666666</v>
      </c>
      <c r="BY54" s="527">
        <f t="shared" si="96"/>
        <v>795.29900761111116</v>
      </c>
      <c r="BZ54" s="181">
        <f t="shared" si="97"/>
        <v>0.77380443983783787</v>
      </c>
      <c r="CA54" s="520" t="b">
        <f t="shared" si="98"/>
        <v>0</v>
      </c>
    </row>
    <row r="55" spans="1:79" s="151" customFormat="1">
      <c r="A55" s="151" t="str">
        <f t="shared" si="99"/>
        <v>2EoKStandard Access koper 5mbHoogOn-net (NLS3)</v>
      </c>
      <c r="B55" s="151" t="str">
        <f t="shared" si="100"/>
        <v>2EoKStandard Access koper 5mbHoogOn-net (NLS3)</v>
      </c>
      <c r="C55" s="178">
        <v>2</v>
      </c>
      <c r="D55" s="415" t="s">
        <v>303</v>
      </c>
      <c r="E55" s="178" t="s">
        <v>276</v>
      </c>
      <c r="F55" s="107" t="s">
        <v>274</v>
      </c>
      <c r="G55" s="178" t="s">
        <v>3398</v>
      </c>
      <c r="I55" s="178"/>
      <c r="J55" s="520" t="str">
        <f t="shared" si="101"/>
        <v>EoKStandard Access koper 5mbHoogOn-net (NLS3)</v>
      </c>
      <c r="L55" s="204">
        <f>INDEX(Mapping!$H:$H,MATCH(C$3&amp;C55,Mapping!$B:$B,0))</f>
        <v>1</v>
      </c>
      <c r="M55" s="204" t="str">
        <f>INDEX(Mapping!$H:$H,MATCH(D$3&amp;D55,Mapping!$B:$B,0))</f>
        <v>EoK</v>
      </c>
      <c r="N55" s="204" t="str">
        <f>INDEX(Mapping!$H:$H,MATCH(E$3&amp;E55,Mapping!$B:$B,0))</f>
        <v>Copper Standard Access 5Mbit/s</v>
      </c>
      <c r="O55" s="204" t="str">
        <f>INDEX(Mapping!$H:$H,MATCH(E55&amp;F55,Mapping!$B:$B,0))</f>
        <v/>
      </c>
      <c r="P55" s="204" t="str">
        <f>INDEX(Mapping!$H:$H,MATCH($E55&amp;$G55,Mapping!$B:$B,0))</f>
        <v>On-net (NLS3)</v>
      </c>
      <c r="Q55" s="204" t="str">
        <f>INDEX(Mapping!$H:$H,MATCH($E55&amp;$G55&amp;"graafafstand",Mapping!$B:$B,0))</f>
        <v>nvt</v>
      </c>
      <c r="R55" s="204">
        <f>INDEX(Mapping!$H:$H,MATCH(R$3&amp;$E55,Mapping!$B:$B,0))</f>
        <v>1</v>
      </c>
      <c r="S55" s="204">
        <f>INDEX(Mapping!$H:$H,MATCH(S$3&amp;$E55,Mapping!$B:$B,0))</f>
        <v>1</v>
      </c>
      <c r="T55" s="139" t="str">
        <f t="shared" si="102"/>
        <v>Copper Standard Access 5Mbit/sOn-net (NLS3)</v>
      </c>
      <c r="U55" s="151" t="str">
        <f t="shared" si="103"/>
        <v>Copper Standard Access 5Mbit/sOn-net (NLS3)</v>
      </c>
      <c r="W55" s="521">
        <f>MATCH($J55,'Tarieven ZM'!$B:$B,0)</f>
        <v>145</v>
      </c>
      <c r="X55" s="204">
        <f>INDEX('Tarieven ZM'!$H:$H,$W55)</f>
        <v>1000</v>
      </c>
      <c r="Y55" s="198">
        <f>IF(E55="Standard Access in ZG BT gebieden",0,-INDEX(Parameters!$B:$B,MATCH(Y$3&amp;$C55,Parameters!$A:$A,0))*$X55)</f>
        <v>0</v>
      </c>
      <c r="Z55" s="198">
        <f>IF(E55="Standard Access in ZG BT gebieden",0,MAX(-INDEX(Parameters!$B:$B,MATCH(Z$3&amp;$C55,Parameters!$A:$A,0))*$X55,-INDEX(Parameters!$B:$B,MATCH("FactorMaxSalesMandaat"&amp;E55,Parameters!$A:$A,0))*INDEX(Parameters!$B:$B,MATCH("MaxSalesMandaatAccessVVE"&amp;$C55,Parameters!$A:$A,0))))</f>
        <v>0</v>
      </c>
      <c r="AA55" s="139">
        <f t="shared" si="104"/>
        <v>1000</v>
      </c>
      <c r="AB55" s="205">
        <f>AA55/INDEX(Parameters!$B:$B,MATCH("AfschrijftermijnVVE"&amp;12*$C55,Parameters!$A:$A,0))</f>
        <v>27.777777777777779</v>
      </c>
      <c r="AC55" s="204">
        <f>INDEX('Tarieven ZM'!$G:$G,$W55)</f>
        <v>1000</v>
      </c>
      <c r="AD55" s="198">
        <f>IF(E55="Standard Access in ZG BT gebieden",0,-INDEX(Parameters!$B:$B,MATCH(AD$3&amp;$C55,Parameters!$A:$A,0))*$AC55)</f>
        <v>0</v>
      </c>
      <c r="AE55" s="198">
        <f>IF(E55="Standard Access in ZG BT gebieden",0,-INDEX(Parameters!$B:$B,MATCH(AE$3,Parameters!$A:$A,0))*$AC55)</f>
        <v>0</v>
      </c>
      <c r="AF55" s="139">
        <f t="shared" si="105"/>
        <v>1000</v>
      </c>
      <c r="AG55" s="522">
        <f t="shared" si="106"/>
        <v>1027.7777777777778</v>
      </c>
      <c r="AH55" s="175"/>
      <c r="AI55" s="523">
        <f>IF(N55&lt;&gt;"nvt",MATCH($T55,'Tarieven W&amp;O'!$B:$B,0),"nvt")</f>
        <v>17</v>
      </c>
      <c r="AJ55" s="205">
        <f>IF(AI55&lt;&gt;"nvt",IF($D55="EoK",INDEX(Parameters!C:C,MATCH("NLSx EoK",Parameters!A:A,0)),INDEX('Tarieven W&amp;O'!$H:$H,$AI55)),0)*R55</f>
        <v>350</v>
      </c>
      <c r="AK55" s="204">
        <f>IF(AI55&lt;&gt;"nvt",INDEX('Tarieven W&amp;O'!$I:$I,$AI55),0)*R55</f>
        <v>75</v>
      </c>
      <c r="AL55" s="524">
        <f>IF(AI55&lt;&gt;"nvt",-INDEX(Parameters!$B:$B,MATCH(AL$3,Parameters!$A:$A,0))*(AJ55+AK55),0)</f>
        <v>0</v>
      </c>
      <c r="AM55" s="525"/>
      <c r="AN55" s="139">
        <f t="shared" si="107"/>
        <v>425</v>
      </c>
      <c r="AO55" s="205">
        <f>AN55/INDEX(Parameters!$B:$B,MATCH("AfschrijftermijnVVE"&amp;12*$C55,Parameters!$A:$A,0))</f>
        <v>11.805555555555555</v>
      </c>
      <c r="AP55" s="139">
        <f t="shared" si="108"/>
        <v>17</v>
      </c>
      <c r="AQ55" s="526">
        <f>IF(AP55&lt;&gt;"nvt",R55*INDEX('Tarieven W&amp;O'!$G:$G,$AP55),0)</f>
        <v>60.97</v>
      </c>
      <c r="AR55" s="524">
        <f>-INDEX(Parameters!$B:$B,MATCH(AR$3,Parameters!$A:$A,0))*(AQ55)</f>
        <v>0</v>
      </c>
      <c r="AS55" s="205">
        <f>IF(E55="straal access",'EDC Minus'!$H$192,IF(Q55&lt;&gt;"nvt",Q55*S55*'EDC Minus'!$H$292/590,0))</f>
        <v>0</v>
      </c>
      <c r="AT55" s="139"/>
      <c r="AU55" s="150">
        <f t="shared" si="109"/>
        <v>60.97</v>
      </c>
      <c r="AV55" s="150">
        <f t="shared" si="110"/>
        <v>72.775555555555556</v>
      </c>
      <c r="AX55" s="526">
        <f>Parameters!$B$6*AV55</f>
        <v>0.7277555555555556</v>
      </c>
      <c r="AY55" s="150">
        <v>0</v>
      </c>
      <c r="AZ55" s="150"/>
      <c r="BA55" s="150">
        <f t="shared" si="111"/>
        <v>0.7277555555555556</v>
      </c>
      <c r="BC55" s="522">
        <f t="shared" si="91"/>
        <v>73.503311111111117</v>
      </c>
      <c r="BD55" s="175"/>
      <c r="BE55" s="527">
        <f t="shared" si="112"/>
        <v>954.27446666666674</v>
      </c>
      <c r="BF55" s="181">
        <f t="shared" si="113"/>
        <v>0.92848326486486488</v>
      </c>
      <c r="BG55" s="520" t="b">
        <f t="shared" si="114"/>
        <v>0</v>
      </c>
      <c r="BI55" s="528" t="s">
        <v>2181</v>
      </c>
      <c r="BK55" s="151">
        <f>VLOOKUP(J55,'Tarieven ZM'!$B$136:$I$235,8,0)</f>
        <v>0</v>
      </c>
      <c r="BL55" s="151" t="str">
        <f>IF(M55="EoK",N55&amp;"AdvancedNLS type 1/2/3",IF(E55&lt;&gt;"Straal Access",INDEX(Mapping!J:J,MATCH(E55&amp;G55,Mapping!B:B,0)),E55))</f>
        <v>Copper Standard Access 5Mbit/sAdvancedNLS type 1/2/3</v>
      </c>
      <c r="BM55" s="184">
        <f>INDEX('inkoop ULL tbv EVPN'!J:J,MATCH($BL55,'inkoop ULL tbv EVPN'!$H:$H,0))</f>
        <v>78.97</v>
      </c>
      <c r="BN55" s="180">
        <f>BM55/INDEX(Parameters!$B:$B,MATCH("AfschrijftermijnVVE"&amp;12*$C55,Parameters!$A:$A,0))</f>
        <v>2.1936111111111112</v>
      </c>
      <c r="BO55" s="184">
        <f>INDEX('inkoop ULL tbv EVPN'!I:I,MATCH($BL55,'inkoop ULL tbv EVPN'!$H:$H,0))</f>
        <v>14.7296035</v>
      </c>
      <c r="BP55" s="184">
        <f t="shared" si="93"/>
        <v>16.92321461111111</v>
      </c>
      <c r="BR55" s="180">
        <f>Parameters!$B$12*AG55</f>
        <v>102.77777777777779</v>
      </c>
      <c r="BS55" s="180">
        <f>SUM(Distributievergoedingen!$F$12,Distributievergoedingen!$I$12,Distributievergoedingen!$L$12,Distributievergoedingen!$O$12)*AF55+SUM(Distributievergoedingen!$O$12*AA55+Distributievergoedingen!$R$12+Distributievergoedingen!$U$12+Distributievergoedingen!$X$12)/(MAX(36,12*C55))</f>
        <v>112.77777777777777</v>
      </c>
      <c r="BT55" s="150"/>
      <c r="BU55" s="150">
        <f t="shared" si="94"/>
        <v>215.55555555555554</v>
      </c>
      <c r="BW55" s="522">
        <f t="shared" si="95"/>
        <v>232.47877016666666</v>
      </c>
      <c r="BY55" s="527">
        <f t="shared" si="96"/>
        <v>795.29900761111116</v>
      </c>
      <c r="BZ55" s="181">
        <f t="shared" si="97"/>
        <v>0.77380443983783787</v>
      </c>
      <c r="CA55" s="520" t="b">
        <f t="shared" si="98"/>
        <v>0</v>
      </c>
    </row>
    <row r="56" spans="1:79" s="151" customFormat="1">
      <c r="A56" s="151" t="str">
        <f t="shared" si="99"/>
        <v>2EoKStandard Access koper 10mbHoogOn-net (NLS3)</v>
      </c>
      <c r="B56" s="151" t="str">
        <f t="shared" si="100"/>
        <v>2EoKStandard Access koper 10mbHoogOn-net (NLS3)</v>
      </c>
      <c r="C56" s="178">
        <v>2</v>
      </c>
      <c r="D56" s="415" t="s">
        <v>303</v>
      </c>
      <c r="E56" s="178" t="s">
        <v>277</v>
      </c>
      <c r="F56" s="107" t="s">
        <v>274</v>
      </c>
      <c r="G56" s="178" t="s">
        <v>3398</v>
      </c>
      <c r="I56" s="178"/>
      <c r="J56" s="520" t="str">
        <f t="shared" si="101"/>
        <v>EoKStandard Access koper 10mbHoogOn-net (NLS3)</v>
      </c>
      <c r="L56" s="204">
        <f>INDEX(Mapping!$H:$H,MATCH(C$3&amp;C56,Mapping!$B:$B,0))</f>
        <v>1</v>
      </c>
      <c r="M56" s="204" t="str">
        <f>INDEX(Mapping!$H:$H,MATCH(D$3&amp;D56,Mapping!$B:$B,0))</f>
        <v>EoK</v>
      </c>
      <c r="N56" s="204" t="str">
        <f>INDEX(Mapping!$H:$H,MATCH(E$3&amp;E56,Mapping!$B:$B,0))</f>
        <v>Copper Standard Access 10Mbit/s</v>
      </c>
      <c r="O56" s="204" t="str">
        <f>INDEX(Mapping!$H:$H,MATCH(E56&amp;F56,Mapping!$B:$B,0))</f>
        <v/>
      </c>
      <c r="P56" s="204" t="str">
        <f>INDEX(Mapping!$H:$H,MATCH($E56&amp;$G56,Mapping!$B:$B,0))</f>
        <v>On-net (NLS3)</v>
      </c>
      <c r="Q56" s="204" t="str">
        <f>INDEX(Mapping!$H:$H,MATCH($E56&amp;$G56&amp;"graafafstand",Mapping!$B:$B,0))</f>
        <v>nvt</v>
      </c>
      <c r="R56" s="204">
        <f>INDEX(Mapping!$H:$H,MATCH(R$3&amp;$E56,Mapping!$B:$B,0))</f>
        <v>1</v>
      </c>
      <c r="S56" s="204">
        <f>INDEX(Mapping!$H:$H,MATCH(S$3&amp;$E56,Mapping!$B:$B,0))</f>
        <v>1</v>
      </c>
      <c r="T56" s="139" t="str">
        <f t="shared" si="102"/>
        <v>Copper Standard Access 10Mbit/sOn-net (NLS3)</v>
      </c>
      <c r="U56" s="151" t="str">
        <f t="shared" si="103"/>
        <v>Copper Standard Access 10Mbit/sOn-net (NLS3)</v>
      </c>
      <c r="W56" s="521">
        <f>MATCH($J56,'Tarieven ZM'!$B:$B,0)</f>
        <v>146</v>
      </c>
      <c r="X56" s="204">
        <f>INDEX('Tarieven ZM'!$H:$H,$W56)</f>
        <v>1000</v>
      </c>
      <c r="Y56" s="198">
        <f>IF(E56="Standard Access in ZG BT gebieden",0,-INDEX(Parameters!$B:$B,MATCH(Y$3&amp;$C56,Parameters!$A:$A,0))*$X56)</f>
        <v>0</v>
      </c>
      <c r="Z56" s="198">
        <f>IF(E56="Standard Access in ZG BT gebieden",0,MAX(-INDEX(Parameters!$B:$B,MATCH(Z$3&amp;$C56,Parameters!$A:$A,0))*$X56,-INDEX(Parameters!$B:$B,MATCH("FactorMaxSalesMandaat"&amp;E56,Parameters!$A:$A,0))*INDEX(Parameters!$B:$B,MATCH("MaxSalesMandaatAccessVVE"&amp;$C56,Parameters!$A:$A,0))))</f>
        <v>0</v>
      </c>
      <c r="AA56" s="139">
        <f t="shared" si="104"/>
        <v>1000</v>
      </c>
      <c r="AB56" s="205">
        <f>AA56/INDEX(Parameters!$B:$B,MATCH("AfschrijftermijnVVE"&amp;12*$C56,Parameters!$A:$A,0))</f>
        <v>27.777777777777779</v>
      </c>
      <c r="AC56" s="204">
        <f>INDEX('Tarieven ZM'!$G:$G,$W56)</f>
        <v>1000</v>
      </c>
      <c r="AD56" s="198">
        <f>IF(E56="Standard Access in ZG BT gebieden",0,-INDEX(Parameters!$B:$B,MATCH(AD$3&amp;$C56,Parameters!$A:$A,0))*$AC56)</f>
        <v>0</v>
      </c>
      <c r="AE56" s="198">
        <f>IF(E56="Standard Access in ZG BT gebieden",0,-INDEX(Parameters!$B:$B,MATCH(AE$3,Parameters!$A:$A,0))*$AC56)</f>
        <v>0</v>
      </c>
      <c r="AF56" s="139">
        <f t="shared" si="105"/>
        <v>1000</v>
      </c>
      <c r="AG56" s="522">
        <f t="shared" si="106"/>
        <v>1027.7777777777778</v>
      </c>
      <c r="AH56" s="175"/>
      <c r="AI56" s="523">
        <f>IF(N56&lt;&gt;"nvt",MATCH($T56,'Tarieven W&amp;O'!$B:$B,0),"nvt")</f>
        <v>18</v>
      </c>
      <c r="AJ56" s="205">
        <f>IF(AI56&lt;&gt;"nvt",IF($D56="EoK",INDEX(Parameters!C:C,MATCH("NLSx EoK",Parameters!A:A,0)),INDEX('Tarieven W&amp;O'!$H:$H,$AI56)),0)*R56</f>
        <v>350</v>
      </c>
      <c r="AK56" s="204">
        <f>IF(AI56&lt;&gt;"nvt",INDEX('Tarieven W&amp;O'!$I:$I,$AI56),0)*R56</f>
        <v>75</v>
      </c>
      <c r="AL56" s="524">
        <f>IF(AI56&lt;&gt;"nvt",-INDEX(Parameters!$B:$B,MATCH(AL$3,Parameters!$A:$A,0))*(AJ56+AK56),0)</f>
        <v>0</v>
      </c>
      <c r="AM56" s="525"/>
      <c r="AN56" s="139">
        <f t="shared" si="107"/>
        <v>425</v>
      </c>
      <c r="AO56" s="205">
        <f>AN56/INDEX(Parameters!$B:$B,MATCH("AfschrijftermijnVVE"&amp;12*$C56,Parameters!$A:$A,0))</f>
        <v>11.805555555555555</v>
      </c>
      <c r="AP56" s="139">
        <f t="shared" si="108"/>
        <v>18</v>
      </c>
      <c r="AQ56" s="526">
        <f>IF(AP56&lt;&gt;"nvt",R56*INDEX('Tarieven W&amp;O'!$G:$G,$AP56),0)</f>
        <v>83.59</v>
      </c>
      <c r="AR56" s="524">
        <f>-INDEX(Parameters!$B:$B,MATCH(AR$3,Parameters!$A:$A,0))*(AQ56)</f>
        <v>0</v>
      </c>
      <c r="AS56" s="205">
        <f>IF(E56="straal access",'EDC Minus'!$H$192,IF(Q56&lt;&gt;"nvt",Q56*S56*'EDC Minus'!$H$292/590,0))</f>
        <v>0</v>
      </c>
      <c r="AT56" s="139"/>
      <c r="AU56" s="150">
        <f t="shared" si="109"/>
        <v>83.59</v>
      </c>
      <c r="AV56" s="150">
        <f t="shared" si="110"/>
        <v>95.395555555555561</v>
      </c>
      <c r="AX56" s="526">
        <f>Parameters!$B$6*AV56</f>
        <v>0.95395555555555567</v>
      </c>
      <c r="AY56" s="150">
        <v>0</v>
      </c>
      <c r="AZ56" s="150"/>
      <c r="BA56" s="150">
        <f t="shared" si="111"/>
        <v>0.95395555555555567</v>
      </c>
      <c r="BC56" s="522">
        <f t="shared" si="91"/>
        <v>96.349511111111113</v>
      </c>
      <c r="BD56" s="175"/>
      <c r="BE56" s="527">
        <f t="shared" si="112"/>
        <v>931.42826666666667</v>
      </c>
      <c r="BF56" s="181">
        <f t="shared" si="113"/>
        <v>0.90625452972972964</v>
      </c>
      <c r="BG56" s="520" t="b">
        <f t="shared" si="114"/>
        <v>0</v>
      </c>
      <c r="BI56" s="528" t="s">
        <v>2181</v>
      </c>
      <c r="BK56" s="151">
        <f>VLOOKUP(J56,'Tarieven ZM'!$B$136:$I$235,8,0)</f>
        <v>0</v>
      </c>
      <c r="BL56" s="151" t="str">
        <f>IF(M56="EoK",N56&amp;"AdvancedNLS type 1/2/3",IF(E56&lt;&gt;"Straal Access",INDEX(Mapping!J:J,MATCH(E56&amp;G56,Mapping!B:B,0)),E56))</f>
        <v>Copper Standard Access 10Mbit/sAdvancedNLS type 1/2/3</v>
      </c>
      <c r="BM56" s="184">
        <f>INDEX('inkoop ULL tbv EVPN'!J:J,MATCH($BL56,'inkoop ULL tbv EVPN'!$H:$H,0))</f>
        <v>78.97</v>
      </c>
      <c r="BN56" s="180">
        <f>BM56/INDEX(Parameters!$B:$B,MATCH("AfschrijftermijnVVE"&amp;12*$C56,Parameters!$A:$A,0))</f>
        <v>2.1936111111111112</v>
      </c>
      <c r="BO56" s="184">
        <f>INDEX('inkoop ULL tbv EVPN'!I:I,MATCH($BL56,'inkoop ULL tbv EVPN'!$H:$H,0))</f>
        <v>14.7296035</v>
      </c>
      <c r="BP56" s="184">
        <f t="shared" si="93"/>
        <v>16.92321461111111</v>
      </c>
      <c r="BR56" s="180">
        <f>Parameters!$B$12*AG56</f>
        <v>102.77777777777779</v>
      </c>
      <c r="BS56" s="180">
        <f>SUM(Distributievergoedingen!$F$12,Distributievergoedingen!$I$12,Distributievergoedingen!$L$12,Distributievergoedingen!$O$12)*AF56+SUM(Distributievergoedingen!$O$12*AA56+Distributievergoedingen!$R$12+Distributievergoedingen!$U$12+Distributievergoedingen!$X$12)/(MAX(36,12*C56))</f>
        <v>112.77777777777777</v>
      </c>
      <c r="BT56" s="150"/>
      <c r="BU56" s="150">
        <f t="shared" si="94"/>
        <v>215.55555555555554</v>
      </c>
      <c r="BW56" s="522">
        <f t="shared" si="95"/>
        <v>232.47877016666666</v>
      </c>
      <c r="BY56" s="527">
        <f t="shared" si="96"/>
        <v>795.29900761111116</v>
      </c>
      <c r="BZ56" s="181">
        <f t="shared" si="97"/>
        <v>0.77380443983783787</v>
      </c>
      <c r="CA56" s="520" t="b">
        <f t="shared" si="98"/>
        <v>0</v>
      </c>
    </row>
    <row r="57" spans="1:79" s="151" customFormat="1">
      <c r="A57" s="151" t="str">
        <f t="shared" si="99"/>
        <v>2EoKStandard Access koper 15mbHoogOn-net (NLS3)</v>
      </c>
      <c r="B57" s="151" t="str">
        <f t="shared" si="100"/>
        <v>2EoKStandard Access koper 15mbHoogOn-net (NLS3)</v>
      </c>
      <c r="C57" s="178">
        <v>2</v>
      </c>
      <c r="D57" s="415" t="s">
        <v>303</v>
      </c>
      <c r="E57" s="178" t="s">
        <v>278</v>
      </c>
      <c r="F57" s="107" t="s">
        <v>274</v>
      </c>
      <c r="G57" s="178" t="s">
        <v>3398</v>
      </c>
      <c r="I57" s="178"/>
      <c r="J57" s="520" t="str">
        <f t="shared" si="101"/>
        <v>EoKStandard Access koper 15mbHoogOn-net (NLS3)</v>
      </c>
      <c r="L57" s="204">
        <f>INDEX(Mapping!$H:$H,MATCH(C$3&amp;C57,Mapping!$B:$B,0))</f>
        <v>1</v>
      </c>
      <c r="M57" s="204" t="str">
        <f>INDEX(Mapping!$H:$H,MATCH(D$3&amp;D57,Mapping!$B:$B,0))</f>
        <v>EoK</v>
      </c>
      <c r="N57" s="204" t="str">
        <f>INDEX(Mapping!$H:$H,MATCH(E$3&amp;E57,Mapping!$B:$B,0))</f>
        <v>Copper Standard Access 15Mbit/s</v>
      </c>
      <c r="O57" s="204" t="str">
        <f>INDEX(Mapping!$H:$H,MATCH(E57&amp;F57,Mapping!$B:$B,0))</f>
        <v/>
      </c>
      <c r="P57" s="204" t="str">
        <f>INDEX(Mapping!$H:$H,MATCH($E57&amp;$G57,Mapping!$B:$B,0))</f>
        <v>On-net (NLS3)</v>
      </c>
      <c r="Q57" s="204" t="str">
        <f>INDEX(Mapping!$H:$H,MATCH($E57&amp;$G57&amp;"graafafstand",Mapping!$B:$B,0))</f>
        <v>nvt</v>
      </c>
      <c r="R57" s="204">
        <f>INDEX(Mapping!$H:$H,MATCH(R$3&amp;$E57,Mapping!$B:$B,0))</f>
        <v>1</v>
      </c>
      <c r="S57" s="204">
        <f>INDEX(Mapping!$H:$H,MATCH(S$3&amp;$E57,Mapping!$B:$B,0))</f>
        <v>1</v>
      </c>
      <c r="T57" s="139" t="str">
        <f t="shared" si="102"/>
        <v>Copper Standard Access 15Mbit/sOn-net (NLS3)</v>
      </c>
      <c r="U57" s="151" t="str">
        <f t="shared" si="103"/>
        <v>Copper Standard Access 15Mbit/sOn-net (NLS3)</v>
      </c>
      <c r="W57" s="521">
        <f>MATCH($J57,'Tarieven ZM'!$B:$B,0)</f>
        <v>147</v>
      </c>
      <c r="X57" s="204">
        <f>INDEX('Tarieven ZM'!$H:$H,$W57)</f>
        <v>1000</v>
      </c>
      <c r="Y57" s="198">
        <f>IF(E57="Standard Access in ZG BT gebieden",0,-INDEX(Parameters!$B:$B,MATCH(Y$3&amp;$C57,Parameters!$A:$A,0))*$X57)</f>
        <v>0</v>
      </c>
      <c r="Z57" s="198">
        <f>IF(E57="Standard Access in ZG BT gebieden",0,MAX(-INDEX(Parameters!$B:$B,MATCH(Z$3&amp;$C57,Parameters!$A:$A,0))*$X57,-INDEX(Parameters!$B:$B,MATCH("FactorMaxSalesMandaat"&amp;E57,Parameters!$A:$A,0))*INDEX(Parameters!$B:$B,MATCH("MaxSalesMandaatAccessVVE"&amp;$C57,Parameters!$A:$A,0))))</f>
        <v>0</v>
      </c>
      <c r="AA57" s="139">
        <f t="shared" si="104"/>
        <v>1000</v>
      </c>
      <c r="AB57" s="205">
        <f>AA57/INDEX(Parameters!$B:$B,MATCH("AfschrijftermijnVVE"&amp;12*$C57,Parameters!$A:$A,0))</f>
        <v>27.777777777777779</v>
      </c>
      <c r="AC57" s="204">
        <f>INDEX('Tarieven ZM'!$G:$G,$W57)</f>
        <v>1000</v>
      </c>
      <c r="AD57" s="198">
        <f>IF(E57="Standard Access in ZG BT gebieden",0,-INDEX(Parameters!$B:$B,MATCH(AD$3&amp;$C57,Parameters!$A:$A,0))*$AC57)</f>
        <v>0</v>
      </c>
      <c r="AE57" s="198">
        <f>IF(E57="Standard Access in ZG BT gebieden",0,-INDEX(Parameters!$B:$B,MATCH(AE$3,Parameters!$A:$A,0))*$AC57)</f>
        <v>0</v>
      </c>
      <c r="AF57" s="139">
        <f t="shared" si="105"/>
        <v>1000</v>
      </c>
      <c r="AG57" s="522">
        <f t="shared" si="106"/>
        <v>1027.7777777777778</v>
      </c>
      <c r="AH57" s="175"/>
      <c r="AI57" s="523">
        <f>IF(N57&lt;&gt;"nvt",MATCH($T57,'Tarieven W&amp;O'!$B:$B,0),"nvt")</f>
        <v>19</v>
      </c>
      <c r="AJ57" s="205">
        <f>IF(AI57&lt;&gt;"nvt",IF($D57="EoK",INDEX(Parameters!C:C,MATCH("NLSx EoK",Parameters!A:A,0)),INDEX('Tarieven W&amp;O'!$H:$H,$AI57)),0)*R57</f>
        <v>350</v>
      </c>
      <c r="AK57" s="204">
        <f>IF(AI57&lt;&gt;"nvt",INDEX('Tarieven W&amp;O'!$I:$I,$AI57),0)*R57</f>
        <v>75</v>
      </c>
      <c r="AL57" s="524">
        <f>IF(AI57&lt;&gt;"nvt",-INDEX(Parameters!$B:$B,MATCH(AL$3,Parameters!$A:$A,0))*(AJ57+AK57),0)</f>
        <v>0</v>
      </c>
      <c r="AM57" s="525"/>
      <c r="AN57" s="139">
        <f t="shared" si="107"/>
        <v>425</v>
      </c>
      <c r="AO57" s="205">
        <f>AN57/INDEX(Parameters!$B:$B,MATCH("AfschrijftermijnVVE"&amp;12*$C57,Parameters!$A:$A,0))</f>
        <v>11.805555555555555</v>
      </c>
      <c r="AP57" s="139">
        <f t="shared" si="108"/>
        <v>19</v>
      </c>
      <c r="AQ57" s="526">
        <f>IF(AP57&lt;&gt;"nvt",R57*INDEX('Tarieven W&amp;O'!$G:$G,$AP57),0)</f>
        <v>102.44</v>
      </c>
      <c r="AR57" s="524">
        <f>-INDEX(Parameters!$B:$B,MATCH(AR$3,Parameters!$A:$A,0))*(AQ57)</f>
        <v>0</v>
      </c>
      <c r="AS57" s="205">
        <f>IF(E57="straal access",'EDC Minus'!$H$192,IF(Q57&lt;&gt;"nvt",Q57*S57*'EDC Minus'!$H$292/590,0))</f>
        <v>0</v>
      </c>
      <c r="AT57" s="139"/>
      <c r="AU57" s="150">
        <f t="shared" si="109"/>
        <v>102.44</v>
      </c>
      <c r="AV57" s="150">
        <f t="shared" si="110"/>
        <v>114.24555555555555</v>
      </c>
      <c r="AX57" s="526">
        <f>Parameters!$B$6*AV57</f>
        <v>1.1424555555555556</v>
      </c>
      <c r="AY57" s="150">
        <v>0</v>
      </c>
      <c r="AZ57" s="150"/>
      <c r="BA57" s="150">
        <f t="shared" si="111"/>
        <v>1.1424555555555556</v>
      </c>
      <c r="BC57" s="522">
        <f t="shared" si="91"/>
        <v>115.38801111111111</v>
      </c>
      <c r="BD57" s="175"/>
      <c r="BE57" s="527">
        <f t="shared" si="112"/>
        <v>912.38976666666667</v>
      </c>
      <c r="BF57" s="181">
        <f t="shared" si="113"/>
        <v>0.88773058378378378</v>
      </c>
      <c r="BG57" s="520" t="b">
        <f t="shared" si="114"/>
        <v>0</v>
      </c>
      <c r="BI57" s="528" t="s">
        <v>2181</v>
      </c>
      <c r="BK57" s="151">
        <f>VLOOKUP(J57,'Tarieven ZM'!$B$136:$I$235,8,0)</f>
        <v>0</v>
      </c>
      <c r="BL57" s="151" t="str">
        <f>IF(M57="EoK",N57&amp;"AdvancedNLS type 1/2/3",IF(E57&lt;&gt;"Straal Access",INDEX(Mapping!J:J,MATCH(E57&amp;G57,Mapping!B:B,0)),E57))</f>
        <v>Copper Standard Access 15Mbit/sAdvancedNLS type 1/2/3</v>
      </c>
      <c r="BM57" s="184">
        <f>INDEX('inkoop ULL tbv EVPN'!J:J,MATCH($BL57,'inkoop ULL tbv EVPN'!$H:$H,0))</f>
        <v>78.97</v>
      </c>
      <c r="BN57" s="180">
        <f>BM57/INDEX(Parameters!$B:$B,MATCH("AfschrijftermijnVVE"&amp;12*$C57,Parameters!$A:$A,0))</f>
        <v>2.1936111111111112</v>
      </c>
      <c r="BO57" s="184">
        <f>INDEX('inkoop ULL tbv EVPN'!I:I,MATCH($BL57,'inkoop ULL tbv EVPN'!$H:$H,0))</f>
        <v>14.7296035</v>
      </c>
      <c r="BP57" s="184">
        <f t="shared" si="93"/>
        <v>16.92321461111111</v>
      </c>
      <c r="BR57" s="180">
        <f>Parameters!$B$12*AG57</f>
        <v>102.77777777777779</v>
      </c>
      <c r="BS57" s="180">
        <f>SUM(Distributievergoedingen!$F$12,Distributievergoedingen!$I$12,Distributievergoedingen!$L$12,Distributievergoedingen!$O$12)*AF57+SUM(Distributievergoedingen!$O$12*AA57+Distributievergoedingen!$R$12+Distributievergoedingen!$U$12+Distributievergoedingen!$X$12)/(MAX(36,12*C57))</f>
        <v>112.77777777777777</v>
      </c>
      <c r="BT57" s="150"/>
      <c r="BU57" s="150">
        <f t="shared" si="94"/>
        <v>215.55555555555554</v>
      </c>
      <c r="BW57" s="522">
        <f t="shared" si="95"/>
        <v>232.47877016666666</v>
      </c>
      <c r="BY57" s="527">
        <f t="shared" si="96"/>
        <v>795.29900761111116</v>
      </c>
      <c r="BZ57" s="181">
        <f t="shared" si="97"/>
        <v>0.77380443983783787</v>
      </c>
      <c r="CA57" s="520" t="b">
        <f t="shared" si="98"/>
        <v>0</v>
      </c>
    </row>
    <row r="58" spans="1:79" s="151" customFormat="1">
      <c r="A58" s="151" t="str">
        <f t="shared" si="99"/>
        <v>2EoKStandard Access koper 20mbHoogOn-net (NLS3)</v>
      </c>
      <c r="B58" s="151" t="str">
        <f t="shared" si="100"/>
        <v>2EoKStandard Access koper 20mbHoogOn-net (NLS3)</v>
      </c>
      <c r="C58" s="178">
        <v>2</v>
      </c>
      <c r="D58" s="415" t="s">
        <v>303</v>
      </c>
      <c r="E58" s="178" t="s">
        <v>279</v>
      </c>
      <c r="F58" s="107" t="s">
        <v>274</v>
      </c>
      <c r="G58" s="178" t="s">
        <v>3398</v>
      </c>
      <c r="I58" s="178"/>
      <c r="J58" s="520" t="str">
        <f t="shared" si="101"/>
        <v>EoKStandard Access koper 20mbHoogOn-net (NLS3)</v>
      </c>
      <c r="L58" s="204">
        <f>INDEX(Mapping!$H:$H,MATCH(C$3&amp;C58,Mapping!$B:$B,0))</f>
        <v>1</v>
      </c>
      <c r="M58" s="204" t="str">
        <f>INDEX(Mapping!$H:$H,MATCH(D$3&amp;D58,Mapping!$B:$B,0))</f>
        <v>EoK</v>
      </c>
      <c r="N58" s="204" t="str">
        <f>INDEX(Mapping!$H:$H,MATCH(E$3&amp;E58,Mapping!$B:$B,0))</f>
        <v>Copper Standard Access 20Mbit/s</v>
      </c>
      <c r="O58" s="204" t="str">
        <f>INDEX(Mapping!$H:$H,MATCH(E58&amp;F58,Mapping!$B:$B,0))</f>
        <v/>
      </c>
      <c r="P58" s="204" t="str">
        <f>INDEX(Mapping!$H:$H,MATCH($E58&amp;$G58,Mapping!$B:$B,0))</f>
        <v>On-net (NLS3)</v>
      </c>
      <c r="Q58" s="204" t="str">
        <f>INDEX(Mapping!$H:$H,MATCH($E58&amp;$G58&amp;"graafafstand",Mapping!$B:$B,0))</f>
        <v>nvt</v>
      </c>
      <c r="R58" s="204">
        <f>INDEX(Mapping!$H:$H,MATCH(R$3&amp;$E58,Mapping!$B:$B,0))</f>
        <v>1</v>
      </c>
      <c r="S58" s="204">
        <f>INDEX(Mapping!$H:$H,MATCH(S$3&amp;$E58,Mapping!$B:$B,0))</f>
        <v>1</v>
      </c>
      <c r="T58" s="139" t="str">
        <f t="shared" si="102"/>
        <v>Copper Standard Access 20Mbit/sOn-net (NLS3)</v>
      </c>
      <c r="U58" s="151" t="str">
        <f t="shared" si="103"/>
        <v>Copper Standard Access 20Mbit/sOn-net (NLS3)</v>
      </c>
      <c r="W58" s="521">
        <f>MATCH($J58,'Tarieven ZM'!$B:$B,0)</f>
        <v>148</v>
      </c>
      <c r="X58" s="204">
        <f>INDEX('Tarieven ZM'!$H:$H,$W58)</f>
        <v>1000</v>
      </c>
      <c r="Y58" s="198">
        <f>IF(E58="Standard Access in ZG BT gebieden",0,-INDEX(Parameters!$B:$B,MATCH(Y$3&amp;$C58,Parameters!$A:$A,0))*$X58)</f>
        <v>0</v>
      </c>
      <c r="Z58" s="198">
        <f>IF(E58="Standard Access in ZG BT gebieden",0,MAX(-INDEX(Parameters!$B:$B,MATCH(Z$3&amp;$C58,Parameters!$A:$A,0))*$X58,-INDEX(Parameters!$B:$B,MATCH("FactorMaxSalesMandaat"&amp;E58,Parameters!$A:$A,0))*INDEX(Parameters!$B:$B,MATCH("MaxSalesMandaatAccessVVE"&amp;$C58,Parameters!$A:$A,0))))</f>
        <v>0</v>
      </c>
      <c r="AA58" s="139">
        <f t="shared" si="104"/>
        <v>1000</v>
      </c>
      <c r="AB58" s="205">
        <f>AA58/INDEX(Parameters!$B:$B,MATCH("AfschrijftermijnVVE"&amp;12*$C58,Parameters!$A:$A,0))</f>
        <v>27.777777777777779</v>
      </c>
      <c r="AC58" s="204">
        <f>INDEX('Tarieven ZM'!$G:$G,$W58)</f>
        <v>1000</v>
      </c>
      <c r="AD58" s="198">
        <f>IF(E58="Standard Access in ZG BT gebieden",0,-INDEX(Parameters!$B:$B,MATCH(AD$3&amp;$C58,Parameters!$A:$A,0))*$AC58)</f>
        <v>0</v>
      </c>
      <c r="AE58" s="198">
        <f>IF(E58="Standard Access in ZG BT gebieden",0,-INDEX(Parameters!$B:$B,MATCH(AE$3,Parameters!$A:$A,0))*$AC58)</f>
        <v>0</v>
      </c>
      <c r="AF58" s="139">
        <f t="shared" si="105"/>
        <v>1000</v>
      </c>
      <c r="AG58" s="522">
        <f t="shared" si="106"/>
        <v>1027.7777777777778</v>
      </c>
      <c r="AH58" s="175"/>
      <c r="AI58" s="523">
        <f>IF(N58&lt;&gt;"nvt",MATCH($T58,'Tarieven W&amp;O'!$B:$B,0),"nvt")</f>
        <v>20</v>
      </c>
      <c r="AJ58" s="205">
        <f>IF(AI58&lt;&gt;"nvt",IF($D58="EoK",INDEX(Parameters!C:C,MATCH("NLSx EoK",Parameters!A:A,0)),INDEX('Tarieven W&amp;O'!$H:$H,$AI58)),0)*R58</f>
        <v>350</v>
      </c>
      <c r="AK58" s="204">
        <f>IF(AI58&lt;&gt;"nvt",INDEX('Tarieven W&amp;O'!$I:$I,$AI58),0)*R58</f>
        <v>75</v>
      </c>
      <c r="AL58" s="524">
        <f>IF(AI58&lt;&gt;"nvt",-INDEX(Parameters!$B:$B,MATCH(AL$3,Parameters!$A:$A,0))*(AJ58+AK58),0)</f>
        <v>0</v>
      </c>
      <c r="AM58" s="525"/>
      <c r="AN58" s="139">
        <f t="shared" si="107"/>
        <v>425</v>
      </c>
      <c r="AO58" s="205">
        <f>AN58/INDEX(Parameters!$B:$B,MATCH("AfschrijftermijnVVE"&amp;12*$C58,Parameters!$A:$A,0))</f>
        <v>11.805555555555555</v>
      </c>
      <c r="AP58" s="139">
        <f t="shared" si="108"/>
        <v>20</v>
      </c>
      <c r="AQ58" s="526">
        <f>IF(AP58&lt;&gt;"nvt",R58*INDEX('Tarieven W&amp;O'!$G:$G,$AP58),0)</f>
        <v>121.28</v>
      </c>
      <c r="AR58" s="524">
        <f>-INDEX(Parameters!$B:$B,MATCH(AR$3,Parameters!$A:$A,0))*(AQ58)</f>
        <v>0</v>
      </c>
      <c r="AS58" s="205">
        <f>IF(E58="straal access",'EDC Minus'!$H$192,IF(Q58&lt;&gt;"nvt",Q58*S58*'EDC Minus'!$H$292/590,0))</f>
        <v>0</v>
      </c>
      <c r="AT58" s="139"/>
      <c r="AU58" s="150">
        <f t="shared" si="109"/>
        <v>121.28</v>
      </c>
      <c r="AV58" s="150">
        <f t="shared" si="110"/>
        <v>133.08555555555554</v>
      </c>
      <c r="AX58" s="526">
        <f>Parameters!$B$6*AV58</f>
        <v>1.3308555555555555</v>
      </c>
      <c r="AY58" s="150">
        <v>0</v>
      </c>
      <c r="AZ58" s="150"/>
      <c r="BA58" s="150">
        <f t="shared" si="111"/>
        <v>1.3308555555555555</v>
      </c>
      <c r="BC58" s="522">
        <f t="shared" si="91"/>
        <v>134.4164111111111</v>
      </c>
      <c r="BD58" s="175"/>
      <c r="BE58" s="527">
        <f t="shared" si="112"/>
        <v>893.36136666666675</v>
      </c>
      <c r="BF58" s="181">
        <f t="shared" si="113"/>
        <v>0.86921646486486492</v>
      </c>
      <c r="BG58" s="520" t="b">
        <f t="shared" si="114"/>
        <v>0</v>
      </c>
      <c r="BI58" s="528" t="s">
        <v>2181</v>
      </c>
      <c r="BK58" s="151">
        <f>VLOOKUP(J58,'Tarieven ZM'!$B$136:$I$235,8,0)</f>
        <v>0</v>
      </c>
      <c r="BL58" s="151" t="str">
        <f>IF(M58="EoK",N58&amp;"AdvancedNLS type 1/2/3",IF(E58&lt;&gt;"Straal Access",INDEX(Mapping!J:J,MATCH(E58&amp;G58,Mapping!B:B,0)),E58))</f>
        <v>Copper Standard Access 20Mbit/sAdvancedNLS type 1/2/3</v>
      </c>
      <c r="BM58" s="184">
        <f>INDEX('inkoop ULL tbv EVPN'!J:J,MATCH($BL58,'inkoop ULL tbv EVPN'!$H:$H,0))</f>
        <v>78.97</v>
      </c>
      <c r="BN58" s="180">
        <f>BM58/INDEX(Parameters!$B:$B,MATCH("AfschrijftermijnVVE"&amp;12*$C58,Parameters!$A:$A,0))</f>
        <v>2.1936111111111112</v>
      </c>
      <c r="BO58" s="184">
        <f>INDEX('inkoop ULL tbv EVPN'!I:I,MATCH($BL58,'inkoop ULL tbv EVPN'!$H:$H,0))</f>
        <v>14.7296035</v>
      </c>
      <c r="BP58" s="184">
        <f t="shared" si="93"/>
        <v>16.92321461111111</v>
      </c>
      <c r="BR58" s="180">
        <f>Parameters!$B$12*AG58</f>
        <v>102.77777777777779</v>
      </c>
      <c r="BS58" s="180">
        <f>SUM(Distributievergoedingen!$F$12,Distributievergoedingen!$I$12,Distributievergoedingen!$L$12,Distributievergoedingen!$O$12)*AF58+SUM(Distributievergoedingen!$O$12*AA58+Distributievergoedingen!$R$12+Distributievergoedingen!$U$12+Distributievergoedingen!$X$12)/(MAX(36,12*C58))</f>
        <v>112.77777777777777</v>
      </c>
      <c r="BT58" s="150"/>
      <c r="BU58" s="150">
        <f t="shared" si="94"/>
        <v>215.55555555555554</v>
      </c>
      <c r="BW58" s="522">
        <f t="shared" si="95"/>
        <v>232.47877016666666</v>
      </c>
      <c r="BY58" s="527">
        <f t="shared" si="96"/>
        <v>795.29900761111116</v>
      </c>
      <c r="BZ58" s="181">
        <f t="shared" si="97"/>
        <v>0.77380443983783787</v>
      </c>
      <c r="CA58" s="520" t="b">
        <f t="shared" si="98"/>
        <v>0</v>
      </c>
    </row>
    <row r="59" spans="1:79" s="151" customFormat="1">
      <c r="A59" s="151" t="str">
        <f t="shared" ref="A59:A68" si="115">C59&amp;D59&amp;E59&amp;F59&amp;G59</f>
        <v>2EoKStandard Access koper 3mbHoog&lt; 250 meter</v>
      </c>
      <c r="B59" s="151" t="str">
        <f t="shared" ref="B59:B68" si="116">A59</f>
        <v>2EoKStandard Access koper 3mbHoog&lt; 250 meter</v>
      </c>
      <c r="C59" s="178">
        <v>2</v>
      </c>
      <c r="D59" s="415" t="s">
        <v>303</v>
      </c>
      <c r="E59" s="178" t="s">
        <v>268</v>
      </c>
      <c r="F59" s="107" t="s">
        <v>274</v>
      </c>
      <c r="G59" s="178" t="s">
        <v>3397</v>
      </c>
      <c r="I59" s="178"/>
      <c r="J59" s="520" t="str">
        <f t="shared" si="101"/>
        <v>EoKStandard Access koper 3mbHoog&lt; 250 meter</v>
      </c>
      <c r="L59" s="204">
        <f>INDEX(Mapping!$H:$H,MATCH(C$3&amp;C59,Mapping!$B:$B,0))</f>
        <v>1</v>
      </c>
      <c r="M59" s="204" t="str">
        <f>INDEX(Mapping!$H:$H,MATCH(D$3&amp;D59,Mapping!$B:$B,0))</f>
        <v>EoK</v>
      </c>
      <c r="N59" s="204" t="str">
        <f>INDEX(Mapping!$H:$H,MATCH(E$3&amp;E59,Mapping!$B:$B,0))</f>
        <v>Copper Standard Access 3Mbit/s</v>
      </c>
      <c r="O59" s="204" t="str">
        <f>INDEX(Mapping!$H:$H,MATCH(E59&amp;F59,Mapping!$B:$B,0))</f>
        <v/>
      </c>
      <c r="P59" s="204" t="str">
        <f>INDEX(Mapping!$H:$H,MATCH($E59&amp;$G59,Mapping!$B:$B,0))</f>
        <v>Nearnet</v>
      </c>
      <c r="Q59" s="204" t="str">
        <f>INDEX(Mapping!$H:$H,MATCH($E59&amp;$G59&amp;"graafafstand",Mapping!$B:$B,0))</f>
        <v>nvt</v>
      </c>
      <c r="R59" s="204">
        <f>INDEX(Mapping!$H:$H,MATCH(R$3&amp;$E59,Mapping!$B:$B,0))</f>
        <v>1</v>
      </c>
      <c r="S59" s="204">
        <f>INDEX(Mapping!$H:$H,MATCH(S$3&amp;$E59,Mapping!$B:$B,0))</f>
        <v>1</v>
      </c>
      <c r="T59" s="139" t="str">
        <f t="shared" ref="T59:T68" si="117">N59&amp;O59&amp;P59</f>
        <v>Copper Standard Access 3Mbit/sNearnet</v>
      </c>
      <c r="U59" s="151" t="str">
        <f t="shared" ref="U59:U68" si="118">T59</f>
        <v>Copper Standard Access 3Mbit/sNearnet</v>
      </c>
      <c r="W59" s="521">
        <f>MATCH($J59,'Tarieven ZM'!$B:$B,0)</f>
        <v>149</v>
      </c>
      <c r="X59" s="204">
        <f>INDEX('Tarieven ZM'!$H:$H,$W59)</f>
        <v>1000</v>
      </c>
      <c r="Y59" s="198">
        <f>IF(E59="Standard Access in ZG BT gebieden",0,-INDEX(Parameters!$B:$B,MATCH(Y$3&amp;$C59,Parameters!$A:$A,0))*$X59)</f>
        <v>0</v>
      </c>
      <c r="Z59" s="198">
        <f>IF(E59="Standard Access in ZG BT gebieden",0,MAX(-INDEX(Parameters!$B:$B,MATCH(Z$3&amp;$C59,Parameters!$A:$A,0))*$X59,-INDEX(Parameters!$B:$B,MATCH("FactorMaxSalesMandaat"&amp;E59,Parameters!$A:$A,0))*INDEX(Parameters!$B:$B,MATCH("MaxSalesMandaatAccessVVE"&amp;$C59,Parameters!$A:$A,0))))</f>
        <v>0</v>
      </c>
      <c r="AA59" s="139">
        <f t="shared" ref="AA59:AA68" si="119">SUM(X59:Z59)</f>
        <v>1000</v>
      </c>
      <c r="AB59" s="205">
        <f>AA59/INDEX(Parameters!$B:$B,MATCH("AfschrijftermijnVVE"&amp;12*$C59,Parameters!$A:$A,0))</f>
        <v>27.777777777777779</v>
      </c>
      <c r="AC59" s="204">
        <f>INDEX('Tarieven ZM'!$G:$G,$W59)</f>
        <v>1000</v>
      </c>
      <c r="AD59" s="198">
        <f>IF(E59="Standard Access in ZG BT gebieden",0,-INDEX(Parameters!$B:$B,MATCH(AD$3&amp;$C59,Parameters!$A:$A,0))*$AC59)</f>
        <v>0</v>
      </c>
      <c r="AE59" s="198">
        <f>IF(E59="Standard Access in ZG BT gebieden",0,-INDEX(Parameters!$B:$B,MATCH(AE$3,Parameters!$A:$A,0))*$AC59)</f>
        <v>0</v>
      </c>
      <c r="AF59" s="139">
        <f t="shared" ref="AF59:AF68" si="120">SUM(AC59:AE59)</f>
        <v>1000</v>
      </c>
      <c r="AG59" s="522">
        <f t="shared" ref="AG59:AG68" si="121">SUM(AB59,AF59)</f>
        <v>1027.7777777777778</v>
      </c>
      <c r="AH59" s="175"/>
      <c r="AI59" s="523">
        <f>IF(N59&lt;&gt;"nvt",MATCH($T59,'Tarieven W&amp;O'!$B:$B,0),"nvt")</f>
        <v>23</v>
      </c>
      <c r="AJ59" s="205">
        <f>IF(AI59&lt;&gt;"nvt",IF($D59="EoK",INDEX(Parameters!C:C,MATCH("NLSx EoK",Parameters!A:A,0)),INDEX('Tarieven W&amp;O'!$H:$H,$AI59)),0)*R59</f>
        <v>350</v>
      </c>
      <c r="AK59" s="204">
        <f>IF(AI59&lt;&gt;"nvt",INDEX('Tarieven W&amp;O'!$I:$I,$AI59),0)*R59</f>
        <v>75</v>
      </c>
      <c r="AL59" s="524">
        <f>IF(AI59&lt;&gt;"nvt",-INDEX(Parameters!$B:$B,MATCH(AL$3,Parameters!$A:$A,0))*(AJ59+AK59),0)</f>
        <v>0</v>
      </c>
      <c r="AM59" s="525"/>
      <c r="AN59" s="139">
        <f t="shared" ref="AN59:AN68" si="122">SUM(AJ59:AM59)</f>
        <v>425</v>
      </c>
      <c r="AO59" s="205">
        <f>AN59/INDEX(Parameters!$B:$B,MATCH("AfschrijftermijnVVE"&amp;12*$C59,Parameters!$A:$A,0))</f>
        <v>11.805555555555555</v>
      </c>
      <c r="AP59" s="139">
        <f t="shared" ref="AP59:AP68" si="123">AI59</f>
        <v>23</v>
      </c>
      <c r="AQ59" s="526">
        <f>IF(AP59&lt;&gt;"nvt",R59*INDEX('Tarieven W&amp;O'!$G:$G,$AP59),0)</f>
        <v>41.5</v>
      </c>
      <c r="AR59" s="524">
        <f>-INDEX(Parameters!$B:$B,MATCH(AR$3,Parameters!$A:$A,0))*(AQ59)</f>
        <v>0</v>
      </c>
      <c r="AS59" s="205">
        <f>IF(E59="straal access",'EDC Minus'!$H$192,IF(Q59&lt;&gt;"nvt",Q59*S59*'EDC Minus'!$H$292/590,0))</f>
        <v>0</v>
      </c>
      <c r="AT59" s="139"/>
      <c r="AU59" s="150">
        <f t="shared" ref="AU59:AU68" si="124">SUM(AQ59:AT59)</f>
        <v>41.5</v>
      </c>
      <c r="AV59" s="150">
        <f t="shared" ref="AV59:AV68" si="125">SUM(AO59,AU59)</f>
        <v>53.305555555555557</v>
      </c>
      <c r="AX59" s="526">
        <f>Parameters!$B$6*AV59</f>
        <v>0.53305555555555562</v>
      </c>
      <c r="AY59" s="150">
        <v>0</v>
      </c>
      <c r="AZ59" s="150"/>
      <c r="BA59" s="150">
        <f t="shared" ref="BA59:BA68" si="126">SUM(AX59:AZ59)</f>
        <v>0.53305555555555562</v>
      </c>
      <c r="BC59" s="522">
        <f t="shared" si="91"/>
        <v>53.838611111111113</v>
      </c>
      <c r="BD59" s="175"/>
      <c r="BE59" s="527">
        <f t="shared" si="112"/>
        <v>973.93916666666667</v>
      </c>
      <c r="BF59" s="181">
        <f t="shared" si="113"/>
        <v>0.94761648648648644</v>
      </c>
      <c r="BG59" s="520" t="b">
        <f t="shared" ref="BG59:BG68" si="127">BF59&lt;0</f>
        <v>0</v>
      </c>
      <c r="BI59" s="528" t="s">
        <v>2181</v>
      </c>
      <c r="BK59" s="151">
        <f>VLOOKUP(J59,'Tarieven ZM'!$B$136:$I$235,8,0)</f>
        <v>0</v>
      </c>
      <c r="BL59" s="151" t="str">
        <f>IF(M59="EoK",N59&amp;"AdvancedNLS type 1/2/3",IF(E59&lt;&gt;"Straal Access",INDEX(Mapping!J:J,MATCH(E59&amp;G59,Mapping!B:B,0)),E59))</f>
        <v>Copper Standard Access 3Mbit/sAdvancedNLS type 1/2/3</v>
      </c>
      <c r="BM59" s="184">
        <f>INDEX('inkoop ULL tbv EVPN'!J:J,MATCH($BL59,'inkoop ULL tbv EVPN'!$H:$H,0))</f>
        <v>78.97</v>
      </c>
      <c r="BN59" s="180">
        <f>BM59/INDEX(Parameters!$B:$B,MATCH("AfschrijftermijnVVE"&amp;12*$C59,Parameters!$A:$A,0))</f>
        <v>2.1936111111111112</v>
      </c>
      <c r="BO59" s="184">
        <f>INDEX('inkoop ULL tbv EVPN'!I:I,MATCH($BL59,'inkoop ULL tbv EVPN'!$H:$H,0))</f>
        <v>14.7296035</v>
      </c>
      <c r="BP59" s="184">
        <f t="shared" si="93"/>
        <v>16.92321461111111</v>
      </c>
      <c r="BR59" s="180">
        <f>Parameters!$B$12*AG59</f>
        <v>102.77777777777779</v>
      </c>
      <c r="BS59" s="180">
        <f>SUM(Distributievergoedingen!$F$12,Distributievergoedingen!$I$12,Distributievergoedingen!$L$12,Distributievergoedingen!$O$12)*AF59+SUM(Distributievergoedingen!$O$12*AA59+Distributievergoedingen!$R$12+Distributievergoedingen!$U$12+Distributievergoedingen!$X$12)/(MAX(36,12*C59))</f>
        <v>112.77777777777777</v>
      </c>
      <c r="BT59" s="150"/>
      <c r="BU59" s="150">
        <f t="shared" si="94"/>
        <v>215.55555555555554</v>
      </c>
      <c r="BW59" s="522">
        <f t="shared" si="95"/>
        <v>232.47877016666666</v>
      </c>
      <c r="BY59" s="527">
        <f t="shared" si="96"/>
        <v>795.29900761111116</v>
      </c>
      <c r="BZ59" s="181">
        <f t="shared" si="97"/>
        <v>0.77380443983783787</v>
      </c>
      <c r="CA59" s="520" t="b">
        <f t="shared" si="98"/>
        <v>0</v>
      </c>
    </row>
    <row r="60" spans="1:79" s="151" customFormat="1">
      <c r="A60" s="151" t="str">
        <f t="shared" si="115"/>
        <v>2EoKStandard Access koper 5mbHoog&lt; 250 meter</v>
      </c>
      <c r="B60" s="151" t="str">
        <f t="shared" si="116"/>
        <v>2EoKStandard Access koper 5mbHoog&lt; 250 meter</v>
      </c>
      <c r="C60" s="178">
        <v>2</v>
      </c>
      <c r="D60" s="415" t="s">
        <v>303</v>
      </c>
      <c r="E60" s="178" t="s">
        <v>276</v>
      </c>
      <c r="F60" s="107" t="s">
        <v>274</v>
      </c>
      <c r="G60" s="178" t="s">
        <v>3397</v>
      </c>
      <c r="I60" s="178"/>
      <c r="J60" s="520" t="str">
        <f t="shared" si="101"/>
        <v>EoKStandard Access koper 5mbHoog&lt; 250 meter</v>
      </c>
      <c r="L60" s="204">
        <f>INDEX(Mapping!$H:$H,MATCH(C$3&amp;C60,Mapping!$B:$B,0))</f>
        <v>1</v>
      </c>
      <c r="M60" s="204" t="str">
        <f>INDEX(Mapping!$H:$H,MATCH(D$3&amp;D60,Mapping!$B:$B,0))</f>
        <v>EoK</v>
      </c>
      <c r="N60" s="204" t="str">
        <f>INDEX(Mapping!$H:$H,MATCH(E$3&amp;E60,Mapping!$B:$B,0))</f>
        <v>Copper Standard Access 5Mbit/s</v>
      </c>
      <c r="O60" s="204" t="str">
        <f>INDEX(Mapping!$H:$H,MATCH(E60&amp;F60,Mapping!$B:$B,0))</f>
        <v/>
      </c>
      <c r="P60" s="204" t="str">
        <f>INDEX(Mapping!$H:$H,MATCH($E60&amp;$G60,Mapping!$B:$B,0))</f>
        <v>Nearnet</v>
      </c>
      <c r="Q60" s="204" t="str">
        <f>INDEX(Mapping!$H:$H,MATCH($E60&amp;$G60&amp;"graafafstand",Mapping!$B:$B,0))</f>
        <v>nvt</v>
      </c>
      <c r="R60" s="204">
        <f>INDEX(Mapping!$H:$H,MATCH(R$3&amp;$E60,Mapping!$B:$B,0))</f>
        <v>1</v>
      </c>
      <c r="S60" s="204">
        <f>INDEX(Mapping!$H:$H,MATCH(S$3&amp;$E60,Mapping!$B:$B,0))</f>
        <v>1</v>
      </c>
      <c r="T60" s="139" t="str">
        <f t="shared" si="117"/>
        <v>Copper Standard Access 5Mbit/sNearnet</v>
      </c>
      <c r="U60" s="151" t="str">
        <f t="shared" si="118"/>
        <v>Copper Standard Access 5Mbit/sNearnet</v>
      </c>
      <c r="W60" s="521">
        <f>MATCH($J60,'Tarieven ZM'!$B:$B,0)</f>
        <v>150</v>
      </c>
      <c r="X60" s="204">
        <f>INDEX('Tarieven ZM'!$H:$H,$W60)</f>
        <v>1000</v>
      </c>
      <c r="Y60" s="198">
        <f>IF(E60="Standard Access in ZG BT gebieden",0,-INDEX(Parameters!$B:$B,MATCH(Y$3&amp;$C60,Parameters!$A:$A,0))*$X60)</f>
        <v>0</v>
      </c>
      <c r="Z60" s="198">
        <f>IF(E60="Standard Access in ZG BT gebieden",0,MAX(-INDEX(Parameters!$B:$B,MATCH(Z$3&amp;$C60,Parameters!$A:$A,0))*$X60,-INDEX(Parameters!$B:$B,MATCH("FactorMaxSalesMandaat"&amp;E60,Parameters!$A:$A,0))*INDEX(Parameters!$B:$B,MATCH("MaxSalesMandaatAccessVVE"&amp;$C60,Parameters!$A:$A,0))))</f>
        <v>0</v>
      </c>
      <c r="AA60" s="139">
        <f t="shared" si="119"/>
        <v>1000</v>
      </c>
      <c r="AB60" s="205">
        <f>AA60/INDEX(Parameters!$B:$B,MATCH("AfschrijftermijnVVE"&amp;12*$C60,Parameters!$A:$A,0))</f>
        <v>27.777777777777779</v>
      </c>
      <c r="AC60" s="204">
        <f>INDEX('Tarieven ZM'!$G:$G,$W60)</f>
        <v>1000</v>
      </c>
      <c r="AD60" s="198">
        <f>IF(E60="Standard Access in ZG BT gebieden",0,-INDEX(Parameters!$B:$B,MATCH(AD$3&amp;$C60,Parameters!$A:$A,0))*$AC60)</f>
        <v>0</v>
      </c>
      <c r="AE60" s="198">
        <f>IF(E60="Standard Access in ZG BT gebieden",0,-INDEX(Parameters!$B:$B,MATCH(AE$3,Parameters!$A:$A,0))*$AC60)</f>
        <v>0</v>
      </c>
      <c r="AF60" s="139">
        <f t="shared" si="120"/>
        <v>1000</v>
      </c>
      <c r="AG60" s="522">
        <f t="shared" si="121"/>
        <v>1027.7777777777778</v>
      </c>
      <c r="AH60" s="175"/>
      <c r="AI60" s="523">
        <f>IF(N60&lt;&gt;"nvt",MATCH($T60,'Tarieven W&amp;O'!$B:$B,0),"nvt")</f>
        <v>24</v>
      </c>
      <c r="AJ60" s="205">
        <f>IF(AI60&lt;&gt;"nvt",IF($D60="EoK",INDEX(Parameters!C:C,MATCH("NLSx EoK",Parameters!A:A,0)),INDEX('Tarieven W&amp;O'!$H:$H,$AI60)),0)*R60</f>
        <v>350</v>
      </c>
      <c r="AK60" s="204">
        <f>IF(AI60&lt;&gt;"nvt",INDEX('Tarieven W&amp;O'!$I:$I,$AI60),0)*R60</f>
        <v>75</v>
      </c>
      <c r="AL60" s="524">
        <f>IF(AI60&lt;&gt;"nvt",-INDEX(Parameters!$B:$B,MATCH(AL$3,Parameters!$A:$A,0))*(AJ60+AK60),0)</f>
        <v>0</v>
      </c>
      <c r="AM60" s="525"/>
      <c r="AN60" s="139">
        <f t="shared" si="122"/>
        <v>425</v>
      </c>
      <c r="AO60" s="205">
        <f>AN60/INDEX(Parameters!$B:$B,MATCH("AfschrijftermijnVVE"&amp;12*$C60,Parameters!$A:$A,0))</f>
        <v>11.805555555555555</v>
      </c>
      <c r="AP60" s="139">
        <f t="shared" si="123"/>
        <v>24</v>
      </c>
      <c r="AQ60" s="526">
        <f>IF(AP60&lt;&gt;"nvt",R60*INDEX('Tarieven W&amp;O'!$G:$G,$AP60),0)</f>
        <v>60.97</v>
      </c>
      <c r="AR60" s="524">
        <f>-INDEX(Parameters!$B:$B,MATCH(AR$3,Parameters!$A:$A,0))*(AQ60)</f>
        <v>0</v>
      </c>
      <c r="AS60" s="205">
        <f>IF(E60="straal access",'EDC Minus'!$H$192,IF(Q60&lt;&gt;"nvt",Q60*S60*'EDC Minus'!$H$292/590,0))</f>
        <v>0</v>
      </c>
      <c r="AT60" s="139"/>
      <c r="AU60" s="150">
        <f t="shared" si="124"/>
        <v>60.97</v>
      </c>
      <c r="AV60" s="150">
        <f t="shared" si="125"/>
        <v>72.775555555555556</v>
      </c>
      <c r="AX60" s="526">
        <f>Parameters!$B$6*AV60</f>
        <v>0.7277555555555556</v>
      </c>
      <c r="AY60" s="150">
        <v>0</v>
      </c>
      <c r="AZ60" s="150"/>
      <c r="BA60" s="150">
        <f t="shared" si="126"/>
        <v>0.7277555555555556</v>
      </c>
      <c r="BC60" s="522">
        <f t="shared" si="91"/>
        <v>73.503311111111117</v>
      </c>
      <c r="BD60" s="175"/>
      <c r="BE60" s="527">
        <f t="shared" si="112"/>
        <v>954.27446666666674</v>
      </c>
      <c r="BF60" s="181">
        <f t="shared" si="113"/>
        <v>0.92848326486486488</v>
      </c>
      <c r="BG60" s="520" t="b">
        <f t="shared" si="127"/>
        <v>0</v>
      </c>
      <c r="BI60" s="528" t="s">
        <v>2181</v>
      </c>
      <c r="BK60" s="151">
        <f>VLOOKUP(J60,'Tarieven ZM'!$B$136:$I$235,8,0)</f>
        <v>0</v>
      </c>
      <c r="BL60" s="151" t="str">
        <f>IF(M60="EoK",N60&amp;"AdvancedNLS type 1/2/3",IF(E60&lt;&gt;"Straal Access",INDEX(Mapping!J:J,MATCH(E60&amp;G60,Mapping!B:B,0)),E60))</f>
        <v>Copper Standard Access 5Mbit/sAdvancedNLS type 1/2/3</v>
      </c>
      <c r="BM60" s="184">
        <f>INDEX('inkoop ULL tbv EVPN'!J:J,MATCH($BL60,'inkoop ULL tbv EVPN'!$H:$H,0))</f>
        <v>78.97</v>
      </c>
      <c r="BN60" s="180">
        <f>BM60/INDEX(Parameters!$B:$B,MATCH("AfschrijftermijnVVE"&amp;12*$C60,Parameters!$A:$A,0))</f>
        <v>2.1936111111111112</v>
      </c>
      <c r="BO60" s="184">
        <f>INDEX('inkoop ULL tbv EVPN'!I:I,MATCH($BL60,'inkoop ULL tbv EVPN'!$H:$H,0))</f>
        <v>14.7296035</v>
      </c>
      <c r="BP60" s="184">
        <f t="shared" si="93"/>
        <v>16.92321461111111</v>
      </c>
      <c r="BR60" s="180">
        <f>Parameters!$B$12*AG60</f>
        <v>102.77777777777779</v>
      </c>
      <c r="BS60" s="180">
        <f>SUM(Distributievergoedingen!$F$12,Distributievergoedingen!$I$12,Distributievergoedingen!$L$12,Distributievergoedingen!$O$12)*AF60+SUM(Distributievergoedingen!$O$12*AA60+Distributievergoedingen!$R$12+Distributievergoedingen!$U$12+Distributievergoedingen!$X$12)/(MAX(36,12*C60))</f>
        <v>112.77777777777777</v>
      </c>
      <c r="BT60" s="150"/>
      <c r="BU60" s="150">
        <f t="shared" si="94"/>
        <v>215.55555555555554</v>
      </c>
      <c r="BW60" s="522">
        <f t="shared" si="95"/>
        <v>232.47877016666666</v>
      </c>
      <c r="BY60" s="527">
        <f t="shared" si="96"/>
        <v>795.29900761111116</v>
      </c>
      <c r="BZ60" s="181">
        <f t="shared" si="97"/>
        <v>0.77380443983783787</v>
      </c>
      <c r="CA60" s="520" t="b">
        <f t="shared" si="98"/>
        <v>0</v>
      </c>
    </row>
    <row r="61" spans="1:79" s="151" customFormat="1">
      <c r="A61" s="151" t="str">
        <f t="shared" si="115"/>
        <v>2EoKStandard Access koper 10mbHoog&lt; 250 meter</v>
      </c>
      <c r="B61" s="151" t="str">
        <f t="shared" si="116"/>
        <v>2EoKStandard Access koper 10mbHoog&lt; 250 meter</v>
      </c>
      <c r="C61" s="178">
        <v>2</v>
      </c>
      <c r="D61" s="415" t="s">
        <v>303</v>
      </c>
      <c r="E61" s="178" t="s">
        <v>277</v>
      </c>
      <c r="F61" s="107" t="s">
        <v>274</v>
      </c>
      <c r="G61" s="178" t="s">
        <v>3397</v>
      </c>
      <c r="I61" s="178"/>
      <c r="J61" s="520" t="str">
        <f t="shared" si="101"/>
        <v>EoKStandard Access koper 10mbHoog&lt; 250 meter</v>
      </c>
      <c r="L61" s="204">
        <f>INDEX(Mapping!$H:$H,MATCH(C$3&amp;C61,Mapping!$B:$B,0))</f>
        <v>1</v>
      </c>
      <c r="M61" s="204" t="str">
        <f>INDEX(Mapping!$H:$H,MATCH(D$3&amp;D61,Mapping!$B:$B,0))</f>
        <v>EoK</v>
      </c>
      <c r="N61" s="204" t="str">
        <f>INDEX(Mapping!$H:$H,MATCH(E$3&amp;E61,Mapping!$B:$B,0))</f>
        <v>Copper Standard Access 10Mbit/s</v>
      </c>
      <c r="O61" s="204" t="str">
        <f>INDEX(Mapping!$H:$H,MATCH(E61&amp;F61,Mapping!$B:$B,0))</f>
        <v/>
      </c>
      <c r="P61" s="204" t="str">
        <f>INDEX(Mapping!$H:$H,MATCH($E61&amp;$G61,Mapping!$B:$B,0))</f>
        <v>Nearnet</v>
      </c>
      <c r="Q61" s="204" t="str">
        <f>INDEX(Mapping!$H:$H,MATCH($E61&amp;$G61&amp;"graafafstand",Mapping!$B:$B,0))</f>
        <v>nvt</v>
      </c>
      <c r="R61" s="204">
        <f>INDEX(Mapping!$H:$H,MATCH(R$3&amp;$E61,Mapping!$B:$B,0))</f>
        <v>1</v>
      </c>
      <c r="S61" s="204">
        <f>INDEX(Mapping!$H:$H,MATCH(S$3&amp;$E61,Mapping!$B:$B,0))</f>
        <v>1</v>
      </c>
      <c r="T61" s="139" t="str">
        <f t="shared" si="117"/>
        <v>Copper Standard Access 10Mbit/sNearnet</v>
      </c>
      <c r="U61" s="151" t="str">
        <f t="shared" si="118"/>
        <v>Copper Standard Access 10Mbit/sNearnet</v>
      </c>
      <c r="W61" s="521">
        <f>MATCH($J61,'Tarieven ZM'!$B:$B,0)</f>
        <v>151</v>
      </c>
      <c r="X61" s="204">
        <f>INDEX('Tarieven ZM'!$H:$H,$W61)</f>
        <v>1000</v>
      </c>
      <c r="Y61" s="198">
        <f>IF(E61="Standard Access in ZG BT gebieden",0,-INDEX(Parameters!$B:$B,MATCH(Y$3&amp;$C61,Parameters!$A:$A,0))*$X61)</f>
        <v>0</v>
      </c>
      <c r="Z61" s="198">
        <f>IF(E61="Standard Access in ZG BT gebieden",0,MAX(-INDEX(Parameters!$B:$B,MATCH(Z$3&amp;$C61,Parameters!$A:$A,0))*$X61,-INDEX(Parameters!$B:$B,MATCH("FactorMaxSalesMandaat"&amp;E61,Parameters!$A:$A,0))*INDEX(Parameters!$B:$B,MATCH("MaxSalesMandaatAccessVVE"&amp;$C61,Parameters!$A:$A,0))))</f>
        <v>0</v>
      </c>
      <c r="AA61" s="139">
        <f t="shared" si="119"/>
        <v>1000</v>
      </c>
      <c r="AB61" s="205">
        <f>AA61/INDEX(Parameters!$B:$B,MATCH("AfschrijftermijnVVE"&amp;12*$C61,Parameters!$A:$A,0))</f>
        <v>27.777777777777779</v>
      </c>
      <c r="AC61" s="204">
        <f>INDEX('Tarieven ZM'!$G:$G,$W61)</f>
        <v>1000</v>
      </c>
      <c r="AD61" s="198">
        <f>IF(E61="Standard Access in ZG BT gebieden",0,-INDEX(Parameters!$B:$B,MATCH(AD$3&amp;$C61,Parameters!$A:$A,0))*$AC61)</f>
        <v>0</v>
      </c>
      <c r="AE61" s="198">
        <f>IF(E61="Standard Access in ZG BT gebieden",0,-INDEX(Parameters!$B:$B,MATCH(AE$3,Parameters!$A:$A,0))*$AC61)</f>
        <v>0</v>
      </c>
      <c r="AF61" s="139">
        <f t="shared" si="120"/>
        <v>1000</v>
      </c>
      <c r="AG61" s="522">
        <f t="shared" si="121"/>
        <v>1027.7777777777778</v>
      </c>
      <c r="AH61" s="175"/>
      <c r="AI61" s="523">
        <f>IF(N61&lt;&gt;"nvt",MATCH($T61,'Tarieven W&amp;O'!$B:$B,0),"nvt")</f>
        <v>25</v>
      </c>
      <c r="AJ61" s="205">
        <f>IF(AI61&lt;&gt;"nvt",IF($D61="EoK",INDEX(Parameters!C:C,MATCH("NLSx EoK",Parameters!A:A,0)),INDEX('Tarieven W&amp;O'!$H:$H,$AI61)),0)*R61</f>
        <v>350</v>
      </c>
      <c r="AK61" s="204">
        <f>IF(AI61&lt;&gt;"nvt",INDEX('Tarieven W&amp;O'!$I:$I,$AI61),0)*R61</f>
        <v>75</v>
      </c>
      <c r="AL61" s="524">
        <f>IF(AI61&lt;&gt;"nvt",-INDEX(Parameters!$B:$B,MATCH(AL$3,Parameters!$A:$A,0))*(AJ61+AK61),0)</f>
        <v>0</v>
      </c>
      <c r="AM61" s="525"/>
      <c r="AN61" s="139">
        <f t="shared" si="122"/>
        <v>425</v>
      </c>
      <c r="AO61" s="205">
        <f>AN61/INDEX(Parameters!$B:$B,MATCH("AfschrijftermijnVVE"&amp;12*$C61,Parameters!$A:$A,0))</f>
        <v>11.805555555555555</v>
      </c>
      <c r="AP61" s="139">
        <f t="shared" si="123"/>
        <v>25</v>
      </c>
      <c r="AQ61" s="526">
        <f>IF(AP61&lt;&gt;"nvt",R61*INDEX('Tarieven W&amp;O'!$G:$G,$AP61),0)</f>
        <v>83.59</v>
      </c>
      <c r="AR61" s="524">
        <f>-INDEX(Parameters!$B:$B,MATCH(AR$3,Parameters!$A:$A,0))*(AQ61)</f>
        <v>0</v>
      </c>
      <c r="AS61" s="205">
        <f>IF(E61="straal access",'EDC Minus'!$H$192,IF(Q61&lt;&gt;"nvt",Q61*S61*'EDC Minus'!$H$292/590,0))</f>
        <v>0</v>
      </c>
      <c r="AT61" s="139"/>
      <c r="AU61" s="150">
        <f t="shared" si="124"/>
        <v>83.59</v>
      </c>
      <c r="AV61" s="150">
        <f t="shared" si="125"/>
        <v>95.395555555555561</v>
      </c>
      <c r="AX61" s="526">
        <f>Parameters!$B$6*AV61</f>
        <v>0.95395555555555567</v>
      </c>
      <c r="AY61" s="150">
        <v>0</v>
      </c>
      <c r="AZ61" s="150"/>
      <c r="BA61" s="150">
        <f t="shared" si="126"/>
        <v>0.95395555555555567</v>
      </c>
      <c r="BC61" s="522">
        <f t="shared" si="91"/>
        <v>96.349511111111113</v>
      </c>
      <c r="BD61" s="175"/>
      <c r="BE61" s="527">
        <f t="shared" si="112"/>
        <v>931.42826666666667</v>
      </c>
      <c r="BF61" s="181">
        <f t="shared" si="113"/>
        <v>0.90625452972972964</v>
      </c>
      <c r="BG61" s="520" t="b">
        <f t="shared" si="127"/>
        <v>0</v>
      </c>
      <c r="BI61" s="528" t="s">
        <v>2181</v>
      </c>
      <c r="BK61" s="151">
        <f>VLOOKUP(J61,'Tarieven ZM'!$B$136:$I$235,8,0)</f>
        <v>0</v>
      </c>
      <c r="BL61" s="151" t="str">
        <f>IF(M61="EoK",N61&amp;"AdvancedNLS type 1/2/3",IF(E61&lt;&gt;"Straal Access",INDEX(Mapping!J:J,MATCH(E61&amp;G61,Mapping!B:B,0)),E61))</f>
        <v>Copper Standard Access 10Mbit/sAdvancedNLS type 1/2/3</v>
      </c>
      <c r="BM61" s="184">
        <f>INDEX('inkoop ULL tbv EVPN'!J:J,MATCH($BL61,'inkoop ULL tbv EVPN'!$H:$H,0))</f>
        <v>78.97</v>
      </c>
      <c r="BN61" s="180">
        <f>BM61/INDEX(Parameters!$B:$B,MATCH("AfschrijftermijnVVE"&amp;12*$C61,Parameters!$A:$A,0))</f>
        <v>2.1936111111111112</v>
      </c>
      <c r="BO61" s="184">
        <f>INDEX('inkoop ULL tbv EVPN'!I:I,MATCH($BL61,'inkoop ULL tbv EVPN'!$H:$H,0))</f>
        <v>14.7296035</v>
      </c>
      <c r="BP61" s="184">
        <f t="shared" si="93"/>
        <v>16.92321461111111</v>
      </c>
      <c r="BR61" s="180">
        <f>Parameters!$B$12*AG61</f>
        <v>102.77777777777779</v>
      </c>
      <c r="BS61" s="180">
        <f>SUM(Distributievergoedingen!$F$12,Distributievergoedingen!$I$12,Distributievergoedingen!$L$12,Distributievergoedingen!$O$12)*AF61+SUM(Distributievergoedingen!$O$12*AA61+Distributievergoedingen!$R$12+Distributievergoedingen!$U$12+Distributievergoedingen!$X$12)/(MAX(36,12*C61))</f>
        <v>112.77777777777777</v>
      </c>
      <c r="BT61" s="150"/>
      <c r="BU61" s="150">
        <f t="shared" si="94"/>
        <v>215.55555555555554</v>
      </c>
      <c r="BW61" s="522">
        <f t="shared" si="95"/>
        <v>232.47877016666666</v>
      </c>
      <c r="BY61" s="527">
        <f t="shared" si="96"/>
        <v>795.29900761111116</v>
      </c>
      <c r="BZ61" s="181">
        <f t="shared" si="97"/>
        <v>0.77380443983783787</v>
      </c>
      <c r="CA61" s="520" t="b">
        <f t="shared" si="98"/>
        <v>0</v>
      </c>
    </row>
    <row r="62" spans="1:79" s="151" customFormat="1">
      <c r="A62" s="151" t="str">
        <f t="shared" si="115"/>
        <v>2EoKStandard Access koper 15mbHoog&lt; 250 meter</v>
      </c>
      <c r="B62" s="151" t="str">
        <f t="shared" si="116"/>
        <v>2EoKStandard Access koper 15mbHoog&lt; 250 meter</v>
      </c>
      <c r="C62" s="178">
        <v>2</v>
      </c>
      <c r="D62" s="415" t="s">
        <v>303</v>
      </c>
      <c r="E62" s="178" t="s">
        <v>278</v>
      </c>
      <c r="F62" s="107" t="s">
        <v>274</v>
      </c>
      <c r="G62" s="178" t="s">
        <v>3397</v>
      </c>
      <c r="I62" s="178"/>
      <c r="J62" s="520" t="str">
        <f t="shared" si="101"/>
        <v>EoKStandard Access koper 15mbHoog&lt; 250 meter</v>
      </c>
      <c r="L62" s="204">
        <f>INDEX(Mapping!$H:$H,MATCH(C$3&amp;C62,Mapping!$B:$B,0))</f>
        <v>1</v>
      </c>
      <c r="M62" s="204" t="str">
        <f>INDEX(Mapping!$H:$H,MATCH(D$3&amp;D62,Mapping!$B:$B,0))</f>
        <v>EoK</v>
      </c>
      <c r="N62" s="204" t="str">
        <f>INDEX(Mapping!$H:$H,MATCH(E$3&amp;E62,Mapping!$B:$B,0))</f>
        <v>Copper Standard Access 15Mbit/s</v>
      </c>
      <c r="O62" s="204" t="str">
        <f>INDEX(Mapping!$H:$H,MATCH(E62&amp;F62,Mapping!$B:$B,0))</f>
        <v/>
      </c>
      <c r="P62" s="204" t="str">
        <f>INDEX(Mapping!$H:$H,MATCH($E62&amp;$G62,Mapping!$B:$B,0))</f>
        <v>Nearnet</v>
      </c>
      <c r="Q62" s="204" t="str">
        <f>INDEX(Mapping!$H:$H,MATCH($E62&amp;$G62&amp;"graafafstand",Mapping!$B:$B,0))</f>
        <v>nvt</v>
      </c>
      <c r="R62" s="204">
        <f>INDEX(Mapping!$H:$H,MATCH(R$3&amp;$E62,Mapping!$B:$B,0))</f>
        <v>1</v>
      </c>
      <c r="S62" s="204">
        <f>INDEX(Mapping!$H:$H,MATCH(S$3&amp;$E62,Mapping!$B:$B,0))</f>
        <v>1</v>
      </c>
      <c r="T62" s="139" t="str">
        <f t="shared" si="117"/>
        <v>Copper Standard Access 15Mbit/sNearnet</v>
      </c>
      <c r="U62" s="151" t="str">
        <f t="shared" si="118"/>
        <v>Copper Standard Access 15Mbit/sNearnet</v>
      </c>
      <c r="W62" s="521">
        <f>MATCH($J62,'Tarieven ZM'!$B:$B,0)</f>
        <v>152</v>
      </c>
      <c r="X62" s="204">
        <f>INDEX('Tarieven ZM'!$H:$H,$W62)</f>
        <v>1000</v>
      </c>
      <c r="Y62" s="198">
        <f>IF(E62="Standard Access in ZG BT gebieden",0,-INDEX(Parameters!$B:$B,MATCH(Y$3&amp;$C62,Parameters!$A:$A,0))*$X62)</f>
        <v>0</v>
      </c>
      <c r="Z62" s="198">
        <f>IF(E62="Standard Access in ZG BT gebieden",0,MAX(-INDEX(Parameters!$B:$B,MATCH(Z$3&amp;$C62,Parameters!$A:$A,0))*$X62,-INDEX(Parameters!$B:$B,MATCH("FactorMaxSalesMandaat"&amp;E62,Parameters!$A:$A,0))*INDEX(Parameters!$B:$B,MATCH("MaxSalesMandaatAccessVVE"&amp;$C62,Parameters!$A:$A,0))))</f>
        <v>0</v>
      </c>
      <c r="AA62" s="139">
        <f t="shared" si="119"/>
        <v>1000</v>
      </c>
      <c r="AB62" s="205">
        <f>AA62/INDEX(Parameters!$B:$B,MATCH("AfschrijftermijnVVE"&amp;12*$C62,Parameters!$A:$A,0))</f>
        <v>27.777777777777779</v>
      </c>
      <c r="AC62" s="204">
        <f>INDEX('Tarieven ZM'!$G:$G,$W62)</f>
        <v>1000</v>
      </c>
      <c r="AD62" s="198">
        <f>IF(E62="Standard Access in ZG BT gebieden",0,-INDEX(Parameters!$B:$B,MATCH(AD$3&amp;$C62,Parameters!$A:$A,0))*$AC62)</f>
        <v>0</v>
      </c>
      <c r="AE62" s="198">
        <f>IF(E62="Standard Access in ZG BT gebieden",0,-INDEX(Parameters!$B:$B,MATCH(AE$3,Parameters!$A:$A,0))*$AC62)</f>
        <v>0</v>
      </c>
      <c r="AF62" s="139">
        <f t="shared" si="120"/>
        <v>1000</v>
      </c>
      <c r="AG62" s="522">
        <f t="shared" si="121"/>
        <v>1027.7777777777778</v>
      </c>
      <c r="AH62" s="175"/>
      <c r="AI62" s="523">
        <f>IF(N62&lt;&gt;"nvt",MATCH($T62,'Tarieven W&amp;O'!$B:$B,0),"nvt")</f>
        <v>26</v>
      </c>
      <c r="AJ62" s="205">
        <f>IF(AI62&lt;&gt;"nvt",IF($D62="EoK",INDEX(Parameters!C:C,MATCH("NLSx EoK",Parameters!A:A,0)),INDEX('Tarieven W&amp;O'!$H:$H,$AI62)),0)*R62</f>
        <v>350</v>
      </c>
      <c r="AK62" s="204">
        <f>IF(AI62&lt;&gt;"nvt",INDEX('Tarieven W&amp;O'!$I:$I,$AI62),0)*R62</f>
        <v>75</v>
      </c>
      <c r="AL62" s="524">
        <f>IF(AI62&lt;&gt;"nvt",-INDEX(Parameters!$B:$B,MATCH(AL$3,Parameters!$A:$A,0))*(AJ62+AK62),0)</f>
        <v>0</v>
      </c>
      <c r="AM62" s="525"/>
      <c r="AN62" s="139">
        <f t="shared" si="122"/>
        <v>425</v>
      </c>
      <c r="AO62" s="205">
        <f>AN62/INDEX(Parameters!$B:$B,MATCH("AfschrijftermijnVVE"&amp;12*$C62,Parameters!$A:$A,0))</f>
        <v>11.805555555555555</v>
      </c>
      <c r="AP62" s="139">
        <f t="shared" si="123"/>
        <v>26</v>
      </c>
      <c r="AQ62" s="526">
        <f>IF(AP62&lt;&gt;"nvt",R62*INDEX('Tarieven W&amp;O'!$G:$G,$AP62),0)</f>
        <v>102.44</v>
      </c>
      <c r="AR62" s="524">
        <f>-INDEX(Parameters!$B:$B,MATCH(AR$3,Parameters!$A:$A,0))*(AQ62)</f>
        <v>0</v>
      </c>
      <c r="AS62" s="205">
        <f>IF(E62="straal access",'EDC Minus'!$H$192,IF(Q62&lt;&gt;"nvt",Q62*S62*'EDC Minus'!$H$292/590,0))</f>
        <v>0</v>
      </c>
      <c r="AT62" s="139"/>
      <c r="AU62" s="150">
        <f t="shared" si="124"/>
        <v>102.44</v>
      </c>
      <c r="AV62" s="150">
        <f t="shared" si="125"/>
        <v>114.24555555555555</v>
      </c>
      <c r="AX62" s="526">
        <f>Parameters!$B$6*AV62</f>
        <v>1.1424555555555556</v>
      </c>
      <c r="AY62" s="150">
        <v>0</v>
      </c>
      <c r="AZ62" s="150"/>
      <c r="BA62" s="150">
        <f t="shared" si="126"/>
        <v>1.1424555555555556</v>
      </c>
      <c r="BC62" s="522">
        <f t="shared" si="91"/>
        <v>115.38801111111111</v>
      </c>
      <c r="BD62" s="175"/>
      <c r="BE62" s="527">
        <f t="shared" si="112"/>
        <v>912.38976666666667</v>
      </c>
      <c r="BF62" s="181">
        <f t="shared" si="113"/>
        <v>0.88773058378378378</v>
      </c>
      <c r="BG62" s="520" t="b">
        <f t="shared" si="127"/>
        <v>0</v>
      </c>
      <c r="BI62" s="528" t="s">
        <v>2181</v>
      </c>
      <c r="BK62" s="151">
        <f>VLOOKUP(J62,'Tarieven ZM'!$B$136:$I$235,8,0)</f>
        <v>0</v>
      </c>
      <c r="BL62" s="151" t="str">
        <f>IF(M62="EoK",N62&amp;"AdvancedNLS type 1/2/3",IF(E62&lt;&gt;"Straal Access",INDEX(Mapping!J:J,MATCH(E62&amp;G62,Mapping!B:B,0)),E62))</f>
        <v>Copper Standard Access 15Mbit/sAdvancedNLS type 1/2/3</v>
      </c>
      <c r="BM62" s="184">
        <f>INDEX('inkoop ULL tbv EVPN'!J:J,MATCH($BL62,'inkoop ULL tbv EVPN'!$H:$H,0))</f>
        <v>78.97</v>
      </c>
      <c r="BN62" s="180">
        <f>BM62/INDEX(Parameters!$B:$B,MATCH("AfschrijftermijnVVE"&amp;12*$C62,Parameters!$A:$A,0))</f>
        <v>2.1936111111111112</v>
      </c>
      <c r="BO62" s="184">
        <f>INDEX('inkoop ULL tbv EVPN'!I:I,MATCH($BL62,'inkoop ULL tbv EVPN'!$H:$H,0))</f>
        <v>14.7296035</v>
      </c>
      <c r="BP62" s="184">
        <f t="shared" si="93"/>
        <v>16.92321461111111</v>
      </c>
      <c r="BR62" s="180">
        <f>Parameters!$B$12*AG62</f>
        <v>102.77777777777779</v>
      </c>
      <c r="BS62" s="180">
        <f>SUM(Distributievergoedingen!$F$12,Distributievergoedingen!$I$12,Distributievergoedingen!$L$12,Distributievergoedingen!$O$12)*AF62+SUM(Distributievergoedingen!$O$12*AA62+Distributievergoedingen!$R$12+Distributievergoedingen!$U$12+Distributievergoedingen!$X$12)/(MAX(36,12*C62))</f>
        <v>112.77777777777777</v>
      </c>
      <c r="BT62" s="150"/>
      <c r="BU62" s="150">
        <f t="shared" si="94"/>
        <v>215.55555555555554</v>
      </c>
      <c r="BW62" s="522">
        <f t="shared" si="95"/>
        <v>232.47877016666666</v>
      </c>
      <c r="BY62" s="527">
        <f t="shared" si="96"/>
        <v>795.29900761111116</v>
      </c>
      <c r="BZ62" s="181">
        <f t="shared" si="97"/>
        <v>0.77380443983783787</v>
      </c>
      <c r="CA62" s="520" t="b">
        <f t="shared" si="98"/>
        <v>0</v>
      </c>
    </row>
    <row r="63" spans="1:79" s="151" customFormat="1">
      <c r="A63" s="151" t="str">
        <f t="shared" si="115"/>
        <v>2EoKStandard Access koper 20mbHoog&lt; 250 meter</v>
      </c>
      <c r="B63" s="151" t="str">
        <f t="shared" si="116"/>
        <v>2EoKStandard Access koper 20mbHoog&lt; 250 meter</v>
      </c>
      <c r="C63" s="178">
        <v>2</v>
      </c>
      <c r="D63" s="415" t="s">
        <v>303</v>
      </c>
      <c r="E63" s="178" t="s">
        <v>279</v>
      </c>
      <c r="F63" s="107" t="s">
        <v>274</v>
      </c>
      <c r="G63" s="178" t="s">
        <v>3397</v>
      </c>
      <c r="I63" s="178"/>
      <c r="J63" s="520" t="str">
        <f t="shared" si="101"/>
        <v>EoKStandard Access koper 20mbHoog&lt; 250 meter</v>
      </c>
      <c r="L63" s="204">
        <f>INDEX(Mapping!$H:$H,MATCH(C$3&amp;C63,Mapping!$B:$B,0))</f>
        <v>1</v>
      </c>
      <c r="M63" s="204" t="str">
        <f>INDEX(Mapping!$H:$H,MATCH(D$3&amp;D63,Mapping!$B:$B,0))</f>
        <v>EoK</v>
      </c>
      <c r="N63" s="204" t="str">
        <f>INDEX(Mapping!$H:$H,MATCH(E$3&amp;E63,Mapping!$B:$B,0))</f>
        <v>Copper Standard Access 20Mbit/s</v>
      </c>
      <c r="O63" s="204" t="str">
        <f>INDEX(Mapping!$H:$H,MATCH(E63&amp;F63,Mapping!$B:$B,0))</f>
        <v/>
      </c>
      <c r="P63" s="204" t="str">
        <f>INDEX(Mapping!$H:$H,MATCH($E63&amp;$G63,Mapping!$B:$B,0))</f>
        <v>Nearnet</v>
      </c>
      <c r="Q63" s="204" t="str">
        <f>INDEX(Mapping!$H:$H,MATCH($E63&amp;$G63&amp;"graafafstand",Mapping!$B:$B,0))</f>
        <v>nvt</v>
      </c>
      <c r="R63" s="204">
        <f>INDEX(Mapping!$H:$H,MATCH(R$3&amp;$E63,Mapping!$B:$B,0))</f>
        <v>1</v>
      </c>
      <c r="S63" s="204">
        <f>INDEX(Mapping!$H:$H,MATCH(S$3&amp;$E63,Mapping!$B:$B,0))</f>
        <v>1</v>
      </c>
      <c r="T63" s="139" t="str">
        <f t="shared" si="117"/>
        <v>Copper Standard Access 20Mbit/sNearnet</v>
      </c>
      <c r="U63" s="151" t="str">
        <f t="shared" si="118"/>
        <v>Copper Standard Access 20Mbit/sNearnet</v>
      </c>
      <c r="W63" s="521">
        <f>MATCH($J63,'Tarieven ZM'!$B:$B,0)</f>
        <v>153</v>
      </c>
      <c r="X63" s="204">
        <f>INDEX('Tarieven ZM'!$H:$H,$W63)</f>
        <v>1000</v>
      </c>
      <c r="Y63" s="198">
        <f>IF(E63="Standard Access in ZG BT gebieden",0,-INDEX(Parameters!$B:$B,MATCH(Y$3&amp;$C63,Parameters!$A:$A,0))*$X63)</f>
        <v>0</v>
      </c>
      <c r="Z63" s="198">
        <f>IF(E63="Standard Access in ZG BT gebieden",0,MAX(-INDEX(Parameters!$B:$B,MATCH(Z$3&amp;$C63,Parameters!$A:$A,0))*$X63,-INDEX(Parameters!$B:$B,MATCH("FactorMaxSalesMandaat"&amp;E63,Parameters!$A:$A,0))*INDEX(Parameters!$B:$B,MATCH("MaxSalesMandaatAccessVVE"&amp;$C63,Parameters!$A:$A,0))))</f>
        <v>0</v>
      </c>
      <c r="AA63" s="139">
        <f t="shared" si="119"/>
        <v>1000</v>
      </c>
      <c r="AB63" s="205">
        <f>AA63/INDEX(Parameters!$B:$B,MATCH("AfschrijftermijnVVE"&amp;12*$C63,Parameters!$A:$A,0))</f>
        <v>27.777777777777779</v>
      </c>
      <c r="AC63" s="204">
        <f>INDEX('Tarieven ZM'!$G:$G,$W63)</f>
        <v>1000</v>
      </c>
      <c r="AD63" s="198">
        <f>IF(E63="Standard Access in ZG BT gebieden",0,-INDEX(Parameters!$B:$B,MATCH(AD$3&amp;$C63,Parameters!$A:$A,0))*$AC63)</f>
        <v>0</v>
      </c>
      <c r="AE63" s="198">
        <f>IF(E63="Standard Access in ZG BT gebieden",0,-INDEX(Parameters!$B:$B,MATCH(AE$3,Parameters!$A:$A,0))*$AC63)</f>
        <v>0</v>
      </c>
      <c r="AF63" s="139">
        <f t="shared" si="120"/>
        <v>1000</v>
      </c>
      <c r="AG63" s="522">
        <f t="shared" si="121"/>
        <v>1027.7777777777778</v>
      </c>
      <c r="AH63" s="175"/>
      <c r="AI63" s="523">
        <f>IF(N63&lt;&gt;"nvt",MATCH($T63,'Tarieven W&amp;O'!$B:$B,0),"nvt")</f>
        <v>27</v>
      </c>
      <c r="AJ63" s="205">
        <f>IF(AI63&lt;&gt;"nvt",IF($D63="EoK",INDEX(Parameters!C:C,MATCH("NLSx EoK",Parameters!A:A,0)),INDEX('Tarieven W&amp;O'!$H:$H,$AI63)),0)*R63</f>
        <v>350</v>
      </c>
      <c r="AK63" s="204">
        <f>IF(AI63&lt;&gt;"nvt",INDEX('Tarieven W&amp;O'!$I:$I,$AI63),0)*R63</f>
        <v>75</v>
      </c>
      <c r="AL63" s="524">
        <f>IF(AI63&lt;&gt;"nvt",-INDEX(Parameters!$B:$B,MATCH(AL$3,Parameters!$A:$A,0))*(AJ63+AK63),0)</f>
        <v>0</v>
      </c>
      <c r="AM63" s="525"/>
      <c r="AN63" s="139">
        <f t="shared" si="122"/>
        <v>425</v>
      </c>
      <c r="AO63" s="205">
        <f>AN63/INDEX(Parameters!$B:$B,MATCH("AfschrijftermijnVVE"&amp;12*$C63,Parameters!$A:$A,0))</f>
        <v>11.805555555555555</v>
      </c>
      <c r="AP63" s="139">
        <f t="shared" si="123"/>
        <v>27</v>
      </c>
      <c r="AQ63" s="526">
        <f>IF(AP63&lt;&gt;"nvt",R63*INDEX('Tarieven W&amp;O'!$G:$G,$AP63),0)</f>
        <v>121.28</v>
      </c>
      <c r="AR63" s="524">
        <f>-INDEX(Parameters!$B:$B,MATCH(AR$3,Parameters!$A:$A,0))*(AQ63)</f>
        <v>0</v>
      </c>
      <c r="AS63" s="205">
        <f>IF(E63="straal access",'EDC Minus'!$H$192,IF(Q63&lt;&gt;"nvt",Q63*S63*'EDC Minus'!$H$292/590,0))</f>
        <v>0</v>
      </c>
      <c r="AT63" s="139"/>
      <c r="AU63" s="150">
        <f t="shared" si="124"/>
        <v>121.28</v>
      </c>
      <c r="AV63" s="150">
        <f t="shared" si="125"/>
        <v>133.08555555555554</v>
      </c>
      <c r="AX63" s="526">
        <f>Parameters!$B$6*AV63</f>
        <v>1.3308555555555555</v>
      </c>
      <c r="AY63" s="150">
        <v>0</v>
      </c>
      <c r="AZ63" s="150"/>
      <c r="BA63" s="150">
        <f t="shared" si="126"/>
        <v>1.3308555555555555</v>
      </c>
      <c r="BC63" s="522">
        <f t="shared" ref="BC63:BC78" si="128">SUM(AV63,BA63)</f>
        <v>134.4164111111111</v>
      </c>
      <c r="BD63" s="175"/>
      <c r="BE63" s="527">
        <f t="shared" si="112"/>
        <v>893.36136666666675</v>
      </c>
      <c r="BF63" s="181">
        <f t="shared" si="113"/>
        <v>0.86921646486486492</v>
      </c>
      <c r="BG63" s="520" t="b">
        <f t="shared" si="127"/>
        <v>0</v>
      </c>
      <c r="BI63" s="528" t="s">
        <v>2181</v>
      </c>
      <c r="BK63" s="151">
        <f>VLOOKUP(J63,'Tarieven ZM'!$B$136:$I$235,8,0)</f>
        <v>0</v>
      </c>
      <c r="BL63" s="151" t="str">
        <f>IF(M63="EoK",N63&amp;"AdvancedNLS type 1/2/3",IF(E63&lt;&gt;"Straal Access",INDEX(Mapping!J:J,MATCH(E63&amp;G63,Mapping!B:B,0)),E63))</f>
        <v>Copper Standard Access 20Mbit/sAdvancedNLS type 1/2/3</v>
      </c>
      <c r="BM63" s="184">
        <f>INDEX('inkoop ULL tbv EVPN'!J:J,MATCH($BL63,'inkoop ULL tbv EVPN'!$H:$H,0))</f>
        <v>78.97</v>
      </c>
      <c r="BN63" s="180">
        <f>BM63/INDEX(Parameters!$B:$B,MATCH("AfschrijftermijnVVE"&amp;12*$C63,Parameters!$A:$A,0))</f>
        <v>2.1936111111111112</v>
      </c>
      <c r="BO63" s="184">
        <f>INDEX('inkoop ULL tbv EVPN'!I:I,MATCH($BL63,'inkoop ULL tbv EVPN'!$H:$H,0))</f>
        <v>14.7296035</v>
      </c>
      <c r="BP63" s="184">
        <f t="shared" ref="BP63:BP78" si="129">BN63+BO63</f>
        <v>16.92321461111111</v>
      </c>
      <c r="BR63" s="180">
        <f>Parameters!$B$12*AG63</f>
        <v>102.77777777777779</v>
      </c>
      <c r="BS63" s="180">
        <f>SUM(Distributievergoedingen!$F$12,Distributievergoedingen!$I$12,Distributievergoedingen!$L$12,Distributievergoedingen!$O$12)*AF63+SUM(Distributievergoedingen!$O$12*AA63+Distributievergoedingen!$R$12+Distributievergoedingen!$U$12+Distributievergoedingen!$X$12)/(MAX(36,12*C63))</f>
        <v>112.77777777777777</v>
      </c>
      <c r="BT63" s="150"/>
      <c r="BU63" s="150">
        <f t="shared" ref="BU63:BU78" si="130">SUM(BR63:BT63)</f>
        <v>215.55555555555554</v>
      </c>
      <c r="BW63" s="522">
        <f t="shared" ref="BW63:BW78" si="131">SUM(BP63,BU63)</f>
        <v>232.47877016666666</v>
      </c>
      <c r="BY63" s="527">
        <f t="shared" ref="BY63:BY78" si="132">AG63-BW63</f>
        <v>795.29900761111116</v>
      </c>
      <c r="BZ63" s="181">
        <f t="shared" ref="BZ63:BZ78" si="133">IF(AG63=0,-999%,BY63/AG63)</f>
        <v>0.77380443983783787</v>
      </c>
      <c r="CA63" s="520" t="b">
        <f t="shared" ref="CA63:CA78" si="134">BZ63&lt;0</f>
        <v>0</v>
      </c>
    </row>
    <row r="64" spans="1:79" s="151" customFormat="1">
      <c r="A64" s="151" t="str">
        <f t="shared" si="115"/>
        <v>2EoKStandard Access koper 3mbMiddelOn-net (NLS1, 2)</v>
      </c>
      <c r="B64" s="151" t="str">
        <f t="shared" si="116"/>
        <v>2EoKStandard Access koper 3mbMiddelOn-net (NLS1, 2)</v>
      </c>
      <c r="C64" s="178">
        <v>2</v>
      </c>
      <c r="D64" s="415" t="s">
        <v>303</v>
      </c>
      <c r="E64" s="178" t="s">
        <v>268</v>
      </c>
      <c r="F64" s="107" t="s">
        <v>280</v>
      </c>
      <c r="G64" s="178" t="s">
        <v>281</v>
      </c>
      <c r="I64" s="178"/>
      <c r="J64" s="520" t="str">
        <f t="shared" ref="J64:J78" si="135">D64&amp;E64&amp;F64&amp;G64</f>
        <v>EoKStandard Access koper 3mbMiddelOn-net (NLS1, 2)</v>
      </c>
      <c r="L64" s="204">
        <f>INDEX(Mapping!$H:$H,MATCH(C$3&amp;C64,Mapping!$B:$B,0))</f>
        <v>1</v>
      </c>
      <c r="M64" s="204" t="str">
        <f>INDEX(Mapping!$H:$H,MATCH(D$3&amp;D64,Mapping!$B:$B,0))</f>
        <v>EoK</v>
      </c>
      <c r="N64" s="204" t="str">
        <f>INDEX(Mapping!$H:$H,MATCH(E$3&amp;E64,Mapping!$B:$B,0))</f>
        <v>Copper Standard Access 3Mbit/s</v>
      </c>
      <c r="O64" s="204" t="str">
        <f>INDEX(Mapping!$H:$H,MATCH(E64&amp;F64,Mapping!$B:$B,0))</f>
        <v/>
      </c>
      <c r="P64" s="204" t="str">
        <f>INDEX(Mapping!$H:$H,MATCH($E64&amp;$G64,Mapping!$B:$B,0))</f>
        <v>On-net (NLS1, 2)</v>
      </c>
      <c r="Q64" s="204">
        <f>INDEX(Mapping!$H:$H,MATCH($E64&amp;$G64&amp;"graafafstand",Mapping!$B:$B,0))</f>
        <v>0</v>
      </c>
      <c r="R64" s="204">
        <f>INDEX(Mapping!$H:$H,MATCH(R$3&amp;$E64,Mapping!$B:$B,0))</f>
        <v>1</v>
      </c>
      <c r="S64" s="204">
        <f>INDEX(Mapping!$H:$H,MATCH(S$3&amp;$E64,Mapping!$B:$B,0))</f>
        <v>1</v>
      </c>
      <c r="T64" s="139" t="str">
        <f t="shared" si="117"/>
        <v>Copper Standard Access 3Mbit/sOn-net (NLS1, 2)</v>
      </c>
      <c r="U64" s="151" t="str">
        <f t="shared" si="118"/>
        <v>Copper Standard Access 3Mbit/sOn-net (NLS1, 2)</v>
      </c>
      <c r="W64" s="521">
        <f>MATCH($J64,'Tarieven ZM'!$B:$B,0)</f>
        <v>154</v>
      </c>
      <c r="X64" s="204">
        <f>INDEX('Tarieven ZM'!$H:$H,$W64)</f>
        <v>1000</v>
      </c>
      <c r="Y64" s="198">
        <f>IF(E64="Standard Access in ZG BT gebieden",0,-INDEX(Parameters!$B:$B,MATCH(Y$3&amp;$C64,Parameters!$A:$A,0))*$X64)</f>
        <v>0</v>
      </c>
      <c r="Z64" s="198">
        <f>IF(E64="Standard Access in ZG BT gebieden",0,MAX(-INDEX(Parameters!$B:$B,MATCH(Z$3&amp;$C64,Parameters!$A:$A,0))*$X64,-INDEX(Parameters!$B:$B,MATCH("FactorMaxSalesMandaat"&amp;E64,Parameters!$A:$A,0))*INDEX(Parameters!$B:$B,MATCH("MaxSalesMandaatAccessVVE"&amp;$C64,Parameters!$A:$A,0))))</f>
        <v>0</v>
      </c>
      <c r="AA64" s="139">
        <f t="shared" si="119"/>
        <v>1000</v>
      </c>
      <c r="AB64" s="205">
        <f>AA64/INDEX(Parameters!$B:$B,MATCH("AfschrijftermijnVVE"&amp;12*$C64,Parameters!$A:$A,0))</f>
        <v>27.777777777777779</v>
      </c>
      <c r="AC64" s="204">
        <f>INDEX('Tarieven ZM'!$G:$G,$W64)</f>
        <v>1000</v>
      </c>
      <c r="AD64" s="198">
        <f>IF(E64="Standard Access in ZG BT gebieden",0,-INDEX(Parameters!$B:$B,MATCH(AD$3&amp;$C64,Parameters!$A:$A,0))*$AC64)</f>
        <v>0</v>
      </c>
      <c r="AE64" s="198">
        <f>IF(E64="Standard Access in ZG BT gebieden",0,-INDEX(Parameters!$B:$B,MATCH(AE$3,Parameters!$A:$A,0))*$AC64)</f>
        <v>0</v>
      </c>
      <c r="AF64" s="139">
        <f t="shared" si="120"/>
        <v>1000</v>
      </c>
      <c r="AG64" s="522">
        <f t="shared" si="121"/>
        <v>1027.7777777777778</v>
      </c>
      <c r="AH64" s="175"/>
      <c r="AI64" s="523">
        <f>IF(N64&lt;&gt;"nvt",MATCH($T64,'Tarieven W&amp;O'!$B:$B,0),"nvt")</f>
        <v>9</v>
      </c>
      <c r="AJ64" s="205">
        <f>IF(AI64&lt;&gt;"nvt",IF($D64="EoK",INDEX(Parameters!C:C,MATCH("NLSx EoK",Parameters!A:A,0)),INDEX('Tarieven W&amp;O'!$H:$H,$AI64)),0)*R64</f>
        <v>350</v>
      </c>
      <c r="AK64" s="204">
        <f>IF(AI64&lt;&gt;"nvt",INDEX('Tarieven W&amp;O'!$I:$I,$AI64),0)*R64</f>
        <v>75</v>
      </c>
      <c r="AL64" s="524">
        <f>IF(AI64&lt;&gt;"nvt",-INDEX(Parameters!$B:$B,MATCH(AL$3,Parameters!$A:$A,0))*(AJ64+AK64),0)</f>
        <v>0</v>
      </c>
      <c r="AM64" s="525"/>
      <c r="AN64" s="139">
        <f t="shared" si="122"/>
        <v>425</v>
      </c>
      <c r="AO64" s="205">
        <f>AN64/INDEX(Parameters!$B:$B,MATCH("AfschrijftermijnVVE"&amp;12*$C64,Parameters!$A:$A,0))</f>
        <v>11.805555555555555</v>
      </c>
      <c r="AP64" s="139">
        <f t="shared" si="123"/>
        <v>9</v>
      </c>
      <c r="AQ64" s="526">
        <f>IF(AP64&lt;&gt;"nvt",R64*INDEX('Tarieven W&amp;O'!$G:$G,$AP64),0)</f>
        <v>41.5</v>
      </c>
      <c r="AR64" s="524">
        <f>-INDEX(Parameters!$B:$B,MATCH(AR$3,Parameters!$A:$A,0))*(AQ64)</f>
        <v>0</v>
      </c>
      <c r="AS64" s="205">
        <f>IF(E64="straal access",'EDC Minus'!$H$192,IF(Q64&lt;&gt;"nvt",Q64*S64*'EDC Minus'!$H$292/590,0))</f>
        <v>0</v>
      </c>
      <c r="AT64" s="139"/>
      <c r="AU64" s="150">
        <f t="shared" si="124"/>
        <v>41.5</v>
      </c>
      <c r="AV64" s="150">
        <f t="shared" si="125"/>
        <v>53.305555555555557</v>
      </c>
      <c r="AX64" s="526">
        <f>Parameters!$B$6*AV64</f>
        <v>0.53305555555555562</v>
      </c>
      <c r="AY64" s="150">
        <v>0</v>
      </c>
      <c r="AZ64" s="150"/>
      <c r="BA64" s="150">
        <f t="shared" si="126"/>
        <v>0.53305555555555562</v>
      </c>
      <c r="BC64" s="522">
        <f t="shared" si="128"/>
        <v>53.838611111111113</v>
      </c>
      <c r="BD64" s="175"/>
      <c r="BE64" s="527">
        <f t="shared" si="112"/>
        <v>973.93916666666667</v>
      </c>
      <c r="BF64" s="181">
        <f t="shared" si="113"/>
        <v>0.94761648648648644</v>
      </c>
      <c r="BG64" s="520" t="b">
        <f t="shared" si="127"/>
        <v>0</v>
      </c>
      <c r="BI64" s="528" t="s">
        <v>2181</v>
      </c>
      <c r="BK64" s="151">
        <f>VLOOKUP(J64,'Tarieven ZM'!$B$136:$I$235,8,0)</f>
        <v>0</v>
      </c>
      <c r="BL64" s="151" t="str">
        <f>IF(M64="EoK",N64&amp;"AdvancedNLS type 1/2/3",IF(E64&lt;&gt;"Straal Access",INDEX(Mapping!J:J,MATCH(E64&amp;G64,Mapping!B:B,0)),E64))</f>
        <v>Copper Standard Access 3Mbit/sAdvancedNLS type 1/2/3</v>
      </c>
      <c r="BM64" s="184">
        <f>INDEX('inkoop ULL tbv EVPN'!J:J,MATCH($BL64,'inkoop ULL tbv EVPN'!$H:$H,0))</f>
        <v>78.97</v>
      </c>
      <c r="BN64" s="180">
        <f>BM64/INDEX(Parameters!$B:$B,MATCH("AfschrijftermijnVVE"&amp;12*$C64,Parameters!$A:$A,0))</f>
        <v>2.1936111111111112</v>
      </c>
      <c r="BO64" s="184">
        <f>INDEX('inkoop ULL tbv EVPN'!I:I,MATCH($BL64,'inkoop ULL tbv EVPN'!$H:$H,0))</f>
        <v>14.7296035</v>
      </c>
      <c r="BP64" s="184">
        <f t="shared" si="129"/>
        <v>16.92321461111111</v>
      </c>
      <c r="BR64" s="180">
        <f>Parameters!$B$12*AG64</f>
        <v>102.77777777777779</v>
      </c>
      <c r="BS64" s="180">
        <f>SUM(Distributievergoedingen!$F$12,Distributievergoedingen!$I$12,Distributievergoedingen!$L$12,Distributievergoedingen!$O$12)*AF64+SUM(Distributievergoedingen!$O$12*AA64+Distributievergoedingen!$R$12+Distributievergoedingen!$U$12+Distributievergoedingen!$X$12)/(MAX(36,12*C64))</f>
        <v>112.77777777777777</v>
      </c>
      <c r="BT64" s="150"/>
      <c r="BU64" s="150">
        <f t="shared" si="130"/>
        <v>215.55555555555554</v>
      </c>
      <c r="BW64" s="522">
        <f t="shared" si="131"/>
        <v>232.47877016666666</v>
      </c>
      <c r="BY64" s="527">
        <f t="shared" si="132"/>
        <v>795.29900761111116</v>
      </c>
      <c r="BZ64" s="181">
        <f t="shared" si="133"/>
        <v>0.77380443983783787</v>
      </c>
      <c r="CA64" s="520" t="b">
        <f t="shared" si="134"/>
        <v>0</v>
      </c>
    </row>
    <row r="65" spans="1:79" s="151" customFormat="1">
      <c r="A65" s="151" t="str">
        <f t="shared" si="115"/>
        <v>2EoKStandard Access koper 5mbMiddelOn-net (NLS1, 2)</v>
      </c>
      <c r="B65" s="151" t="str">
        <f t="shared" si="116"/>
        <v>2EoKStandard Access koper 5mbMiddelOn-net (NLS1, 2)</v>
      </c>
      <c r="C65" s="178">
        <v>2</v>
      </c>
      <c r="D65" s="415" t="s">
        <v>303</v>
      </c>
      <c r="E65" s="178" t="s">
        <v>276</v>
      </c>
      <c r="F65" s="107" t="s">
        <v>280</v>
      </c>
      <c r="G65" s="178" t="s">
        <v>281</v>
      </c>
      <c r="I65" s="178"/>
      <c r="J65" s="520" t="str">
        <f t="shared" si="135"/>
        <v>EoKStandard Access koper 5mbMiddelOn-net (NLS1, 2)</v>
      </c>
      <c r="L65" s="204">
        <f>INDEX(Mapping!$H:$H,MATCH(C$3&amp;C65,Mapping!$B:$B,0))</f>
        <v>1</v>
      </c>
      <c r="M65" s="204" t="str">
        <f>INDEX(Mapping!$H:$H,MATCH(D$3&amp;D65,Mapping!$B:$B,0))</f>
        <v>EoK</v>
      </c>
      <c r="N65" s="204" t="str">
        <f>INDEX(Mapping!$H:$H,MATCH(E$3&amp;E65,Mapping!$B:$B,0))</f>
        <v>Copper Standard Access 5Mbit/s</v>
      </c>
      <c r="O65" s="204" t="str">
        <f>INDEX(Mapping!$H:$H,MATCH(E65&amp;F65,Mapping!$B:$B,0))</f>
        <v/>
      </c>
      <c r="P65" s="204" t="str">
        <f>INDEX(Mapping!$H:$H,MATCH($E65&amp;$G65,Mapping!$B:$B,0))</f>
        <v>On-net (NLS1, 2)</v>
      </c>
      <c r="Q65" s="204">
        <f>INDEX(Mapping!$H:$H,MATCH($E65&amp;$G65&amp;"graafafstand",Mapping!$B:$B,0))</f>
        <v>0</v>
      </c>
      <c r="R65" s="204">
        <f>INDEX(Mapping!$H:$H,MATCH(R$3&amp;$E65,Mapping!$B:$B,0))</f>
        <v>1</v>
      </c>
      <c r="S65" s="204">
        <f>INDEX(Mapping!$H:$H,MATCH(S$3&amp;$E65,Mapping!$B:$B,0))</f>
        <v>1</v>
      </c>
      <c r="T65" s="139" t="str">
        <f t="shared" si="117"/>
        <v>Copper Standard Access 5Mbit/sOn-net (NLS1, 2)</v>
      </c>
      <c r="U65" s="151" t="str">
        <f t="shared" si="118"/>
        <v>Copper Standard Access 5Mbit/sOn-net (NLS1, 2)</v>
      </c>
      <c r="W65" s="521">
        <f>MATCH($J65,'Tarieven ZM'!$B:$B,0)</f>
        <v>155</v>
      </c>
      <c r="X65" s="204">
        <f>INDEX('Tarieven ZM'!$H:$H,$W65)</f>
        <v>1000</v>
      </c>
      <c r="Y65" s="198">
        <f>IF(E65="Standard Access in ZG BT gebieden",0,-INDEX(Parameters!$B:$B,MATCH(Y$3&amp;$C65,Parameters!$A:$A,0))*$X65)</f>
        <v>0</v>
      </c>
      <c r="Z65" s="198">
        <f>IF(E65="Standard Access in ZG BT gebieden",0,MAX(-INDEX(Parameters!$B:$B,MATCH(Z$3&amp;$C65,Parameters!$A:$A,0))*$X65,-INDEX(Parameters!$B:$B,MATCH("FactorMaxSalesMandaat"&amp;E65,Parameters!$A:$A,0))*INDEX(Parameters!$B:$B,MATCH("MaxSalesMandaatAccessVVE"&amp;$C65,Parameters!$A:$A,0))))</f>
        <v>0</v>
      </c>
      <c r="AA65" s="139">
        <f t="shared" si="119"/>
        <v>1000</v>
      </c>
      <c r="AB65" s="205">
        <f>AA65/INDEX(Parameters!$B:$B,MATCH("AfschrijftermijnVVE"&amp;12*$C65,Parameters!$A:$A,0))</f>
        <v>27.777777777777779</v>
      </c>
      <c r="AC65" s="204">
        <f>INDEX('Tarieven ZM'!$G:$G,$W65)</f>
        <v>1000</v>
      </c>
      <c r="AD65" s="198">
        <f>IF(E65="Standard Access in ZG BT gebieden",0,-INDEX(Parameters!$B:$B,MATCH(AD$3&amp;$C65,Parameters!$A:$A,0))*$AC65)</f>
        <v>0</v>
      </c>
      <c r="AE65" s="198">
        <f>IF(E65="Standard Access in ZG BT gebieden",0,-INDEX(Parameters!$B:$B,MATCH(AE$3,Parameters!$A:$A,0))*$AC65)</f>
        <v>0</v>
      </c>
      <c r="AF65" s="139">
        <f t="shared" si="120"/>
        <v>1000</v>
      </c>
      <c r="AG65" s="522">
        <f t="shared" si="121"/>
        <v>1027.7777777777778</v>
      </c>
      <c r="AH65" s="175"/>
      <c r="AI65" s="523">
        <f>IF(N65&lt;&gt;"nvt",MATCH($T65,'Tarieven W&amp;O'!$B:$B,0),"nvt")</f>
        <v>10</v>
      </c>
      <c r="AJ65" s="205">
        <f>IF(AI65&lt;&gt;"nvt",IF($D65="EoK",INDEX(Parameters!C:C,MATCH("NLSx EoK",Parameters!A:A,0)),INDEX('Tarieven W&amp;O'!$H:$H,$AI65)),0)*R65</f>
        <v>350</v>
      </c>
      <c r="AK65" s="204">
        <f>IF(AI65&lt;&gt;"nvt",INDEX('Tarieven W&amp;O'!$I:$I,$AI65),0)*R65</f>
        <v>75</v>
      </c>
      <c r="AL65" s="524">
        <f>IF(AI65&lt;&gt;"nvt",-INDEX(Parameters!$B:$B,MATCH(AL$3,Parameters!$A:$A,0))*(AJ65+AK65),0)</f>
        <v>0</v>
      </c>
      <c r="AM65" s="525"/>
      <c r="AN65" s="139">
        <f t="shared" si="122"/>
        <v>425</v>
      </c>
      <c r="AO65" s="205">
        <f>AN65/INDEX(Parameters!$B:$B,MATCH("AfschrijftermijnVVE"&amp;12*$C65,Parameters!$A:$A,0))</f>
        <v>11.805555555555555</v>
      </c>
      <c r="AP65" s="139">
        <f t="shared" si="123"/>
        <v>10</v>
      </c>
      <c r="AQ65" s="526">
        <f>IF(AP65&lt;&gt;"nvt",R65*INDEX('Tarieven W&amp;O'!$G:$G,$AP65),0)</f>
        <v>60.97</v>
      </c>
      <c r="AR65" s="524">
        <f>-INDEX(Parameters!$B:$B,MATCH(AR$3,Parameters!$A:$A,0))*(AQ65)</f>
        <v>0</v>
      </c>
      <c r="AS65" s="205">
        <f>IF(E65="straal access",'EDC Minus'!$H$192,IF(Q65&lt;&gt;"nvt",Q65*S65*'EDC Minus'!$H$292/590,0))</f>
        <v>0</v>
      </c>
      <c r="AT65" s="139"/>
      <c r="AU65" s="150">
        <f t="shared" si="124"/>
        <v>60.97</v>
      </c>
      <c r="AV65" s="150">
        <f t="shared" si="125"/>
        <v>72.775555555555556</v>
      </c>
      <c r="AX65" s="526">
        <f>Parameters!$B$6*AV65</f>
        <v>0.7277555555555556</v>
      </c>
      <c r="AY65" s="150">
        <v>0</v>
      </c>
      <c r="AZ65" s="150"/>
      <c r="BA65" s="150">
        <f t="shared" si="126"/>
        <v>0.7277555555555556</v>
      </c>
      <c r="BC65" s="522">
        <f t="shared" si="128"/>
        <v>73.503311111111117</v>
      </c>
      <c r="BD65" s="175"/>
      <c r="BE65" s="527">
        <f t="shared" si="112"/>
        <v>954.27446666666674</v>
      </c>
      <c r="BF65" s="181">
        <f t="shared" si="113"/>
        <v>0.92848326486486488</v>
      </c>
      <c r="BG65" s="520" t="b">
        <f t="shared" si="127"/>
        <v>0</v>
      </c>
      <c r="BI65" s="528" t="s">
        <v>2181</v>
      </c>
      <c r="BK65" s="151">
        <f>VLOOKUP(J65,'Tarieven ZM'!$B$136:$I$235,8,0)</f>
        <v>0</v>
      </c>
      <c r="BL65" s="151" t="str">
        <f>IF(M65="EoK",N65&amp;"AdvancedNLS type 1/2/3",IF(E65&lt;&gt;"Straal Access",INDEX(Mapping!J:J,MATCH(E65&amp;G65,Mapping!B:B,0)),E65))</f>
        <v>Copper Standard Access 5Mbit/sAdvancedNLS type 1/2/3</v>
      </c>
      <c r="BM65" s="184">
        <f>INDEX('inkoop ULL tbv EVPN'!J:J,MATCH($BL65,'inkoop ULL tbv EVPN'!$H:$H,0))</f>
        <v>78.97</v>
      </c>
      <c r="BN65" s="180">
        <f>BM65/INDEX(Parameters!$B:$B,MATCH("AfschrijftermijnVVE"&amp;12*$C65,Parameters!$A:$A,0))</f>
        <v>2.1936111111111112</v>
      </c>
      <c r="BO65" s="184">
        <f>INDEX('inkoop ULL tbv EVPN'!I:I,MATCH($BL65,'inkoop ULL tbv EVPN'!$H:$H,0))</f>
        <v>14.7296035</v>
      </c>
      <c r="BP65" s="184">
        <f t="shared" si="129"/>
        <v>16.92321461111111</v>
      </c>
      <c r="BR65" s="180">
        <f>Parameters!$B$12*AG65</f>
        <v>102.77777777777779</v>
      </c>
      <c r="BS65" s="180">
        <f>SUM(Distributievergoedingen!$F$12,Distributievergoedingen!$I$12,Distributievergoedingen!$L$12,Distributievergoedingen!$O$12)*AF65+SUM(Distributievergoedingen!$O$12*AA65+Distributievergoedingen!$R$12+Distributievergoedingen!$U$12+Distributievergoedingen!$X$12)/(MAX(36,12*C65))</f>
        <v>112.77777777777777</v>
      </c>
      <c r="BT65" s="150"/>
      <c r="BU65" s="150">
        <f t="shared" si="130"/>
        <v>215.55555555555554</v>
      </c>
      <c r="BW65" s="522">
        <f t="shared" si="131"/>
        <v>232.47877016666666</v>
      </c>
      <c r="BY65" s="527">
        <f t="shared" si="132"/>
        <v>795.29900761111116</v>
      </c>
      <c r="BZ65" s="181">
        <f t="shared" si="133"/>
        <v>0.77380443983783787</v>
      </c>
      <c r="CA65" s="520" t="b">
        <f t="shared" si="134"/>
        <v>0</v>
      </c>
    </row>
    <row r="66" spans="1:79" s="151" customFormat="1">
      <c r="A66" s="151" t="str">
        <f t="shared" si="115"/>
        <v>2EoKStandard Access koper 10mbMiddelOn-net (NLS1, 2)</v>
      </c>
      <c r="B66" s="151" t="str">
        <f t="shared" si="116"/>
        <v>2EoKStandard Access koper 10mbMiddelOn-net (NLS1, 2)</v>
      </c>
      <c r="C66" s="178">
        <v>2</v>
      </c>
      <c r="D66" s="415" t="s">
        <v>303</v>
      </c>
      <c r="E66" s="178" t="s">
        <v>277</v>
      </c>
      <c r="F66" s="107" t="s">
        <v>280</v>
      </c>
      <c r="G66" s="178" t="s">
        <v>281</v>
      </c>
      <c r="I66" s="178"/>
      <c r="J66" s="520" t="str">
        <f t="shared" si="135"/>
        <v>EoKStandard Access koper 10mbMiddelOn-net (NLS1, 2)</v>
      </c>
      <c r="L66" s="204">
        <f>INDEX(Mapping!$H:$H,MATCH(C$3&amp;C66,Mapping!$B:$B,0))</f>
        <v>1</v>
      </c>
      <c r="M66" s="204" t="str">
        <f>INDEX(Mapping!$H:$H,MATCH(D$3&amp;D66,Mapping!$B:$B,0))</f>
        <v>EoK</v>
      </c>
      <c r="N66" s="204" t="str">
        <f>INDEX(Mapping!$H:$H,MATCH(E$3&amp;E66,Mapping!$B:$B,0))</f>
        <v>Copper Standard Access 10Mbit/s</v>
      </c>
      <c r="O66" s="204" t="str">
        <f>INDEX(Mapping!$H:$H,MATCH(E66&amp;F66,Mapping!$B:$B,0))</f>
        <v/>
      </c>
      <c r="P66" s="204" t="str">
        <f>INDEX(Mapping!$H:$H,MATCH($E66&amp;$G66,Mapping!$B:$B,0))</f>
        <v>On-net (NLS1, 2)</v>
      </c>
      <c r="Q66" s="204">
        <f>INDEX(Mapping!$H:$H,MATCH($E66&amp;$G66&amp;"graafafstand",Mapping!$B:$B,0))</f>
        <v>0</v>
      </c>
      <c r="R66" s="204">
        <f>INDEX(Mapping!$H:$H,MATCH(R$3&amp;$E66,Mapping!$B:$B,0))</f>
        <v>1</v>
      </c>
      <c r="S66" s="204">
        <f>INDEX(Mapping!$H:$H,MATCH(S$3&amp;$E66,Mapping!$B:$B,0))</f>
        <v>1</v>
      </c>
      <c r="T66" s="139" t="str">
        <f t="shared" si="117"/>
        <v>Copper Standard Access 10Mbit/sOn-net (NLS1, 2)</v>
      </c>
      <c r="U66" s="151" t="str">
        <f t="shared" si="118"/>
        <v>Copper Standard Access 10Mbit/sOn-net (NLS1, 2)</v>
      </c>
      <c r="W66" s="521">
        <f>MATCH($J66,'Tarieven ZM'!$B:$B,0)</f>
        <v>156</v>
      </c>
      <c r="X66" s="204">
        <f>INDEX('Tarieven ZM'!$H:$H,$W66)</f>
        <v>1000</v>
      </c>
      <c r="Y66" s="198">
        <f>IF(E66="Standard Access in ZG BT gebieden",0,-INDEX(Parameters!$B:$B,MATCH(Y$3&amp;$C66,Parameters!$A:$A,0))*$X66)</f>
        <v>0</v>
      </c>
      <c r="Z66" s="198">
        <f>IF(E66="Standard Access in ZG BT gebieden",0,MAX(-INDEX(Parameters!$B:$B,MATCH(Z$3&amp;$C66,Parameters!$A:$A,0))*$X66,-INDEX(Parameters!$B:$B,MATCH("FactorMaxSalesMandaat"&amp;E66,Parameters!$A:$A,0))*INDEX(Parameters!$B:$B,MATCH("MaxSalesMandaatAccessVVE"&amp;$C66,Parameters!$A:$A,0))))</f>
        <v>0</v>
      </c>
      <c r="AA66" s="139">
        <f t="shared" si="119"/>
        <v>1000</v>
      </c>
      <c r="AB66" s="205">
        <f>AA66/INDEX(Parameters!$B:$B,MATCH("AfschrijftermijnVVE"&amp;12*$C66,Parameters!$A:$A,0))</f>
        <v>27.777777777777779</v>
      </c>
      <c r="AC66" s="204">
        <f>INDEX('Tarieven ZM'!$G:$G,$W66)</f>
        <v>1000</v>
      </c>
      <c r="AD66" s="198">
        <f>IF(E66="Standard Access in ZG BT gebieden",0,-INDEX(Parameters!$B:$B,MATCH(AD$3&amp;$C66,Parameters!$A:$A,0))*$AC66)</f>
        <v>0</v>
      </c>
      <c r="AE66" s="198">
        <f>IF(E66="Standard Access in ZG BT gebieden",0,-INDEX(Parameters!$B:$B,MATCH(AE$3,Parameters!$A:$A,0))*$AC66)</f>
        <v>0</v>
      </c>
      <c r="AF66" s="139">
        <f t="shared" si="120"/>
        <v>1000</v>
      </c>
      <c r="AG66" s="522">
        <f t="shared" si="121"/>
        <v>1027.7777777777778</v>
      </c>
      <c r="AH66" s="175"/>
      <c r="AI66" s="523">
        <f>IF(N66&lt;&gt;"nvt",MATCH($T66,'Tarieven W&amp;O'!$B:$B,0),"nvt")</f>
        <v>11</v>
      </c>
      <c r="AJ66" s="205">
        <f>IF(AI66&lt;&gt;"nvt",IF($D66="EoK",INDEX(Parameters!C:C,MATCH("NLSx EoK",Parameters!A:A,0)),INDEX('Tarieven W&amp;O'!$H:$H,$AI66)),0)*R66</f>
        <v>350</v>
      </c>
      <c r="AK66" s="204">
        <f>IF(AI66&lt;&gt;"nvt",INDEX('Tarieven W&amp;O'!$I:$I,$AI66),0)*R66</f>
        <v>75</v>
      </c>
      <c r="AL66" s="524">
        <f>IF(AI66&lt;&gt;"nvt",-INDEX(Parameters!$B:$B,MATCH(AL$3,Parameters!$A:$A,0))*(AJ66+AK66),0)</f>
        <v>0</v>
      </c>
      <c r="AM66" s="525"/>
      <c r="AN66" s="139">
        <f t="shared" si="122"/>
        <v>425</v>
      </c>
      <c r="AO66" s="205">
        <f>AN66/INDEX(Parameters!$B:$B,MATCH("AfschrijftermijnVVE"&amp;12*$C66,Parameters!$A:$A,0))</f>
        <v>11.805555555555555</v>
      </c>
      <c r="AP66" s="139">
        <f t="shared" si="123"/>
        <v>11</v>
      </c>
      <c r="AQ66" s="526">
        <f>IF(AP66&lt;&gt;"nvt",R66*INDEX('Tarieven W&amp;O'!$G:$G,$AP66),0)</f>
        <v>83.59</v>
      </c>
      <c r="AR66" s="524">
        <f>-INDEX(Parameters!$B:$B,MATCH(AR$3,Parameters!$A:$A,0))*(AQ66)</f>
        <v>0</v>
      </c>
      <c r="AS66" s="205">
        <f>IF(E66="straal access",'EDC Minus'!$H$192,IF(Q66&lt;&gt;"nvt",Q66*S66*'EDC Minus'!$H$292/590,0))</f>
        <v>0</v>
      </c>
      <c r="AT66" s="139"/>
      <c r="AU66" s="150">
        <f t="shared" si="124"/>
        <v>83.59</v>
      </c>
      <c r="AV66" s="150">
        <f t="shared" si="125"/>
        <v>95.395555555555561</v>
      </c>
      <c r="AX66" s="526">
        <f>Parameters!$B$6*AV66</f>
        <v>0.95395555555555567</v>
      </c>
      <c r="AY66" s="150">
        <v>0</v>
      </c>
      <c r="AZ66" s="150"/>
      <c r="BA66" s="150">
        <f t="shared" si="126"/>
        <v>0.95395555555555567</v>
      </c>
      <c r="BC66" s="522">
        <f t="shared" si="128"/>
        <v>96.349511111111113</v>
      </c>
      <c r="BD66" s="175"/>
      <c r="BE66" s="527">
        <f t="shared" si="112"/>
        <v>931.42826666666667</v>
      </c>
      <c r="BF66" s="181">
        <f t="shared" si="113"/>
        <v>0.90625452972972964</v>
      </c>
      <c r="BG66" s="520" t="b">
        <f t="shared" si="127"/>
        <v>0</v>
      </c>
      <c r="BI66" s="528" t="s">
        <v>2181</v>
      </c>
      <c r="BK66" s="151">
        <f>VLOOKUP(J66,'Tarieven ZM'!$B$136:$I$235,8,0)</f>
        <v>0</v>
      </c>
      <c r="BL66" s="151" t="str">
        <f>IF(M66="EoK",N66&amp;"AdvancedNLS type 1/2/3",IF(E66&lt;&gt;"Straal Access",INDEX(Mapping!J:J,MATCH(E66&amp;G66,Mapping!B:B,0)),E66))</f>
        <v>Copper Standard Access 10Mbit/sAdvancedNLS type 1/2/3</v>
      </c>
      <c r="BM66" s="184">
        <f>INDEX('inkoop ULL tbv EVPN'!J:J,MATCH($BL66,'inkoop ULL tbv EVPN'!$H:$H,0))</f>
        <v>78.97</v>
      </c>
      <c r="BN66" s="180">
        <f>BM66/INDEX(Parameters!$B:$B,MATCH("AfschrijftermijnVVE"&amp;12*$C66,Parameters!$A:$A,0))</f>
        <v>2.1936111111111112</v>
      </c>
      <c r="BO66" s="184">
        <f>INDEX('inkoop ULL tbv EVPN'!I:I,MATCH($BL66,'inkoop ULL tbv EVPN'!$H:$H,0))</f>
        <v>14.7296035</v>
      </c>
      <c r="BP66" s="184">
        <f t="shared" si="129"/>
        <v>16.92321461111111</v>
      </c>
      <c r="BR66" s="180">
        <f>Parameters!$B$12*AG66</f>
        <v>102.77777777777779</v>
      </c>
      <c r="BS66" s="180">
        <f>SUM(Distributievergoedingen!$F$12,Distributievergoedingen!$I$12,Distributievergoedingen!$L$12,Distributievergoedingen!$O$12)*AF66+SUM(Distributievergoedingen!$O$12*AA66+Distributievergoedingen!$R$12+Distributievergoedingen!$U$12+Distributievergoedingen!$X$12)/(MAX(36,12*C66))</f>
        <v>112.77777777777777</v>
      </c>
      <c r="BT66" s="150"/>
      <c r="BU66" s="150">
        <f t="shared" si="130"/>
        <v>215.55555555555554</v>
      </c>
      <c r="BW66" s="522">
        <f t="shared" si="131"/>
        <v>232.47877016666666</v>
      </c>
      <c r="BY66" s="527">
        <f t="shared" si="132"/>
        <v>795.29900761111116</v>
      </c>
      <c r="BZ66" s="181">
        <f t="shared" si="133"/>
        <v>0.77380443983783787</v>
      </c>
      <c r="CA66" s="520" t="b">
        <f t="shared" si="134"/>
        <v>0</v>
      </c>
    </row>
    <row r="67" spans="1:79" s="151" customFormat="1">
      <c r="A67" s="151" t="str">
        <f t="shared" si="115"/>
        <v>2EoKStandard Access koper 15mbMiddelOn-net (NLS1, 2)</v>
      </c>
      <c r="B67" s="151" t="str">
        <f t="shared" si="116"/>
        <v>2EoKStandard Access koper 15mbMiddelOn-net (NLS1, 2)</v>
      </c>
      <c r="C67" s="178">
        <v>2</v>
      </c>
      <c r="D67" s="415" t="s">
        <v>303</v>
      </c>
      <c r="E67" s="178" t="s">
        <v>278</v>
      </c>
      <c r="F67" s="107" t="s">
        <v>280</v>
      </c>
      <c r="G67" s="178" t="s">
        <v>281</v>
      </c>
      <c r="I67" s="178"/>
      <c r="J67" s="520" t="str">
        <f t="shared" si="135"/>
        <v>EoKStandard Access koper 15mbMiddelOn-net (NLS1, 2)</v>
      </c>
      <c r="L67" s="204">
        <f>INDEX(Mapping!$H:$H,MATCH(C$3&amp;C67,Mapping!$B:$B,0))</f>
        <v>1</v>
      </c>
      <c r="M67" s="204" t="str">
        <f>INDEX(Mapping!$H:$H,MATCH(D$3&amp;D67,Mapping!$B:$B,0))</f>
        <v>EoK</v>
      </c>
      <c r="N67" s="204" t="str">
        <f>INDEX(Mapping!$H:$H,MATCH(E$3&amp;E67,Mapping!$B:$B,0))</f>
        <v>Copper Standard Access 15Mbit/s</v>
      </c>
      <c r="O67" s="204" t="str">
        <f>INDEX(Mapping!$H:$H,MATCH(E67&amp;F67,Mapping!$B:$B,0))</f>
        <v/>
      </c>
      <c r="P67" s="204" t="str">
        <f>INDEX(Mapping!$H:$H,MATCH($E67&amp;$G67,Mapping!$B:$B,0))</f>
        <v>On-net (NLS1, 2)</v>
      </c>
      <c r="Q67" s="204">
        <f>INDEX(Mapping!$H:$H,MATCH($E67&amp;$G67&amp;"graafafstand",Mapping!$B:$B,0))</f>
        <v>0</v>
      </c>
      <c r="R67" s="204">
        <f>INDEX(Mapping!$H:$H,MATCH(R$3&amp;$E67,Mapping!$B:$B,0))</f>
        <v>1</v>
      </c>
      <c r="S67" s="204">
        <f>INDEX(Mapping!$H:$H,MATCH(S$3&amp;$E67,Mapping!$B:$B,0))</f>
        <v>1</v>
      </c>
      <c r="T67" s="139" t="str">
        <f t="shared" si="117"/>
        <v>Copper Standard Access 15Mbit/sOn-net (NLS1, 2)</v>
      </c>
      <c r="U67" s="151" t="str">
        <f t="shared" si="118"/>
        <v>Copper Standard Access 15Mbit/sOn-net (NLS1, 2)</v>
      </c>
      <c r="W67" s="521">
        <f>MATCH($J67,'Tarieven ZM'!$B:$B,0)</f>
        <v>157</v>
      </c>
      <c r="X67" s="204">
        <f>INDEX('Tarieven ZM'!$H:$H,$W67)</f>
        <v>1000</v>
      </c>
      <c r="Y67" s="198">
        <f>IF(E67="Standard Access in ZG BT gebieden",0,-INDEX(Parameters!$B:$B,MATCH(Y$3&amp;$C67,Parameters!$A:$A,0))*$X67)</f>
        <v>0</v>
      </c>
      <c r="Z67" s="198">
        <f>IF(E67="Standard Access in ZG BT gebieden",0,MAX(-INDEX(Parameters!$B:$B,MATCH(Z$3&amp;$C67,Parameters!$A:$A,0))*$X67,-INDEX(Parameters!$B:$B,MATCH("FactorMaxSalesMandaat"&amp;E67,Parameters!$A:$A,0))*INDEX(Parameters!$B:$B,MATCH("MaxSalesMandaatAccessVVE"&amp;$C67,Parameters!$A:$A,0))))</f>
        <v>0</v>
      </c>
      <c r="AA67" s="139">
        <f t="shared" si="119"/>
        <v>1000</v>
      </c>
      <c r="AB67" s="205">
        <f>AA67/INDEX(Parameters!$B:$B,MATCH("AfschrijftermijnVVE"&amp;12*$C67,Parameters!$A:$A,0))</f>
        <v>27.777777777777779</v>
      </c>
      <c r="AC67" s="204">
        <f>INDEX('Tarieven ZM'!$G:$G,$W67)</f>
        <v>1000</v>
      </c>
      <c r="AD67" s="198">
        <f>IF(E67="Standard Access in ZG BT gebieden",0,-INDEX(Parameters!$B:$B,MATCH(AD$3&amp;$C67,Parameters!$A:$A,0))*$AC67)</f>
        <v>0</v>
      </c>
      <c r="AE67" s="198">
        <f>IF(E67="Standard Access in ZG BT gebieden",0,-INDEX(Parameters!$B:$B,MATCH(AE$3,Parameters!$A:$A,0))*$AC67)</f>
        <v>0</v>
      </c>
      <c r="AF67" s="139">
        <f t="shared" si="120"/>
        <v>1000</v>
      </c>
      <c r="AG67" s="522">
        <f t="shared" si="121"/>
        <v>1027.7777777777778</v>
      </c>
      <c r="AH67" s="175"/>
      <c r="AI67" s="523">
        <f>IF(N67&lt;&gt;"nvt",MATCH($T67,'Tarieven W&amp;O'!$B:$B,0),"nvt")</f>
        <v>12</v>
      </c>
      <c r="AJ67" s="205">
        <f>IF(AI67&lt;&gt;"nvt",IF($D67="EoK",INDEX(Parameters!C:C,MATCH("NLSx EoK",Parameters!A:A,0)),INDEX('Tarieven W&amp;O'!$H:$H,$AI67)),0)*R67</f>
        <v>350</v>
      </c>
      <c r="AK67" s="204">
        <f>IF(AI67&lt;&gt;"nvt",INDEX('Tarieven W&amp;O'!$I:$I,$AI67),0)*R67</f>
        <v>75</v>
      </c>
      <c r="AL67" s="524">
        <f>IF(AI67&lt;&gt;"nvt",-INDEX(Parameters!$B:$B,MATCH(AL$3,Parameters!$A:$A,0))*(AJ67+AK67),0)</f>
        <v>0</v>
      </c>
      <c r="AM67" s="525"/>
      <c r="AN67" s="139">
        <f t="shared" si="122"/>
        <v>425</v>
      </c>
      <c r="AO67" s="205">
        <f>AN67/INDEX(Parameters!$B:$B,MATCH("AfschrijftermijnVVE"&amp;12*$C67,Parameters!$A:$A,0))</f>
        <v>11.805555555555555</v>
      </c>
      <c r="AP67" s="139">
        <f t="shared" si="123"/>
        <v>12</v>
      </c>
      <c r="AQ67" s="526">
        <f>IF(AP67&lt;&gt;"nvt",R67*INDEX('Tarieven W&amp;O'!$G:$G,$AP67),0)</f>
        <v>102.44</v>
      </c>
      <c r="AR67" s="524">
        <f>-INDEX(Parameters!$B:$B,MATCH(AR$3,Parameters!$A:$A,0))*(AQ67)</f>
        <v>0</v>
      </c>
      <c r="AS67" s="205">
        <f>IF(E67="straal access",'EDC Minus'!$H$192,IF(Q67&lt;&gt;"nvt",Q67*S67*'EDC Minus'!$H$292/590,0))</f>
        <v>0</v>
      </c>
      <c r="AT67" s="139"/>
      <c r="AU67" s="150">
        <f t="shared" si="124"/>
        <v>102.44</v>
      </c>
      <c r="AV67" s="150">
        <f t="shared" si="125"/>
        <v>114.24555555555555</v>
      </c>
      <c r="AX67" s="526">
        <f>Parameters!$B$6*AV67</f>
        <v>1.1424555555555556</v>
      </c>
      <c r="AY67" s="150">
        <v>0</v>
      </c>
      <c r="AZ67" s="150"/>
      <c r="BA67" s="150">
        <f t="shared" si="126"/>
        <v>1.1424555555555556</v>
      </c>
      <c r="BC67" s="522">
        <f t="shared" si="128"/>
        <v>115.38801111111111</v>
      </c>
      <c r="BD67" s="175"/>
      <c r="BE67" s="527">
        <f t="shared" si="112"/>
        <v>912.38976666666667</v>
      </c>
      <c r="BF67" s="181">
        <f t="shared" si="113"/>
        <v>0.88773058378378378</v>
      </c>
      <c r="BG67" s="520" t="b">
        <f t="shared" si="127"/>
        <v>0</v>
      </c>
      <c r="BI67" s="528" t="s">
        <v>2181</v>
      </c>
      <c r="BK67" s="151">
        <f>VLOOKUP(J67,'Tarieven ZM'!$B$136:$I$235,8,0)</f>
        <v>0</v>
      </c>
      <c r="BL67" s="151" t="str">
        <f>IF(M67="EoK",N67&amp;"AdvancedNLS type 1/2/3",IF(E67&lt;&gt;"Straal Access",INDEX(Mapping!J:J,MATCH(E67&amp;G67,Mapping!B:B,0)),E67))</f>
        <v>Copper Standard Access 15Mbit/sAdvancedNLS type 1/2/3</v>
      </c>
      <c r="BM67" s="184">
        <f>INDEX('inkoop ULL tbv EVPN'!J:J,MATCH($BL67,'inkoop ULL tbv EVPN'!$H:$H,0))</f>
        <v>78.97</v>
      </c>
      <c r="BN67" s="180">
        <f>BM67/INDEX(Parameters!$B:$B,MATCH("AfschrijftermijnVVE"&amp;12*$C67,Parameters!$A:$A,0))</f>
        <v>2.1936111111111112</v>
      </c>
      <c r="BO67" s="184">
        <f>INDEX('inkoop ULL tbv EVPN'!I:I,MATCH($BL67,'inkoop ULL tbv EVPN'!$H:$H,0))</f>
        <v>14.7296035</v>
      </c>
      <c r="BP67" s="184">
        <f t="shared" si="129"/>
        <v>16.92321461111111</v>
      </c>
      <c r="BR67" s="180">
        <f>Parameters!$B$12*AG67</f>
        <v>102.77777777777779</v>
      </c>
      <c r="BS67" s="180">
        <f>SUM(Distributievergoedingen!$F$12,Distributievergoedingen!$I$12,Distributievergoedingen!$L$12,Distributievergoedingen!$O$12)*AF67+SUM(Distributievergoedingen!$O$12*AA67+Distributievergoedingen!$R$12+Distributievergoedingen!$U$12+Distributievergoedingen!$X$12)/(MAX(36,12*C67))</f>
        <v>112.77777777777777</v>
      </c>
      <c r="BT67" s="150"/>
      <c r="BU67" s="150">
        <f t="shared" si="130"/>
        <v>215.55555555555554</v>
      </c>
      <c r="BW67" s="522">
        <f t="shared" si="131"/>
        <v>232.47877016666666</v>
      </c>
      <c r="BY67" s="527">
        <f t="shared" si="132"/>
        <v>795.29900761111116</v>
      </c>
      <c r="BZ67" s="181">
        <f t="shared" si="133"/>
        <v>0.77380443983783787</v>
      </c>
      <c r="CA67" s="520" t="b">
        <f t="shared" si="134"/>
        <v>0</v>
      </c>
    </row>
    <row r="68" spans="1:79" s="151" customFormat="1">
      <c r="A68" s="151" t="str">
        <f t="shared" si="115"/>
        <v>2EoKStandard Access koper 20mbMiddelOn-net (NLS1, 2)</v>
      </c>
      <c r="B68" s="151" t="str">
        <f t="shared" si="116"/>
        <v>2EoKStandard Access koper 20mbMiddelOn-net (NLS1, 2)</v>
      </c>
      <c r="C68" s="178">
        <v>2</v>
      </c>
      <c r="D68" s="415" t="s">
        <v>303</v>
      </c>
      <c r="E68" s="178" t="s">
        <v>279</v>
      </c>
      <c r="F68" s="107" t="s">
        <v>280</v>
      </c>
      <c r="G68" s="178" t="s">
        <v>281</v>
      </c>
      <c r="I68" s="178"/>
      <c r="J68" s="520" t="str">
        <f t="shared" si="135"/>
        <v>EoKStandard Access koper 20mbMiddelOn-net (NLS1, 2)</v>
      </c>
      <c r="L68" s="204">
        <f>INDEX(Mapping!$H:$H,MATCH(C$3&amp;C68,Mapping!$B:$B,0))</f>
        <v>1</v>
      </c>
      <c r="M68" s="204" t="str">
        <f>INDEX(Mapping!$H:$H,MATCH(D$3&amp;D68,Mapping!$B:$B,0))</f>
        <v>EoK</v>
      </c>
      <c r="N68" s="204" t="str">
        <f>INDEX(Mapping!$H:$H,MATCH(E$3&amp;E68,Mapping!$B:$B,0))</f>
        <v>Copper Standard Access 20Mbit/s</v>
      </c>
      <c r="O68" s="204" t="str">
        <f>INDEX(Mapping!$H:$H,MATCH(E68&amp;F68,Mapping!$B:$B,0))</f>
        <v/>
      </c>
      <c r="P68" s="204" t="str">
        <f>INDEX(Mapping!$H:$H,MATCH($E68&amp;$G68,Mapping!$B:$B,0))</f>
        <v>On-net (NLS1, 2)</v>
      </c>
      <c r="Q68" s="204">
        <f>INDEX(Mapping!$H:$H,MATCH($E68&amp;$G68&amp;"graafafstand",Mapping!$B:$B,0))</f>
        <v>0</v>
      </c>
      <c r="R68" s="204">
        <f>INDEX(Mapping!$H:$H,MATCH(R$3&amp;$E68,Mapping!$B:$B,0))</f>
        <v>1</v>
      </c>
      <c r="S68" s="204">
        <f>INDEX(Mapping!$H:$H,MATCH(S$3&amp;$E68,Mapping!$B:$B,0))</f>
        <v>1</v>
      </c>
      <c r="T68" s="139" t="str">
        <f t="shared" si="117"/>
        <v>Copper Standard Access 20Mbit/sOn-net (NLS1, 2)</v>
      </c>
      <c r="U68" s="151" t="str">
        <f t="shared" si="118"/>
        <v>Copper Standard Access 20Mbit/sOn-net (NLS1, 2)</v>
      </c>
      <c r="W68" s="521">
        <f>MATCH($J68,'Tarieven ZM'!$B:$B,0)</f>
        <v>158</v>
      </c>
      <c r="X68" s="204">
        <f>INDEX('Tarieven ZM'!$H:$H,$W68)</f>
        <v>1000</v>
      </c>
      <c r="Y68" s="198">
        <f>IF(E68="Standard Access in ZG BT gebieden",0,-INDEX(Parameters!$B:$B,MATCH(Y$3&amp;$C68,Parameters!$A:$A,0))*$X68)</f>
        <v>0</v>
      </c>
      <c r="Z68" s="198">
        <f>IF(E68="Standard Access in ZG BT gebieden",0,MAX(-INDEX(Parameters!$B:$B,MATCH(Z$3&amp;$C68,Parameters!$A:$A,0))*$X68,-INDEX(Parameters!$B:$B,MATCH("FactorMaxSalesMandaat"&amp;E68,Parameters!$A:$A,0))*INDEX(Parameters!$B:$B,MATCH("MaxSalesMandaatAccessVVE"&amp;$C68,Parameters!$A:$A,0))))</f>
        <v>0</v>
      </c>
      <c r="AA68" s="139">
        <f t="shared" si="119"/>
        <v>1000</v>
      </c>
      <c r="AB68" s="205">
        <f>AA68/INDEX(Parameters!$B:$B,MATCH("AfschrijftermijnVVE"&amp;12*$C68,Parameters!$A:$A,0))</f>
        <v>27.777777777777779</v>
      </c>
      <c r="AC68" s="204">
        <f>INDEX('Tarieven ZM'!$G:$G,$W68)</f>
        <v>1000</v>
      </c>
      <c r="AD68" s="198">
        <f>IF(E68="Standard Access in ZG BT gebieden",0,-INDEX(Parameters!$B:$B,MATCH(AD$3&amp;$C68,Parameters!$A:$A,0))*$AC68)</f>
        <v>0</v>
      </c>
      <c r="AE68" s="198">
        <f>IF(E68="Standard Access in ZG BT gebieden",0,-INDEX(Parameters!$B:$B,MATCH(AE$3,Parameters!$A:$A,0))*$AC68)</f>
        <v>0</v>
      </c>
      <c r="AF68" s="139">
        <f t="shared" si="120"/>
        <v>1000</v>
      </c>
      <c r="AG68" s="522">
        <f t="shared" si="121"/>
        <v>1027.7777777777778</v>
      </c>
      <c r="AH68" s="175"/>
      <c r="AI68" s="523">
        <f>IF(N68&lt;&gt;"nvt",MATCH($T68,'Tarieven W&amp;O'!$B:$B,0),"nvt")</f>
        <v>13</v>
      </c>
      <c r="AJ68" s="205">
        <f>IF(AI68&lt;&gt;"nvt",IF($D68="EoK",INDEX(Parameters!C:C,MATCH("NLSx EoK",Parameters!A:A,0)),INDEX('Tarieven W&amp;O'!$H:$H,$AI68)),0)*R68</f>
        <v>350</v>
      </c>
      <c r="AK68" s="204">
        <f>IF(AI68&lt;&gt;"nvt",INDEX('Tarieven W&amp;O'!$I:$I,$AI68),0)*R68</f>
        <v>75</v>
      </c>
      <c r="AL68" s="524">
        <f>IF(AI68&lt;&gt;"nvt",-INDEX(Parameters!$B:$B,MATCH(AL$3,Parameters!$A:$A,0))*(AJ68+AK68),0)</f>
        <v>0</v>
      </c>
      <c r="AM68" s="525"/>
      <c r="AN68" s="139">
        <f t="shared" si="122"/>
        <v>425</v>
      </c>
      <c r="AO68" s="205">
        <f>AN68/INDEX(Parameters!$B:$B,MATCH("AfschrijftermijnVVE"&amp;12*$C68,Parameters!$A:$A,0))</f>
        <v>11.805555555555555</v>
      </c>
      <c r="AP68" s="139">
        <f t="shared" si="123"/>
        <v>13</v>
      </c>
      <c r="AQ68" s="526">
        <f>IF(AP68&lt;&gt;"nvt",R68*INDEX('Tarieven W&amp;O'!$G:$G,$AP68),0)</f>
        <v>121.28</v>
      </c>
      <c r="AR68" s="524">
        <f>-INDEX(Parameters!$B:$B,MATCH(AR$3,Parameters!$A:$A,0))*(AQ68)</f>
        <v>0</v>
      </c>
      <c r="AS68" s="205">
        <f>IF(E68="straal access",'EDC Minus'!$H$192,IF(Q68&lt;&gt;"nvt",Q68*S68*'EDC Minus'!$H$292/590,0))</f>
        <v>0</v>
      </c>
      <c r="AT68" s="139"/>
      <c r="AU68" s="150">
        <f t="shared" si="124"/>
        <v>121.28</v>
      </c>
      <c r="AV68" s="150">
        <f t="shared" si="125"/>
        <v>133.08555555555554</v>
      </c>
      <c r="AX68" s="526">
        <f>Parameters!$B$6*AV68</f>
        <v>1.3308555555555555</v>
      </c>
      <c r="AY68" s="150">
        <v>0</v>
      </c>
      <c r="AZ68" s="150"/>
      <c r="BA68" s="150">
        <f t="shared" si="126"/>
        <v>1.3308555555555555</v>
      </c>
      <c r="BC68" s="522">
        <f t="shared" si="128"/>
        <v>134.4164111111111</v>
      </c>
      <c r="BD68" s="175"/>
      <c r="BE68" s="527">
        <f t="shared" ref="BE68:BE83" si="136">AG68-BC68</f>
        <v>893.36136666666675</v>
      </c>
      <c r="BF68" s="181">
        <f t="shared" ref="BF68:BF83" si="137">IF(AG68=0,-999%,BE68/AG68)</f>
        <v>0.86921646486486492</v>
      </c>
      <c r="BG68" s="520" t="b">
        <f t="shared" si="127"/>
        <v>0</v>
      </c>
      <c r="BI68" s="528" t="s">
        <v>2181</v>
      </c>
      <c r="BK68" s="151">
        <f>VLOOKUP(J68,'Tarieven ZM'!$B$136:$I$235,8,0)</f>
        <v>0</v>
      </c>
      <c r="BL68" s="151" t="str">
        <f>IF(M68="EoK",N68&amp;"AdvancedNLS type 1/2/3",IF(E68&lt;&gt;"Straal Access",INDEX(Mapping!J:J,MATCH(E68&amp;G68,Mapping!B:B,0)),E68))</f>
        <v>Copper Standard Access 20Mbit/sAdvancedNLS type 1/2/3</v>
      </c>
      <c r="BM68" s="184">
        <f>INDEX('inkoop ULL tbv EVPN'!J:J,MATCH($BL68,'inkoop ULL tbv EVPN'!$H:$H,0))</f>
        <v>78.97</v>
      </c>
      <c r="BN68" s="180">
        <f>BM68/INDEX(Parameters!$B:$B,MATCH("AfschrijftermijnVVE"&amp;12*$C68,Parameters!$A:$A,0))</f>
        <v>2.1936111111111112</v>
      </c>
      <c r="BO68" s="184">
        <f>INDEX('inkoop ULL tbv EVPN'!I:I,MATCH($BL68,'inkoop ULL tbv EVPN'!$H:$H,0))</f>
        <v>14.7296035</v>
      </c>
      <c r="BP68" s="184">
        <f t="shared" si="129"/>
        <v>16.92321461111111</v>
      </c>
      <c r="BR68" s="180">
        <f>Parameters!$B$12*AG68</f>
        <v>102.77777777777779</v>
      </c>
      <c r="BS68" s="180">
        <f>SUM(Distributievergoedingen!$F$12,Distributievergoedingen!$I$12,Distributievergoedingen!$L$12,Distributievergoedingen!$O$12)*AF68+SUM(Distributievergoedingen!$O$12*AA68+Distributievergoedingen!$R$12+Distributievergoedingen!$U$12+Distributievergoedingen!$X$12)/(MAX(36,12*C68))</f>
        <v>112.77777777777777</v>
      </c>
      <c r="BT68" s="150"/>
      <c r="BU68" s="150">
        <f t="shared" si="130"/>
        <v>215.55555555555554</v>
      </c>
      <c r="BW68" s="522">
        <f t="shared" si="131"/>
        <v>232.47877016666666</v>
      </c>
      <c r="BY68" s="527">
        <f t="shared" si="132"/>
        <v>795.29900761111116</v>
      </c>
      <c r="BZ68" s="181">
        <f t="shared" si="133"/>
        <v>0.77380443983783787</v>
      </c>
      <c r="CA68" s="520" t="b">
        <f t="shared" si="134"/>
        <v>0</v>
      </c>
    </row>
    <row r="69" spans="1:79" s="151" customFormat="1">
      <c r="A69" s="151" t="str">
        <f t="shared" ref="A69:A78" si="138">C69&amp;D69&amp;E69&amp;F69&amp;G69</f>
        <v>2EoKStandard Access koper 3mbMiddelOn-net (NLS3)</v>
      </c>
      <c r="B69" s="151" t="str">
        <f t="shared" ref="B69:B78" si="139">A69</f>
        <v>2EoKStandard Access koper 3mbMiddelOn-net (NLS3)</v>
      </c>
      <c r="C69" s="178">
        <v>2</v>
      </c>
      <c r="D69" s="415" t="s">
        <v>303</v>
      </c>
      <c r="E69" s="178" t="s">
        <v>268</v>
      </c>
      <c r="F69" s="107" t="s">
        <v>280</v>
      </c>
      <c r="G69" s="178" t="s">
        <v>3398</v>
      </c>
      <c r="I69" s="178"/>
      <c r="J69" s="520" t="str">
        <f t="shared" si="135"/>
        <v>EoKStandard Access koper 3mbMiddelOn-net (NLS3)</v>
      </c>
      <c r="L69" s="204">
        <f>INDEX(Mapping!$H:$H,MATCH(C$3&amp;C69,Mapping!$B:$B,0))</f>
        <v>1</v>
      </c>
      <c r="M69" s="204" t="str">
        <f>INDEX(Mapping!$H:$H,MATCH(D$3&amp;D69,Mapping!$B:$B,0))</f>
        <v>EoK</v>
      </c>
      <c r="N69" s="204" t="str">
        <f>INDEX(Mapping!$H:$H,MATCH(E$3&amp;E69,Mapping!$B:$B,0))</f>
        <v>Copper Standard Access 3Mbit/s</v>
      </c>
      <c r="O69" s="204" t="str">
        <f>INDEX(Mapping!$H:$H,MATCH(E69&amp;F69,Mapping!$B:$B,0))</f>
        <v/>
      </c>
      <c r="P69" s="204" t="str">
        <f>INDEX(Mapping!$H:$H,MATCH($E69&amp;$G69,Mapping!$B:$B,0))</f>
        <v>On-net (NLS3)</v>
      </c>
      <c r="Q69" s="204" t="str">
        <f>INDEX(Mapping!$H:$H,MATCH($E69&amp;$G69&amp;"graafafstand",Mapping!$B:$B,0))</f>
        <v>nvt</v>
      </c>
      <c r="R69" s="204">
        <f>INDEX(Mapping!$H:$H,MATCH(R$3&amp;$E69,Mapping!$B:$B,0))</f>
        <v>1</v>
      </c>
      <c r="S69" s="204">
        <f>INDEX(Mapping!$H:$H,MATCH(S$3&amp;$E69,Mapping!$B:$B,0))</f>
        <v>1</v>
      </c>
      <c r="T69" s="139" t="str">
        <f t="shared" ref="T69:T78" si="140">N69&amp;O69&amp;P69</f>
        <v>Copper Standard Access 3Mbit/sOn-net (NLS3)</v>
      </c>
      <c r="U69" s="151" t="str">
        <f t="shared" ref="U69:U78" si="141">T69</f>
        <v>Copper Standard Access 3Mbit/sOn-net (NLS3)</v>
      </c>
      <c r="W69" s="521">
        <f>MATCH($J69,'Tarieven ZM'!$B:$B,0)</f>
        <v>161</v>
      </c>
      <c r="X69" s="204">
        <f>INDEX('Tarieven ZM'!$H:$H,$W69)</f>
        <v>1000</v>
      </c>
      <c r="Y69" s="198">
        <f>IF(E69="Standard Access in ZG BT gebieden",0,-INDEX(Parameters!$B:$B,MATCH(Y$3&amp;$C69,Parameters!$A:$A,0))*$X69)</f>
        <v>0</v>
      </c>
      <c r="Z69" s="198">
        <f>IF(E69="Standard Access in ZG BT gebieden",0,MAX(-INDEX(Parameters!$B:$B,MATCH(Z$3&amp;$C69,Parameters!$A:$A,0))*$X69,-INDEX(Parameters!$B:$B,MATCH("FactorMaxSalesMandaat"&amp;E69,Parameters!$A:$A,0))*INDEX(Parameters!$B:$B,MATCH("MaxSalesMandaatAccessVVE"&amp;$C69,Parameters!$A:$A,0))))</f>
        <v>0</v>
      </c>
      <c r="AA69" s="139">
        <f t="shared" ref="AA69:AA78" si="142">SUM(X69:Z69)</f>
        <v>1000</v>
      </c>
      <c r="AB69" s="205">
        <f>AA69/INDEX(Parameters!$B:$B,MATCH("AfschrijftermijnVVE"&amp;12*$C69,Parameters!$A:$A,0))</f>
        <v>27.777777777777779</v>
      </c>
      <c r="AC69" s="204">
        <f>INDEX('Tarieven ZM'!$G:$G,$W69)</f>
        <v>1000</v>
      </c>
      <c r="AD69" s="198">
        <f>IF(E69="Standard Access in ZG BT gebieden",0,-INDEX(Parameters!$B:$B,MATCH(AD$3&amp;$C69,Parameters!$A:$A,0))*$AC69)</f>
        <v>0</v>
      </c>
      <c r="AE69" s="198">
        <f>IF(E69="Standard Access in ZG BT gebieden",0,-INDEX(Parameters!$B:$B,MATCH(AE$3,Parameters!$A:$A,0))*$AC69)</f>
        <v>0</v>
      </c>
      <c r="AF69" s="139">
        <f t="shared" ref="AF69:AF78" si="143">SUM(AC69:AE69)</f>
        <v>1000</v>
      </c>
      <c r="AG69" s="522">
        <f t="shared" ref="AG69:AG78" si="144">SUM(AB69,AF69)</f>
        <v>1027.7777777777778</v>
      </c>
      <c r="AH69" s="175"/>
      <c r="AI69" s="523">
        <f>IF(N69&lt;&gt;"nvt",MATCH($T69,'Tarieven W&amp;O'!$B:$B,0),"nvt")</f>
        <v>16</v>
      </c>
      <c r="AJ69" s="205">
        <f>IF(AI69&lt;&gt;"nvt",IF($D69="EoK",INDEX(Parameters!C:C,MATCH("NLSx EoK",Parameters!A:A,0)),INDEX('Tarieven W&amp;O'!$H:$H,$AI69)),0)*R69</f>
        <v>350</v>
      </c>
      <c r="AK69" s="204">
        <f>IF(AI69&lt;&gt;"nvt",INDEX('Tarieven W&amp;O'!$I:$I,$AI69),0)*R69</f>
        <v>75</v>
      </c>
      <c r="AL69" s="524">
        <f>IF(AI69&lt;&gt;"nvt",-INDEX(Parameters!$B:$B,MATCH(AL$3,Parameters!$A:$A,0))*(AJ69+AK69),0)</f>
        <v>0</v>
      </c>
      <c r="AM69" s="525"/>
      <c r="AN69" s="139">
        <f t="shared" ref="AN69:AN78" si="145">SUM(AJ69:AM69)</f>
        <v>425</v>
      </c>
      <c r="AO69" s="205">
        <f>AN69/INDEX(Parameters!$B:$B,MATCH("AfschrijftermijnVVE"&amp;12*$C69,Parameters!$A:$A,0))</f>
        <v>11.805555555555555</v>
      </c>
      <c r="AP69" s="139">
        <f t="shared" ref="AP69:AP78" si="146">AI69</f>
        <v>16</v>
      </c>
      <c r="AQ69" s="526">
        <f>IF(AP69&lt;&gt;"nvt",R69*INDEX('Tarieven W&amp;O'!$G:$G,$AP69),0)</f>
        <v>41.5</v>
      </c>
      <c r="AR69" s="524">
        <f>-INDEX(Parameters!$B:$B,MATCH(AR$3,Parameters!$A:$A,0))*(AQ69)</f>
        <v>0</v>
      </c>
      <c r="AS69" s="205">
        <f>IF(E69="straal access",'EDC Minus'!$H$192,IF(Q69&lt;&gt;"nvt",Q69*S69*'EDC Minus'!$H$292/590,0))</f>
        <v>0</v>
      </c>
      <c r="AT69" s="139"/>
      <c r="AU69" s="150">
        <f t="shared" ref="AU69:AU78" si="147">SUM(AQ69:AT69)</f>
        <v>41.5</v>
      </c>
      <c r="AV69" s="150">
        <f t="shared" ref="AV69:AV78" si="148">SUM(AO69,AU69)</f>
        <v>53.305555555555557</v>
      </c>
      <c r="AX69" s="526">
        <f>Parameters!$B$6*AV69</f>
        <v>0.53305555555555562</v>
      </c>
      <c r="AY69" s="150">
        <v>0</v>
      </c>
      <c r="AZ69" s="150"/>
      <c r="BA69" s="150">
        <f t="shared" ref="BA69:BA78" si="149">SUM(AX69:AZ69)</f>
        <v>0.53305555555555562</v>
      </c>
      <c r="BC69" s="522">
        <f t="shared" si="128"/>
        <v>53.838611111111113</v>
      </c>
      <c r="BD69" s="175"/>
      <c r="BE69" s="527">
        <f t="shared" si="136"/>
        <v>973.93916666666667</v>
      </c>
      <c r="BF69" s="181">
        <f t="shared" si="137"/>
        <v>0.94761648648648644</v>
      </c>
      <c r="BG69" s="520" t="b">
        <f t="shared" ref="BG69:BG78" si="150">BF69&lt;0</f>
        <v>0</v>
      </c>
      <c r="BI69" s="528" t="s">
        <v>2181</v>
      </c>
      <c r="BK69" s="151">
        <f>VLOOKUP(J69,'Tarieven ZM'!$B$136:$I$235,8,0)</f>
        <v>0</v>
      </c>
      <c r="BL69" s="151" t="str">
        <f>IF(M69="EoK",N69&amp;"AdvancedNLS type 1/2/3",IF(E69&lt;&gt;"Straal Access",INDEX(Mapping!J:J,MATCH(E69&amp;G69,Mapping!B:B,0)),E69))</f>
        <v>Copper Standard Access 3Mbit/sAdvancedNLS type 1/2/3</v>
      </c>
      <c r="BM69" s="184">
        <f>INDEX('inkoop ULL tbv EVPN'!J:J,MATCH($BL69,'inkoop ULL tbv EVPN'!$H:$H,0))</f>
        <v>78.97</v>
      </c>
      <c r="BN69" s="180">
        <f>BM69/INDEX(Parameters!$B:$B,MATCH("AfschrijftermijnVVE"&amp;12*$C69,Parameters!$A:$A,0))</f>
        <v>2.1936111111111112</v>
      </c>
      <c r="BO69" s="184">
        <f>INDEX('inkoop ULL tbv EVPN'!I:I,MATCH($BL69,'inkoop ULL tbv EVPN'!$H:$H,0))</f>
        <v>14.7296035</v>
      </c>
      <c r="BP69" s="184">
        <f t="shared" si="129"/>
        <v>16.92321461111111</v>
      </c>
      <c r="BR69" s="180">
        <f>Parameters!$B$12*AG69</f>
        <v>102.77777777777779</v>
      </c>
      <c r="BS69" s="180">
        <f>SUM(Distributievergoedingen!$F$12,Distributievergoedingen!$I$12,Distributievergoedingen!$L$12,Distributievergoedingen!$O$12)*AF69+SUM(Distributievergoedingen!$O$12*AA69+Distributievergoedingen!$R$12+Distributievergoedingen!$U$12+Distributievergoedingen!$X$12)/(MAX(36,12*C69))</f>
        <v>112.77777777777777</v>
      </c>
      <c r="BT69" s="150"/>
      <c r="BU69" s="150">
        <f t="shared" si="130"/>
        <v>215.55555555555554</v>
      </c>
      <c r="BW69" s="522">
        <f t="shared" si="131"/>
        <v>232.47877016666666</v>
      </c>
      <c r="BY69" s="527">
        <f t="shared" si="132"/>
        <v>795.29900761111116</v>
      </c>
      <c r="BZ69" s="181">
        <f t="shared" si="133"/>
        <v>0.77380443983783787</v>
      </c>
      <c r="CA69" s="520" t="b">
        <f t="shared" si="134"/>
        <v>0</v>
      </c>
    </row>
    <row r="70" spans="1:79" s="151" customFormat="1">
      <c r="A70" s="151" t="str">
        <f t="shared" si="138"/>
        <v>2EoKStandard Access koper 5mbMiddelOn-net (NLS3)</v>
      </c>
      <c r="B70" s="151" t="str">
        <f t="shared" si="139"/>
        <v>2EoKStandard Access koper 5mbMiddelOn-net (NLS3)</v>
      </c>
      <c r="C70" s="178">
        <v>2</v>
      </c>
      <c r="D70" s="415" t="s">
        <v>303</v>
      </c>
      <c r="E70" s="178" t="s">
        <v>276</v>
      </c>
      <c r="F70" s="107" t="s">
        <v>280</v>
      </c>
      <c r="G70" s="178" t="s">
        <v>3398</v>
      </c>
      <c r="I70" s="178"/>
      <c r="J70" s="520" t="str">
        <f t="shared" si="135"/>
        <v>EoKStandard Access koper 5mbMiddelOn-net (NLS3)</v>
      </c>
      <c r="L70" s="204">
        <f>INDEX(Mapping!$H:$H,MATCH(C$3&amp;C70,Mapping!$B:$B,0))</f>
        <v>1</v>
      </c>
      <c r="M70" s="204" t="str">
        <f>INDEX(Mapping!$H:$H,MATCH(D$3&amp;D70,Mapping!$B:$B,0))</f>
        <v>EoK</v>
      </c>
      <c r="N70" s="204" t="str">
        <f>INDEX(Mapping!$H:$H,MATCH(E$3&amp;E70,Mapping!$B:$B,0))</f>
        <v>Copper Standard Access 5Mbit/s</v>
      </c>
      <c r="O70" s="204" t="str">
        <f>INDEX(Mapping!$H:$H,MATCH(E70&amp;F70,Mapping!$B:$B,0))</f>
        <v/>
      </c>
      <c r="P70" s="204" t="str">
        <f>INDEX(Mapping!$H:$H,MATCH($E70&amp;$G70,Mapping!$B:$B,0))</f>
        <v>On-net (NLS3)</v>
      </c>
      <c r="Q70" s="204" t="str">
        <f>INDEX(Mapping!$H:$H,MATCH($E70&amp;$G70&amp;"graafafstand",Mapping!$B:$B,0))</f>
        <v>nvt</v>
      </c>
      <c r="R70" s="204">
        <f>INDEX(Mapping!$H:$H,MATCH(R$3&amp;$E70,Mapping!$B:$B,0))</f>
        <v>1</v>
      </c>
      <c r="S70" s="204">
        <f>INDEX(Mapping!$H:$H,MATCH(S$3&amp;$E70,Mapping!$B:$B,0))</f>
        <v>1</v>
      </c>
      <c r="T70" s="139" t="str">
        <f t="shared" si="140"/>
        <v>Copper Standard Access 5Mbit/sOn-net (NLS3)</v>
      </c>
      <c r="U70" s="151" t="str">
        <f t="shared" si="141"/>
        <v>Copper Standard Access 5Mbit/sOn-net (NLS3)</v>
      </c>
      <c r="W70" s="521">
        <f>MATCH($J70,'Tarieven ZM'!$B:$B,0)</f>
        <v>162</v>
      </c>
      <c r="X70" s="204">
        <f>INDEX('Tarieven ZM'!$H:$H,$W70)</f>
        <v>1000</v>
      </c>
      <c r="Y70" s="198">
        <f>IF(E70="Standard Access in ZG BT gebieden",0,-INDEX(Parameters!$B:$B,MATCH(Y$3&amp;$C70,Parameters!$A:$A,0))*$X70)</f>
        <v>0</v>
      </c>
      <c r="Z70" s="198">
        <f>IF(E70="Standard Access in ZG BT gebieden",0,MAX(-INDEX(Parameters!$B:$B,MATCH(Z$3&amp;$C70,Parameters!$A:$A,0))*$X70,-INDEX(Parameters!$B:$B,MATCH("FactorMaxSalesMandaat"&amp;E70,Parameters!$A:$A,0))*INDEX(Parameters!$B:$B,MATCH("MaxSalesMandaatAccessVVE"&amp;$C70,Parameters!$A:$A,0))))</f>
        <v>0</v>
      </c>
      <c r="AA70" s="139">
        <f t="shared" si="142"/>
        <v>1000</v>
      </c>
      <c r="AB70" s="205">
        <f>AA70/INDEX(Parameters!$B:$B,MATCH("AfschrijftermijnVVE"&amp;12*$C70,Parameters!$A:$A,0))</f>
        <v>27.777777777777779</v>
      </c>
      <c r="AC70" s="204">
        <f>INDEX('Tarieven ZM'!$G:$G,$W70)</f>
        <v>1000</v>
      </c>
      <c r="AD70" s="198">
        <f>IF(E70="Standard Access in ZG BT gebieden",0,-INDEX(Parameters!$B:$B,MATCH(AD$3&amp;$C70,Parameters!$A:$A,0))*$AC70)</f>
        <v>0</v>
      </c>
      <c r="AE70" s="198">
        <f>IF(E70="Standard Access in ZG BT gebieden",0,-INDEX(Parameters!$B:$B,MATCH(AE$3,Parameters!$A:$A,0))*$AC70)</f>
        <v>0</v>
      </c>
      <c r="AF70" s="139">
        <f t="shared" si="143"/>
        <v>1000</v>
      </c>
      <c r="AG70" s="522">
        <f t="shared" si="144"/>
        <v>1027.7777777777778</v>
      </c>
      <c r="AH70" s="175"/>
      <c r="AI70" s="523">
        <f>IF(N70&lt;&gt;"nvt",MATCH($T70,'Tarieven W&amp;O'!$B:$B,0),"nvt")</f>
        <v>17</v>
      </c>
      <c r="AJ70" s="205">
        <f>IF(AI70&lt;&gt;"nvt",IF($D70="EoK",INDEX(Parameters!C:C,MATCH("NLSx EoK",Parameters!A:A,0)),INDEX('Tarieven W&amp;O'!$H:$H,$AI70)),0)*R70</f>
        <v>350</v>
      </c>
      <c r="AK70" s="204">
        <f>IF(AI70&lt;&gt;"nvt",INDEX('Tarieven W&amp;O'!$I:$I,$AI70),0)*R70</f>
        <v>75</v>
      </c>
      <c r="AL70" s="524">
        <f>IF(AI70&lt;&gt;"nvt",-INDEX(Parameters!$B:$B,MATCH(AL$3,Parameters!$A:$A,0))*(AJ70+AK70),0)</f>
        <v>0</v>
      </c>
      <c r="AM70" s="525"/>
      <c r="AN70" s="139">
        <f t="shared" si="145"/>
        <v>425</v>
      </c>
      <c r="AO70" s="205">
        <f>AN70/INDEX(Parameters!$B:$B,MATCH("AfschrijftermijnVVE"&amp;12*$C70,Parameters!$A:$A,0))</f>
        <v>11.805555555555555</v>
      </c>
      <c r="AP70" s="139">
        <f t="shared" si="146"/>
        <v>17</v>
      </c>
      <c r="AQ70" s="526">
        <f>IF(AP70&lt;&gt;"nvt",R70*INDEX('Tarieven W&amp;O'!$G:$G,$AP70),0)</f>
        <v>60.97</v>
      </c>
      <c r="AR70" s="524">
        <f>-INDEX(Parameters!$B:$B,MATCH(AR$3,Parameters!$A:$A,0))*(AQ70)</f>
        <v>0</v>
      </c>
      <c r="AS70" s="205">
        <f>IF(E70="straal access",'EDC Minus'!$H$192,IF(Q70&lt;&gt;"nvt",Q70*S70*'EDC Minus'!$H$292/590,0))</f>
        <v>0</v>
      </c>
      <c r="AT70" s="139"/>
      <c r="AU70" s="150">
        <f t="shared" si="147"/>
        <v>60.97</v>
      </c>
      <c r="AV70" s="150">
        <f t="shared" si="148"/>
        <v>72.775555555555556</v>
      </c>
      <c r="AX70" s="526">
        <f>Parameters!$B$6*AV70</f>
        <v>0.7277555555555556</v>
      </c>
      <c r="AY70" s="150">
        <v>0</v>
      </c>
      <c r="AZ70" s="150"/>
      <c r="BA70" s="150">
        <f t="shared" si="149"/>
        <v>0.7277555555555556</v>
      </c>
      <c r="BC70" s="522">
        <f t="shared" si="128"/>
        <v>73.503311111111117</v>
      </c>
      <c r="BD70" s="175"/>
      <c r="BE70" s="527">
        <f t="shared" si="136"/>
        <v>954.27446666666674</v>
      </c>
      <c r="BF70" s="181">
        <f t="shared" si="137"/>
        <v>0.92848326486486488</v>
      </c>
      <c r="BG70" s="520" t="b">
        <f t="shared" si="150"/>
        <v>0</v>
      </c>
      <c r="BI70" s="528" t="s">
        <v>2181</v>
      </c>
      <c r="BK70" s="151">
        <f>VLOOKUP(J70,'Tarieven ZM'!$B$136:$I$235,8,0)</f>
        <v>0</v>
      </c>
      <c r="BL70" s="151" t="str">
        <f>IF(M70="EoK",N70&amp;"AdvancedNLS type 1/2/3",IF(E70&lt;&gt;"Straal Access",INDEX(Mapping!J:J,MATCH(E70&amp;G70,Mapping!B:B,0)),E70))</f>
        <v>Copper Standard Access 5Mbit/sAdvancedNLS type 1/2/3</v>
      </c>
      <c r="BM70" s="184">
        <f>INDEX('inkoop ULL tbv EVPN'!J:J,MATCH($BL70,'inkoop ULL tbv EVPN'!$H:$H,0))</f>
        <v>78.97</v>
      </c>
      <c r="BN70" s="180">
        <f>BM70/INDEX(Parameters!$B:$B,MATCH("AfschrijftermijnVVE"&amp;12*$C70,Parameters!$A:$A,0))</f>
        <v>2.1936111111111112</v>
      </c>
      <c r="BO70" s="184">
        <f>INDEX('inkoop ULL tbv EVPN'!I:I,MATCH($BL70,'inkoop ULL tbv EVPN'!$H:$H,0))</f>
        <v>14.7296035</v>
      </c>
      <c r="BP70" s="184">
        <f t="shared" si="129"/>
        <v>16.92321461111111</v>
      </c>
      <c r="BR70" s="180">
        <f>Parameters!$B$12*AG70</f>
        <v>102.77777777777779</v>
      </c>
      <c r="BS70" s="180">
        <f>SUM(Distributievergoedingen!$F$12,Distributievergoedingen!$I$12,Distributievergoedingen!$L$12,Distributievergoedingen!$O$12)*AF70+SUM(Distributievergoedingen!$O$12*AA70+Distributievergoedingen!$R$12+Distributievergoedingen!$U$12+Distributievergoedingen!$X$12)/(MAX(36,12*C70))</f>
        <v>112.77777777777777</v>
      </c>
      <c r="BT70" s="150"/>
      <c r="BU70" s="150">
        <f t="shared" si="130"/>
        <v>215.55555555555554</v>
      </c>
      <c r="BW70" s="522">
        <f t="shared" si="131"/>
        <v>232.47877016666666</v>
      </c>
      <c r="BY70" s="527">
        <f t="shared" si="132"/>
        <v>795.29900761111116</v>
      </c>
      <c r="BZ70" s="181">
        <f t="shared" si="133"/>
        <v>0.77380443983783787</v>
      </c>
      <c r="CA70" s="520" t="b">
        <f t="shared" si="134"/>
        <v>0</v>
      </c>
    </row>
    <row r="71" spans="1:79" s="151" customFormat="1">
      <c r="A71" s="151" t="str">
        <f t="shared" si="138"/>
        <v>2EoKStandard Access koper 10mbMiddelOn-net (NLS3)</v>
      </c>
      <c r="B71" s="151" t="str">
        <f t="shared" si="139"/>
        <v>2EoKStandard Access koper 10mbMiddelOn-net (NLS3)</v>
      </c>
      <c r="C71" s="178">
        <v>2</v>
      </c>
      <c r="D71" s="415" t="s">
        <v>303</v>
      </c>
      <c r="E71" s="178" t="s">
        <v>277</v>
      </c>
      <c r="F71" s="107" t="s">
        <v>280</v>
      </c>
      <c r="G71" s="178" t="s">
        <v>3398</v>
      </c>
      <c r="I71" s="178"/>
      <c r="J71" s="520" t="str">
        <f t="shared" si="135"/>
        <v>EoKStandard Access koper 10mbMiddelOn-net (NLS3)</v>
      </c>
      <c r="L71" s="204">
        <f>INDEX(Mapping!$H:$H,MATCH(C$3&amp;C71,Mapping!$B:$B,0))</f>
        <v>1</v>
      </c>
      <c r="M71" s="204" t="str">
        <f>INDEX(Mapping!$H:$H,MATCH(D$3&amp;D71,Mapping!$B:$B,0))</f>
        <v>EoK</v>
      </c>
      <c r="N71" s="204" t="str">
        <f>INDEX(Mapping!$H:$H,MATCH(E$3&amp;E71,Mapping!$B:$B,0))</f>
        <v>Copper Standard Access 10Mbit/s</v>
      </c>
      <c r="O71" s="204" t="str">
        <f>INDEX(Mapping!$H:$H,MATCH(E71&amp;F71,Mapping!$B:$B,0))</f>
        <v/>
      </c>
      <c r="P71" s="204" t="str">
        <f>INDEX(Mapping!$H:$H,MATCH($E71&amp;$G71,Mapping!$B:$B,0))</f>
        <v>On-net (NLS3)</v>
      </c>
      <c r="Q71" s="204" t="str">
        <f>INDEX(Mapping!$H:$H,MATCH($E71&amp;$G71&amp;"graafafstand",Mapping!$B:$B,0))</f>
        <v>nvt</v>
      </c>
      <c r="R71" s="204">
        <f>INDEX(Mapping!$H:$H,MATCH(R$3&amp;$E71,Mapping!$B:$B,0))</f>
        <v>1</v>
      </c>
      <c r="S71" s="204">
        <f>INDEX(Mapping!$H:$H,MATCH(S$3&amp;$E71,Mapping!$B:$B,0))</f>
        <v>1</v>
      </c>
      <c r="T71" s="139" t="str">
        <f t="shared" si="140"/>
        <v>Copper Standard Access 10Mbit/sOn-net (NLS3)</v>
      </c>
      <c r="U71" s="151" t="str">
        <f t="shared" si="141"/>
        <v>Copper Standard Access 10Mbit/sOn-net (NLS3)</v>
      </c>
      <c r="W71" s="521">
        <f>MATCH($J71,'Tarieven ZM'!$B:$B,0)</f>
        <v>163</v>
      </c>
      <c r="X71" s="204">
        <f>INDEX('Tarieven ZM'!$H:$H,$W71)</f>
        <v>1000</v>
      </c>
      <c r="Y71" s="198">
        <f>IF(E71="Standard Access in ZG BT gebieden",0,-INDEX(Parameters!$B:$B,MATCH(Y$3&amp;$C71,Parameters!$A:$A,0))*$X71)</f>
        <v>0</v>
      </c>
      <c r="Z71" s="198">
        <f>IF(E71="Standard Access in ZG BT gebieden",0,MAX(-INDEX(Parameters!$B:$B,MATCH(Z$3&amp;$C71,Parameters!$A:$A,0))*$X71,-INDEX(Parameters!$B:$B,MATCH("FactorMaxSalesMandaat"&amp;E71,Parameters!$A:$A,0))*INDEX(Parameters!$B:$B,MATCH("MaxSalesMandaatAccessVVE"&amp;$C71,Parameters!$A:$A,0))))</f>
        <v>0</v>
      </c>
      <c r="AA71" s="139">
        <f t="shared" si="142"/>
        <v>1000</v>
      </c>
      <c r="AB71" s="205">
        <f>AA71/INDEX(Parameters!$B:$B,MATCH("AfschrijftermijnVVE"&amp;12*$C71,Parameters!$A:$A,0))</f>
        <v>27.777777777777779</v>
      </c>
      <c r="AC71" s="204">
        <f>INDEX('Tarieven ZM'!$G:$G,$W71)</f>
        <v>1000</v>
      </c>
      <c r="AD71" s="198">
        <f>IF(E71="Standard Access in ZG BT gebieden",0,-INDEX(Parameters!$B:$B,MATCH(AD$3&amp;$C71,Parameters!$A:$A,0))*$AC71)</f>
        <v>0</v>
      </c>
      <c r="AE71" s="198">
        <f>IF(E71="Standard Access in ZG BT gebieden",0,-INDEX(Parameters!$B:$B,MATCH(AE$3,Parameters!$A:$A,0))*$AC71)</f>
        <v>0</v>
      </c>
      <c r="AF71" s="139">
        <f t="shared" si="143"/>
        <v>1000</v>
      </c>
      <c r="AG71" s="522">
        <f t="shared" si="144"/>
        <v>1027.7777777777778</v>
      </c>
      <c r="AH71" s="175"/>
      <c r="AI71" s="523">
        <f>IF(N71&lt;&gt;"nvt",MATCH($T71,'Tarieven W&amp;O'!$B:$B,0),"nvt")</f>
        <v>18</v>
      </c>
      <c r="AJ71" s="205">
        <f>IF(AI71&lt;&gt;"nvt",IF($D71="EoK",INDEX(Parameters!C:C,MATCH("NLSx EoK",Parameters!A:A,0)),INDEX('Tarieven W&amp;O'!$H:$H,$AI71)),0)*R71</f>
        <v>350</v>
      </c>
      <c r="AK71" s="204">
        <f>IF(AI71&lt;&gt;"nvt",INDEX('Tarieven W&amp;O'!$I:$I,$AI71),0)*R71</f>
        <v>75</v>
      </c>
      <c r="AL71" s="524">
        <f>IF(AI71&lt;&gt;"nvt",-INDEX(Parameters!$B:$B,MATCH(AL$3,Parameters!$A:$A,0))*(AJ71+AK71),0)</f>
        <v>0</v>
      </c>
      <c r="AM71" s="525"/>
      <c r="AN71" s="139">
        <f t="shared" si="145"/>
        <v>425</v>
      </c>
      <c r="AO71" s="205">
        <f>AN71/INDEX(Parameters!$B:$B,MATCH("AfschrijftermijnVVE"&amp;12*$C71,Parameters!$A:$A,0))</f>
        <v>11.805555555555555</v>
      </c>
      <c r="AP71" s="139">
        <f t="shared" si="146"/>
        <v>18</v>
      </c>
      <c r="AQ71" s="526">
        <f>IF(AP71&lt;&gt;"nvt",R71*INDEX('Tarieven W&amp;O'!$G:$G,$AP71),0)</f>
        <v>83.59</v>
      </c>
      <c r="AR71" s="524">
        <f>-INDEX(Parameters!$B:$B,MATCH(AR$3,Parameters!$A:$A,0))*(AQ71)</f>
        <v>0</v>
      </c>
      <c r="AS71" s="205">
        <f>IF(E71="straal access",'EDC Minus'!$H$192,IF(Q71&lt;&gt;"nvt",Q71*S71*'EDC Minus'!$H$292/590,0))</f>
        <v>0</v>
      </c>
      <c r="AT71" s="139"/>
      <c r="AU71" s="150">
        <f t="shared" si="147"/>
        <v>83.59</v>
      </c>
      <c r="AV71" s="150">
        <f t="shared" si="148"/>
        <v>95.395555555555561</v>
      </c>
      <c r="AX71" s="526">
        <f>Parameters!$B$6*AV71</f>
        <v>0.95395555555555567</v>
      </c>
      <c r="AY71" s="150">
        <v>0</v>
      </c>
      <c r="AZ71" s="150"/>
      <c r="BA71" s="150">
        <f t="shared" si="149"/>
        <v>0.95395555555555567</v>
      </c>
      <c r="BC71" s="522">
        <f t="shared" si="128"/>
        <v>96.349511111111113</v>
      </c>
      <c r="BD71" s="175"/>
      <c r="BE71" s="527">
        <f t="shared" si="136"/>
        <v>931.42826666666667</v>
      </c>
      <c r="BF71" s="181">
        <f t="shared" si="137"/>
        <v>0.90625452972972964</v>
      </c>
      <c r="BG71" s="520" t="b">
        <f t="shared" si="150"/>
        <v>0</v>
      </c>
      <c r="BI71" s="528" t="s">
        <v>2181</v>
      </c>
      <c r="BK71" s="151">
        <f>VLOOKUP(J71,'Tarieven ZM'!$B$136:$I$235,8,0)</f>
        <v>0</v>
      </c>
      <c r="BL71" s="151" t="str">
        <f>IF(M71="EoK",N71&amp;"AdvancedNLS type 1/2/3",IF(E71&lt;&gt;"Straal Access",INDEX(Mapping!J:J,MATCH(E71&amp;G71,Mapping!B:B,0)),E71))</f>
        <v>Copper Standard Access 10Mbit/sAdvancedNLS type 1/2/3</v>
      </c>
      <c r="BM71" s="184">
        <f>INDEX('inkoop ULL tbv EVPN'!J:J,MATCH($BL71,'inkoop ULL tbv EVPN'!$H:$H,0))</f>
        <v>78.97</v>
      </c>
      <c r="BN71" s="180">
        <f>BM71/INDEX(Parameters!$B:$B,MATCH("AfschrijftermijnVVE"&amp;12*$C71,Parameters!$A:$A,0))</f>
        <v>2.1936111111111112</v>
      </c>
      <c r="BO71" s="184">
        <f>INDEX('inkoop ULL tbv EVPN'!I:I,MATCH($BL71,'inkoop ULL tbv EVPN'!$H:$H,0))</f>
        <v>14.7296035</v>
      </c>
      <c r="BP71" s="184">
        <f t="shared" si="129"/>
        <v>16.92321461111111</v>
      </c>
      <c r="BR71" s="180">
        <f>Parameters!$B$12*AG71</f>
        <v>102.77777777777779</v>
      </c>
      <c r="BS71" s="180">
        <f>SUM(Distributievergoedingen!$F$12,Distributievergoedingen!$I$12,Distributievergoedingen!$L$12,Distributievergoedingen!$O$12)*AF71+SUM(Distributievergoedingen!$O$12*AA71+Distributievergoedingen!$R$12+Distributievergoedingen!$U$12+Distributievergoedingen!$X$12)/(MAX(36,12*C71))</f>
        <v>112.77777777777777</v>
      </c>
      <c r="BT71" s="150"/>
      <c r="BU71" s="150">
        <f t="shared" si="130"/>
        <v>215.55555555555554</v>
      </c>
      <c r="BW71" s="522">
        <f t="shared" si="131"/>
        <v>232.47877016666666</v>
      </c>
      <c r="BY71" s="527">
        <f t="shared" si="132"/>
        <v>795.29900761111116</v>
      </c>
      <c r="BZ71" s="181">
        <f t="shared" si="133"/>
        <v>0.77380443983783787</v>
      </c>
      <c r="CA71" s="520" t="b">
        <f t="shared" si="134"/>
        <v>0</v>
      </c>
    </row>
    <row r="72" spans="1:79" s="151" customFormat="1">
      <c r="A72" s="151" t="str">
        <f t="shared" si="138"/>
        <v>2EoKStandard Access koper 15mbMiddelOn-net (NLS3)</v>
      </c>
      <c r="B72" s="151" t="str">
        <f t="shared" si="139"/>
        <v>2EoKStandard Access koper 15mbMiddelOn-net (NLS3)</v>
      </c>
      <c r="C72" s="178">
        <v>2</v>
      </c>
      <c r="D72" s="415" t="s">
        <v>303</v>
      </c>
      <c r="E72" s="178" t="s">
        <v>278</v>
      </c>
      <c r="F72" s="107" t="s">
        <v>280</v>
      </c>
      <c r="G72" s="178" t="s">
        <v>3398</v>
      </c>
      <c r="I72" s="178"/>
      <c r="J72" s="520" t="str">
        <f t="shared" si="135"/>
        <v>EoKStandard Access koper 15mbMiddelOn-net (NLS3)</v>
      </c>
      <c r="L72" s="204">
        <f>INDEX(Mapping!$H:$H,MATCH(C$3&amp;C72,Mapping!$B:$B,0))</f>
        <v>1</v>
      </c>
      <c r="M72" s="204" t="str">
        <f>INDEX(Mapping!$H:$H,MATCH(D$3&amp;D72,Mapping!$B:$B,0))</f>
        <v>EoK</v>
      </c>
      <c r="N72" s="204" t="str">
        <f>INDEX(Mapping!$H:$H,MATCH(E$3&amp;E72,Mapping!$B:$B,0))</f>
        <v>Copper Standard Access 15Mbit/s</v>
      </c>
      <c r="O72" s="204" t="str">
        <f>INDEX(Mapping!$H:$H,MATCH(E72&amp;F72,Mapping!$B:$B,0))</f>
        <v/>
      </c>
      <c r="P72" s="204" t="str">
        <f>INDEX(Mapping!$H:$H,MATCH($E72&amp;$G72,Mapping!$B:$B,0))</f>
        <v>On-net (NLS3)</v>
      </c>
      <c r="Q72" s="204" t="str">
        <f>INDEX(Mapping!$H:$H,MATCH($E72&amp;$G72&amp;"graafafstand",Mapping!$B:$B,0))</f>
        <v>nvt</v>
      </c>
      <c r="R72" s="204">
        <f>INDEX(Mapping!$H:$H,MATCH(R$3&amp;$E72,Mapping!$B:$B,0))</f>
        <v>1</v>
      </c>
      <c r="S72" s="204">
        <f>INDEX(Mapping!$H:$H,MATCH(S$3&amp;$E72,Mapping!$B:$B,0))</f>
        <v>1</v>
      </c>
      <c r="T72" s="139" t="str">
        <f t="shared" si="140"/>
        <v>Copper Standard Access 15Mbit/sOn-net (NLS3)</v>
      </c>
      <c r="U72" s="151" t="str">
        <f t="shared" si="141"/>
        <v>Copper Standard Access 15Mbit/sOn-net (NLS3)</v>
      </c>
      <c r="W72" s="521">
        <f>MATCH($J72,'Tarieven ZM'!$B:$B,0)</f>
        <v>164</v>
      </c>
      <c r="X72" s="204">
        <f>INDEX('Tarieven ZM'!$H:$H,$W72)</f>
        <v>1000</v>
      </c>
      <c r="Y72" s="198">
        <f>IF(E72="Standard Access in ZG BT gebieden",0,-INDEX(Parameters!$B:$B,MATCH(Y$3&amp;$C72,Parameters!$A:$A,0))*$X72)</f>
        <v>0</v>
      </c>
      <c r="Z72" s="198">
        <f>IF(E72="Standard Access in ZG BT gebieden",0,MAX(-INDEX(Parameters!$B:$B,MATCH(Z$3&amp;$C72,Parameters!$A:$A,0))*$X72,-INDEX(Parameters!$B:$B,MATCH("FactorMaxSalesMandaat"&amp;E72,Parameters!$A:$A,0))*INDEX(Parameters!$B:$B,MATCH("MaxSalesMandaatAccessVVE"&amp;$C72,Parameters!$A:$A,0))))</f>
        <v>0</v>
      </c>
      <c r="AA72" s="139">
        <f t="shared" si="142"/>
        <v>1000</v>
      </c>
      <c r="AB72" s="205">
        <f>AA72/INDEX(Parameters!$B:$B,MATCH("AfschrijftermijnVVE"&amp;12*$C72,Parameters!$A:$A,0))</f>
        <v>27.777777777777779</v>
      </c>
      <c r="AC72" s="204">
        <f>INDEX('Tarieven ZM'!$G:$G,$W72)</f>
        <v>1000</v>
      </c>
      <c r="AD72" s="198">
        <f>IF(E72="Standard Access in ZG BT gebieden",0,-INDEX(Parameters!$B:$B,MATCH(AD$3&amp;$C72,Parameters!$A:$A,0))*$AC72)</f>
        <v>0</v>
      </c>
      <c r="AE72" s="198">
        <f>IF(E72="Standard Access in ZG BT gebieden",0,-INDEX(Parameters!$B:$B,MATCH(AE$3,Parameters!$A:$A,0))*$AC72)</f>
        <v>0</v>
      </c>
      <c r="AF72" s="139">
        <f t="shared" si="143"/>
        <v>1000</v>
      </c>
      <c r="AG72" s="522">
        <f t="shared" si="144"/>
        <v>1027.7777777777778</v>
      </c>
      <c r="AH72" s="175"/>
      <c r="AI72" s="523">
        <f>IF(N72&lt;&gt;"nvt",MATCH($T72,'Tarieven W&amp;O'!$B:$B,0),"nvt")</f>
        <v>19</v>
      </c>
      <c r="AJ72" s="205">
        <f>IF(AI72&lt;&gt;"nvt",IF($D72="EoK",INDEX(Parameters!C:C,MATCH("NLSx EoK",Parameters!A:A,0)),INDEX('Tarieven W&amp;O'!$H:$H,$AI72)),0)*R72</f>
        <v>350</v>
      </c>
      <c r="AK72" s="204">
        <f>IF(AI72&lt;&gt;"nvt",INDEX('Tarieven W&amp;O'!$I:$I,$AI72),0)*R72</f>
        <v>75</v>
      </c>
      <c r="AL72" s="524">
        <f>IF(AI72&lt;&gt;"nvt",-INDEX(Parameters!$B:$B,MATCH(AL$3,Parameters!$A:$A,0))*(AJ72+AK72),0)</f>
        <v>0</v>
      </c>
      <c r="AM72" s="525"/>
      <c r="AN72" s="139">
        <f t="shared" si="145"/>
        <v>425</v>
      </c>
      <c r="AO72" s="205">
        <f>AN72/INDEX(Parameters!$B:$B,MATCH("AfschrijftermijnVVE"&amp;12*$C72,Parameters!$A:$A,0))</f>
        <v>11.805555555555555</v>
      </c>
      <c r="AP72" s="139">
        <f t="shared" si="146"/>
        <v>19</v>
      </c>
      <c r="AQ72" s="526">
        <f>IF(AP72&lt;&gt;"nvt",R72*INDEX('Tarieven W&amp;O'!$G:$G,$AP72),0)</f>
        <v>102.44</v>
      </c>
      <c r="AR72" s="524">
        <f>-INDEX(Parameters!$B:$B,MATCH(AR$3,Parameters!$A:$A,0))*(AQ72)</f>
        <v>0</v>
      </c>
      <c r="AS72" s="205">
        <f>IF(E72="straal access",'EDC Minus'!$H$192,IF(Q72&lt;&gt;"nvt",Q72*S72*'EDC Minus'!$H$292/590,0))</f>
        <v>0</v>
      </c>
      <c r="AT72" s="139"/>
      <c r="AU72" s="150">
        <f t="shared" si="147"/>
        <v>102.44</v>
      </c>
      <c r="AV72" s="150">
        <f t="shared" si="148"/>
        <v>114.24555555555555</v>
      </c>
      <c r="AX72" s="526">
        <f>Parameters!$B$6*AV72</f>
        <v>1.1424555555555556</v>
      </c>
      <c r="AY72" s="150">
        <v>0</v>
      </c>
      <c r="AZ72" s="150"/>
      <c r="BA72" s="150">
        <f t="shared" si="149"/>
        <v>1.1424555555555556</v>
      </c>
      <c r="BC72" s="522">
        <f t="shared" si="128"/>
        <v>115.38801111111111</v>
      </c>
      <c r="BD72" s="175"/>
      <c r="BE72" s="527">
        <f t="shared" si="136"/>
        <v>912.38976666666667</v>
      </c>
      <c r="BF72" s="181">
        <f t="shared" si="137"/>
        <v>0.88773058378378378</v>
      </c>
      <c r="BG72" s="520" t="b">
        <f t="shared" si="150"/>
        <v>0</v>
      </c>
      <c r="BI72" s="528" t="s">
        <v>2181</v>
      </c>
      <c r="BK72" s="151">
        <f>VLOOKUP(J72,'Tarieven ZM'!$B$136:$I$235,8,0)</f>
        <v>0</v>
      </c>
      <c r="BL72" s="151" t="str">
        <f>IF(M72="EoK",N72&amp;"AdvancedNLS type 1/2/3",IF(E72&lt;&gt;"Straal Access",INDEX(Mapping!J:J,MATCH(E72&amp;G72,Mapping!B:B,0)),E72))</f>
        <v>Copper Standard Access 15Mbit/sAdvancedNLS type 1/2/3</v>
      </c>
      <c r="BM72" s="184">
        <f>INDEX('inkoop ULL tbv EVPN'!J:J,MATCH($BL72,'inkoop ULL tbv EVPN'!$H:$H,0))</f>
        <v>78.97</v>
      </c>
      <c r="BN72" s="180">
        <f>BM72/INDEX(Parameters!$B:$B,MATCH("AfschrijftermijnVVE"&amp;12*$C72,Parameters!$A:$A,0))</f>
        <v>2.1936111111111112</v>
      </c>
      <c r="BO72" s="184">
        <f>INDEX('inkoop ULL tbv EVPN'!I:I,MATCH($BL72,'inkoop ULL tbv EVPN'!$H:$H,0))</f>
        <v>14.7296035</v>
      </c>
      <c r="BP72" s="184">
        <f t="shared" si="129"/>
        <v>16.92321461111111</v>
      </c>
      <c r="BR72" s="180">
        <f>Parameters!$B$12*AG72</f>
        <v>102.77777777777779</v>
      </c>
      <c r="BS72" s="180">
        <f>SUM(Distributievergoedingen!$F$12,Distributievergoedingen!$I$12,Distributievergoedingen!$L$12,Distributievergoedingen!$O$12)*AF72+SUM(Distributievergoedingen!$O$12*AA72+Distributievergoedingen!$R$12+Distributievergoedingen!$U$12+Distributievergoedingen!$X$12)/(MAX(36,12*C72))</f>
        <v>112.77777777777777</v>
      </c>
      <c r="BT72" s="150"/>
      <c r="BU72" s="150">
        <f t="shared" si="130"/>
        <v>215.55555555555554</v>
      </c>
      <c r="BW72" s="522">
        <f t="shared" si="131"/>
        <v>232.47877016666666</v>
      </c>
      <c r="BY72" s="527">
        <f t="shared" si="132"/>
        <v>795.29900761111116</v>
      </c>
      <c r="BZ72" s="181">
        <f t="shared" si="133"/>
        <v>0.77380443983783787</v>
      </c>
      <c r="CA72" s="520" t="b">
        <f t="shared" si="134"/>
        <v>0</v>
      </c>
    </row>
    <row r="73" spans="1:79" s="151" customFormat="1">
      <c r="A73" s="151" t="str">
        <f t="shared" si="138"/>
        <v>2EoKStandard Access koper 20mbMiddelOn-net (NLS3)</v>
      </c>
      <c r="B73" s="151" t="str">
        <f t="shared" si="139"/>
        <v>2EoKStandard Access koper 20mbMiddelOn-net (NLS3)</v>
      </c>
      <c r="C73" s="178">
        <v>2</v>
      </c>
      <c r="D73" s="415" t="s">
        <v>303</v>
      </c>
      <c r="E73" s="178" t="s">
        <v>279</v>
      </c>
      <c r="F73" s="107" t="s">
        <v>280</v>
      </c>
      <c r="G73" s="178" t="s">
        <v>3398</v>
      </c>
      <c r="I73" s="178"/>
      <c r="J73" s="520" t="str">
        <f t="shared" si="135"/>
        <v>EoKStandard Access koper 20mbMiddelOn-net (NLS3)</v>
      </c>
      <c r="L73" s="204">
        <f>INDEX(Mapping!$H:$H,MATCH(C$3&amp;C73,Mapping!$B:$B,0))</f>
        <v>1</v>
      </c>
      <c r="M73" s="204" t="str">
        <f>INDEX(Mapping!$H:$H,MATCH(D$3&amp;D73,Mapping!$B:$B,0))</f>
        <v>EoK</v>
      </c>
      <c r="N73" s="204" t="str">
        <f>INDEX(Mapping!$H:$H,MATCH(E$3&amp;E73,Mapping!$B:$B,0))</f>
        <v>Copper Standard Access 20Mbit/s</v>
      </c>
      <c r="O73" s="204" t="str">
        <f>INDEX(Mapping!$H:$H,MATCH(E73&amp;F73,Mapping!$B:$B,0))</f>
        <v/>
      </c>
      <c r="P73" s="204" t="str">
        <f>INDEX(Mapping!$H:$H,MATCH($E73&amp;$G73,Mapping!$B:$B,0))</f>
        <v>On-net (NLS3)</v>
      </c>
      <c r="Q73" s="204" t="str">
        <f>INDEX(Mapping!$H:$H,MATCH($E73&amp;$G73&amp;"graafafstand",Mapping!$B:$B,0))</f>
        <v>nvt</v>
      </c>
      <c r="R73" s="204">
        <f>INDEX(Mapping!$H:$H,MATCH(R$3&amp;$E73,Mapping!$B:$B,0))</f>
        <v>1</v>
      </c>
      <c r="S73" s="204">
        <f>INDEX(Mapping!$H:$H,MATCH(S$3&amp;$E73,Mapping!$B:$B,0))</f>
        <v>1</v>
      </c>
      <c r="T73" s="139" t="str">
        <f t="shared" si="140"/>
        <v>Copper Standard Access 20Mbit/sOn-net (NLS3)</v>
      </c>
      <c r="U73" s="151" t="str">
        <f t="shared" si="141"/>
        <v>Copper Standard Access 20Mbit/sOn-net (NLS3)</v>
      </c>
      <c r="W73" s="521">
        <f>MATCH($J73,'Tarieven ZM'!$B:$B,0)</f>
        <v>165</v>
      </c>
      <c r="X73" s="204">
        <f>INDEX('Tarieven ZM'!$H:$H,$W73)</f>
        <v>1000</v>
      </c>
      <c r="Y73" s="198">
        <f>IF(E73="Standard Access in ZG BT gebieden",0,-INDEX(Parameters!$B:$B,MATCH(Y$3&amp;$C73,Parameters!$A:$A,0))*$X73)</f>
        <v>0</v>
      </c>
      <c r="Z73" s="198">
        <f>IF(E73="Standard Access in ZG BT gebieden",0,MAX(-INDEX(Parameters!$B:$B,MATCH(Z$3&amp;$C73,Parameters!$A:$A,0))*$X73,-INDEX(Parameters!$B:$B,MATCH("FactorMaxSalesMandaat"&amp;E73,Parameters!$A:$A,0))*INDEX(Parameters!$B:$B,MATCH("MaxSalesMandaatAccessVVE"&amp;$C73,Parameters!$A:$A,0))))</f>
        <v>0</v>
      </c>
      <c r="AA73" s="139">
        <f t="shared" si="142"/>
        <v>1000</v>
      </c>
      <c r="AB73" s="205">
        <f>AA73/INDEX(Parameters!$B:$B,MATCH("AfschrijftermijnVVE"&amp;12*$C73,Parameters!$A:$A,0))</f>
        <v>27.777777777777779</v>
      </c>
      <c r="AC73" s="204">
        <f>INDEX('Tarieven ZM'!$G:$G,$W73)</f>
        <v>1000</v>
      </c>
      <c r="AD73" s="198">
        <f>IF(E73="Standard Access in ZG BT gebieden",0,-INDEX(Parameters!$B:$B,MATCH(AD$3&amp;$C73,Parameters!$A:$A,0))*$AC73)</f>
        <v>0</v>
      </c>
      <c r="AE73" s="198">
        <f>IF(E73="Standard Access in ZG BT gebieden",0,-INDEX(Parameters!$B:$B,MATCH(AE$3,Parameters!$A:$A,0))*$AC73)</f>
        <v>0</v>
      </c>
      <c r="AF73" s="139">
        <f t="shared" si="143"/>
        <v>1000</v>
      </c>
      <c r="AG73" s="522">
        <f t="shared" si="144"/>
        <v>1027.7777777777778</v>
      </c>
      <c r="AH73" s="175"/>
      <c r="AI73" s="523">
        <f>IF(N73&lt;&gt;"nvt",MATCH($T73,'Tarieven W&amp;O'!$B:$B,0),"nvt")</f>
        <v>20</v>
      </c>
      <c r="AJ73" s="205">
        <f>IF(AI73&lt;&gt;"nvt",IF($D73="EoK",INDEX(Parameters!C:C,MATCH("NLSx EoK",Parameters!A:A,0)),INDEX('Tarieven W&amp;O'!$H:$H,$AI73)),0)*R73</f>
        <v>350</v>
      </c>
      <c r="AK73" s="204">
        <f>IF(AI73&lt;&gt;"nvt",INDEX('Tarieven W&amp;O'!$I:$I,$AI73),0)*R73</f>
        <v>75</v>
      </c>
      <c r="AL73" s="524">
        <f>IF(AI73&lt;&gt;"nvt",-INDEX(Parameters!$B:$B,MATCH(AL$3,Parameters!$A:$A,0))*(AJ73+AK73),0)</f>
        <v>0</v>
      </c>
      <c r="AM73" s="525"/>
      <c r="AN73" s="139">
        <f t="shared" si="145"/>
        <v>425</v>
      </c>
      <c r="AO73" s="205">
        <f>AN73/INDEX(Parameters!$B:$B,MATCH("AfschrijftermijnVVE"&amp;12*$C73,Parameters!$A:$A,0))</f>
        <v>11.805555555555555</v>
      </c>
      <c r="AP73" s="139">
        <f t="shared" si="146"/>
        <v>20</v>
      </c>
      <c r="AQ73" s="526">
        <f>IF(AP73&lt;&gt;"nvt",R73*INDEX('Tarieven W&amp;O'!$G:$G,$AP73),0)</f>
        <v>121.28</v>
      </c>
      <c r="AR73" s="524">
        <f>-INDEX(Parameters!$B:$B,MATCH(AR$3,Parameters!$A:$A,0))*(AQ73)</f>
        <v>0</v>
      </c>
      <c r="AS73" s="205">
        <f>IF(E73="straal access",'EDC Minus'!$H$192,IF(Q73&lt;&gt;"nvt",Q73*S73*'EDC Minus'!$H$292/590,0))</f>
        <v>0</v>
      </c>
      <c r="AT73" s="139"/>
      <c r="AU73" s="150">
        <f t="shared" si="147"/>
        <v>121.28</v>
      </c>
      <c r="AV73" s="150">
        <f t="shared" si="148"/>
        <v>133.08555555555554</v>
      </c>
      <c r="AX73" s="526">
        <f>Parameters!$B$6*AV73</f>
        <v>1.3308555555555555</v>
      </c>
      <c r="AY73" s="150">
        <v>0</v>
      </c>
      <c r="AZ73" s="150"/>
      <c r="BA73" s="150">
        <f t="shared" si="149"/>
        <v>1.3308555555555555</v>
      </c>
      <c r="BC73" s="522">
        <f t="shared" si="128"/>
        <v>134.4164111111111</v>
      </c>
      <c r="BD73" s="175"/>
      <c r="BE73" s="527">
        <f t="shared" si="136"/>
        <v>893.36136666666675</v>
      </c>
      <c r="BF73" s="181">
        <f t="shared" si="137"/>
        <v>0.86921646486486492</v>
      </c>
      <c r="BG73" s="520" t="b">
        <f t="shared" si="150"/>
        <v>0</v>
      </c>
      <c r="BI73" s="528" t="s">
        <v>2181</v>
      </c>
      <c r="BK73" s="151">
        <f>VLOOKUP(J73,'Tarieven ZM'!$B$136:$I$235,8,0)</f>
        <v>0</v>
      </c>
      <c r="BL73" s="151" t="str">
        <f>IF(M73="EoK",N73&amp;"AdvancedNLS type 1/2/3",IF(E73&lt;&gt;"Straal Access",INDEX(Mapping!J:J,MATCH(E73&amp;G73,Mapping!B:B,0)),E73))</f>
        <v>Copper Standard Access 20Mbit/sAdvancedNLS type 1/2/3</v>
      </c>
      <c r="BM73" s="184">
        <f>INDEX('inkoop ULL tbv EVPN'!J:J,MATCH($BL73,'inkoop ULL tbv EVPN'!$H:$H,0))</f>
        <v>78.97</v>
      </c>
      <c r="BN73" s="180">
        <f>BM73/INDEX(Parameters!$B:$B,MATCH("AfschrijftermijnVVE"&amp;12*$C73,Parameters!$A:$A,0))</f>
        <v>2.1936111111111112</v>
      </c>
      <c r="BO73" s="184">
        <f>INDEX('inkoop ULL tbv EVPN'!I:I,MATCH($BL73,'inkoop ULL tbv EVPN'!$H:$H,0))</f>
        <v>14.7296035</v>
      </c>
      <c r="BP73" s="184">
        <f t="shared" si="129"/>
        <v>16.92321461111111</v>
      </c>
      <c r="BR73" s="180">
        <f>Parameters!$B$12*AG73</f>
        <v>102.77777777777779</v>
      </c>
      <c r="BS73" s="180">
        <f>SUM(Distributievergoedingen!$F$12,Distributievergoedingen!$I$12,Distributievergoedingen!$L$12,Distributievergoedingen!$O$12)*AF73+SUM(Distributievergoedingen!$O$12*AA73+Distributievergoedingen!$R$12+Distributievergoedingen!$U$12+Distributievergoedingen!$X$12)/(MAX(36,12*C73))</f>
        <v>112.77777777777777</v>
      </c>
      <c r="BT73" s="150"/>
      <c r="BU73" s="150">
        <f t="shared" si="130"/>
        <v>215.55555555555554</v>
      </c>
      <c r="BW73" s="522">
        <f t="shared" si="131"/>
        <v>232.47877016666666</v>
      </c>
      <c r="BY73" s="527">
        <f t="shared" si="132"/>
        <v>795.29900761111116</v>
      </c>
      <c r="BZ73" s="181">
        <f t="shared" si="133"/>
        <v>0.77380443983783787</v>
      </c>
      <c r="CA73" s="520" t="b">
        <f t="shared" si="134"/>
        <v>0</v>
      </c>
    </row>
    <row r="74" spans="1:79" s="151" customFormat="1">
      <c r="A74" s="151" t="str">
        <f t="shared" si="138"/>
        <v>2EoKStandard Access koper 3mbMiddel&lt; 250 meter</v>
      </c>
      <c r="B74" s="151" t="str">
        <f t="shared" si="139"/>
        <v>2EoKStandard Access koper 3mbMiddel&lt; 250 meter</v>
      </c>
      <c r="C74" s="178">
        <v>2</v>
      </c>
      <c r="D74" s="415" t="s">
        <v>303</v>
      </c>
      <c r="E74" s="178" t="s">
        <v>268</v>
      </c>
      <c r="F74" s="107" t="s">
        <v>280</v>
      </c>
      <c r="G74" s="178" t="s">
        <v>3397</v>
      </c>
      <c r="I74" s="178"/>
      <c r="J74" s="520" t="str">
        <f t="shared" si="135"/>
        <v>EoKStandard Access koper 3mbMiddel&lt; 250 meter</v>
      </c>
      <c r="L74" s="204">
        <f>INDEX(Mapping!$H:$H,MATCH(C$3&amp;C74,Mapping!$B:$B,0))</f>
        <v>1</v>
      </c>
      <c r="M74" s="204" t="str">
        <f>INDEX(Mapping!$H:$H,MATCH(D$3&amp;D74,Mapping!$B:$B,0))</f>
        <v>EoK</v>
      </c>
      <c r="N74" s="204" t="str">
        <f>INDEX(Mapping!$H:$H,MATCH(E$3&amp;E74,Mapping!$B:$B,0))</f>
        <v>Copper Standard Access 3Mbit/s</v>
      </c>
      <c r="O74" s="204" t="str">
        <f>INDEX(Mapping!$H:$H,MATCH(E74&amp;F74,Mapping!$B:$B,0))</f>
        <v/>
      </c>
      <c r="P74" s="204" t="str">
        <f>INDEX(Mapping!$H:$H,MATCH($E74&amp;$G74,Mapping!$B:$B,0))</f>
        <v>Nearnet</v>
      </c>
      <c r="Q74" s="204" t="str">
        <f>INDEX(Mapping!$H:$H,MATCH($E74&amp;$G74&amp;"graafafstand",Mapping!$B:$B,0))</f>
        <v>nvt</v>
      </c>
      <c r="R74" s="204">
        <f>INDEX(Mapping!$H:$H,MATCH(R$3&amp;$E74,Mapping!$B:$B,0))</f>
        <v>1</v>
      </c>
      <c r="S74" s="204">
        <f>INDEX(Mapping!$H:$H,MATCH(S$3&amp;$E74,Mapping!$B:$B,0))</f>
        <v>1</v>
      </c>
      <c r="T74" s="139" t="str">
        <f t="shared" si="140"/>
        <v>Copper Standard Access 3Mbit/sNearnet</v>
      </c>
      <c r="U74" s="151" t="str">
        <f t="shared" si="141"/>
        <v>Copper Standard Access 3Mbit/sNearnet</v>
      </c>
      <c r="W74" s="521">
        <f>MATCH($J74,'Tarieven ZM'!$B:$B,0)</f>
        <v>166</v>
      </c>
      <c r="X74" s="204">
        <f>INDEX('Tarieven ZM'!$H:$H,$W74)</f>
        <v>1000</v>
      </c>
      <c r="Y74" s="198">
        <f>IF(E74="Standard Access in ZG BT gebieden",0,-INDEX(Parameters!$B:$B,MATCH(Y$3&amp;$C74,Parameters!$A:$A,0))*$X74)</f>
        <v>0</v>
      </c>
      <c r="Z74" s="198">
        <f>IF(E74="Standard Access in ZG BT gebieden",0,MAX(-INDEX(Parameters!$B:$B,MATCH(Z$3&amp;$C74,Parameters!$A:$A,0))*$X74,-INDEX(Parameters!$B:$B,MATCH("FactorMaxSalesMandaat"&amp;E74,Parameters!$A:$A,0))*INDEX(Parameters!$B:$B,MATCH("MaxSalesMandaatAccessVVE"&amp;$C74,Parameters!$A:$A,0))))</f>
        <v>0</v>
      </c>
      <c r="AA74" s="139">
        <f t="shared" si="142"/>
        <v>1000</v>
      </c>
      <c r="AB74" s="205">
        <f>AA74/INDEX(Parameters!$B:$B,MATCH("AfschrijftermijnVVE"&amp;12*$C74,Parameters!$A:$A,0))</f>
        <v>27.777777777777779</v>
      </c>
      <c r="AC74" s="204">
        <f>INDEX('Tarieven ZM'!$G:$G,$W74)</f>
        <v>1000</v>
      </c>
      <c r="AD74" s="198">
        <f>IF(E74="Standard Access in ZG BT gebieden",0,-INDEX(Parameters!$B:$B,MATCH(AD$3&amp;$C74,Parameters!$A:$A,0))*$AC74)</f>
        <v>0</v>
      </c>
      <c r="AE74" s="198">
        <f>IF(E74="Standard Access in ZG BT gebieden",0,-INDEX(Parameters!$B:$B,MATCH(AE$3,Parameters!$A:$A,0))*$AC74)</f>
        <v>0</v>
      </c>
      <c r="AF74" s="139">
        <f t="shared" si="143"/>
        <v>1000</v>
      </c>
      <c r="AG74" s="522">
        <f t="shared" si="144"/>
        <v>1027.7777777777778</v>
      </c>
      <c r="AH74" s="175"/>
      <c r="AI74" s="523">
        <f>IF(N74&lt;&gt;"nvt",MATCH($T74,'Tarieven W&amp;O'!$B:$B,0),"nvt")</f>
        <v>23</v>
      </c>
      <c r="AJ74" s="205">
        <f>IF(AI74&lt;&gt;"nvt",IF($D74="EoK",INDEX(Parameters!C:C,MATCH("NLSx EoK",Parameters!A:A,0)),INDEX('Tarieven W&amp;O'!$H:$H,$AI74)),0)*R74</f>
        <v>350</v>
      </c>
      <c r="AK74" s="204">
        <f>IF(AI74&lt;&gt;"nvt",INDEX('Tarieven W&amp;O'!$I:$I,$AI74),0)*R74</f>
        <v>75</v>
      </c>
      <c r="AL74" s="524">
        <f>IF(AI74&lt;&gt;"nvt",-INDEX(Parameters!$B:$B,MATCH(AL$3,Parameters!$A:$A,0))*(AJ74+AK74),0)</f>
        <v>0</v>
      </c>
      <c r="AM74" s="525"/>
      <c r="AN74" s="139">
        <f t="shared" si="145"/>
        <v>425</v>
      </c>
      <c r="AO74" s="205">
        <f>AN74/INDEX(Parameters!$B:$B,MATCH("AfschrijftermijnVVE"&amp;12*$C74,Parameters!$A:$A,0))</f>
        <v>11.805555555555555</v>
      </c>
      <c r="AP74" s="139">
        <f t="shared" si="146"/>
        <v>23</v>
      </c>
      <c r="AQ74" s="526">
        <f>IF(AP74&lt;&gt;"nvt",R74*INDEX('Tarieven W&amp;O'!$G:$G,$AP74),0)</f>
        <v>41.5</v>
      </c>
      <c r="AR74" s="524">
        <f>-INDEX(Parameters!$B:$B,MATCH(AR$3,Parameters!$A:$A,0))*(AQ74)</f>
        <v>0</v>
      </c>
      <c r="AS74" s="205">
        <f>IF(E74="straal access",'EDC Minus'!$H$192,IF(Q74&lt;&gt;"nvt",Q74*S74*'EDC Minus'!$H$292/590,0))</f>
        <v>0</v>
      </c>
      <c r="AT74" s="139"/>
      <c r="AU74" s="150">
        <f t="shared" si="147"/>
        <v>41.5</v>
      </c>
      <c r="AV74" s="150">
        <f t="shared" si="148"/>
        <v>53.305555555555557</v>
      </c>
      <c r="AX74" s="526">
        <f>Parameters!$B$6*AV74</f>
        <v>0.53305555555555562</v>
      </c>
      <c r="AY74" s="150">
        <v>0</v>
      </c>
      <c r="AZ74" s="150"/>
      <c r="BA74" s="150">
        <f t="shared" si="149"/>
        <v>0.53305555555555562</v>
      </c>
      <c r="BC74" s="522">
        <f t="shared" si="128"/>
        <v>53.838611111111113</v>
      </c>
      <c r="BD74" s="175"/>
      <c r="BE74" s="527">
        <f t="shared" si="136"/>
        <v>973.93916666666667</v>
      </c>
      <c r="BF74" s="181">
        <f t="shared" si="137"/>
        <v>0.94761648648648644</v>
      </c>
      <c r="BG74" s="520" t="b">
        <f t="shared" si="150"/>
        <v>0</v>
      </c>
      <c r="BI74" s="528" t="s">
        <v>2181</v>
      </c>
      <c r="BK74" s="151">
        <f>VLOOKUP(J74,'Tarieven ZM'!$B$136:$I$235,8,0)</f>
        <v>0</v>
      </c>
      <c r="BL74" s="151" t="str">
        <f>IF(M74="EoK",N74&amp;"AdvancedNLS type 1/2/3",IF(E74&lt;&gt;"Straal Access",INDEX(Mapping!J:J,MATCH(E74&amp;G74,Mapping!B:B,0)),E74))</f>
        <v>Copper Standard Access 3Mbit/sAdvancedNLS type 1/2/3</v>
      </c>
      <c r="BM74" s="184">
        <f>INDEX('inkoop ULL tbv EVPN'!J:J,MATCH($BL74,'inkoop ULL tbv EVPN'!$H:$H,0))</f>
        <v>78.97</v>
      </c>
      <c r="BN74" s="180">
        <f>BM74/INDEX(Parameters!$B:$B,MATCH("AfschrijftermijnVVE"&amp;12*$C74,Parameters!$A:$A,0))</f>
        <v>2.1936111111111112</v>
      </c>
      <c r="BO74" s="184">
        <f>INDEX('inkoop ULL tbv EVPN'!I:I,MATCH($BL74,'inkoop ULL tbv EVPN'!$H:$H,0))</f>
        <v>14.7296035</v>
      </c>
      <c r="BP74" s="184">
        <f t="shared" si="129"/>
        <v>16.92321461111111</v>
      </c>
      <c r="BR74" s="180">
        <f>Parameters!$B$12*AG74</f>
        <v>102.77777777777779</v>
      </c>
      <c r="BS74" s="180">
        <f>SUM(Distributievergoedingen!$F$12,Distributievergoedingen!$I$12,Distributievergoedingen!$L$12,Distributievergoedingen!$O$12)*AF74+SUM(Distributievergoedingen!$O$12*AA74+Distributievergoedingen!$R$12+Distributievergoedingen!$U$12+Distributievergoedingen!$X$12)/(MAX(36,12*C74))</f>
        <v>112.77777777777777</v>
      </c>
      <c r="BT74" s="150"/>
      <c r="BU74" s="150">
        <f t="shared" si="130"/>
        <v>215.55555555555554</v>
      </c>
      <c r="BW74" s="522">
        <f t="shared" si="131"/>
        <v>232.47877016666666</v>
      </c>
      <c r="BY74" s="527">
        <f t="shared" si="132"/>
        <v>795.29900761111116</v>
      </c>
      <c r="BZ74" s="181">
        <f t="shared" si="133"/>
        <v>0.77380443983783787</v>
      </c>
      <c r="CA74" s="520" t="b">
        <f t="shared" si="134"/>
        <v>0</v>
      </c>
    </row>
    <row r="75" spans="1:79" s="151" customFormat="1">
      <c r="A75" s="151" t="str">
        <f t="shared" si="138"/>
        <v>2EoKStandard Access koper 5mbMiddel&lt; 250 meter</v>
      </c>
      <c r="B75" s="151" t="str">
        <f t="shared" si="139"/>
        <v>2EoKStandard Access koper 5mbMiddel&lt; 250 meter</v>
      </c>
      <c r="C75" s="178">
        <v>2</v>
      </c>
      <c r="D75" s="415" t="s">
        <v>303</v>
      </c>
      <c r="E75" s="178" t="s">
        <v>276</v>
      </c>
      <c r="F75" s="107" t="s">
        <v>280</v>
      </c>
      <c r="G75" s="178" t="s">
        <v>3397</v>
      </c>
      <c r="I75" s="178"/>
      <c r="J75" s="520" t="str">
        <f t="shared" si="135"/>
        <v>EoKStandard Access koper 5mbMiddel&lt; 250 meter</v>
      </c>
      <c r="L75" s="204">
        <f>INDEX(Mapping!$H:$H,MATCH(C$3&amp;C75,Mapping!$B:$B,0))</f>
        <v>1</v>
      </c>
      <c r="M75" s="204" t="str">
        <f>INDEX(Mapping!$H:$H,MATCH(D$3&amp;D75,Mapping!$B:$B,0))</f>
        <v>EoK</v>
      </c>
      <c r="N75" s="204" t="str">
        <f>INDEX(Mapping!$H:$H,MATCH(E$3&amp;E75,Mapping!$B:$B,0))</f>
        <v>Copper Standard Access 5Mbit/s</v>
      </c>
      <c r="O75" s="204" t="str">
        <f>INDEX(Mapping!$H:$H,MATCH(E75&amp;F75,Mapping!$B:$B,0))</f>
        <v/>
      </c>
      <c r="P75" s="204" t="str">
        <f>INDEX(Mapping!$H:$H,MATCH($E75&amp;$G75,Mapping!$B:$B,0))</f>
        <v>Nearnet</v>
      </c>
      <c r="Q75" s="204" t="str">
        <f>INDEX(Mapping!$H:$H,MATCH($E75&amp;$G75&amp;"graafafstand",Mapping!$B:$B,0))</f>
        <v>nvt</v>
      </c>
      <c r="R75" s="204">
        <f>INDEX(Mapping!$H:$H,MATCH(R$3&amp;$E75,Mapping!$B:$B,0))</f>
        <v>1</v>
      </c>
      <c r="S75" s="204">
        <f>INDEX(Mapping!$H:$H,MATCH(S$3&amp;$E75,Mapping!$B:$B,0))</f>
        <v>1</v>
      </c>
      <c r="T75" s="139" t="str">
        <f t="shared" si="140"/>
        <v>Copper Standard Access 5Mbit/sNearnet</v>
      </c>
      <c r="U75" s="151" t="str">
        <f t="shared" si="141"/>
        <v>Copper Standard Access 5Mbit/sNearnet</v>
      </c>
      <c r="W75" s="521">
        <f>MATCH($J75,'Tarieven ZM'!$B:$B,0)</f>
        <v>167</v>
      </c>
      <c r="X75" s="204">
        <f>INDEX('Tarieven ZM'!$H:$H,$W75)</f>
        <v>1000</v>
      </c>
      <c r="Y75" s="198">
        <f>IF(E75="Standard Access in ZG BT gebieden",0,-INDEX(Parameters!$B:$B,MATCH(Y$3&amp;$C75,Parameters!$A:$A,0))*$X75)</f>
        <v>0</v>
      </c>
      <c r="Z75" s="198">
        <f>IF(E75="Standard Access in ZG BT gebieden",0,MAX(-INDEX(Parameters!$B:$B,MATCH(Z$3&amp;$C75,Parameters!$A:$A,0))*$X75,-INDEX(Parameters!$B:$B,MATCH("FactorMaxSalesMandaat"&amp;E75,Parameters!$A:$A,0))*INDEX(Parameters!$B:$B,MATCH("MaxSalesMandaatAccessVVE"&amp;$C75,Parameters!$A:$A,0))))</f>
        <v>0</v>
      </c>
      <c r="AA75" s="139">
        <f t="shared" si="142"/>
        <v>1000</v>
      </c>
      <c r="AB75" s="205">
        <f>AA75/INDEX(Parameters!$B:$B,MATCH("AfschrijftermijnVVE"&amp;12*$C75,Parameters!$A:$A,0))</f>
        <v>27.777777777777779</v>
      </c>
      <c r="AC75" s="204">
        <f>INDEX('Tarieven ZM'!$G:$G,$W75)</f>
        <v>1000</v>
      </c>
      <c r="AD75" s="198">
        <f>IF(E75="Standard Access in ZG BT gebieden",0,-INDEX(Parameters!$B:$B,MATCH(AD$3&amp;$C75,Parameters!$A:$A,0))*$AC75)</f>
        <v>0</v>
      </c>
      <c r="AE75" s="198">
        <f>IF(E75="Standard Access in ZG BT gebieden",0,-INDEX(Parameters!$B:$B,MATCH(AE$3,Parameters!$A:$A,0))*$AC75)</f>
        <v>0</v>
      </c>
      <c r="AF75" s="139">
        <f t="shared" si="143"/>
        <v>1000</v>
      </c>
      <c r="AG75" s="522">
        <f t="shared" si="144"/>
        <v>1027.7777777777778</v>
      </c>
      <c r="AH75" s="175"/>
      <c r="AI75" s="523">
        <f>IF(N75&lt;&gt;"nvt",MATCH($T75,'Tarieven W&amp;O'!$B:$B,0),"nvt")</f>
        <v>24</v>
      </c>
      <c r="AJ75" s="205">
        <f>IF(AI75&lt;&gt;"nvt",IF($D75="EoK",INDEX(Parameters!C:C,MATCH("NLSx EoK",Parameters!A:A,0)),INDEX('Tarieven W&amp;O'!$H:$H,$AI75)),0)*R75</f>
        <v>350</v>
      </c>
      <c r="AK75" s="204">
        <f>IF(AI75&lt;&gt;"nvt",INDEX('Tarieven W&amp;O'!$I:$I,$AI75),0)*R75</f>
        <v>75</v>
      </c>
      <c r="AL75" s="524">
        <f>IF(AI75&lt;&gt;"nvt",-INDEX(Parameters!$B:$B,MATCH(AL$3,Parameters!$A:$A,0))*(AJ75+AK75),0)</f>
        <v>0</v>
      </c>
      <c r="AM75" s="525"/>
      <c r="AN75" s="139">
        <f t="shared" si="145"/>
        <v>425</v>
      </c>
      <c r="AO75" s="205">
        <f>AN75/INDEX(Parameters!$B:$B,MATCH("AfschrijftermijnVVE"&amp;12*$C75,Parameters!$A:$A,0))</f>
        <v>11.805555555555555</v>
      </c>
      <c r="AP75" s="139">
        <f t="shared" si="146"/>
        <v>24</v>
      </c>
      <c r="AQ75" s="526">
        <f>IF(AP75&lt;&gt;"nvt",R75*INDEX('Tarieven W&amp;O'!$G:$G,$AP75),0)</f>
        <v>60.97</v>
      </c>
      <c r="AR75" s="524">
        <f>-INDEX(Parameters!$B:$B,MATCH(AR$3,Parameters!$A:$A,0))*(AQ75)</f>
        <v>0</v>
      </c>
      <c r="AS75" s="205">
        <f>IF(E75="straal access",'EDC Minus'!$H$192,IF(Q75&lt;&gt;"nvt",Q75*S75*'EDC Minus'!$H$292/590,0))</f>
        <v>0</v>
      </c>
      <c r="AT75" s="139"/>
      <c r="AU75" s="150">
        <f t="shared" si="147"/>
        <v>60.97</v>
      </c>
      <c r="AV75" s="150">
        <f t="shared" si="148"/>
        <v>72.775555555555556</v>
      </c>
      <c r="AX75" s="526">
        <f>Parameters!$B$6*AV75</f>
        <v>0.7277555555555556</v>
      </c>
      <c r="AY75" s="150">
        <v>0</v>
      </c>
      <c r="AZ75" s="150"/>
      <c r="BA75" s="150">
        <f t="shared" si="149"/>
        <v>0.7277555555555556</v>
      </c>
      <c r="BC75" s="522">
        <f t="shared" si="128"/>
        <v>73.503311111111117</v>
      </c>
      <c r="BD75" s="175"/>
      <c r="BE75" s="527">
        <f t="shared" si="136"/>
        <v>954.27446666666674</v>
      </c>
      <c r="BF75" s="181">
        <f t="shared" si="137"/>
        <v>0.92848326486486488</v>
      </c>
      <c r="BG75" s="520" t="b">
        <f t="shared" si="150"/>
        <v>0</v>
      </c>
      <c r="BI75" s="528" t="s">
        <v>2181</v>
      </c>
      <c r="BK75" s="151">
        <f>VLOOKUP(J75,'Tarieven ZM'!$B$136:$I$235,8,0)</f>
        <v>0</v>
      </c>
      <c r="BL75" s="151" t="str">
        <f>IF(M75="EoK",N75&amp;"AdvancedNLS type 1/2/3",IF(E75&lt;&gt;"Straal Access",INDEX(Mapping!J:J,MATCH(E75&amp;G75,Mapping!B:B,0)),E75))</f>
        <v>Copper Standard Access 5Mbit/sAdvancedNLS type 1/2/3</v>
      </c>
      <c r="BM75" s="184">
        <f>INDEX('inkoop ULL tbv EVPN'!J:J,MATCH($BL75,'inkoop ULL tbv EVPN'!$H:$H,0))</f>
        <v>78.97</v>
      </c>
      <c r="BN75" s="180">
        <f>BM75/INDEX(Parameters!$B:$B,MATCH("AfschrijftermijnVVE"&amp;12*$C75,Parameters!$A:$A,0))</f>
        <v>2.1936111111111112</v>
      </c>
      <c r="BO75" s="184">
        <f>INDEX('inkoop ULL tbv EVPN'!I:I,MATCH($BL75,'inkoop ULL tbv EVPN'!$H:$H,0))</f>
        <v>14.7296035</v>
      </c>
      <c r="BP75" s="184">
        <f t="shared" si="129"/>
        <v>16.92321461111111</v>
      </c>
      <c r="BR75" s="180">
        <f>Parameters!$B$12*AG75</f>
        <v>102.77777777777779</v>
      </c>
      <c r="BS75" s="180">
        <f>SUM(Distributievergoedingen!$F$12,Distributievergoedingen!$I$12,Distributievergoedingen!$L$12,Distributievergoedingen!$O$12)*AF75+SUM(Distributievergoedingen!$O$12*AA75+Distributievergoedingen!$R$12+Distributievergoedingen!$U$12+Distributievergoedingen!$X$12)/(MAX(36,12*C75))</f>
        <v>112.77777777777777</v>
      </c>
      <c r="BT75" s="150"/>
      <c r="BU75" s="150">
        <f t="shared" si="130"/>
        <v>215.55555555555554</v>
      </c>
      <c r="BW75" s="522">
        <f t="shared" si="131"/>
        <v>232.47877016666666</v>
      </c>
      <c r="BY75" s="527">
        <f t="shared" si="132"/>
        <v>795.29900761111116</v>
      </c>
      <c r="BZ75" s="181">
        <f t="shared" si="133"/>
        <v>0.77380443983783787</v>
      </c>
      <c r="CA75" s="520" t="b">
        <f t="shared" si="134"/>
        <v>0</v>
      </c>
    </row>
    <row r="76" spans="1:79" s="151" customFormat="1">
      <c r="A76" s="151" t="str">
        <f t="shared" si="138"/>
        <v>2EoKStandard Access koper 10mbMiddel&lt; 250 meter</v>
      </c>
      <c r="B76" s="151" t="str">
        <f t="shared" si="139"/>
        <v>2EoKStandard Access koper 10mbMiddel&lt; 250 meter</v>
      </c>
      <c r="C76" s="178">
        <v>2</v>
      </c>
      <c r="D76" s="415" t="s">
        <v>303</v>
      </c>
      <c r="E76" s="178" t="s">
        <v>277</v>
      </c>
      <c r="F76" s="107" t="s">
        <v>280</v>
      </c>
      <c r="G76" s="178" t="s">
        <v>3397</v>
      </c>
      <c r="I76" s="178"/>
      <c r="J76" s="520" t="str">
        <f t="shared" si="135"/>
        <v>EoKStandard Access koper 10mbMiddel&lt; 250 meter</v>
      </c>
      <c r="L76" s="204">
        <f>INDEX(Mapping!$H:$H,MATCH(C$3&amp;C76,Mapping!$B:$B,0))</f>
        <v>1</v>
      </c>
      <c r="M76" s="204" t="str">
        <f>INDEX(Mapping!$H:$H,MATCH(D$3&amp;D76,Mapping!$B:$B,0))</f>
        <v>EoK</v>
      </c>
      <c r="N76" s="204" t="str">
        <f>INDEX(Mapping!$H:$H,MATCH(E$3&amp;E76,Mapping!$B:$B,0))</f>
        <v>Copper Standard Access 10Mbit/s</v>
      </c>
      <c r="O76" s="204" t="str">
        <f>INDEX(Mapping!$H:$H,MATCH(E76&amp;F76,Mapping!$B:$B,0))</f>
        <v/>
      </c>
      <c r="P76" s="204" t="str">
        <f>INDEX(Mapping!$H:$H,MATCH($E76&amp;$G76,Mapping!$B:$B,0))</f>
        <v>Nearnet</v>
      </c>
      <c r="Q76" s="204" t="str">
        <f>INDEX(Mapping!$H:$H,MATCH($E76&amp;$G76&amp;"graafafstand",Mapping!$B:$B,0))</f>
        <v>nvt</v>
      </c>
      <c r="R76" s="204">
        <f>INDEX(Mapping!$H:$H,MATCH(R$3&amp;$E76,Mapping!$B:$B,0))</f>
        <v>1</v>
      </c>
      <c r="S76" s="204">
        <f>INDEX(Mapping!$H:$H,MATCH(S$3&amp;$E76,Mapping!$B:$B,0))</f>
        <v>1</v>
      </c>
      <c r="T76" s="139" t="str">
        <f t="shared" si="140"/>
        <v>Copper Standard Access 10Mbit/sNearnet</v>
      </c>
      <c r="U76" s="151" t="str">
        <f t="shared" si="141"/>
        <v>Copper Standard Access 10Mbit/sNearnet</v>
      </c>
      <c r="W76" s="521">
        <f>MATCH($J76,'Tarieven ZM'!$B:$B,0)</f>
        <v>168</v>
      </c>
      <c r="X76" s="204">
        <f>INDEX('Tarieven ZM'!$H:$H,$W76)</f>
        <v>1000</v>
      </c>
      <c r="Y76" s="198">
        <f>IF(E76="Standard Access in ZG BT gebieden",0,-INDEX(Parameters!$B:$B,MATCH(Y$3&amp;$C76,Parameters!$A:$A,0))*$X76)</f>
        <v>0</v>
      </c>
      <c r="Z76" s="198">
        <f>IF(E76="Standard Access in ZG BT gebieden",0,MAX(-INDEX(Parameters!$B:$B,MATCH(Z$3&amp;$C76,Parameters!$A:$A,0))*$X76,-INDEX(Parameters!$B:$B,MATCH("FactorMaxSalesMandaat"&amp;E76,Parameters!$A:$A,0))*INDEX(Parameters!$B:$B,MATCH("MaxSalesMandaatAccessVVE"&amp;$C76,Parameters!$A:$A,0))))</f>
        <v>0</v>
      </c>
      <c r="AA76" s="139">
        <f t="shared" si="142"/>
        <v>1000</v>
      </c>
      <c r="AB76" s="205">
        <f>AA76/INDEX(Parameters!$B:$B,MATCH("AfschrijftermijnVVE"&amp;12*$C76,Parameters!$A:$A,0))</f>
        <v>27.777777777777779</v>
      </c>
      <c r="AC76" s="204">
        <f>INDEX('Tarieven ZM'!$G:$G,$W76)</f>
        <v>1000</v>
      </c>
      <c r="AD76" s="198">
        <f>IF(E76="Standard Access in ZG BT gebieden",0,-INDEX(Parameters!$B:$B,MATCH(AD$3&amp;$C76,Parameters!$A:$A,0))*$AC76)</f>
        <v>0</v>
      </c>
      <c r="AE76" s="198">
        <f>IF(E76="Standard Access in ZG BT gebieden",0,-INDEX(Parameters!$B:$B,MATCH(AE$3,Parameters!$A:$A,0))*$AC76)</f>
        <v>0</v>
      </c>
      <c r="AF76" s="139">
        <f t="shared" si="143"/>
        <v>1000</v>
      </c>
      <c r="AG76" s="522">
        <f t="shared" si="144"/>
        <v>1027.7777777777778</v>
      </c>
      <c r="AH76" s="175"/>
      <c r="AI76" s="523">
        <f>IF(N76&lt;&gt;"nvt",MATCH($T76,'Tarieven W&amp;O'!$B:$B,0),"nvt")</f>
        <v>25</v>
      </c>
      <c r="AJ76" s="205">
        <f>IF(AI76&lt;&gt;"nvt",IF($D76="EoK",INDEX(Parameters!C:C,MATCH("NLSx EoK",Parameters!A:A,0)),INDEX('Tarieven W&amp;O'!$H:$H,$AI76)),0)*R76</f>
        <v>350</v>
      </c>
      <c r="AK76" s="204">
        <f>IF(AI76&lt;&gt;"nvt",INDEX('Tarieven W&amp;O'!$I:$I,$AI76),0)*R76</f>
        <v>75</v>
      </c>
      <c r="AL76" s="524">
        <f>IF(AI76&lt;&gt;"nvt",-INDEX(Parameters!$B:$B,MATCH(AL$3,Parameters!$A:$A,0))*(AJ76+AK76),0)</f>
        <v>0</v>
      </c>
      <c r="AM76" s="525"/>
      <c r="AN76" s="139">
        <f t="shared" si="145"/>
        <v>425</v>
      </c>
      <c r="AO76" s="205">
        <f>AN76/INDEX(Parameters!$B:$B,MATCH("AfschrijftermijnVVE"&amp;12*$C76,Parameters!$A:$A,0))</f>
        <v>11.805555555555555</v>
      </c>
      <c r="AP76" s="139">
        <f t="shared" si="146"/>
        <v>25</v>
      </c>
      <c r="AQ76" s="526">
        <f>IF(AP76&lt;&gt;"nvt",R76*INDEX('Tarieven W&amp;O'!$G:$G,$AP76),0)</f>
        <v>83.59</v>
      </c>
      <c r="AR76" s="524">
        <f>-INDEX(Parameters!$B:$B,MATCH(AR$3,Parameters!$A:$A,0))*(AQ76)</f>
        <v>0</v>
      </c>
      <c r="AS76" s="205">
        <f>IF(E76="straal access",'EDC Minus'!$H$192,IF(Q76&lt;&gt;"nvt",Q76*S76*'EDC Minus'!$H$292/590,0))</f>
        <v>0</v>
      </c>
      <c r="AT76" s="139"/>
      <c r="AU76" s="150">
        <f t="shared" si="147"/>
        <v>83.59</v>
      </c>
      <c r="AV76" s="150">
        <f t="shared" si="148"/>
        <v>95.395555555555561</v>
      </c>
      <c r="AX76" s="526">
        <f>Parameters!$B$6*AV76</f>
        <v>0.95395555555555567</v>
      </c>
      <c r="AY76" s="150">
        <v>0</v>
      </c>
      <c r="AZ76" s="150"/>
      <c r="BA76" s="150">
        <f t="shared" si="149"/>
        <v>0.95395555555555567</v>
      </c>
      <c r="BC76" s="522">
        <f t="shared" si="128"/>
        <v>96.349511111111113</v>
      </c>
      <c r="BD76" s="175"/>
      <c r="BE76" s="527">
        <f t="shared" si="136"/>
        <v>931.42826666666667</v>
      </c>
      <c r="BF76" s="181">
        <f t="shared" si="137"/>
        <v>0.90625452972972964</v>
      </c>
      <c r="BG76" s="520" t="b">
        <f t="shared" si="150"/>
        <v>0</v>
      </c>
      <c r="BI76" s="528" t="s">
        <v>2181</v>
      </c>
      <c r="BK76" s="151">
        <f>VLOOKUP(J76,'Tarieven ZM'!$B$136:$I$235,8,0)</f>
        <v>0</v>
      </c>
      <c r="BL76" s="151" t="str">
        <f>IF(M76="EoK",N76&amp;"AdvancedNLS type 1/2/3",IF(E76&lt;&gt;"Straal Access",INDEX(Mapping!J:J,MATCH(E76&amp;G76,Mapping!B:B,0)),E76))</f>
        <v>Copper Standard Access 10Mbit/sAdvancedNLS type 1/2/3</v>
      </c>
      <c r="BM76" s="184">
        <f>INDEX('inkoop ULL tbv EVPN'!J:J,MATCH($BL76,'inkoop ULL tbv EVPN'!$H:$H,0))</f>
        <v>78.97</v>
      </c>
      <c r="BN76" s="180">
        <f>BM76/INDEX(Parameters!$B:$B,MATCH("AfschrijftermijnVVE"&amp;12*$C76,Parameters!$A:$A,0))</f>
        <v>2.1936111111111112</v>
      </c>
      <c r="BO76" s="184">
        <f>INDEX('inkoop ULL tbv EVPN'!I:I,MATCH($BL76,'inkoop ULL tbv EVPN'!$H:$H,0))</f>
        <v>14.7296035</v>
      </c>
      <c r="BP76" s="184">
        <f t="shared" si="129"/>
        <v>16.92321461111111</v>
      </c>
      <c r="BR76" s="180">
        <f>Parameters!$B$12*AG76</f>
        <v>102.77777777777779</v>
      </c>
      <c r="BS76" s="180">
        <f>SUM(Distributievergoedingen!$F$12,Distributievergoedingen!$I$12,Distributievergoedingen!$L$12,Distributievergoedingen!$O$12)*AF76+SUM(Distributievergoedingen!$O$12*AA76+Distributievergoedingen!$R$12+Distributievergoedingen!$U$12+Distributievergoedingen!$X$12)/(MAX(36,12*C76))</f>
        <v>112.77777777777777</v>
      </c>
      <c r="BT76" s="150"/>
      <c r="BU76" s="150">
        <f t="shared" si="130"/>
        <v>215.55555555555554</v>
      </c>
      <c r="BW76" s="522">
        <f t="shared" si="131"/>
        <v>232.47877016666666</v>
      </c>
      <c r="BY76" s="527">
        <f t="shared" si="132"/>
        <v>795.29900761111116</v>
      </c>
      <c r="BZ76" s="181">
        <f t="shared" si="133"/>
        <v>0.77380443983783787</v>
      </c>
      <c r="CA76" s="520" t="b">
        <f t="shared" si="134"/>
        <v>0</v>
      </c>
    </row>
    <row r="77" spans="1:79" s="151" customFormat="1">
      <c r="A77" s="151" t="str">
        <f t="shared" si="138"/>
        <v>2EoKStandard Access koper 15mbMiddel&lt; 250 meter</v>
      </c>
      <c r="B77" s="151" t="str">
        <f t="shared" si="139"/>
        <v>2EoKStandard Access koper 15mbMiddel&lt; 250 meter</v>
      </c>
      <c r="C77" s="178">
        <v>2</v>
      </c>
      <c r="D77" s="415" t="s">
        <v>303</v>
      </c>
      <c r="E77" s="178" t="s">
        <v>278</v>
      </c>
      <c r="F77" s="107" t="s">
        <v>280</v>
      </c>
      <c r="G77" s="178" t="s">
        <v>3397</v>
      </c>
      <c r="I77" s="178"/>
      <c r="J77" s="520" t="str">
        <f t="shared" si="135"/>
        <v>EoKStandard Access koper 15mbMiddel&lt; 250 meter</v>
      </c>
      <c r="L77" s="204">
        <f>INDEX(Mapping!$H:$H,MATCH(C$3&amp;C77,Mapping!$B:$B,0))</f>
        <v>1</v>
      </c>
      <c r="M77" s="204" t="str">
        <f>INDEX(Mapping!$H:$H,MATCH(D$3&amp;D77,Mapping!$B:$B,0))</f>
        <v>EoK</v>
      </c>
      <c r="N77" s="204" t="str">
        <f>INDEX(Mapping!$H:$H,MATCH(E$3&amp;E77,Mapping!$B:$B,0))</f>
        <v>Copper Standard Access 15Mbit/s</v>
      </c>
      <c r="O77" s="204" t="str">
        <f>INDEX(Mapping!$H:$H,MATCH(E77&amp;F77,Mapping!$B:$B,0))</f>
        <v/>
      </c>
      <c r="P77" s="204" t="str">
        <f>INDEX(Mapping!$H:$H,MATCH($E77&amp;$G77,Mapping!$B:$B,0))</f>
        <v>Nearnet</v>
      </c>
      <c r="Q77" s="204" t="str">
        <f>INDEX(Mapping!$H:$H,MATCH($E77&amp;$G77&amp;"graafafstand",Mapping!$B:$B,0))</f>
        <v>nvt</v>
      </c>
      <c r="R77" s="204">
        <f>INDEX(Mapping!$H:$H,MATCH(R$3&amp;$E77,Mapping!$B:$B,0))</f>
        <v>1</v>
      </c>
      <c r="S77" s="204">
        <f>INDEX(Mapping!$H:$H,MATCH(S$3&amp;$E77,Mapping!$B:$B,0))</f>
        <v>1</v>
      </c>
      <c r="T77" s="139" t="str">
        <f t="shared" si="140"/>
        <v>Copper Standard Access 15Mbit/sNearnet</v>
      </c>
      <c r="U77" s="151" t="str">
        <f t="shared" si="141"/>
        <v>Copper Standard Access 15Mbit/sNearnet</v>
      </c>
      <c r="W77" s="521">
        <f>MATCH($J77,'Tarieven ZM'!$B:$B,0)</f>
        <v>169</v>
      </c>
      <c r="X77" s="204">
        <f>INDEX('Tarieven ZM'!$H:$H,$W77)</f>
        <v>1000</v>
      </c>
      <c r="Y77" s="198">
        <f>IF(E77="Standard Access in ZG BT gebieden",0,-INDEX(Parameters!$B:$B,MATCH(Y$3&amp;$C77,Parameters!$A:$A,0))*$X77)</f>
        <v>0</v>
      </c>
      <c r="Z77" s="198">
        <f>IF(E77="Standard Access in ZG BT gebieden",0,MAX(-INDEX(Parameters!$B:$B,MATCH(Z$3&amp;$C77,Parameters!$A:$A,0))*$X77,-INDEX(Parameters!$B:$B,MATCH("FactorMaxSalesMandaat"&amp;E77,Parameters!$A:$A,0))*INDEX(Parameters!$B:$B,MATCH("MaxSalesMandaatAccessVVE"&amp;$C77,Parameters!$A:$A,0))))</f>
        <v>0</v>
      </c>
      <c r="AA77" s="139">
        <f t="shared" si="142"/>
        <v>1000</v>
      </c>
      <c r="AB77" s="205">
        <f>AA77/INDEX(Parameters!$B:$B,MATCH("AfschrijftermijnVVE"&amp;12*$C77,Parameters!$A:$A,0))</f>
        <v>27.777777777777779</v>
      </c>
      <c r="AC77" s="204">
        <f>INDEX('Tarieven ZM'!$G:$G,$W77)</f>
        <v>1000</v>
      </c>
      <c r="AD77" s="198">
        <f>IF(E77="Standard Access in ZG BT gebieden",0,-INDEX(Parameters!$B:$B,MATCH(AD$3&amp;$C77,Parameters!$A:$A,0))*$AC77)</f>
        <v>0</v>
      </c>
      <c r="AE77" s="198">
        <f>IF(E77="Standard Access in ZG BT gebieden",0,-INDEX(Parameters!$B:$B,MATCH(AE$3,Parameters!$A:$A,0))*$AC77)</f>
        <v>0</v>
      </c>
      <c r="AF77" s="139">
        <f t="shared" si="143"/>
        <v>1000</v>
      </c>
      <c r="AG77" s="522">
        <f t="shared" si="144"/>
        <v>1027.7777777777778</v>
      </c>
      <c r="AH77" s="175"/>
      <c r="AI77" s="523">
        <f>IF(N77&lt;&gt;"nvt",MATCH($T77,'Tarieven W&amp;O'!$B:$B,0),"nvt")</f>
        <v>26</v>
      </c>
      <c r="AJ77" s="205">
        <f>IF(AI77&lt;&gt;"nvt",IF($D77="EoK",INDEX(Parameters!C:C,MATCH("NLSx EoK",Parameters!A:A,0)),INDEX('Tarieven W&amp;O'!$H:$H,$AI77)),0)*R77</f>
        <v>350</v>
      </c>
      <c r="AK77" s="204">
        <f>IF(AI77&lt;&gt;"nvt",INDEX('Tarieven W&amp;O'!$I:$I,$AI77),0)*R77</f>
        <v>75</v>
      </c>
      <c r="AL77" s="524">
        <f>IF(AI77&lt;&gt;"nvt",-INDEX(Parameters!$B:$B,MATCH(AL$3,Parameters!$A:$A,0))*(AJ77+AK77),0)</f>
        <v>0</v>
      </c>
      <c r="AM77" s="525"/>
      <c r="AN77" s="139">
        <f t="shared" si="145"/>
        <v>425</v>
      </c>
      <c r="AO77" s="205">
        <f>AN77/INDEX(Parameters!$B:$B,MATCH("AfschrijftermijnVVE"&amp;12*$C77,Parameters!$A:$A,0))</f>
        <v>11.805555555555555</v>
      </c>
      <c r="AP77" s="139">
        <f t="shared" si="146"/>
        <v>26</v>
      </c>
      <c r="AQ77" s="526">
        <f>IF(AP77&lt;&gt;"nvt",R77*INDEX('Tarieven W&amp;O'!$G:$G,$AP77),0)</f>
        <v>102.44</v>
      </c>
      <c r="AR77" s="524">
        <f>-INDEX(Parameters!$B:$B,MATCH(AR$3,Parameters!$A:$A,0))*(AQ77)</f>
        <v>0</v>
      </c>
      <c r="AS77" s="205">
        <f>IF(E77="straal access",'EDC Minus'!$H$192,IF(Q77&lt;&gt;"nvt",Q77*S77*'EDC Minus'!$H$292/590,0))</f>
        <v>0</v>
      </c>
      <c r="AT77" s="139"/>
      <c r="AU77" s="150">
        <f t="shared" si="147"/>
        <v>102.44</v>
      </c>
      <c r="AV77" s="150">
        <f t="shared" si="148"/>
        <v>114.24555555555555</v>
      </c>
      <c r="AX77" s="526">
        <f>Parameters!$B$6*AV77</f>
        <v>1.1424555555555556</v>
      </c>
      <c r="AY77" s="150">
        <v>0</v>
      </c>
      <c r="AZ77" s="150"/>
      <c r="BA77" s="150">
        <f t="shared" si="149"/>
        <v>1.1424555555555556</v>
      </c>
      <c r="BC77" s="522">
        <f t="shared" si="128"/>
        <v>115.38801111111111</v>
      </c>
      <c r="BD77" s="175"/>
      <c r="BE77" s="527">
        <f t="shared" si="136"/>
        <v>912.38976666666667</v>
      </c>
      <c r="BF77" s="181">
        <f t="shared" si="137"/>
        <v>0.88773058378378378</v>
      </c>
      <c r="BG77" s="520" t="b">
        <f t="shared" si="150"/>
        <v>0</v>
      </c>
      <c r="BI77" s="528" t="s">
        <v>2181</v>
      </c>
      <c r="BK77" s="151">
        <f>VLOOKUP(J77,'Tarieven ZM'!$B$136:$I$235,8,0)</f>
        <v>0</v>
      </c>
      <c r="BL77" s="151" t="str">
        <f>IF(M77="EoK",N77&amp;"AdvancedNLS type 1/2/3",IF(E77&lt;&gt;"Straal Access",INDEX(Mapping!J:J,MATCH(E77&amp;G77,Mapping!B:B,0)),E77))</f>
        <v>Copper Standard Access 15Mbit/sAdvancedNLS type 1/2/3</v>
      </c>
      <c r="BM77" s="184">
        <f>INDEX('inkoop ULL tbv EVPN'!J:J,MATCH($BL77,'inkoop ULL tbv EVPN'!$H:$H,0))</f>
        <v>78.97</v>
      </c>
      <c r="BN77" s="180">
        <f>BM77/INDEX(Parameters!$B:$B,MATCH("AfschrijftermijnVVE"&amp;12*$C77,Parameters!$A:$A,0))</f>
        <v>2.1936111111111112</v>
      </c>
      <c r="BO77" s="184">
        <f>INDEX('inkoop ULL tbv EVPN'!I:I,MATCH($BL77,'inkoop ULL tbv EVPN'!$H:$H,0))</f>
        <v>14.7296035</v>
      </c>
      <c r="BP77" s="184">
        <f t="shared" si="129"/>
        <v>16.92321461111111</v>
      </c>
      <c r="BR77" s="180">
        <f>Parameters!$B$12*AG77</f>
        <v>102.77777777777779</v>
      </c>
      <c r="BS77" s="180">
        <f>SUM(Distributievergoedingen!$F$12,Distributievergoedingen!$I$12,Distributievergoedingen!$L$12,Distributievergoedingen!$O$12)*AF77+SUM(Distributievergoedingen!$O$12*AA77+Distributievergoedingen!$R$12+Distributievergoedingen!$U$12+Distributievergoedingen!$X$12)/(MAX(36,12*C77))</f>
        <v>112.77777777777777</v>
      </c>
      <c r="BT77" s="150"/>
      <c r="BU77" s="150">
        <f t="shared" si="130"/>
        <v>215.55555555555554</v>
      </c>
      <c r="BW77" s="522">
        <f t="shared" si="131"/>
        <v>232.47877016666666</v>
      </c>
      <c r="BY77" s="527">
        <f t="shared" si="132"/>
        <v>795.29900761111116</v>
      </c>
      <c r="BZ77" s="181">
        <f t="shared" si="133"/>
        <v>0.77380443983783787</v>
      </c>
      <c r="CA77" s="520" t="b">
        <f t="shared" si="134"/>
        <v>0</v>
      </c>
    </row>
    <row r="78" spans="1:79" s="151" customFormat="1">
      <c r="A78" s="151" t="str">
        <f t="shared" si="138"/>
        <v>2EoKStandard Access koper 20mbMiddel&lt; 250 meter</v>
      </c>
      <c r="B78" s="151" t="str">
        <f t="shared" si="139"/>
        <v>2EoKStandard Access koper 20mbMiddel&lt; 250 meter</v>
      </c>
      <c r="C78" s="178">
        <v>2</v>
      </c>
      <c r="D78" s="415" t="s">
        <v>303</v>
      </c>
      <c r="E78" s="178" t="s">
        <v>279</v>
      </c>
      <c r="F78" s="107" t="s">
        <v>280</v>
      </c>
      <c r="G78" s="178" t="s">
        <v>3397</v>
      </c>
      <c r="I78" s="178"/>
      <c r="J78" s="520" t="str">
        <f t="shared" si="135"/>
        <v>EoKStandard Access koper 20mbMiddel&lt; 250 meter</v>
      </c>
      <c r="L78" s="204">
        <f>INDEX(Mapping!$H:$H,MATCH(C$3&amp;C78,Mapping!$B:$B,0))</f>
        <v>1</v>
      </c>
      <c r="M78" s="204" t="str">
        <f>INDEX(Mapping!$H:$H,MATCH(D$3&amp;D78,Mapping!$B:$B,0))</f>
        <v>EoK</v>
      </c>
      <c r="N78" s="204" t="str">
        <f>INDEX(Mapping!$H:$H,MATCH(E$3&amp;E78,Mapping!$B:$B,0))</f>
        <v>Copper Standard Access 20Mbit/s</v>
      </c>
      <c r="O78" s="204" t="str">
        <f>INDEX(Mapping!$H:$H,MATCH(E78&amp;F78,Mapping!$B:$B,0))</f>
        <v/>
      </c>
      <c r="P78" s="204" t="str">
        <f>INDEX(Mapping!$H:$H,MATCH($E78&amp;$G78,Mapping!$B:$B,0))</f>
        <v>Nearnet</v>
      </c>
      <c r="Q78" s="204" t="str">
        <f>INDEX(Mapping!$H:$H,MATCH($E78&amp;$G78&amp;"graafafstand",Mapping!$B:$B,0))</f>
        <v>nvt</v>
      </c>
      <c r="R78" s="204">
        <f>INDEX(Mapping!$H:$H,MATCH(R$3&amp;$E78,Mapping!$B:$B,0))</f>
        <v>1</v>
      </c>
      <c r="S78" s="204">
        <f>INDEX(Mapping!$H:$H,MATCH(S$3&amp;$E78,Mapping!$B:$B,0))</f>
        <v>1</v>
      </c>
      <c r="T78" s="139" t="str">
        <f t="shared" si="140"/>
        <v>Copper Standard Access 20Mbit/sNearnet</v>
      </c>
      <c r="U78" s="151" t="str">
        <f t="shared" si="141"/>
        <v>Copper Standard Access 20Mbit/sNearnet</v>
      </c>
      <c r="W78" s="521">
        <f>MATCH($J78,'Tarieven ZM'!$B:$B,0)</f>
        <v>170</v>
      </c>
      <c r="X78" s="204">
        <f>INDEX('Tarieven ZM'!$H:$H,$W78)</f>
        <v>1000</v>
      </c>
      <c r="Y78" s="198">
        <f>IF(E78="Standard Access in ZG BT gebieden",0,-INDEX(Parameters!$B:$B,MATCH(Y$3&amp;$C78,Parameters!$A:$A,0))*$X78)</f>
        <v>0</v>
      </c>
      <c r="Z78" s="198">
        <f>IF(E78="Standard Access in ZG BT gebieden",0,MAX(-INDEX(Parameters!$B:$B,MATCH(Z$3&amp;$C78,Parameters!$A:$A,0))*$X78,-INDEX(Parameters!$B:$B,MATCH("FactorMaxSalesMandaat"&amp;E78,Parameters!$A:$A,0))*INDEX(Parameters!$B:$B,MATCH("MaxSalesMandaatAccessVVE"&amp;$C78,Parameters!$A:$A,0))))</f>
        <v>0</v>
      </c>
      <c r="AA78" s="139">
        <f t="shared" si="142"/>
        <v>1000</v>
      </c>
      <c r="AB78" s="205">
        <f>AA78/INDEX(Parameters!$B:$B,MATCH("AfschrijftermijnVVE"&amp;12*$C78,Parameters!$A:$A,0))</f>
        <v>27.777777777777779</v>
      </c>
      <c r="AC78" s="204">
        <f>INDEX('Tarieven ZM'!$G:$G,$W78)</f>
        <v>1000</v>
      </c>
      <c r="AD78" s="198">
        <f>IF(E78="Standard Access in ZG BT gebieden",0,-INDEX(Parameters!$B:$B,MATCH(AD$3&amp;$C78,Parameters!$A:$A,0))*$AC78)</f>
        <v>0</v>
      </c>
      <c r="AE78" s="198">
        <f>IF(E78="Standard Access in ZG BT gebieden",0,-INDEX(Parameters!$B:$B,MATCH(AE$3,Parameters!$A:$A,0))*$AC78)</f>
        <v>0</v>
      </c>
      <c r="AF78" s="139">
        <f t="shared" si="143"/>
        <v>1000</v>
      </c>
      <c r="AG78" s="522">
        <f t="shared" si="144"/>
        <v>1027.7777777777778</v>
      </c>
      <c r="AH78" s="175"/>
      <c r="AI78" s="523">
        <f>IF(N78&lt;&gt;"nvt",MATCH($T78,'Tarieven W&amp;O'!$B:$B,0),"nvt")</f>
        <v>27</v>
      </c>
      <c r="AJ78" s="205">
        <f>IF(AI78&lt;&gt;"nvt",IF($D78="EoK",INDEX(Parameters!C:C,MATCH("NLSx EoK",Parameters!A:A,0)),INDEX('Tarieven W&amp;O'!$H:$H,$AI78)),0)*R78</f>
        <v>350</v>
      </c>
      <c r="AK78" s="204">
        <f>IF(AI78&lt;&gt;"nvt",INDEX('Tarieven W&amp;O'!$I:$I,$AI78),0)*R78</f>
        <v>75</v>
      </c>
      <c r="AL78" s="524">
        <f>IF(AI78&lt;&gt;"nvt",-INDEX(Parameters!$B:$B,MATCH(AL$3,Parameters!$A:$A,0))*(AJ78+AK78),0)</f>
        <v>0</v>
      </c>
      <c r="AM78" s="525"/>
      <c r="AN78" s="139">
        <f t="shared" si="145"/>
        <v>425</v>
      </c>
      <c r="AO78" s="205">
        <f>AN78/INDEX(Parameters!$B:$B,MATCH("AfschrijftermijnVVE"&amp;12*$C78,Parameters!$A:$A,0))</f>
        <v>11.805555555555555</v>
      </c>
      <c r="AP78" s="139">
        <f t="shared" si="146"/>
        <v>27</v>
      </c>
      <c r="AQ78" s="526">
        <f>IF(AP78&lt;&gt;"nvt",R78*INDEX('Tarieven W&amp;O'!$G:$G,$AP78),0)</f>
        <v>121.28</v>
      </c>
      <c r="AR78" s="524">
        <f>-INDEX(Parameters!$B:$B,MATCH(AR$3,Parameters!$A:$A,0))*(AQ78)</f>
        <v>0</v>
      </c>
      <c r="AS78" s="205">
        <f>IF(E78="straal access",'EDC Minus'!$H$192,IF(Q78&lt;&gt;"nvt",Q78*S78*'EDC Minus'!$H$292/590,0))</f>
        <v>0</v>
      </c>
      <c r="AT78" s="139"/>
      <c r="AU78" s="150">
        <f t="shared" si="147"/>
        <v>121.28</v>
      </c>
      <c r="AV78" s="150">
        <f t="shared" si="148"/>
        <v>133.08555555555554</v>
      </c>
      <c r="AX78" s="526">
        <f>Parameters!$B$6*AV78</f>
        <v>1.3308555555555555</v>
      </c>
      <c r="AY78" s="150">
        <v>0</v>
      </c>
      <c r="AZ78" s="150"/>
      <c r="BA78" s="150">
        <f t="shared" si="149"/>
        <v>1.3308555555555555</v>
      </c>
      <c r="BC78" s="522">
        <f t="shared" si="128"/>
        <v>134.4164111111111</v>
      </c>
      <c r="BD78" s="175"/>
      <c r="BE78" s="527">
        <f t="shared" si="136"/>
        <v>893.36136666666675</v>
      </c>
      <c r="BF78" s="181">
        <f t="shared" si="137"/>
        <v>0.86921646486486492</v>
      </c>
      <c r="BG78" s="520" t="b">
        <f t="shared" si="150"/>
        <v>0</v>
      </c>
      <c r="BI78" s="528" t="s">
        <v>2181</v>
      </c>
      <c r="BK78" s="151">
        <f>VLOOKUP(J78,'Tarieven ZM'!$B$136:$I$235,8,0)</f>
        <v>0</v>
      </c>
      <c r="BL78" s="151" t="str">
        <f>IF(M78="EoK",N78&amp;"AdvancedNLS type 1/2/3",IF(E78&lt;&gt;"Straal Access",INDEX(Mapping!J:J,MATCH(E78&amp;G78,Mapping!B:B,0)),E78))</f>
        <v>Copper Standard Access 20Mbit/sAdvancedNLS type 1/2/3</v>
      </c>
      <c r="BM78" s="184">
        <f>INDEX('inkoop ULL tbv EVPN'!J:J,MATCH($BL78,'inkoop ULL tbv EVPN'!$H:$H,0))</f>
        <v>78.97</v>
      </c>
      <c r="BN78" s="180">
        <f>BM78/INDEX(Parameters!$B:$B,MATCH("AfschrijftermijnVVE"&amp;12*$C78,Parameters!$A:$A,0))</f>
        <v>2.1936111111111112</v>
      </c>
      <c r="BO78" s="184">
        <f>INDEX('inkoop ULL tbv EVPN'!I:I,MATCH($BL78,'inkoop ULL tbv EVPN'!$H:$H,0))</f>
        <v>14.7296035</v>
      </c>
      <c r="BP78" s="184">
        <f t="shared" si="129"/>
        <v>16.92321461111111</v>
      </c>
      <c r="BR78" s="180">
        <f>Parameters!$B$12*AG78</f>
        <v>102.77777777777779</v>
      </c>
      <c r="BS78" s="180">
        <f>SUM(Distributievergoedingen!$F$12,Distributievergoedingen!$I$12,Distributievergoedingen!$L$12,Distributievergoedingen!$O$12)*AF78+SUM(Distributievergoedingen!$O$12*AA78+Distributievergoedingen!$R$12+Distributievergoedingen!$U$12+Distributievergoedingen!$X$12)/(MAX(36,12*C78))</f>
        <v>112.77777777777777</v>
      </c>
      <c r="BT78" s="150"/>
      <c r="BU78" s="150">
        <f t="shared" si="130"/>
        <v>215.55555555555554</v>
      </c>
      <c r="BW78" s="522">
        <f t="shared" si="131"/>
        <v>232.47877016666666</v>
      </c>
      <c r="BY78" s="527">
        <f t="shared" si="132"/>
        <v>795.29900761111116</v>
      </c>
      <c r="BZ78" s="181">
        <f t="shared" si="133"/>
        <v>0.77380443983783787</v>
      </c>
      <c r="CA78" s="520" t="b">
        <f t="shared" si="134"/>
        <v>0</v>
      </c>
    </row>
    <row r="79" spans="1:79" s="151" customFormat="1">
      <c r="A79" s="151" t="str">
        <f t="shared" ref="A79:A93" si="151">C79&amp;D79&amp;E79&amp;F79&amp;G79</f>
        <v>2EoKStandard Access koper 3mbLaagOn-net (NLS1, 2)</v>
      </c>
      <c r="B79" s="151" t="str">
        <f t="shared" ref="B79:B93" si="152">A79</f>
        <v>2EoKStandard Access koper 3mbLaagOn-net (NLS1, 2)</v>
      </c>
      <c r="C79" s="178">
        <v>2</v>
      </c>
      <c r="D79" s="415" t="s">
        <v>303</v>
      </c>
      <c r="E79" s="178" t="s">
        <v>268</v>
      </c>
      <c r="F79" s="107" t="s">
        <v>275</v>
      </c>
      <c r="G79" s="178" t="s">
        <v>281</v>
      </c>
      <c r="I79" s="178"/>
      <c r="J79" s="520" t="str">
        <f t="shared" ref="J79:J98" si="153">D79&amp;E79&amp;F79&amp;G79</f>
        <v>EoKStandard Access koper 3mbLaagOn-net (NLS1, 2)</v>
      </c>
      <c r="L79" s="204">
        <f>INDEX(Mapping!$H:$H,MATCH(C$3&amp;C79,Mapping!$B:$B,0))</f>
        <v>1</v>
      </c>
      <c r="M79" s="204" t="str">
        <f>INDEX(Mapping!$H:$H,MATCH(D$3&amp;D79,Mapping!$B:$B,0))</f>
        <v>EoK</v>
      </c>
      <c r="N79" s="204" t="str">
        <f>INDEX(Mapping!$H:$H,MATCH(E$3&amp;E79,Mapping!$B:$B,0))</f>
        <v>Copper Standard Access 3Mbit/s</v>
      </c>
      <c r="O79" s="204" t="str">
        <f>INDEX(Mapping!$H:$H,MATCH(E79&amp;F79,Mapping!$B:$B,0))</f>
        <v/>
      </c>
      <c r="P79" s="204" t="str">
        <f>INDEX(Mapping!$H:$H,MATCH($E79&amp;$G79,Mapping!$B:$B,0))</f>
        <v>On-net (NLS1, 2)</v>
      </c>
      <c r="Q79" s="204">
        <f>INDEX(Mapping!$H:$H,MATCH($E79&amp;$G79&amp;"graafafstand",Mapping!$B:$B,0))</f>
        <v>0</v>
      </c>
      <c r="R79" s="204">
        <f>INDEX(Mapping!$H:$H,MATCH(R$3&amp;$E79,Mapping!$B:$B,0))</f>
        <v>1</v>
      </c>
      <c r="S79" s="204">
        <f>INDEX(Mapping!$H:$H,MATCH(S$3&amp;$E79,Mapping!$B:$B,0))</f>
        <v>1</v>
      </c>
      <c r="T79" s="139" t="str">
        <f t="shared" ref="T79:T93" si="154">N79&amp;O79&amp;P79</f>
        <v>Copper Standard Access 3Mbit/sOn-net (NLS1, 2)</v>
      </c>
      <c r="U79" s="151" t="str">
        <f t="shared" ref="U79:U93" si="155">T79</f>
        <v>Copper Standard Access 3Mbit/sOn-net (NLS1, 2)</v>
      </c>
      <c r="W79" s="521">
        <f>MATCH($J79,'Tarieven ZM'!$B:$B,0)</f>
        <v>171</v>
      </c>
      <c r="X79" s="204">
        <f>INDEX('Tarieven ZM'!$H:$H,$W79)</f>
        <v>1000</v>
      </c>
      <c r="Y79" s="198">
        <f>IF(E79="Standard Access in ZG BT gebieden",0,-INDEX(Parameters!$B:$B,MATCH(Y$3&amp;$C79,Parameters!$A:$A,0))*$X79)</f>
        <v>0</v>
      </c>
      <c r="Z79" s="198">
        <f>IF(E79="Standard Access in ZG BT gebieden",0,MAX(-INDEX(Parameters!$B:$B,MATCH(Z$3&amp;$C79,Parameters!$A:$A,0))*$X79,-INDEX(Parameters!$B:$B,MATCH("FactorMaxSalesMandaat"&amp;E79,Parameters!$A:$A,0))*INDEX(Parameters!$B:$B,MATCH("MaxSalesMandaatAccessVVE"&amp;$C79,Parameters!$A:$A,0))))</f>
        <v>0</v>
      </c>
      <c r="AA79" s="139">
        <f t="shared" ref="AA79:AA93" si="156">SUM(X79:Z79)</f>
        <v>1000</v>
      </c>
      <c r="AB79" s="205">
        <f>AA79/INDEX(Parameters!$B:$B,MATCH("AfschrijftermijnVVE"&amp;12*$C79,Parameters!$A:$A,0))</f>
        <v>27.777777777777779</v>
      </c>
      <c r="AC79" s="204">
        <f>INDEX('Tarieven ZM'!$G:$G,$W79)</f>
        <v>1000</v>
      </c>
      <c r="AD79" s="198">
        <f>IF(E79="Standard Access in ZG BT gebieden",0,-INDEX(Parameters!$B:$B,MATCH(AD$3&amp;$C79,Parameters!$A:$A,0))*$AC79)</f>
        <v>0</v>
      </c>
      <c r="AE79" s="198">
        <f>IF(E79="Standard Access in ZG BT gebieden",0,-INDEX(Parameters!$B:$B,MATCH(AE$3,Parameters!$A:$A,0))*$AC79)</f>
        <v>0</v>
      </c>
      <c r="AF79" s="139">
        <f t="shared" ref="AF79:AF93" si="157">SUM(AC79:AE79)</f>
        <v>1000</v>
      </c>
      <c r="AG79" s="522">
        <f t="shared" ref="AG79:AG93" si="158">SUM(AB79,AF79)</f>
        <v>1027.7777777777778</v>
      </c>
      <c r="AH79" s="175"/>
      <c r="AI79" s="523">
        <f>IF(N79&lt;&gt;"nvt",MATCH($T79,'Tarieven W&amp;O'!$B:$B,0),"nvt")</f>
        <v>9</v>
      </c>
      <c r="AJ79" s="205">
        <f>IF(AI79&lt;&gt;"nvt",IF($D79="EoK",INDEX(Parameters!C:C,MATCH("NLSx EoK",Parameters!A:A,0)),INDEX('Tarieven W&amp;O'!$H:$H,$AI79)),0)*R79</f>
        <v>350</v>
      </c>
      <c r="AK79" s="204">
        <f>IF(AI79&lt;&gt;"nvt",INDEX('Tarieven W&amp;O'!$I:$I,$AI79),0)*R79</f>
        <v>75</v>
      </c>
      <c r="AL79" s="524">
        <f>IF(AI79&lt;&gt;"nvt",-INDEX(Parameters!$B:$B,MATCH(AL$3,Parameters!$A:$A,0))*(AJ79+AK79),0)</f>
        <v>0</v>
      </c>
      <c r="AM79" s="525"/>
      <c r="AN79" s="139">
        <f t="shared" ref="AN79:AN93" si="159">SUM(AJ79:AM79)</f>
        <v>425</v>
      </c>
      <c r="AO79" s="205">
        <f>AN79/INDEX(Parameters!$B:$B,MATCH("AfschrijftermijnVVE"&amp;12*$C79,Parameters!$A:$A,0))</f>
        <v>11.805555555555555</v>
      </c>
      <c r="AP79" s="139">
        <f t="shared" ref="AP79:AP93" si="160">AI79</f>
        <v>9</v>
      </c>
      <c r="AQ79" s="526">
        <f>IF(AP79&lt;&gt;"nvt",R79*INDEX('Tarieven W&amp;O'!$G:$G,$AP79),0)</f>
        <v>41.5</v>
      </c>
      <c r="AR79" s="524">
        <f>-INDEX(Parameters!$B:$B,MATCH(AR$3,Parameters!$A:$A,0))*(AQ79)</f>
        <v>0</v>
      </c>
      <c r="AS79" s="205">
        <f>IF(E79="straal access",'EDC Minus'!$H$192,IF(Q79&lt;&gt;"nvt",Q79*S79*'EDC Minus'!$H$292/590,0))</f>
        <v>0</v>
      </c>
      <c r="AT79" s="139"/>
      <c r="AU79" s="150">
        <f t="shared" ref="AU79:AU93" si="161">SUM(AQ79:AT79)</f>
        <v>41.5</v>
      </c>
      <c r="AV79" s="150">
        <f t="shared" ref="AV79:AV93" si="162">SUM(AO79,AU79)</f>
        <v>53.305555555555557</v>
      </c>
      <c r="AX79" s="526">
        <f>Parameters!$B$6*AV79</f>
        <v>0.53305555555555562</v>
      </c>
      <c r="AY79" s="150">
        <v>0</v>
      </c>
      <c r="AZ79" s="150"/>
      <c r="BA79" s="150">
        <f t="shared" ref="BA79:BA93" si="163">SUM(AX79:AZ79)</f>
        <v>0.53305555555555562</v>
      </c>
      <c r="BC79" s="522">
        <f t="shared" ref="BC79:BC93" si="164">SUM(AV79,BA79)</f>
        <v>53.838611111111113</v>
      </c>
      <c r="BD79" s="175"/>
      <c r="BE79" s="527">
        <f t="shared" si="136"/>
        <v>973.93916666666667</v>
      </c>
      <c r="BF79" s="181">
        <f t="shared" si="137"/>
        <v>0.94761648648648644</v>
      </c>
      <c r="BG79" s="520" t="b">
        <f t="shared" ref="BG79:BG93" si="165">BF79&lt;0</f>
        <v>0</v>
      </c>
      <c r="BI79" s="528" t="s">
        <v>2181</v>
      </c>
      <c r="BK79" s="151">
        <f>VLOOKUP(J79,'Tarieven ZM'!$B$136:$I$235,8,0)</f>
        <v>0</v>
      </c>
      <c r="BL79" s="151" t="str">
        <f>IF(M79="EoK",N79&amp;"AdvancedNLS type 1/2/3",IF(E79&lt;&gt;"Straal Access",INDEX(Mapping!J:J,MATCH(E79&amp;G79,Mapping!B:B,0)),E79))</f>
        <v>Copper Standard Access 3Mbit/sAdvancedNLS type 1/2/3</v>
      </c>
      <c r="BM79" s="184">
        <f>INDEX('inkoop ULL tbv EVPN'!J:J,MATCH($BL79,'inkoop ULL tbv EVPN'!$H:$H,0))</f>
        <v>78.97</v>
      </c>
      <c r="BN79" s="180">
        <f>BM79/INDEX(Parameters!$B:$B,MATCH("AfschrijftermijnVVE"&amp;12*$C79,Parameters!$A:$A,0))</f>
        <v>2.1936111111111112</v>
      </c>
      <c r="BO79" s="184">
        <f>INDEX('inkoop ULL tbv EVPN'!I:I,MATCH($BL79,'inkoop ULL tbv EVPN'!$H:$H,0))</f>
        <v>14.7296035</v>
      </c>
      <c r="BP79" s="184">
        <f t="shared" ref="BP79:BP93" si="166">BN79+BO79</f>
        <v>16.92321461111111</v>
      </c>
      <c r="BR79" s="180">
        <f>Parameters!$B$12*AG79</f>
        <v>102.77777777777779</v>
      </c>
      <c r="BS79" s="180">
        <f>SUM(Distributievergoedingen!$F$12,Distributievergoedingen!$I$12,Distributievergoedingen!$L$12,Distributievergoedingen!$O$12)*AF79+SUM(Distributievergoedingen!$O$12*AA79+Distributievergoedingen!$R$12+Distributievergoedingen!$U$12+Distributievergoedingen!$X$12)/(MAX(36,12*C79))</f>
        <v>112.77777777777777</v>
      </c>
      <c r="BT79" s="150"/>
      <c r="BU79" s="150">
        <f t="shared" ref="BU79:BU93" si="167">SUM(BR79:BT79)</f>
        <v>215.55555555555554</v>
      </c>
      <c r="BW79" s="522">
        <f t="shared" ref="BW79:BW93" si="168">SUM(BP79,BU79)</f>
        <v>232.47877016666666</v>
      </c>
      <c r="BY79" s="527">
        <f t="shared" ref="BY79:BY93" si="169">AG79-BW79</f>
        <v>795.29900761111116</v>
      </c>
      <c r="BZ79" s="181">
        <f t="shared" ref="BZ79:BZ93" si="170">IF(AG79=0,-999%,BY79/AG79)</f>
        <v>0.77380443983783787</v>
      </c>
      <c r="CA79" s="520" t="b">
        <f t="shared" ref="CA79:CA93" si="171">BZ79&lt;0</f>
        <v>0</v>
      </c>
    </row>
    <row r="80" spans="1:79" s="151" customFormat="1">
      <c r="A80" s="151" t="str">
        <f t="shared" si="151"/>
        <v>2EoKStandard Access koper 5mbLaagOn-net (NLS1, 2)</v>
      </c>
      <c r="B80" s="151" t="str">
        <f t="shared" si="152"/>
        <v>2EoKStandard Access koper 5mbLaagOn-net (NLS1, 2)</v>
      </c>
      <c r="C80" s="178">
        <v>2</v>
      </c>
      <c r="D80" s="415" t="s">
        <v>303</v>
      </c>
      <c r="E80" s="178" t="s">
        <v>276</v>
      </c>
      <c r="F80" s="107" t="s">
        <v>275</v>
      </c>
      <c r="G80" s="178" t="s">
        <v>281</v>
      </c>
      <c r="I80" s="178"/>
      <c r="J80" s="520" t="str">
        <f t="shared" si="153"/>
        <v>EoKStandard Access koper 5mbLaagOn-net (NLS1, 2)</v>
      </c>
      <c r="L80" s="204">
        <f>INDEX(Mapping!$H:$H,MATCH(C$3&amp;C80,Mapping!$B:$B,0))</f>
        <v>1</v>
      </c>
      <c r="M80" s="204" t="str">
        <f>INDEX(Mapping!$H:$H,MATCH(D$3&amp;D80,Mapping!$B:$B,0))</f>
        <v>EoK</v>
      </c>
      <c r="N80" s="204" t="str">
        <f>INDEX(Mapping!$H:$H,MATCH(E$3&amp;E80,Mapping!$B:$B,0))</f>
        <v>Copper Standard Access 5Mbit/s</v>
      </c>
      <c r="O80" s="204" t="str">
        <f>INDEX(Mapping!$H:$H,MATCH(E80&amp;F80,Mapping!$B:$B,0))</f>
        <v/>
      </c>
      <c r="P80" s="204" t="str">
        <f>INDEX(Mapping!$H:$H,MATCH($E80&amp;$G80,Mapping!$B:$B,0))</f>
        <v>On-net (NLS1, 2)</v>
      </c>
      <c r="Q80" s="204">
        <f>INDEX(Mapping!$H:$H,MATCH($E80&amp;$G80&amp;"graafafstand",Mapping!$B:$B,0))</f>
        <v>0</v>
      </c>
      <c r="R80" s="204">
        <f>INDEX(Mapping!$H:$H,MATCH(R$3&amp;$E80,Mapping!$B:$B,0))</f>
        <v>1</v>
      </c>
      <c r="S80" s="204">
        <f>INDEX(Mapping!$H:$H,MATCH(S$3&amp;$E80,Mapping!$B:$B,0))</f>
        <v>1</v>
      </c>
      <c r="T80" s="139" t="str">
        <f t="shared" si="154"/>
        <v>Copper Standard Access 5Mbit/sOn-net (NLS1, 2)</v>
      </c>
      <c r="U80" s="151" t="str">
        <f t="shared" si="155"/>
        <v>Copper Standard Access 5Mbit/sOn-net (NLS1, 2)</v>
      </c>
      <c r="W80" s="521">
        <f>MATCH($J80,'Tarieven ZM'!$B:$B,0)</f>
        <v>172</v>
      </c>
      <c r="X80" s="204">
        <f>INDEX('Tarieven ZM'!$H:$H,$W80)</f>
        <v>1000</v>
      </c>
      <c r="Y80" s="198">
        <f>IF(E80="Standard Access in ZG BT gebieden",0,-INDEX(Parameters!$B:$B,MATCH(Y$3&amp;$C80,Parameters!$A:$A,0))*$X80)</f>
        <v>0</v>
      </c>
      <c r="Z80" s="198">
        <f>IF(E80="Standard Access in ZG BT gebieden",0,MAX(-INDEX(Parameters!$B:$B,MATCH(Z$3&amp;$C80,Parameters!$A:$A,0))*$X80,-INDEX(Parameters!$B:$B,MATCH("FactorMaxSalesMandaat"&amp;E80,Parameters!$A:$A,0))*INDEX(Parameters!$B:$B,MATCH("MaxSalesMandaatAccessVVE"&amp;$C80,Parameters!$A:$A,0))))</f>
        <v>0</v>
      </c>
      <c r="AA80" s="139">
        <f t="shared" si="156"/>
        <v>1000</v>
      </c>
      <c r="AB80" s="205">
        <f>AA80/INDEX(Parameters!$B:$B,MATCH("AfschrijftermijnVVE"&amp;12*$C80,Parameters!$A:$A,0))</f>
        <v>27.777777777777779</v>
      </c>
      <c r="AC80" s="204">
        <f>INDEX('Tarieven ZM'!$G:$G,$W80)</f>
        <v>1000</v>
      </c>
      <c r="AD80" s="198">
        <f>IF(E80="Standard Access in ZG BT gebieden",0,-INDEX(Parameters!$B:$B,MATCH(AD$3&amp;$C80,Parameters!$A:$A,0))*$AC80)</f>
        <v>0</v>
      </c>
      <c r="AE80" s="198">
        <f>IF(E80="Standard Access in ZG BT gebieden",0,-INDEX(Parameters!$B:$B,MATCH(AE$3,Parameters!$A:$A,0))*$AC80)</f>
        <v>0</v>
      </c>
      <c r="AF80" s="139">
        <f t="shared" si="157"/>
        <v>1000</v>
      </c>
      <c r="AG80" s="522">
        <f t="shared" si="158"/>
        <v>1027.7777777777778</v>
      </c>
      <c r="AH80" s="175"/>
      <c r="AI80" s="523">
        <f>IF(N80&lt;&gt;"nvt",MATCH($T80,'Tarieven W&amp;O'!$B:$B,0),"nvt")</f>
        <v>10</v>
      </c>
      <c r="AJ80" s="205">
        <f>IF(AI80&lt;&gt;"nvt",IF($D80="EoK",INDEX(Parameters!C:C,MATCH("NLSx EoK",Parameters!A:A,0)),INDEX('Tarieven W&amp;O'!$H:$H,$AI80)),0)*R80</f>
        <v>350</v>
      </c>
      <c r="AK80" s="204">
        <f>IF(AI80&lt;&gt;"nvt",INDEX('Tarieven W&amp;O'!$I:$I,$AI80),0)*R80</f>
        <v>75</v>
      </c>
      <c r="AL80" s="524">
        <f>IF(AI80&lt;&gt;"nvt",-INDEX(Parameters!$B:$B,MATCH(AL$3,Parameters!$A:$A,0))*(AJ80+AK80),0)</f>
        <v>0</v>
      </c>
      <c r="AM80" s="525"/>
      <c r="AN80" s="139">
        <f t="shared" si="159"/>
        <v>425</v>
      </c>
      <c r="AO80" s="205">
        <f>AN80/INDEX(Parameters!$B:$B,MATCH("AfschrijftermijnVVE"&amp;12*$C80,Parameters!$A:$A,0))</f>
        <v>11.805555555555555</v>
      </c>
      <c r="AP80" s="139">
        <f t="shared" si="160"/>
        <v>10</v>
      </c>
      <c r="AQ80" s="526">
        <f>IF(AP80&lt;&gt;"nvt",R80*INDEX('Tarieven W&amp;O'!$G:$G,$AP80),0)</f>
        <v>60.97</v>
      </c>
      <c r="AR80" s="524">
        <f>-INDEX(Parameters!$B:$B,MATCH(AR$3,Parameters!$A:$A,0))*(AQ80)</f>
        <v>0</v>
      </c>
      <c r="AS80" s="205">
        <f>IF(E80="straal access",'EDC Minus'!$H$192,IF(Q80&lt;&gt;"nvt",Q80*S80*'EDC Minus'!$H$292/590,0))</f>
        <v>0</v>
      </c>
      <c r="AT80" s="139"/>
      <c r="AU80" s="150">
        <f t="shared" si="161"/>
        <v>60.97</v>
      </c>
      <c r="AV80" s="150">
        <f t="shared" si="162"/>
        <v>72.775555555555556</v>
      </c>
      <c r="AX80" s="526">
        <f>Parameters!$B$6*AV80</f>
        <v>0.7277555555555556</v>
      </c>
      <c r="AY80" s="150">
        <v>0</v>
      </c>
      <c r="AZ80" s="150"/>
      <c r="BA80" s="150">
        <f t="shared" si="163"/>
        <v>0.7277555555555556</v>
      </c>
      <c r="BC80" s="522">
        <f t="shared" si="164"/>
        <v>73.503311111111117</v>
      </c>
      <c r="BD80" s="175"/>
      <c r="BE80" s="527">
        <f t="shared" si="136"/>
        <v>954.27446666666674</v>
      </c>
      <c r="BF80" s="181">
        <f t="shared" si="137"/>
        <v>0.92848326486486488</v>
      </c>
      <c r="BG80" s="520" t="b">
        <f t="shared" si="165"/>
        <v>0</v>
      </c>
      <c r="BI80" s="528" t="s">
        <v>2181</v>
      </c>
      <c r="BK80" s="151">
        <f>VLOOKUP(J80,'Tarieven ZM'!$B$136:$I$235,8,0)</f>
        <v>0</v>
      </c>
      <c r="BL80" s="151" t="str">
        <f>IF(M80="EoK",N80&amp;"AdvancedNLS type 1/2/3",IF(E80&lt;&gt;"Straal Access",INDEX(Mapping!J:J,MATCH(E80&amp;G80,Mapping!B:B,0)),E80))</f>
        <v>Copper Standard Access 5Mbit/sAdvancedNLS type 1/2/3</v>
      </c>
      <c r="BM80" s="184">
        <f>INDEX('inkoop ULL tbv EVPN'!J:J,MATCH($BL80,'inkoop ULL tbv EVPN'!$H:$H,0))</f>
        <v>78.97</v>
      </c>
      <c r="BN80" s="180">
        <f>BM80/INDEX(Parameters!$B:$B,MATCH("AfschrijftermijnVVE"&amp;12*$C80,Parameters!$A:$A,0))</f>
        <v>2.1936111111111112</v>
      </c>
      <c r="BO80" s="184">
        <f>INDEX('inkoop ULL tbv EVPN'!I:I,MATCH($BL80,'inkoop ULL tbv EVPN'!$H:$H,0))</f>
        <v>14.7296035</v>
      </c>
      <c r="BP80" s="184">
        <f t="shared" si="166"/>
        <v>16.92321461111111</v>
      </c>
      <c r="BR80" s="180">
        <f>Parameters!$B$12*AG80</f>
        <v>102.77777777777779</v>
      </c>
      <c r="BS80" s="180">
        <f>SUM(Distributievergoedingen!$F$12,Distributievergoedingen!$I$12,Distributievergoedingen!$L$12,Distributievergoedingen!$O$12)*AF80+SUM(Distributievergoedingen!$O$12*AA80+Distributievergoedingen!$R$12+Distributievergoedingen!$U$12+Distributievergoedingen!$X$12)/(MAX(36,12*C80))</f>
        <v>112.77777777777777</v>
      </c>
      <c r="BT80" s="150"/>
      <c r="BU80" s="150">
        <f t="shared" si="167"/>
        <v>215.55555555555554</v>
      </c>
      <c r="BW80" s="522">
        <f t="shared" si="168"/>
        <v>232.47877016666666</v>
      </c>
      <c r="BY80" s="527">
        <f t="shared" si="169"/>
        <v>795.29900761111116</v>
      </c>
      <c r="BZ80" s="181">
        <f t="shared" si="170"/>
        <v>0.77380443983783787</v>
      </c>
      <c r="CA80" s="520" t="b">
        <f t="shared" si="171"/>
        <v>0</v>
      </c>
    </row>
    <row r="81" spans="1:79" s="151" customFormat="1">
      <c r="A81" s="151" t="str">
        <f t="shared" si="151"/>
        <v>2EoKStandard Access koper 10mbLaagOn-net (NLS1, 2)</v>
      </c>
      <c r="B81" s="151" t="str">
        <f t="shared" si="152"/>
        <v>2EoKStandard Access koper 10mbLaagOn-net (NLS1, 2)</v>
      </c>
      <c r="C81" s="178">
        <v>2</v>
      </c>
      <c r="D81" s="415" t="s">
        <v>303</v>
      </c>
      <c r="E81" s="178" t="s">
        <v>277</v>
      </c>
      <c r="F81" s="107" t="s">
        <v>275</v>
      </c>
      <c r="G81" s="178" t="s">
        <v>281</v>
      </c>
      <c r="I81" s="178"/>
      <c r="J81" s="520" t="str">
        <f t="shared" si="153"/>
        <v>EoKStandard Access koper 10mbLaagOn-net (NLS1, 2)</v>
      </c>
      <c r="L81" s="204">
        <f>INDEX(Mapping!$H:$H,MATCH(C$3&amp;C81,Mapping!$B:$B,0))</f>
        <v>1</v>
      </c>
      <c r="M81" s="204" t="str">
        <f>INDEX(Mapping!$H:$H,MATCH(D$3&amp;D81,Mapping!$B:$B,0))</f>
        <v>EoK</v>
      </c>
      <c r="N81" s="204" t="str">
        <f>INDEX(Mapping!$H:$H,MATCH(E$3&amp;E81,Mapping!$B:$B,0))</f>
        <v>Copper Standard Access 10Mbit/s</v>
      </c>
      <c r="O81" s="204" t="str">
        <f>INDEX(Mapping!$H:$H,MATCH(E81&amp;F81,Mapping!$B:$B,0))</f>
        <v/>
      </c>
      <c r="P81" s="204" t="str">
        <f>INDEX(Mapping!$H:$H,MATCH($E81&amp;$G81,Mapping!$B:$B,0))</f>
        <v>On-net (NLS1, 2)</v>
      </c>
      <c r="Q81" s="204">
        <f>INDEX(Mapping!$H:$H,MATCH($E81&amp;$G81&amp;"graafafstand",Mapping!$B:$B,0))</f>
        <v>0</v>
      </c>
      <c r="R81" s="204">
        <f>INDEX(Mapping!$H:$H,MATCH(R$3&amp;$E81,Mapping!$B:$B,0))</f>
        <v>1</v>
      </c>
      <c r="S81" s="204">
        <f>INDEX(Mapping!$H:$H,MATCH(S$3&amp;$E81,Mapping!$B:$B,0))</f>
        <v>1</v>
      </c>
      <c r="T81" s="139" t="str">
        <f t="shared" si="154"/>
        <v>Copper Standard Access 10Mbit/sOn-net (NLS1, 2)</v>
      </c>
      <c r="U81" s="151" t="str">
        <f t="shared" si="155"/>
        <v>Copper Standard Access 10Mbit/sOn-net (NLS1, 2)</v>
      </c>
      <c r="W81" s="521">
        <f>MATCH($J81,'Tarieven ZM'!$B:$B,0)</f>
        <v>173</v>
      </c>
      <c r="X81" s="204">
        <f>INDEX('Tarieven ZM'!$H:$H,$W81)</f>
        <v>1000</v>
      </c>
      <c r="Y81" s="198">
        <f>IF(E81="Standard Access in ZG BT gebieden",0,-INDEX(Parameters!$B:$B,MATCH(Y$3&amp;$C81,Parameters!$A:$A,0))*$X81)</f>
        <v>0</v>
      </c>
      <c r="Z81" s="198">
        <f>IF(E81="Standard Access in ZG BT gebieden",0,MAX(-INDEX(Parameters!$B:$B,MATCH(Z$3&amp;$C81,Parameters!$A:$A,0))*$X81,-INDEX(Parameters!$B:$B,MATCH("FactorMaxSalesMandaat"&amp;E81,Parameters!$A:$A,0))*INDEX(Parameters!$B:$B,MATCH("MaxSalesMandaatAccessVVE"&amp;$C81,Parameters!$A:$A,0))))</f>
        <v>0</v>
      </c>
      <c r="AA81" s="139">
        <f t="shared" si="156"/>
        <v>1000</v>
      </c>
      <c r="AB81" s="205">
        <f>AA81/INDEX(Parameters!$B:$B,MATCH("AfschrijftermijnVVE"&amp;12*$C81,Parameters!$A:$A,0))</f>
        <v>27.777777777777779</v>
      </c>
      <c r="AC81" s="204">
        <f>INDEX('Tarieven ZM'!$G:$G,$W81)</f>
        <v>1000</v>
      </c>
      <c r="AD81" s="198">
        <f>IF(E81="Standard Access in ZG BT gebieden",0,-INDEX(Parameters!$B:$B,MATCH(AD$3&amp;$C81,Parameters!$A:$A,0))*$AC81)</f>
        <v>0</v>
      </c>
      <c r="AE81" s="198">
        <f>IF(E81="Standard Access in ZG BT gebieden",0,-INDEX(Parameters!$B:$B,MATCH(AE$3,Parameters!$A:$A,0))*$AC81)</f>
        <v>0</v>
      </c>
      <c r="AF81" s="139">
        <f t="shared" si="157"/>
        <v>1000</v>
      </c>
      <c r="AG81" s="522">
        <f t="shared" si="158"/>
        <v>1027.7777777777778</v>
      </c>
      <c r="AH81" s="175"/>
      <c r="AI81" s="523">
        <f>IF(N81&lt;&gt;"nvt",MATCH($T81,'Tarieven W&amp;O'!$B:$B,0),"nvt")</f>
        <v>11</v>
      </c>
      <c r="AJ81" s="205">
        <f>IF(AI81&lt;&gt;"nvt",IF($D81="EoK",INDEX(Parameters!C:C,MATCH("NLSx EoK",Parameters!A:A,0)),INDEX('Tarieven W&amp;O'!$H:$H,$AI81)),0)*R81</f>
        <v>350</v>
      </c>
      <c r="AK81" s="204">
        <f>IF(AI81&lt;&gt;"nvt",INDEX('Tarieven W&amp;O'!$I:$I,$AI81),0)*R81</f>
        <v>75</v>
      </c>
      <c r="AL81" s="524">
        <f>IF(AI81&lt;&gt;"nvt",-INDEX(Parameters!$B:$B,MATCH(AL$3,Parameters!$A:$A,0))*(AJ81+AK81),0)</f>
        <v>0</v>
      </c>
      <c r="AM81" s="525"/>
      <c r="AN81" s="139">
        <f t="shared" si="159"/>
        <v>425</v>
      </c>
      <c r="AO81" s="205">
        <f>AN81/INDEX(Parameters!$B:$B,MATCH("AfschrijftermijnVVE"&amp;12*$C81,Parameters!$A:$A,0))</f>
        <v>11.805555555555555</v>
      </c>
      <c r="AP81" s="139">
        <f t="shared" si="160"/>
        <v>11</v>
      </c>
      <c r="AQ81" s="526">
        <f>IF(AP81&lt;&gt;"nvt",R81*INDEX('Tarieven W&amp;O'!$G:$G,$AP81),0)</f>
        <v>83.59</v>
      </c>
      <c r="AR81" s="524">
        <f>-INDEX(Parameters!$B:$B,MATCH(AR$3,Parameters!$A:$A,0))*(AQ81)</f>
        <v>0</v>
      </c>
      <c r="AS81" s="205">
        <f>IF(E81="straal access",'EDC Minus'!$H$192,IF(Q81&lt;&gt;"nvt",Q81*S81*'EDC Minus'!$H$292/590,0))</f>
        <v>0</v>
      </c>
      <c r="AT81" s="139"/>
      <c r="AU81" s="150">
        <f t="shared" si="161"/>
        <v>83.59</v>
      </c>
      <c r="AV81" s="150">
        <f t="shared" si="162"/>
        <v>95.395555555555561</v>
      </c>
      <c r="AX81" s="526">
        <f>Parameters!$B$6*AV81</f>
        <v>0.95395555555555567</v>
      </c>
      <c r="AY81" s="150">
        <v>0</v>
      </c>
      <c r="AZ81" s="150"/>
      <c r="BA81" s="150">
        <f t="shared" si="163"/>
        <v>0.95395555555555567</v>
      </c>
      <c r="BC81" s="522">
        <f t="shared" si="164"/>
        <v>96.349511111111113</v>
      </c>
      <c r="BD81" s="175"/>
      <c r="BE81" s="527">
        <f t="shared" si="136"/>
        <v>931.42826666666667</v>
      </c>
      <c r="BF81" s="181">
        <f t="shared" si="137"/>
        <v>0.90625452972972964</v>
      </c>
      <c r="BG81" s="520" t="b">
        <f t="shared" si="165"/>
        <v>0</v>
      </c>
      <c r="BI81" s="528" t="s">
        <v>2181</v>
      </c>
      <c r="BK81" s="151">
        <f>VLOOKUP(J81,'Tarieven ZM'!$B$136:$I$235,8,0)</f>
        <v>0</v>
      </c>
      <c r="BL81" s="151" t="str">
        <f>IF(M81="EoK",N81&amp;"AdvancedNLS type 1/2/3",IF(E81&lt;&gt;"Straal Access",INDEX(Mapping!J:J,MATCH(E81&amp;G81,Mapping!B:B,0)),E81))</f>
        <v>Copper Standard Access 10Mbit/sAdvancedNLS type 1/2/3</v>
      </c>
      <c r="BM81" s="184">
        <f>INDEX('inkoop ULL tbv EVPN'!J:J,MATCH($BL81,'inkoop ULL tbv EVPN'!$H:$H,0))</f>
        <v>78.97</v>
      </c>
      <c r="BN81" s="180">
        <f>BM81/INDEX(Parameters!$B:$B,MATCH("AfschrijftermijnVVE"&amp;12*$C81,Parameters!$A:$A,0))</f>
        <v>2.1936111111111112</v>
      </c>
      <c r="BO81" s="184">
        <f>INDEX('inkoop ULL tbv EVPN'!I:I,MATCH($BL81,'inkoop ULL tbv EVPN'!$H:$H,0))</f>
        <v>14.7296035</v>
      </c>
      <c r="BP81" s="184">
        <f t="shared" si="166"/>
        <v>16.92321461111111</v>
      </c>
      <c r="BR81" s="180">
        <f>Parameters!$B$12*AG81</f>
        <v>102.77777777777779</v>
      </c>
      <c r="BS81" s="180">
        <f>SUM(Distributievergoedingen!$F$12,Distributievergoedingen!$I$12,Distributievergoedingen!$L$12,Distributievergoedingen!$O$12)*AF81+SUM(Distributievergoedingen!$O$12*AA81+Distributievergoedingen!$R$12+Distributievergoedingen!$U$12+Distributievergoedingen!$X$12)/(MAX(36,12*C81))</f>
        <v>112.77777777777777</v>
      </c>
      <c r="BT81" s="150"/>
      <c r="BU81" s="150">
        <f t="shared" si="167"/>
        <v>215.55555555555554</v>
      </c>
      <c r="BW81" s="522">
        <f t="shared" si="168"/>
        <v>232.47877016666666</v>
      </c>
      <c r="BY81" s="527">
        <f t="shared" si="169"/>
        <v>795.29900761111116</v>
      </c>
      <c r="BZ81" s="181">
        <f t="shared" si="170"/>
        <v>0.77380443983783787</v>
      </c>
      <c r="CA81" s="520" t="b">
        <f t="shared" si="171"/>
        <v>0</v>
      </c>
    </row>
    <row r="82" spans="1:79" s="151" customFormat="1">
      <c r="A82" s="151" t="str">
        <f t="shared" si="151"/>
        <v>2EoKStandard Access koper 15mbLaagOn-net (NLS1, 2)</v>
      </c>
      <c r="B82" s="151" t="str">
        <f t="shared" si="152"/>
        <v>2EoKStandard Access koper 15mbLaagOn-net (NLS1, 2)</v>
      </c>
      <c r="C82" s="178">
        <v>2</v>
      </c>
      <c r="D82" s="415" t="s">
        <v>303</v>
      </c>
      <c r="E82" s="178" t="s">
        <v>278</v>
      </c>
      <c r="F82" s="107" t="s">
        <v>275</v>
      </c>
      <c r="G82" s="178" t="s">
        <v>281</v>
      </c>
      <c r="I82" s="178"/>
      <c r="J82" s="520" t="str">
        <f t="shared" si="153"/>
        <v>EoKStandard Access koper 15mbLaagOn-net (NLS1, 2)</v>
      </c>
      <c r="L82" s="204">
        <f>INDEX(Mapping!$H:$H,MATCH(C$3&amp;C82,Mapping!$B:$B,0))</f>
        <v>1</v>
      </c>
      <c r="M82" s="204" t="str">
        <f>INDEX(Mapping!$H:$H,MATCH(D$3&amp;D82,Mapping!$B:$B,0))</f>
        <v>EoK</v>
      </c>
      <c r="N82" s="204" t="str">
        <f>INDEX(Mapping!$H:$H,MATCH(E$3&amp;E82,Mapping!$B:$B,0))</f>
        <v>Copper Standard Access 15Mbit/s</v>
      </c>
      <c r="O82" s="204" t="str">
        <f>INDEX(Mapping!$H:$H,MATCH(E82&amp;F82,Mapping!$B:$B,0))</f>
        <v/>
      </c>
      <c r="P82" s="204" t="str">
        <f>INDEX(Mapping!$H:$H,MATCH($E82&amp;$G82,Mapping!$B:$B,0))</f>
        <v>On-net (NLS1, 2)</v>
      </c>
      <c r="Q82" s="204">
        <f>INDEX(Mapping!$H:$H,MATCH($E82&amp;$G82&amp;"graafafstand",Mapping!$B:$B,0))</f>
        <v>0</v>
      </c>
      <c r="R82" s="204">
        <f>INDEX(Mapping!$H:$H,MATCH(R$3&amp;$E82,Mapping!$B:$B,0))</f>
        <v>1</v>
      </c>
      <c r="S82" s="204">
        <f>INDEX(Mapping!$H:$H,MATCH(S$3&amp;$E82,Mapping!$B:$B,0))</f>
        <v>1</v>
      </c>
      <c r="T82" s="139" t="str">
        <f t="shared" si="154"/>
        <v>Copper Standard Access 15Mbit/sOn-net (NLS1, 2)</v>
      </c>
      <c r="U82" s="151" t="str">
        <f t="shared" si="155"/>
        <v>Copper Standard Access 15Mbit/sOn-net (NLS1, 2)</v>
      </c>
      <c r="W82" s="521">
        <f>MATCH($J82,'Tarieven ZM'!$B:$B,0)</f>
        <v>174</v>
      </c>
      <c r="X82" s="204">
        <f>INDEX('Tarieven ZM'!$H:$H,$W82)</f>
        <v>1000</v>
      </c>
      <c r="Y82" s="198">
        <f>IF(E82="Standard Access in ZG BT gebieden",0,-INDEX(Parameters!$B:$B,MATCH(Y$3&amp;$C82,Parameters!$A:$A,0))*$X82)</f>
        <v>0</v>
      </c>
      <c r="Z82" s="198">
        <f>IF(E82="Standard Access in ZG BT gebieden",0,MAX(-INDEX(Parameters!$B:$B,MATCH(Z$3&amp;$C82,Parameters!$A:$A,0))*$X82,-INDEX(Parameters!$B:$B,MATCH("FactorMaxSalesMandaat"&amp;E82,Parameters!$A:$A,0))*INDEX(Parameters!$B:$B,MATCH("MaxSalesMandaatAccessVVE"&amp;$C82,Parameters!$A:$A,0))))</f>
        <v>0</v>
      </c>
      <c r="AA82" s="139">
        <f t="shared" si="156"/>
        <v>1000</v>
      </c>
      <c r="AB82" s="205">
        <f>AA82/INDEX(Parameters!$B:$B,MATCH("AfschrijftermijnVVE"&amp;12*$C82,Parameters!$A:$A,0))</f>
        <v>27.777777777777779</v>
      </c>
      <c r="AC82" s="204">
        <f>INDEX('Tarieven ZM'!$G:$G,$W82)</f>
        <v>1000</v>
      </c>
      <c r="AD82" s="198">
        <f>IF(E82="Standard Access in ZG BT gebieden",0,-INDEX(Parameters!$B:$B,MATCH(AD$3&amp;$C82,Parameters!$A:$A,0))*$AC82)</f>
        <v>0</v>
      </c>
      <c r="AE82" s="198">
        <f>IF(E82="Standard Access in ZG BT gebieden",0,-INDEX(Parameters!$B:$B,MATCH(AE$3,Parameters!$A:$A,0))*$AC82)</f>
        <v>0</v>
      </c>
      <c r="AF82" s="139">
        <f t="shared" si="157"/>
        <v>1000</v>
      </c>
      <c r="AG82" s="522">
        <f t="shared" si="158"/>
        <v>1027.7777777777778</v>
      </c>
      <c r="AH82" s="175"/>
      <c r="AI82" s="523">
        <f>IF(N82&lt;&gt;"nvt",MATCH($T82,'Tarieven W&amp;O'!$B:$B,0),"nvt")</f>
        <v>12</v>
      </c>
      <c r="AJ82" s="205">
        <f>IF(AI82&lt;&gt;"nvt",IF($D82="EoK",INDEX(Parameters!C:C,MATCH("NLSx EoK",Parameters!A:A,0)),INDEX('Tarieven W&amp;O'!$H:$H,$AI82)),0)*R82</f>
        <v>350</v>
      </c>
      <c r="AK82" s="204">
        <f>IF(AI82&lt;&gt;"nvt",INDEX('Tarieven W&amp;O'!$I:$I,$AI82),0)*R82</f>
        <v>75</v>
      </c>
      <c r="AL82" s="524">
        <f>IF(AI82&lt;&gt;"nvt",-INDEX(Parameters!$B:$B,MATCH(AL$3,Parameters!$A:$A,0))*(AJ82+AK82),0)</f>
        <v>0</v>
      </c>
      <c r="AM82" s="525"/>
      <c r="AN82" s="139">
        <f t="shared" si="159"/>
        <v>425</v>
      </c>
      <c r="AO82" s="205">
        <f>AN82/INDEX(Parameters!$B:$B,MATCH("AfschrijftermijnVVE"&amp;12*$C82,Parameters!$A:$A,0))</f>
        <v>11.805555555555555</v>
      </c>
      <c r="AP82" s="139">
        <f t="shared" si="160"/>
        <v>12</v>
      </c>
      <c r="AQ82" s="526">
        <f>IF(AP82&lt;&gt;"nvt",R82*INDEX('Tarieven W&amp;O'!$G:$G,$AP82),0)</f>
        <v>102.44</v>
      </c>
      <c r="AR82" s="524">
        <f>-INDEX(Parameters!$B:$B,MATCH(AR$3,Parameters!$A:$A,0))*(AQ82)</f>
        <v>0</v>
      </c>
      <c r="AS82" s="205">
        <f>IF(E82="straal access",'EDC Minus'!$H$192,IF(Q82&lt;&gt;"nvt",Q82*S82*'EDC Minus'!$H$292/590,0))</f>
        <v>0</v>
      </c>
      <c r="AT82" s="139"/>
      <c r="AU82" s="150">
        <f t="shared" si="161"/>
        <v>102.44</v>
      </c>
      <c r="AV82" s="150">
        <f t="shared" si="162"/>
        <v>114.24555555555555</v>
      </c>
      <c r="AX82" s="526">
        <f>Parameters!$B$6*AV82</f>
        <v>1.1424555555555556</v>
      </c>
      <c r="AY82" s="150">
        <v>0</v>
      </c>
      <c r="AZ82" s="150"/>
      <c r="BA82" s="150">
        <f t="shared" si="163"/>
        <v>1.1424555555555556</v>
      </c>
      <c r="BC82" s="522">
        <f t="shared" si="164"/>
        <v>115.38801111111111</v>
      </c>
      <c r="BD82" s="175"/>
      <c r="BE82" s="527">
        <f t="shared" si="136"/>
        <v>912.38976666666667</v>
      </c>
      <c r="BF82" s="181">
        <f t="shared" si="137"/>
        <v>0.88773058378378378</v>
      </c>
      <c r="BG82" s="520" t="b">
        <f t="shared" si="165"/>
        <v>0</v>
      </c>
      <c r="BI82" s="528" t="s">
        <v>2181</v>
      </c>
      <c r="BK82" s="151">
        <f>VLOOKUP(J82,'Tarieven ZM'!$B$136:$I$235,8,0)</f>
        <v>0</v>
      </c>
      <c r="BL82" s="151" t="str">
        <f>IF(M82="EoK",N82&amp;"AdvancedNLS type 1/2/3",IF(E82&lt;&gt;"Straal Access",INDEX(Mapping!J:J,MATCH(E82&amp;G82,Mapping!B:B,0)),E82))</f>
        <v>Copper Standard Access 15Mbit/sAdvancedNLS type 1/2/3</v>
      </c>
      <c r="BM82" s="184">
        <f>INDEX('inkoop ULL tbv EVPN'!J:J,MATCH($BL82,'inkoop ULL tbv EVPN'!$H:$H,0))</f>
        <v>78.97</v>
      </c>
      <c r="BN82" s="180">
        <f>BM82/INDEX(Parameters!$B:$B,MATCH("AfschrijftermijnVVE"&amp;12*$C82,Parameters!$A:$A,0))</f>
        <v>2.1936111111111112</v>
      </c>
      <c r="BO82" s="184">
        <f>INDEX('inkoop ULL tbv EVPN'!I:I,MATCH($BL82,'inkoop ULL tbv EVPN'!$H:$H,0))</f>
        <v>14.7296035</v>
      </c>
      <c r="BP82" s="184">
        <f t="shared" si="166"/>
        <v>16.92321461111111</v>
      </c>
      <c r="BR82" s="180">
        <f>Parameters!$B$12*AG82</f>
        <v>102.77777777777779</v>
      </c>
      <c r="BS82" s="180">
        <f>SUM(Distributievergoedingen!$F$12,Distributievergoedingen!$I$12,Distributievergoedingen!$L$12,Distributievergoedingen!$O$12)*AF82+SUM(Distributievergoedingen!$O$12*AA82+Distributievergoedingen!$R$12+Distributievergoedingen!$U$12+Distributievergoedingen!$X$12)/(MAX(36,12*C82))</f>
        <v>112.77777777777777</v>
      </c>
      <c r="BT82" s="150"/>
      <c r="BU82" s="150">
        <f t="shared" si="167"/>
        <v>215.55555555555554</v>
      </c>
      <c r="BW82" s="522">
        <f t="shared" si="168"/>
        <v>232.47877016666666</v>
      </c>
      <c r="BY82" s="527">
        <f t="shared" si="169"/>
        <v>795.29900761111116</v>
      </c>
      <c r="BZ82" s="181">
        <f t="shared" si="170"/>
        <v>0.77380443983783787</v>
      </c>
      <c r="CA82" s="520" t="b">
        <f t="shared" si="171"/>
        <v>0</v>
      </c>
    </row>
    <row r="83" spans="1:79" s="151" customFormat="1">
      <c r="A83" s="151" t="str">
        <f t="shared" si="151"/>
        <v>2EoKStandard Access koper 20mbLaagOn-net (NLS1, 2)</v>
      </c>
      <c r="B83" s="151" t="str">
        <f t="shared" si="152"/>
        <v>2EoKStandard Access koper 20mbLaagOn-net (NLS1, 2)</v>
      </c>
      <c r="C83" s="178">
        <v>2</v>
      </c>
      <c r="D83" s="415" t="s">
        <v>303</v>
      </c>
      <c r="E83" s="178" t="s">
        <v>279</v>
      </c>
      <c r="F83" s="107" t="s">
        <v>275</v>
      </c>
      <c r="G83" s="178" t="s">
        <v>281</v>
      </c>
      <c r="I83" s="178"/>
      <c r="J83" s="520" t="str">
        <f t="shared" si="153"/>
        <v>EoKStandard Access koper 20mbLaagOn-net (NLS1, 2)</v>
      </c>
      <c r="L83" s="204">
        <f>INDEX(Mapping!$H:$H,MATCH(C$3&amp;C83,Mapping!$B:$B,0))</f>
        <v>1</v>
      </c>
      <c r="M83" s="204" t="str">
        <f>INDEX(Mapping!$H:$H,MATCH(D$3&amp;D83,Mapping!$B:$B,0))</f>
        <v>EoK</v>
      </c>
      <c r="N83" s="204" t="str">
        <f>INDEX(Mapping!$H:$H,MATCH(E$3&amp;E83,Mapping!$B:$B,0))</f>
        <v>Copper Standard Access 20Mbit/s</v>
      </c>
      <c r="O83" s="204" t="str">
        <f>INDEX(Mapping!$H:$H,MATCH(E83&amp;F83,Mapping!$B:$B,0))</f>
        <v/>
      </c>
      <c r="P83" s="204" t="str">
        <f>INDEX(Mapping!$H:$H,MATCH($E83&amp;$G83,Mapping!$B:$B,0))</f>
        <v>On-net (NLS1, 2)</v>
      </c>
      <c r="Q83" s="204">
        <f>INDEX(Mapping!$H:$H,MATCH($E83&amp;$G83&amp;"graafafstand",Mapping!$B:$B,0))</f>
        <v>0</v>
      </c>
      <c r="R83" s="204">
        <f>INDEX(Mapping!$H:$H,MATCH(R$3&amp;$E83,Mapping!$B:$B,0))</f>
        <v>1</v>
      </c>
      <c r="S83" s="204">
        <f>INDEX(Mapping!$H:$H,MATCH(S$3&amp;$E83,Mapping!$B:$B,0))</f>
        <v>1</v>
      </c>
      <c r="T83" s="139" t="str">
        <f t="shared" si="154"/>
        <v>Copper Standard Access 20Mbit/sOn-net (NLS1, 2)</v>
      </c>
      <c r="U83" s="151" t="str">
        <f t="shared" si="155"/>
        <v>Copper Standard Access 20Mbit/sOn-net (NLS1, 2)</v>
      </c>
      <c r="W83" s="521">
        <f>MATCH($J83,'Tarieven ZM'!$B:$B,0)</f>
        <v>175</v>
      </c>
      <c r="X83" s="204">
        <f>INDEX('Tarieven ZM'!$H:$H,$W83)</f>
        <v>1000</v>
      </c>
      <c r="Y83" s="198">
        <f>IF(E83="Standard Access in ZG BT gebieden",0,-INDEX(Parameters!$B:$B,MATCH(Y$3&amp;$C83,Parameters!$A:$A,0))*$X83)</f>
        <v>0</v>
      </c>
      <c r="Z83" s="198">
        <f>IF(E83="Standard Access in ZG BT gebieden",0,MAX(-INDEX(Parameters!$B:$B,MATCH(Z$3&amp;$C83,Parameters!$A:$A,0))*$X83,-INDEX(Parameters!$B:$B,MATCH("FactorMaxSalesMandaat"&amp;E83,Parameters!$A:$A,0))*INDEX(Parameters!$B:$B,MATCH("MaxSalesMandaatAccessVVE"&amp;$C83,Parameters!$A:$A,0))))</f>
        <v>0</v>
      </c>
      <c r="AA83" s="139">
        <f t="shared" si="156"/>
        <v>1000</v>
      </c>
      <c r="AB83" s="205">
        <f>AA83/INDEX(Parameters!$B:$B,MATCH("AfschrijftermijnVVE"&amp;12*$C83,Parameters!$A:$A,0))</f>
        <v>27.777777777777779</v>
      </c>
      <c r="AC83" s="204">
        <f>INDEX('Tarieven ZM'!$G:$G,$W83)</f>
        <v>1000</v>
      </c>
      <c r="AD83" s="198">
        <f>IF(E83="Standard Access in ZG BT gebieden",0,-INDEX(Parameters!$B:$B,MATCH(AD$3&amp;$C83,Parameters!$A:$A,0))*$AC83)</f>
        <v>0</v>
      </c>
      <c r="AE83" s="198">
        <f>IF(E83="Standard Access in ZG BT gebieden",0,-INDEX(Parameters!$B:$B,MATCH(AE$3,Parameters!$A:$A,0))*$AC83)</f>
        <v>0</v>
      </c>
      <c r="AF83" s="139">
        <f t="shared" si="157"/>
        <v>1000</v>
      </c>
      <c r="AG83" s="522">
        <f t="shared" si="158"/>
        <v>1027.7777777777778</v>
      </c>
      <c r="AH83" s="175"/>
      <c r="AI83" s="523">
        <f>IF(N83&lt;&gt;"nvt",MATCH($T83,'Tarieven W&amp;O'!$B:$B,0),"nvt")</f>
        <v>13</v>
      </c>
      <c r="AJ83" s="205">
        <f>IF(AI83&lt;&gt;"nvt",IF($D83="EoK",INDEX(Parameters!C:C,MATCH("NLSx EoK",Parameters!A:A,0)),INDEX('Tarieven W&amp;O'!$H:$H,$AI83)),0)*R83</f>
        <v>350</v>
      </c>
      <c r="AK83" s="204">
        <f>IF(AI83&lt;&gt;"nvt",INDEX('Tarieven W&amp;O'!$I:$I,$AI83),0)*R83</f>
        <v>75</v>
      </c>
      <c r="AL83" s="524">
        <f>IF(AI83&lt;&gt;"nvt",-INDEX(Parameters!$B:$B,MATCH(AL$3,Parameters!$A:$A,0))*(AJ83+AK83),0)</f>
        <v>0</v>
      </c>
      <c r="AM83" s="525"/>
      <c r="AN83" s="139">
        <f t="shared" si="159"/>
        <v>425</v>
      </c>
      <c r="AO83" s="205">
        <f>AN83/INDEX(Parameters!$B:$B,MATCH("AfschrijftermijnVVE"&amp;12*$C83,Parameters!$A:$A,0))</f>
        <v>11.805555555555555</v>
      </c>
      <c r="AP83" s="139">
        <f t="shared" si="160"/>
        <v>13</v>
      </c>
      <c r="AQ83" s="526">
        <f>IF(AP83&lt;&gt;"nvt",R83*INDEX('Tarieven W&amp;O'!$G:$G,$AP83),0)</f>
        <v>121.28</v>
      </c>
      <c r="AR83" s="524">
        <f>-INDEX(Parameters!$B:$B,MATCH(AR$3,Parameters!$A:$A,0))*(AQ83)</f>
        <v>0</v>
      </c>
      <c r="AS83" s="205">
        <f>IF(E83="straal access",'EDC Minus'!$H$192,IF(Q83&lt;&gt;"nvt",Q83*S83*'EDC Minus'!$H$292/590,0))</f>
        <v>0</v>
      </c>
      <c r="AT83" s="139"/>
      <c r="AU83" s="150">
        <f t="shared" si="161"/>
        <v>121.28</v>
      </c>
      <c r="AV83" s="150">
        <f t="shared" si="162"/>
        <v>133.08555555555554</v>
      </c>
      <c r="AX83" s="526">
        <f>Parameters!$B$6*AV83</f>
        <v>1.3308555555555555</v>
      </c>
      <c r="AY83" s="150">
        <v>0</v>
      </c>
      <c r="AZ83" s="150"/>
      <c r="BA83" s="150">
        <f t="shared" si="163"/>
        <v>1.3308555555555555</v>
      </c>
      <c r="BC83" s="522">
        <f t="shared" si="164"/>
        <v>134.4164111111111</v>
      </c>
      <c r="BD83" s="175"/>
      <c r="BE83" s="527">
        <f t="shared" si="136"/>
        <v>893.36136666666675</v>
      </c>
      <c r="BF83" s="181">
        <f t="shared" si="137"/>
        <v>0.86921646486486492</v>
      </c>
      <c r="BG83" s="520" t="b">
        <f t="shared" si="165"/>
        <v>0</v>
      </c>
      <c r="BI83" s="528" t="s">
        <v>2181</v>
      </c>
      <c r="BK83" s="151">
        <f>VLOOKUP(J83,'Tarieven ZM'!$B$136:$I$235,8,0)</f>
        <v>0</v>
      </c>
      <c r="BL83" s="151" t="str">
        <f>IF(M83="EoK",N83&amp;"AdvancedNLS type 1/2/3",IF(E83&lt;&gt;"Straal Access",INDEX(Mapping!J:J,MATCH(E83&amp;G83,Mapping!B:B,0)),E83))</f>
        <v>Copper Standard Access 20Mbit/sAdvancedNLS type 1/2/3</v>
      </c>
      <c r="BM83" s="184">
        <f>INDEX('inkoop ULL tbv EVPN'!J:J,MATCH($BL83,'inkoop ULL tbv EVPN'!$H:$H,0))</f>
        <v>78.97</v>
      </c>
      <c r="BN83" s="180">
        <f>BM83/INDEX(Parameters!$B:$B,MATCH("AfschrijftermijnVVE"&amp;12*$C83,Parameters!$A:$A,0))</f>
        <v>2.1936111111111112</v>
      </c>
      <c r="BO83" s="184">
        <f>INDEX('inkoop ULL tbv EVPN'!I:I,MATCH($BL83,'inkoop ULL tbv EVPN'!$H:$H,0))</f>
        <v>14.7296035</v>
      </c>
      <c r="BP83" s="184">
        <f t="shared" si="166"/>
        <v>16.92321461111111</v>
      </c>
      <c r="BR83" s="180">
        <f>Parameters!$B$12*AG83</f>
        <v>102.77777777777779</v>
      </c>
      <c r="BS83" s="180">
        <f>SUM(Distributievergoedingen!$F$12,Distributievergoedingen!$I$12,Distributievergoedingen!$L$12,Distributievergoedingen!$O$12)*AF83+SUM(Distributievergoedingen!$O$12*AA83+Distributievergoedingen!$R$12+Distributievergoedingen!$U$12+Distributievergoedingen!$X$12)/(MAX(36,12*C83))</f>
        <v>112.77777777777777</v>
      </c>
      <c r="BT83" s="150"/>
      <c r="BU83" s="150">
        <f t="shared" si="167"/>
        <v>215.55555555555554</v>
      </c>
      <c r="BW83" s="522">
        <f t="shared" si="168"/>
        <v>232.47877016666666</v>
      </c>
      <c r="BY83" s="527">
        <f t="shared" si="169"/>
        <v>795.29900761111116</v>
      </c>
      <c r="BZ83" s="181">
        <f t="shared" si="170"/>
        <v>0.77380443983783787</v>
      </c>
      <c r="CA83" s="520" t="b">
        <f t="shared" si="171"/>
        <v>0</v>
      </c>
    </row>
    <row r="84" spans="1:79" s="151" customFormat="1">
      <c r="A84" s="151" t="str">
        <f t="shared" si="151"/>
        <v>2EoKStandard Access koper 3mbLaagOn-net (NLS3)</v>
      </c>
      <c r="B84" s="151" t="str">
        <f t="shared" si="152"/>
        <v>2EoKStandard Access koper 3mbLaagOn-net (NLS3)</v>
      </c>
      <c r="C84" s="178">
        <v>2</v>
      </c>
      <c r="D84" s="415" t="s">
        <v>303</v>
      </c>
      <c r="E84" s="178" t="s">
        <v>268</v>
      </c>
      <c r="F84" s="107" t="s">
        <v>275</v>
      </c>
      <c r="G84" s="178" t="s">
        <v>3398</v>
      </c>
      <c r="I84" s="178"/>
      <c r="J84" s="520" t="str">
        <f t="shared" si="153"/>
        <v>EoKStandard Access koper 3mbLaagOn-net (NLS3)</v>
      </c>
      <c r="L84" s="204">
        <f>INDEX(Mapping!$H:$H,MATCH(C$3&amp;C84,Mapping!$B:$B,0))</f>
        <v>1</v>
      </c>
      <c r="M84" s="204" t="str">
        <f>INDEX(Mapping!$H:$H,MATCH(D$3&amp;D84,Mapping!$B:$B,0))</f>
        <v>EoK</v>
      </c>
      <c r="N84" s="204" t="str">
        <f>INDEX(Mapping!$H:$H,MATCH(E$3&amp;E84,Mapping!$B:$B,0))</f>
        <v>Copper Standard Access 3Mbit/s</v>
      </c>
      <c r="O84" s="204" t="str">
        <f>INDEX(Mapping!$H:$H,MATCH(E84&amp;F84,Mapping!$B:$B,0))</f>
        <v/>
      </c>
      <c r="P84" s="204" t="str">
        <f>INDEX(Mapping!$H:$H,MATCH($E84&amp;$G84,Mapping!$B:$B,0))</f>
        <v>On-net (NLS3)</v>
      </c>
      <c r="Q84" s="204" t="str">
        <f>INDEX(Mapping!$H:$H,MATCH($E84&amp;$G84&amp;"graafafstand",Mapping!$B:$B,0))</f>
        <v>nvt</v>
      </c>
      <c r="R84" s="204">
        <f>INDEX(Mapping!$H:$H,MATCH(R$3&amp;$E84,Mapping!$B:$B,0))</f>
        <v>1</v>
      </c>
      <c r="S84" s="204">
        <f>INDEX(Mapping!$H:$H,MATCH(S$3&amp;$E84,Mapping!$B:$B,0))</f>
        <v>1</v>
      </c>
      <c r="T84" s="139" t="str">
        <f t="shared" si="154"/>
        <v>Copper Standard Access 3Mbit/sOn-net (NLS3)</v>
      </c>
      <c r="U84" s="151" t="str">
        <f t="shared" si="155"/>
        <v>Copper Standard Access 3Mbit/sOn-net (NLS3)</v>
      </c>
      <c r="W84" s="521">
        <f>MATCH($J84,'Tarieven ZM'!$B:$B,0)</f>
        <v>178</v>
      </c>
      <c r="X84" s="204">
        <f>INDEX('Tarieven ZM'!$H:$H,$W84)</f>
        <v>1000</v>
      </c>
      <c r="Y84" s="198">
        <f>IF(E84="Standard Access in ZG BT gebieden",0,-INDEX(Parameters!$B:$B,MATCH(Y$3&amp;$C84,Parameters!$A:$A,0))*$X84)</f>
        <v>0</v>
      </c>
      <c r="Z84" s="198">
        <f>IF(E84="Standard Access in ZG BT gebieden",0,MAX(-INDEX(Parameters!$B:$B,MATCH(Z$3&amp;$C84,Parameters!$A:$A,0))*$X84,-INDEX(Parameters!$B:$B,MATCH("FactorMaxSalesMandaat"&amp;E84,Parameters!$A:$A,0))*INDEX(Parameters!$B:$B,MATCH("MaxSalesMandaatAccessVVE"&amp;$C84,Parameters!$A:$A,0))))</f>
        <v>0</v>
      </c>
      <c r="AA84" s="139">
        <f t="shared" si="156"/>
        <v>1000</v>
      </c>
      <c r="AB84" s="205">
        <f>AA84/INDEX(Parameters!$B:$B,MATCH("AfschrijftermijnVVE"&amp;12*$C84,Parameters!$A:$A,0))</f>
        <v>27.777777777777779</v>
      </c>
      <c r="AC84" s="204">
        <f>INDEX('Tarieven ZM'!$G:$G,$W84)</f>
        <v>1000</v>
      </c>
      <c r="AD84" s="198">
        <f>IF(E84="Standard Access in ZG BT gebieden",0,-INDEX(Parameters!$B:$B,MATCH(AD$3&amp;$C84,Parameters!$A:$A,0))*$AC84)</f>
        <v>0</v>
      </c>
      <c r="AE84" s="198">
        <f>IF(E84="Standard Access in ZG BT gebieden",0,-INDEX(Parameters!$B:$B,MATCH(AE$3,Parameters!$A:$A,0))*$AC84)</f>
        <v>0</v>
      </c>
      <c r="AF84" s="139">
        <f t="shared" si="157"/>
        <v>1000</v>
      </c>
      <c r="AG84" s="522">
        <f t="shared" si="158"/>
        <v>1027.7777777777778</v>
      </c>
      <c r="AH84" s="175"/>
      <c r="AI84" s="523">
        <f>IF(N84&lt;&gt;"nvt",MATCH($T84,'Tarieven W&amp;O'!$B:$B,0),"nvt")</f>
        <v>16</v>
      </c>
      <c r="AJ84" s="205">
        <f>IF(AI84&lt;&gt;"nvt",IF($D84="EoK",INDEX(Parameters!C:C,MATCH("NLSx EoK",Parameters!A:A,0)),INDEX('Tarieven W&amp;O'!$H:$H,$AI84)),0)*R84</f>
        <v>350</v>
      </c>
      <c r="AK84" s="204">
        <f>IF(AI84&lt;&gt;"nvt",INDEX('Tarieven W&amp;O'!$I:$I,$AI84),0)*R84</f>
        <v>75</v>
      </c>
      <c r="AL84" s="524">
        <f>IF(AI84&lt;&gt;"nvt",-INDEX(Parameters!$B:$B,MATCH(AL$3,Parameters!$A:$A,0))*(AJ84+AK84),0)</f>
        <v>0</v>
      </c>
      <c r="AM84" s="525"/>
      <c r="AN84" s="139">
        <f t="shared" si="159"/>
        <v>425</v>
      </c>
      <c r="AO84" s="205">
        <f>AN84/INDEX(Parameters!$B:$B,MATCH("AfschrijftermijnVVE"&amp;12*$C84,Parameters!$A:$A,0))</f>
        <v>11.805555555555555</v>
      </c>
      <c r="AP84" s="139">
        <f t="shared" si="160"/>
        <v>16</v>
      </c>
      <c r="AQ84" s="526">
        <f>IF(AP84&lt;&gt;"nvt",R84*INDEX('Tarieven W&amp;O'!$G:$G,$AP84),0)</f>
        <v>41.5</v>
      </c>
      <c r="AR84" s="524">
        <f>-INDEX(Parameters!$B:$B,MATCH(AR$3,Parameters!$A:$A,0))*(AQ84)</f>
        <v>0</v>
      </c>
      <c r="AS84" s="205">
        <f>IF(E84="straal access",'EDC Minus'!$H$192,IF(Q84&lt;&gt;"nvt",Q84*S84*'EDC Minus'!$H$292/590,0))</f>
        <v>0</v>
      </c>
      <c r="AT84" s="139"/>
      <c r="AU84" s="150">
        <f t="shared" si="161"/>
        <v>41.5</v>
      </c>
      <c r="AV84" s="150">
        <f t="shared" si="162"/>
        <v>53.305555555555557</v>
      </c>
      <c r="AX84" s="526">
        <f>Parameters!$B$6*AV84</f>
        <v>0.53305555555555562</v>
      </c>
      <c r="AY84" s="150">
        <v>0</v>
      </c>
      <c r="AZ84" s="150"/>
      <c r="BA84" s="150">
        <f t="shared" si="163"/>
        <v>0.53305555555555562</v>
      </c>
      <c r="BC84" s="522">
        <f t="shared" si="164"/>
        <v>53.838611111111113</v>
      </c>
      <c r="BD84" s="175"/>
      <c r="BE84" s="527">
        <f t="shared" ref="BE84:BE103" si="172">AG84-BC84</f>
        <v>973.93916666666667</v>
      </c>
      <c r="BF84" s="181">
        <f t="shared" ref="BF84:BF103" si="173">IF(AG84=0,-999%,BE84/AG84)</f>
        <v>0.94761648648648644</v>
      </c>
      <c r="BG84" s="520" t="b">
        <f t="shared" si="165"/>
        <v>0</v>
      </c>
      <c r="BI84" s="528" t="s">
        <v>2181</v>
      </c>
      <c r="BK84" s="151">
        <f>VLOOKUP(J84,'Tarieven ZM'!$B$136:$I$235,8,0)</f>
        <v>0</v>
      </c>
      <c r="BL84" s="151" t="str">
        <f>IF(M84="EoK",N84&amp;"AdvancedNLS type 1/2/3",IF(E84&lt;&gt;"Straal Access",INDEX(Mapping!J:J,MATCH(E84&amp;G84,Mapping!B:B,0)),E84))</f>
        <v>Copper Standard Access 3Mbit/sAdvancedNLS type 1/2/3</v>
      </c>
      <c r="BM84" s="184">
        <f>INDEX('inkoop ULL tbv EVPN'!J:J,MATCH($BL84,'inkoop ULL tbv EVPN'!$H:$H,0))</f>
        <v>78.97</v>
      </c>
      <c r="BN84" s="180">
        <f>BM84/INDEX(Parameters!$B:$B,MATCH("AfschrijftermijnVVE"&amp;12*$C84,Parameters!$A:$A,0))</f>
        <v>2.1936111111111112</v>
      </c>
      <c r="BO84" s="184">
        <f>INDEX('inkoop ULL tbv EVPN'!I:I,MATCH($BL84,'inkoop ULL tbv EVPN'!$H:$H,0))</f>
        <v>14.7296035</v>
      </c>
      <c r="BP84" s="184">
        <f t="shared" si="166"/>
        <v>16.92321461111111</v>
      </c>
      <c r="BR84" s="180">
        <f>Parameters!$B$12*AG84</f>
        <v>102.77777777777779</v>
      </c>
      <c r="BS84" s="180">
        <f>SUM(Distributievergoedingen!$F$12,Distributievergoedingen!$I$12,Distributievergoedingen!$L$12,Distributievergoedingen!$O$12)*AF84+SUM(Distributievergoedingen!$O$12*AA84+Distributievergoedingen!$R$12+Distributievergoedingen!$U$12+Distributievergoedingen!$X$12)/(MAX(36,12*C84))</f>
        <v>112.77777777777777</v>
      </c>
      <c r="BT84" s="150"/>
      <c r="BU84" s="150">
        <f t="shared" si="167"/>
        <v>215.55555555555554</v>
      </c>
      <c r="BW84" s="522">
        <f t="shared" si="168"/>
        <v>232.47877016666666</v>
      </c>
      <c r="BY84" s="527">
        <f t="shared" si="169"/>
        <v>795.29900761111116</v>
      </c>
      <c r="BZ84" s="181">
        <f t="shared" si="170"/>
        <v>0.77380443983783787</v>
      </c>
      <c r="CA84" s="520" t="b">
        <f t="shared" si="171"/>
        <v>0</v>
      </c>
    </row>
    <row r="85" spans="1:79" s="151" customFormat="1">
      <c r="A85" s="151" t="str">
        <f t="shared" si="151"/>
        <v>2EoKStandard Access koper 5mbLaagOn-net (NLS3)</v>
      </c>
      <c r="B85" s="151" t="str">
        <f t="shared" si="152"/>
        <v>2EoKStandard Access koper 5mbLaagOn-net (NLS3)</v>
      </c>
      <c r="C85" s="178">
        <v>2</v>
      </c>
      <c r="D85" s="415" t="s">
        <v>303</v>
      </c>
      <c r="E85" s="178" t="s">
        <v>276</v>
      </c>
      <c r="F85" s="107" t="s">
        <v>275</v>
      </c>
      <c r="G85" s="178" t="s">
        <v>3398</v>
      </c>
      <c r="I85" s="178"/>
      <c r="J85" s="520" t="str">
        <f t="shared" si="153"/>
        <v>EoKStandard Access koper 5mbLaagOn-net (NLS3)</v>
      </c>
      <c r="L85" s="204">
        <f>INDEX(Mapping!$H:$H,MATCH(C$3&amp;C85,Mapping!$B:$B,0))</f>
        <v>1</v>
      </c>
      <c r="M85" s="204" t="str">
        <f>INDEX(Mapping!$H:$H,MATCH(D$3&amp;D85,Mapping!$B:$B,0))</f>
        <v>EoK</v>
      </c>
      <c r="N85" s="204" t="str">
        <f>INDEX(Mapping!$H:$H,MATCH(E$3&amp;E85,Mapping!$B:$B,0))</f>
        <v>Copper Standard Access 5Mbit/s</v>
      </c>
      <c r="O85" s="204" t="str">
        <f>INDEX(Mapping!$H:$H,MATCH(E85&amp;F85,Mapping!$B:$B,0))</f>
        <v/>
      </c>
      <c r="P85" s="204" t="str">
        <f>INDEX(Mapping!$H:$H,MATCH($E85&amp;$G85,Mapping!$B:$B,0))</f>
        <v>On-net (NLS3)</v>
      </c>
      <c r="Q85" s="204" t="str">
        <f>INDEX(Mapping!$H:$H,MATCH($E85&amp;$G85&amp;"graafafstand",Mapping!$B:$B,0))</f>
        <v>nvt</v>
      </c>
      <c r="R85" s="204">
        <f>INDEX(Mapping!$H:$H,MATCH(R$3&amp;$E85,Mapping!$B:$B,0))</f>
        <v>1</v>
      </c>
      <c r="S85" s="204">
        <f>INDEX(Mapping!$H:$H,MATCH(S$3&amp;$E85,Mapping!$B:$B,0))</f>
        <v>1</v>
      </c>
      <c r="T85" s="139" t="str">
        <f t="shared" si="154"/>
        <v>Copper Standard Access 5Mbit/sOn-net (NLS3)</v>
      </c>
      <c r="U85" s="151" t="str">
        <f t="shared" si="155"/>
        <v>Copper Standard Access 5Mbit/sOn-net (NLS3)</v>
      </c>
      <c r="W85" s="521">
        <f>MATCH($J85,'Tarieven ZM'!$B:$B,0)</f>
        <v>179</v>
      </c>
      <c r="X85" s="204">
        <f>INDEX('Tarieven ZM'!$H:$H,$W85)</f>
        <v>1000</v>
      </c>
      <c r="Y85" s="198">
        <f>IF(E85="Standard Access in ZG BT gebieden",0,-INDEX(Parameters!$B:$B,MATCH(Y$3&amp;$C85,Parameters!$A:$A,0))*$X85)</f>
        <v>0</v>
      </c>
      <c r="Z85" s="198">
        <f>IF(E85="Standard Access in ZG BT gebieden",0,MAX(-INDEX(Parameters!$B:$B,MATCH(Z$3&amp;$C85,Parameters!$A:$A,0))*$X85,-INDEX(Parameters!$B:$B,MATCH("FactorMaxSalesMandaat"&amp;E85,Parameters!$A:$A,0))*INDEX(Parameters!$B:$B,MATCH("MaxSalesMandaatAccessVVE"&amp;$C85,Parameters!$A:$A,0))))</f>
        <v>0</v>
      </c>
      <c r="AA85" s="139">
        <f t="shared" si="156"/>
        <v>1000</v>
      </c>
      <c r="AB85" s="205">
        <f>AA85/INDEX(Parameters!$B:$B,MATCH("AfschrijftermijnVVE"&amp;12*$C85,Parameters!$A:$A,0))</f>
        <v>27.777777777777779</v>
      </c>
      <c r="AC85" s="204">
        <f>INDEX('Tarieven ZM'!$G:$G,$W85)</f>
        <v>1000</v>
      </c>
      <c r="AD85" s="198">
        <f>IF(E85="Standard Access in ZG BT gebieden",0,-INDEX(Parameters!$B:$B,MATCH(AD$3&amp;$C85,Parameters!$A:$A,0))*$AC85)</f>
        <v>0</v>
      </c>
      <c r="AE85" s="198">
        <f>IF(E85="Standard Access in ZG BT gebieden",0,-INDEX(Parameters!$B:$B,MATCH(AE$3,Parameters!$A:$A,0))*$AC85)</f>
        <v>0</v>
      </c>
      <c r="AF85" s="139">
        <f t="shared" si="157"/>
        <v>1000</v>
      </c>
      <c r="AG85" s="522">
        <f t="shared" si="158"/>
        <v>1027.7777777777778</v>
      </c>
      <c r="AH85" s="175"/>
      <c r="AI85" s="523">
        <f>IF(N85&lt;&gt;"nvt",MATCH($T85,'Tarieven W&amp;O'!$B:$B,0),"nvt")</f>
        <v>17</v>
      </c>
      <c r="AJ85" s="205">
        <f>IF(AI85&lt;&gt;"nvt",IF($D85="EoK",INDEX(Parameters!C:C,MATCH("NLSx EoK",Parameters!A:A,0)),INDEX('Tarieven W&amp;O'!$H:$H,$AI85)),0)*R85</f>
        <v>350</v>
      </c>
      <c r="AK85" s="204">
        <f>IF(AI85&lt;&gt;"nvt",INDEX('Tarieven W&amp;O'!$I:$I,$AI85),0)*R85</f>
        <v>75</v>
      </c>
      <c r="AL85" s="524">
        <f>IF(AI85&lt;&gt;"nvt",-INDEX(Parameters!$B:$B,MATCH(AL$3,Parameters!$A:$A,0))*(AJ85+AK85),0)</f>
        <v>0</v>
      </c>
      <c r="AM85" s="525"/>
      <c r="AN85" s="139">
        <f t="shared" si="159"/>
        <v>425</v>
      </c>
      <c r="AO85" s="205">
        <f>AN85/INDEX(Parameters!$B:$B,MATCH("AfschrijftermijnVVE"&amp;12*$C85,Parameters!$A:$A,0))</f>
        <v>11.805555555555555</v>
      </c>
      <c r="AP85" s="139">
        <f t="shared" si="160"/>
        <v>17</v>
      </c>
      <c r="AQ85" s="526">
        <f>IF(AP85&lt;&gt;"nvt",R85*INDEX('Tarieven W&amp;O'!$G:$G,$AP85),0)</f>
        <v>60.97</v>
      </c>
      <c r="AR85" s="524">
        <f>-INDEX(Parameters!$B:$B,MATCH(AR$3,Parameters!$A:$A,0))*(AQ85)</f>
        <v>0</v>
      </c>
      <c r="AS85" s="205">
        <f>IF(E85="straal access",'EDC Minus'!$H$192,IF(Q85&lt;&gt;"nvt",Q85*S85*'EDC Minus'!$H$292/590,0))</f>
        <v>0</v>
      </c>
      <c r="AT85" s="139"/>
      <c r="AU85" s="150">
        <f t="shared" si="161"/>
        <v>60.97</v>
      </c>
      <c r="AV85" s="150">
        <f t="shared" si="162"/>
        <v>72.775555555555556</v>
      </c>
      <c r="AX85" s="526">
        <f>Parameters!$B$6*AV85</f>
        <v>0.7277555555555556</v>
      </c>
      <c r="AY85" s="150">
        <v>0</v>
      </c>
      <c r="AZ85" s="150"/>
      <c r="BA85" s="150">
        <f t="shared" si="163"/>
        <v>0.7277555555555556</v>
      </c>
      <c r="BC85" s="522">
        <f t="shared" si="164"/>
        <v>73.503311111111117</v>
      </c>
      <c r="BD85" s="175"/>
      <c r="BE85" s="527">
        <f t="shared" si="172"/>
        <v>954.27446666666674</v>
      </c>
      <c r="BF85" s="181">
        <f t="shared" si="173"/>
        <v>0.92848326486486488</v>
      </c>
      <c r="BG85" s="520" t="b">
        <f t="shared" si="165"/>
        <v>0</v>
      </c>
      <c r="BI85" s="528" t="s">
        <v>2181</v>
      </c>
      <c r="BK85" s="151">
        <f>VLOOKUP(J85,'Tarieven ZM'!$B$136:$I$235,8,0)</f>
        <v>0</v>
      </c>
      <c r="BL85" s="151" t="str">
        <f>IF(M85="EoK",N85&amp;"AdvancedNLS type 1/2/3",IF(E85&lt;&gt;"Straal Access",INDEX(Mapping!J:J,MATCH(E85&amp;G85,Mapping!B:B,0)),E85))</f>
        <v>Copper Standard Access 5Mbit/sAdvancedNLS type 1/2/3</v>
      </c>
      <c r="BM85" s="184">
        <f>INDEX('inkoop ULL tbv EVPN'!J:J,MATCH($BL85,'inkoop ULL tbv EVPN'!$H:$H,0))</f>
        <v>78.97</v>
      </c>
      <c r="BN85" s="180">
        <f>BM85/INDEX(Parameters!$B:$B,MATCH("AfschrijftermijnVVE"&amp;12*$C85,Parameters!$A:$A,0))</f>
        <v>2.1936111111111112</v>
      </c>
      <c r="BO85" s="184">
        <f>INDEX('inkoop ULL tbv EVPN'!I:I,MATCH($BL85,'inkoop ULL tbv EVPN'!$H:$H,0))</f>
        <v>14.7296035</v>
      </c>
      <c r="BP85" s="184">
        <f t="shared" si="166"/>
        <v>16.92321461111111</v>
      </c>
      <c r="BR85" s="180">
        <f>Parameters!$B$12*AG85</f>
        <v>102.77777777777779</v>
      </c>
      <c r="BS85" s="180">
        <f>SUM(Distributievergoedingen!$F$12,Distributievergoedingen!$I$12,Distributievergoedingen!$L$12,Distributievergoedingen!$O$12)*AF85+SUM(Distributievergoedingen!$O$12*AA85+Distributievergoedingen!$R$12+Distributievergoedingen!$U$12+Distributievergoedingen!$X$12)/(MAX(36,12*C85))</f>
        <v>112.77777777777777</v>
      </c>
      <c r="BT85" s="150"/>
      <c r="BU85" s="150">
        <f t="shared" si="167"/>
        <v>215.55555555555554</v>
      </c>
      <c r="BW85" s="522">
        <f t="shared" si="168"/>
        <v>232.47877016666666</v>
      </c>
      <c r="BY85" s="527">
        <f t="shared" si="169"/>
        <v>795.29900761111116</v>
      </c>
      <c r="BZ85" s="181">
        <f t="shared" si="170"/>
        <v>0.77380443983783787</v>
      </c>
      <c r="CA85" s="520" t="b">
        <f t="shared" si="171"/>
        <v>0</v>
      </c>
    </row>
    <row r="86" spans="1:79" s="151" customFormat="1">
      <c r="A86" s="151" t="str">
        <f t="shared" si="151"/>
        <v>2EoKStandard Access koper 10mbLaagOn-net (NLS3)</v>
      </c>
      <c r="B86" s="151" t="str">
        <f t="shared" si="152"/>
        <v>2EoKStandard Access koper 10mbLaagOn-net (NLS3)</v>
      </c>
      <c r="C86" s="178">
        <v>2</v>
      </c>
      <c r="D86" s="415" t="s">
        <v>303</v>
      </c>
      <c r="E86" s="178" t="s">
        <v>277</v>
      </c>
      <c r="F86" s="107" t="s">
        <v>275</v>
      </c>
      <c r="G86" s="178" t="s">
        <v>3398</v>
      </c>
      <c r="I86" s="178"/>
      <c r="J86" s="520" t="str">
        <f t="shared" si="153"/>
        <v>EoKStandard Access koper 10mbLaagOn-net (NLS3)</v>
      </c>
      <c r="L86" s="204">
        <f>INDEX(Mapping!$H:$H,MATCH(C$3&amp;C86,Mapping!$B:$B,0))</f>
        <v>1</v>
      </c>
      <c r="M86" s="204" t="str">
        <f>INDEX(Mapping!$H:$H,MATCH(D$3&amp;D86,Mapping!$B:$B,0))</f>
        <v>EoK</v>
      </c>
      <c r="N86" s="204" t="str">
        <f>INDEX(Mapping!$H:$H,MATCH(E$3&amp;E86,Mapping!$B:$B,0))</f>
        <v>Copper Standard Access 10Mbit/s</v>
      </c>
      <c r="O86" s="204" t="str">
        <f>INDEX(Mapping!$H:$H,MATCH(E86&amp;F86,Mapping!$B:$B,0))</f>
        <v/>
      </c>
      <c r="P86" s="204" t="str">
        <f>INDEX(Mapping!$H:$H,MATCH($E86&amp;$G86,Mapping!$B:$B,0))</f>
        <v>On-net (NLS3)</v>
      </c>
      <c r="Q86" s="204" t="str">
        <f>INDEX(Mapping!$H:$H,MATCH($E86&amp;$G86&amp;"graafafstand",Mapping!$B:$B,0))</f>
        <v>nvt</v>
      </c>
      <c r="R86" s="204">
        <f>INDEX(Mapping!$H:$H,MATCH(R$3&amp;$E86,Mapping!$B:$B,0))</f>
        <v>1</v>
      </c>
      <c r="S86" s="204">
        <f>INDEX(Mapping!$H:$H,MATCH(S$3&amp;$E86,Mapping!$B:$B,0))</f>
        <v>1</v>
      </c>
      <c r="T86" s="139" t="str">
        <f t="shared" si="154"/>
        <v>Copper Standard Access 10Mbit/sOn-net (NLS3)</v>
      </c>
      <c r="U86" s="151" t="str">
        <f t="shared" si="155"/>
        <v>Copper Standard Access 10Mbit/sOn-net (NLS3)</v>
      </c>
      <c r="W86" s="521">
        <f>MATCH($J86,'Tarieven ZM'!$B:$B,0)</f>
        <v>180</v>
      </c>
      <c r="X86" s="204">
        <f>INDEX('Tarieven ZM'!$H:$H,$W86)</f>
        <v>1000</v>
      </c>
      <c r="Y86" s="198">
        <f>IF(E86="Standard Access in ZG BT gebieden",0,-INDEX(Parameters!$B:$B,MATCH(Y$3&amp;$C86,Parameters!$A:$A,0))*$X86)</f>
        <v>0</v>
      </c>
      <c r="Z86" s="198">
        <f>IF(E86="Standard Access in ZG BT gebieden",0,MAX(-INDEX(Parameters!$B:$B,MATCH(Z$3&amp;$C86,Parameters!$A:$A,0))*$X86,-INDEX(Parameters!$B:$B,MATCH("FactorMaxSalesMandaat"&amp;E86,Parameters!$A:$A,0))*INDEX(Parameters!$B:$B,MATCH("MaxSalesMandaatAccessVVE"&amp;$C86,Parameters!$A:$A,0))))</f>
        <v>0</v>
      </c>
      <c r="AA86" s="139">
        <f t="shared" si="156"/>
        <v>1000</v>
      </c>
      <c r="AB86" s="205">
        <f>AA86/INDEX(Parameters!$B:$B,MATCH("AfschrijftermijnVVE"&amp;12*$C86,Parameters!$A:$A,0))</f>
        <v>27.777777777777779</v>
      </c>
      <c r="AC86" s="204">
        <f>INDEX('Tarieven ZM'!$G:$G,$W86)</f>
        <v>1000</v>
      </c>
      <c r="AD86" s="198">
        <f>IF(E86="Standard Access in ZG BT gebieden",0,-INDEX(Parameters!$B:$B,MATCH(AD$3&amp;$C86,Parameters!$A:$A,0))*$AC86)</f>
        <v>0</v>
      </c>
      <c r="AE86" s="198">
        <f>IF(E86="Standard Access in ZG BT gebieden",0,-INDEX(Parameters!$B:$B,MATCH(AE$3,Parameters!$A:$A,0))*$AC86)</f>
        <v>0</v>
      </c>
      <c r="AF86" s="139">
        <f t="shared" si="157"/>
        <v>1000</v>
      </c>
      <c r="AG86" s="522">
        <f t="shared" si="158"/>
        <v>1027.7777777777778</v>
      </c>
      <c r="AH86" s="175"/>
      <c r="AI86" s="523">
        <f>IF(N86&lt;&gt;"nvt",MATCH($T86,'Tarieven W&amp;O'!$B:$B,0),"nvt")</f>
        <v>18</v>
      </c>
      <c r="AJ86" s="205">
        <f>IF(AI86&lt;&gt;"nvt",IF($D86="EoK",INDEX(Parameters!C:C,MATCH("NLSx EoK",Parameters!A:A,0)),INDEX('Tarieven W&amp;O'!$H:$H,$AI86)),0)*R86</f>
        <v>350</v>
      </c>
      <c r="AK86" s="204">
        <f>IF(AI86&lt;&gt;"nvt",INDEX('Tarieven W&amp;O'!$I:$I,$AI86),0)*R86</f>
        <v>75</v>
      </c>
      <c r="AL86" s="524">
        <f>IF(AI86&lt;&gt;"nvt",-INDEX(Parameters!$B:$B,MATCH(AL$3,Parameters!$A:$A,0))*(AJ86+AK86),0)</f>
        <v>0</v>
      </c>
      <c r="AM86" s="525"/>
      <c r="AN86" s="139">
        <f t="shared" si="159"/>
        <v>425</v>
      </c>
      <c r="AO86" s="205">
        <f>AN86/INDEX(Parameters!$B:$B,MATCH("AfschrijftermijnVVE"&amp;12*$C86,Parameters!$A:$A,0))</f>
        <v>11.805555555555555</v>
      </c>
      <c r="AP86" s="139">
        <f t="shared" si="160"/>
        <v>18</v>
      </c>
      <c r="AQ86" s="526">
        <f>IF(AP86&lt;&gt;"nvt",R86*INDEX('Tarieven W&amp;O'!$G:$G,$AP86),0)</f>
        <v>83.59</v>
      </c>
      <c r="AR86" s="524">
        <f>-INDEX(Parameters!$B:$B,MATCH(AR$3,Parameters!$A:$A,0))*(AQ86)</f>
        <v>0</v>
      </c>
      <c r="AS86" s="205">
        <f>IF(E86="straal access",'EDC Minus'!$H$192,IF(Q86&lt;&gt;"nvt",Q86*S86*'EDC Minus'!$H$292/590,0))</f>
        <v>0</v>
      </c>
      <c r="AT86" s="139"/>
      <c r="AU86" s="150">
        <f t="shared" si="161"/>
        <v>83.59</v>
      </c>
      <c r="AV86" s="150">
        <f t="shared" si="162"/>
        <v>95.395555555555561</v>
      </c>
      <c r="AX86" s="526">
        <f>Parameters!$B$6*AV86</f>
        <v>0.95395555555555567</v>
      </c>
      <c r="AY86" s="150">
        <v>0</v>
      </c>
      <c r="AZ86" s="150"/>
      <c r="BA86" s="150">
        <f t="shared" si="163"/>
        <v>0.95395555555555567</v>
      </c>
      <c r="BC86" s="522">
        <f t="shared" si="164"/>
        <v>96.349511111111113</v>
      </c>
      <c r="BD86" s="175"/>
      <c r="BE86" s="527">
        <f t="shared" si="172"/>
        <v>931.42826666666667</v>
      </c>
      <c r="BF86" s="181">
        <f t="shared" si="173"/>
        <v>0.90625452972972964</v>
      </c>
      <c r="BG86" s="520" t="b">
        <f t="shared" si="165"/>
        <v>0</v>
      </c>
      <c r="BI86" s="528" t="s">
        <v>2181</v>
      </c>
      <c r="BK86" s="151">
        <f>VLOOKUP(J86,'Tarieven ZM'!$B$136:$I$235,8,0)</f>
        <v>0</v>
      </c>
      <c r="BL86" s="151" t="str">
        <f>IF(M86="EoK",N86&amp;"AdvancedNLS type 1/2/3",IF(E86&lt;&gt;"Straal Access",INDEX(Mapping!J:J,MATCH(E86&amp;G86,Mapping!B:B,0)),E86))</f>
        <v>Copper Standard Access 10Mbit/sAdvancedNLS type 1/2/3</v>
      </c>
      <c r="BM86" s="184">
        <f>INDEX('inkoop ULL tbv EVPN'!J:J,MATCH($BL86,'inkoop ULL tbv EVPN'!$H:$H,0))</f>
        <v>78.97</v>
      </c>
      <c r="BN86" s="180">
        <f>BM86/INDEX(Parameters!$B:$B,MATCH("AfschrijftermijnVVE"&amp;12*$C86,Parameters!$A:$A,0))</f>
        <v>2.1936111111111112</v>
      </c>
      <c r="BO86" s="184">
        <f>INDEX('inkoop ULL tbv EVPN'!I:I,MATCH($BL86,'inkoop ULL tbv EVPN'!$H:$H,0))</f>
        <v>14.7296035</v>
      </c>
      <c r="BP86" s="184">
        <f t="shared" si="166"/>
        <v>16.92321461111111</v>
      </c>
      <c r="BR86" s="180">
        <f>Parameters!$B$12*AG86</f>
        <v>102.77777777777779</v>
      </c>
      <c r="BS86" s="180">
        <f>SUM(Distributievergoedingen!$F$12,Distributievergoedingen!$I$12,Distributievergoedingen!$L$12,Distributievergoedingen!$O$12)*AF86+SUM(Distributievergoedingen!$O$12*AA86+Distributievergoedingen!$R$12+Distributievergoedingen!$U$12+Distributievergoedingen!$X$12)/(MAX(36,12*C86))</f>
        <v>112.77777777777777</v>
      </c>
      <c r="BT86" s="150"/>
      <c r="BU86" s="150">
        <f t="shared" si="167"/>
        <v>215.55555555555554</v>
      </c>
      <c r="BW86" s="522">
        <f t="shared" si="168"/>
        <v>232.47877016666666</v>
      </c>
      <c r="BY86" s="527">
        <f t="shared" si="169"/>
        <v>795.29900761111116</v>
      </c>
      <c r="BZ86" s="181">
        <f t="shared" si="170"/>
        <v>0.77380443983783787</v>
      </c>
      <c r="CA86" s="520" t="b">
        <f t="shared" si="171"/>
        <v>0</v>
      </c>
    </row>
    <row r="87" spans="1:79" s="151" customFormat="1">
      <c r="A87" s="151" t="str">
        <f t="shared" si="151"/>
        <v>2EoKStandard Access koper 15mbLaagOn-net (NLS3)</v>
      </c>
      <c r="B87" s="151" t="str">
        <f t="shared" si="152"/>
        <v>2EoKStandard Access koper 15mbLaagOn-net (NLS3)</v>
      </c>
      <c r="C87" s="178">
        <v>2</v>
      </c>
      <c r="D87" s="415" t="s">
        <v>303</v>
      </c>
      <c r="E87" s="178" t="s">
        <v>278</v>
      </c>
      <c r="F87" s="107" t="s">
        <v>275</v>
      </c>
      <c r="G87" s="178" t="s">
        <v>3398</v>
      </c>
      <c r="I87" s="178"/>
      <c r="J87" s="520" t="str">
        <f t="shared" si="153"/>
        <v>EoKStandard Access koper 15mbLaagOn-net (NLS3)</v>
      </c>
      <c r="L87" s="204">
        <f>INDEX(Mapping!$H:$H,MATCH(C$3&amp;C87,Mapping!$B:$B,0))</f>
        <v>1</v>
      </c>
      <c r="M87" s="204" t="str">
        <f>INDEX(Mapping!$H:$H,MATCH(D$3&amp;D87,Mapping!$B:$B,0))</f>
        <v>EoK</v>
      </c>
      <c r="N87" s="204" t="str">
        <f>INDEX(Mapping!$H:$H,MATCH(E$3&amp;E87,Mapping!$B:$B,0))</f>
        <v>Copper Standard Access 15Mbit/s</v>
      </c>
      <c r="O87" s="204" t="str">
        <f>INDEX(Mapping!$H:$H,MATCH(E87&amp;F87,Mapping!$B:$B,0))</f>
        <v/>
      </c>
      <c r="P87" s="204" t="str">
        <f>INDEX(Mapping!$H:$H,MATCH($E87&amp;$G87,Mapping!$B:$B,0))</f>
        <v>On-net (NLS3)</v>
      </c>
      <c r="Q87" s="204" t="str">
        <f>INDEX(Mapping!$H:$H,MATCH($E87&amp;$G87&amp;"graafafstand",Mapping!$B:$B,0))</f>
        <v>nvt</v>
      </c>
      <c r="R87" s="204">
        <f>INDEX(Mapping!$H:$H,MATCH(R$3&amp;$E87,Mapping!$B:$B,0))</f>
        <v>1</v>
      </c>
      <c r="S87" s="204">
        <f>INDEX(Mapping!$H:$H,MATCH(S$3&amp;$E87,Mapping!$B:$B,0))</f>
        <v>1</v>
      </c>
      <c r="T87" s="139" t="str">
        <f t="shared" si="154"/>
        <v>Copper Standard Access 15Mbit/sOn-net (NLS3)</v>
      </c>
      <c r="U87" s="151" t="str">
        <f t="shared" si="155"/>
        <v>Copper Standard Access 15Mbit/sOn-net (NLS3)</v>
      </c>
      <c r="W87" s="521">
        <f>MATCH($J87,'Tarieven ZM'!$B:$B,0)</f>
        <v>181</v>
      </c>
      <c r="X87" s="204">
        <f>INDEX('Tarieven ZM'!$H:$H,$W87)</f>
        <v>1000</v>
      </c>
      <c r="Y87" s="198">
        <f>IF(E87="Standard Access in ZG BT gebieden",0,-INDEX(Parameters!$B:$B,MATCH(Y$3&amp;$C87,Parameters!$A:$A,0))*$X87)</f>
        <v>0</v>
      </c>
      <c r="Z87" s="198">
        <f>IF(E87="Standard Access in ZG BT gebieden",0,MAX(-INDEX(Parameters!$B:$B,MATCH(Z$3&amp;$C87,Parameters!$A:$A,0))*$X87,-INDEX(Parameters!$B:$B,MATCH("FactorMaxSalesMandaat"&amp;E87,Parameters!$A:$A,0))*INDEX(Parameters!$B:$B,MATCH("MaxSalesMandaatAccessVVE"&amp;$C87,Parameters!$A:$A,0))))</f>
        <v>0</v>
      </c>
      <c r="AA87" s="139">
        <f t="shared" si="156"/>
        <v>1000</v>
      </c>
      <c r="AB87" s="205">
        <f>AA87/INDEX(Parameters!$B:$B,MATCH("AfschrijftermijnVVE"&amp;12*$C87,Parameters!$A:$A,0))</f>
        <v>27.777777777777779</v>
      </c>
      <c r="AC87" s="204">
        <f>INDEX('Tarieven ZM'!$G:$G,$W87)</f>
        <v>1000</v>
      </c>
      <c r="AD87" s="198">
        <f>IF(E87="Standard Access in ZG BT gebieden",0,-INDEX(Parameters!$B:$B,MATCH(AD$3&amp;$C87,Parameters!$A:$A,0))*$AC87)</f>
        <v>0</v>
      </c>
      <c r="AE87" s="198">
        <f>IF(E87="Standard Access in ZG BT gebieden",0,-INDEX(Parameters!$B:$B,MATCH(AE$3,Parameters!$A:$A,0))*$AC87)</f>
        <v>0</v>
      </c>
      <c r="AF87" s="139">
        <f t="shared" si="157"/>
        <v>1000</v>
      </c>
      <c r="AG87" s="522">
        <f t="shared" si="158"/>
        <v>1027.7777777777778</v>
      </c>
      <c r="AH87" s="175"/>
      <c r="AI87" s="523">
        <f>IF(N87&lt;&gt;"nvt",MATCH($T87,'Tarieven W&amp;O'!$B:$B,0),"nvt")</f>
        <v>19</v>
      </c>
      <c r="AJ87" s="205">
        <f>IF(AI87&lt;&gt;"nvt",IF($D87="EoK",INDEX(Parameters!C:C,MATCH("NLSx EoK",Parameters!A:A,0)),INDEX('Tarieven W&amp;O'!$H:$H,$AI87)),0)*R87</f>
        <v>350</v>
      </c>
      <c r="AK87" s="204">
        <f>IF(AI87&lt;&gt;"nvt",INDEX('Tarieven W&amp;O'!$I:$I,$AI87),0)*R87</f>
        <v>75</v>
      </c>
      <c r="AL87" s="524">
        <f>IF(AI87&lt;&gt;"nvt",-INDEX(Parameters!$B:$B,MATCH(AL$3,Parameters!$A:$A,0))*(AJ87+AK87),0)</f>
        <v>0</v>
      </c>
      <c r="AM87" s="525"/>
      <c r="AN87" s="139">
        <f t="shared" si="159"/>
        <v>425</v>
      </c>
      <c r="AO87" s="205">
        <f>AN87/INDEX(Parameters!$B:$B,MATCH("AfschrijftermijnVVE"&amp;12*$C87,Parameters!$A:$A,0))</f>
        <v>11.805555555555555</v>
      </c>
      <c r="AP87" s="139">
        <f t="shared" si="160"/>
        <v>19</v>
      </c>
      <c r="AQ87" s="526">
        <f>IF(AP87&lt;&gt;"nvt",R87*INDEX('Tarieven W&amp;O'!$G:$G,$AP87),0)</f>
        <v>102.44</v>
      </c>
      <c r="AR87" s="524">
        <f>-INDEX(Parameters!$B:$B,MATCH(AR$3,Parameters!$A:$A,0))*(AQ87)</f>
        <v>0</v>
      </c>
      <c r="AS87" s="205">
        <f>IF(E87="straal access",'EDC Minus'!$H$192,IF(Q87&lt;&gt;"nvt",Q87*S87*'EDC Minus'!$H$292/590,0))</f>
        <v>0</v>
      </c>
      <c r="AT87" s="139"/>
      <c r="AU87" s="150">
        <f t="shared" si="161"/>
        <v>102.44</v>
      </c>
      <c r="AV87" s="150">
        <f t="shared" si="162"/>
        <v>114.24555555555555</v>
      </c>
      <c r="AX87" s="526">
        <f>Parameters!$B$6*AV87</f>
        <v>1.1424555555555556</v>
      </c>
      <c r="AY87" s="150">
        <v>0</v>
      </c>
      <c r="AZ87" s="150"/>
      <c r="BA87" s="150">
        <f t="shared" si="163"/>
        <v>1.1424555555555556</v>
      </c>
      <c r="BC87" s="522">
        <f t="shared" si="164"/>
        <v>115.38801111111111</v>
      </c>
      <c r="BD87" s="175"/>
      <c r="BE87" s="527">
        <f t="shared" si="172"/>
        <v>912.38976666666667</v>
      </c>
      <c r="BF87" s="181">
        <f t="shared" si="173"/>
        <v>0.88773058378378378</v>
      </c>
      <c r="BG87" s="520" t="b">
        <f t="shared" si="165"/>
        <v>0</v>
      </c>
      <c r="BI87" s="528" t="s">
        <v>2181</v>
      </c>
      <c r="BK87" s="151">
        <f>VLOOKUP(J87,'Tarieven ZM'!$B$136:$I$235,8,0)</f>
        <v>0</v>
      </c>
      <c r="BL87" s="151" t="str">
        <f>IF(M87="EoK",N87&amp;"AdvancedNLS type 1/2/3",IF(E87&lt;&gt;"Straal Access",INDEX(Mapping!J:J,MATCH(E87&amp;G87,Mapping!B:B,0)),E87))</f>
        <v>Copper Standard Access 15Mbit/sAdvancedNLS type 1/2/3</v>
      </c>
      <c r="BM87" s="184">
        <f>INDEX('inkoop ULL tbv EVPN'!J:J,MATCH($BL87,'inkoop ULL tbv EVPN'!$H:$H,0))</f>
        <v>78.97</v>
      </c>
      <c r="BN87" s="180">
        <f>BM87/INDEX(Parameters!$B:$B,MATCH("AfschrijftermijnVVE"&amp;12*$C87,Parameters!$A:$A,0))</f>
        <v>2.1936111111111112</v>
      </c>
      <c r="BO87" s="184">
        <f>INDEX('inkoop ULL tbv EVPN'!I:I,MATCH($BL87,'inkoop ULL tbv EVPN'!$H:$H,0))</f>
        <v>14.7296035</v>
      </c>
      <c r="BP87" s="184">
        <f t="shared" si="166"/>
        <v>16.92321461111111</v>
      </c>
      <c r="BR87" s="180">
        <f>Parameters!$B$12*AG87</f>
        <v>102.77777777777779</v>
      </c>
      <c r="BS87" s="180">
        <f>SUM(Distributievergoedingen!$F$12,Distributievergoedingen!$I$12,Distributievergoedingen!$L$12,Distributievergoedingen!$O$12)*AF87+SUM(Distributievergoedingen!$O$12*AA87+Distributievergoedingen!$R$12+Distributievergoedingen!$U$12+Distributievergoedingen!$X$12)/(MAX(36,12*C87))</f>
        <v>112.77777777777777</v>
      </c>
      <c r="BT87" s="150"/>
      <c r="BU87" s="150">
        <f t="shared" si="167"/>
        <v>215.55555555555554</v>
      </c>
      <c r="BW87" s="522">
        <f t="shared" si="168"/>
        <v>232.47877016666666</v>
      </c>
      <c r="BY87" s="527">
        <f t="shared" si="169"/>
        <v>795.29900761111116</v>
      </c>
      <c r="BZ87" s="181">
        <f t="shared" si="170"/>
        <v>0.77380443983783787</v>
      </c>
      <c r="CA87" s="520" t="b">
        <f t="shared" si="171"/>
        <v>0</v>
      </c>
    </row>
    <row r="88" spans="1:79" s="151" customFormat="1">
      <c r="A88" s="151" t="str">
        <f t="shared" si="151"/>
        <v>2EoKStandard Access koper 20mbLaagOn-net (NLS3)</v>
      </c>
      <c r="B88" s="151" t="str">
        <f t="shared" si="152"/>
        <v>2EoKStandard Access koper 20mbLaagOn-net (NLS3)</v>
      </c>
      <c r="C88" s="178">
        <v>2</v>
      </c>
      <c r="D88" s="415" t="s">
        <v>303</v>
      </c>
      <c r="E88" s="178" t="s">
        <v>279</v>
      </c>
      <c r="F88" s="107" t="s">
        <v>275</v>
      </c>
      <c r="G88" s="178" t="s">
        <v>3398</v>
      </c>
      <c r="I88" s="178"/>
      <c r="J88" s="520" t="str">
        <f t="shared" si="153"/>
        <v>EoKStandard Access koper 20mbLaagOn-net (NLS3)</v>
      </c>
      <c r="L88" s="204">
        <f>INDEX(Mapping!$H:$H,MATCH(C$3&amp;C88,Mapping!$B:$B,0))</f>
        <v>1</v>
      </c>
      <c r="M88" s="204" t="str">
        <f>INDEX(Mapping!$H:$H,MATCH(D$3&amp;D88,Mapping!$B:$B,0))</f>
        <v>EoK</v>
      </c>
      <c r="N88" s="204" t="str">
        <f>INDEX(Mapping!$H:$H,MATCH(E$3&amp;E88,Mapping!$B:$B,0))</f>
        <v>Copper Standard Access 20Mbit/s</v>
      </c>
      <c r="O88" s="204" t="str">
        <f>INDEX(Mapping!$H:$H,MATCH(E88&amp;F88,Mapping!$B:$B,0))</f>
        <v/>
      </c>
      <c r="P88" s="204" t="str">
        <f>INDEX(Mapping!$H:$H,MATCH($E88&amp;$G88,Mapping!$B:$B,0))</f>
        <v>On-net (NLS3)</v>
      </c>
      <c r="Q88" s="204" t="str">
        <f>INDEX(Mapping!$H:$H,MATCH($E88&amp;$G88&amp;"graafafstand",Mapping!$B:$B,0))</f>
        <v>nvt</v>
      </c>
      <c r="R88" s="204">
        <f>INDEX(Mapping!$H:$H,MATCH(R$3&amp;$E88,Mapping!$B:$B,0))</f>
        <v>1</v>
      </c>
      <c r="S88" s="204">
        <f>INDEX(Mapping!$H:$H,MATCH(S$3&amp;$E88,Mapping!$B:$B,0))</f>
        <v>1</v>
      </c>
      <c r="T88" s="139" t="str">
        <f t="shared" si="154"/>
        <v>Copper Standard Access 20Mbit/sOn-net (NLS3)</v>
      </c>
      <c r="U88" s="151" t="str">
        <f t="shared" si="155"/>
        <v>Copper Standard Access 20Mbit/sOn-net (NLS3)</v>
      </c>
      <c r="W88" s="521">
        <f>MATCH($J88,'Tarieven ZM'!$B:$B,0)</f>
        <v>182</v>
      </c>
      <c r="X88" s="204">
        <f>INDEX('Tarieven ZM'!$H:$H,$W88)</f>
        <v>1000</v>
      </c>
      <c r="Y88" s="198">
        <f>IF(E88="Standard Access in ZG BT gebieden",0,-INDEX(Parameters!$B:$B,MATCH(Y$3&amp;$C88,Parameters!$A:$A,0))*$X88)</f>
        <v>0</v>
      </c>
      <c r="Z88" s="198">
        <f>IF(E88="Standard Access in ZG BT gebieden",0,MAX(-INDEX(Parameters!$B:$B,MATCH(Z$3&amp;$C88,Parameters!$A:$A,0))*$X88,-INDEX(Parameters!$B:$B,MATCH("FactorMaxSalesMandaat"&amp;E88,Parameters!$A:$A,0))*INDEX(Parameters!$B:$B,MATCH("MaxSalesMandaatAccessVVE"&amp;$C88,Parameters!$A:$A,0))))</f>
        <v>0</v>
      </c>
      <c r="AA88" s="139">
        <f t="shared" si="156"/>
        <v>1000</v>
      </c>
      <c r="AB88" s="205">
        <f>AA88/INDEX(Parameters!$B:$B,MATCH("AfschrijftermijnVVE"&amp;12*$C88,Parameters!$A:$A,0))</f>
        <v>27.777777777777779</v>
      </c>
      <c r="AC88" s="204">
        <f>INDEX('Tarieven ZM'!$G:$G,$W88)</f>
        <v>1000</v>
      </c>
      <c r="AD88" s="198">
        <f>IF(E88="Standard Access in ZG BT gebieden",0,-INDEX(Parameters!$B:$B,MATCH(AD$3&amp;$C88,Parameters!$A:$A,0))*$AC88)</f>
        <v>0</v>
      </c>
      <c r="AE88" s="198">
        <f>IF(E88="Standard Access in ZG BT gebieden",0,-INDEX(Parameters!$B:$B,MATCH(AE$3,Parameters!$A:$A,0))*$AC88)</f>
        <v>0</v>
      </c>
      <c r="AF88" s="139">
        <f t="shared" si="157"/>
        <v>1000</v>
      </c>
      <c r="AG88" s="522">
        <f t="shared" si="158"/>
        <v>1027.7777777777778</v>
      </c>
      <c r="AH88" s="175"/>
      <c r="AI88" s="523">
        <f>IF(N88&lt;&gt;"nvt",MATCH($T88,'Tarieven W&amp;O'!$B:$B,0),"nvt")</f>
        <v>20</v>
      </c>
      <c r="AJ88" s="205">
        <f>IF(AI88&lt;&gt;"nvt",IF($D88="EoK",INDEX(Parameters!C:C,MATCH("NLSx EoK",Parameters!A:A,0)),INDEX('Tarieven W&amp;O'!$H:$H,$AI88)),0)*R88</f>
        <v>350</v>
      </c>
      <c r="AK88" s="204">
        <f>IF(AI88&lt;&gt;"nvt",INDEX('Tarieven W&amp;O'!$I:$I,$AI88),0)*R88</f>
        <v>75</v>
      </c>
      <c r="AL88" s="524">
        <f>IF(AI88&lt;&gt;"nvt",-INDEX(Parameters!$B:$B,MATCH(AL$3,Parameters!$A:$A,0))*(AJ88+AK88),0)</f>
        <v>0</v>
      </c>
      <c r="AM88" s="525"/>
      <c r="AN88" s="139">
        <f t="shared" si="159"/>
        <v>425</v>
      </c>
      <c r="AO88" s="205">
        <f>AN88/INDEX(Parameters!$B:$B,MATCH("AfschrijftermijnVVE"&amp;12*$C88,Parameters!$A:$A,0))</f>
        <v>11.805555555555555</v>
      </c>
      <c r="AP88" s="139">
        <f t="shared" si="160"/>
        <v>20</v>
      </c>
      <c r="AQ88" s="526">
        <f>IF(AP88&lt;&gt;"nvt",R88*INDEX('Tarieven W&amp;O'!$G:$G,$AP88),0)</f>
        <v>121.28</v>
      </c>
      <c r="AR88" s="524">
        <f>-INDEX(Parameters!$B:$B,MATCH(AR$3,Parameters!$A:$A,0))*(AQ88)</f>
        <v>0</v>
      </c>
      <c r="AS88" s="205">
        <f>IF(E88="straal access",'EDC Minus'!$H$192,IF(Q88&lt;&gt;"nvt",Q88*S88*'EDC Minus'!$H$292/590,0))</f>
        <v>0</v>
      </c>
      <c r="AT88" s="139"/>
      <c r="AU88" s="150">
        <f t="shared" si="161"/>
        <v>121.28</v>
      </c>
      <c r="AV88" s="150">
        <f t="shared" si="162"/>
        <v>133.08555555555554</v>
      </c>
      <c r="AX88" s="526">
        <f>Parameters!$B$6*AV88</f>
        <v>1.3308555555555555</v>
      </c>
      <c r="AY88" s="150">
        <v>0</v>
      </c>
      <c r="AZ88" s="150"/>
      <c r="BA88" s="150">
        <f t="shared" si="163"/>
        <v>1.3308555555555555</v>
      </c>
      <c r="BC88" s="522">
        <f t="shared" si="164"/>
        <v>134.4164111111111</v>
      </c>
      <c r="BD88" s="175"/>
      <c r="BE88" s="527">
        <f t="shared" si="172"/>
        <v>893.36136666666675</v>
      </c>
      <c r="BF88" s="181">
        <f t="shared" si="173"/>
        <v>0.86921646486486492</v>
      </c>
      <c r="BG88" s="520" t="b">
        <f t="shared" si="165"/>
        <v>0</v>
      </c>
      <c r="BI88" s="528" t="s">
        <v>2181</v>
      </c>
      <c r="BK88" s="151">
        <f>VLOOKUP(J88,'Tarieven ZM'!$B$136:$I$235,8,0)</f>
        <v>0</v>
      </c>
      <c r="BL88" s="151" t="str">
        <f>IF(M88="EoK",N88&amp;"AdvancedNLS type 1/2/3",IF(E88&lt;&gt;"Straal Access",INDEX(Mapping!J:J,MATCH(E88&amp;G88,Mapping!B:B,0)),E88))</f>
        <v>Copper Standard Access 20Mbit/sAdvancedNLS type 1/2/3</v>
      </c>
      <c r="BM88" s="184">
        <f>INDEX('inkoop ULL tbv EVPN'!J:J,MATCH($BL88,'inkoop ULL tbv EVPN'!$H:$H,0))</f>
        <v>78.97</v>
      </c>
      <c r="BN88" s="180">
        <f>BM88/INDEX(Parameters!$B:$B,MATCH("AfschrijftermijnVVE"&amp;12*$C88,Parameters!$A:$A,0))</f>
        <v>2.1936111111111112</v>
      </c>
      <c r="BO88" s="184">
        <f>INDEX('inkoop ULL tbv EVPN'!I:I,MATCH($BL88,'inkoop ULL tbv EVPN'!$H:$H,0))</f>
        <v>14.7296035</v>
      </c>
      <c r="BP88" s="184">
        <f t="shared" si="166"/>
        <v>16.92321461111111</v>
      </c>
      <c r="BR88" s="180">
        <f>Parameters!$B$12*AG88</f>
        <v>102.77777777777779</v>
      </c>
      <c r="BS88" s="180">
        <f>SUM(Distributievergoedingen!$F$12,Distributievergoedingen!$I$12,Distributievergoedingen!$L$12,Distributievergoedingen!$O$12)*AF88+SUM(Distributievergoedingen!$O$12*AA88+Distributievergoedingen!$R$12+Distributievergoedingen!$U$12+Distributievergoedingen!$X$12)/(MAX(36,12*C88))</f>
        <v>112.77777777777777</v>
      </c>
      <c r="BT88" s="150"/>
      <c r="BU88" s="150">
        <f t="shared" si="167"/>
        <v>215.55555555555554</v>
      </c>
      <c r="BW88" s="522">
        <f t="shared" si="168"/>
        <v>232.47877016666666</v>
      </c>
      <c r="BY88" s="527">
        <f t="shared" si="169"/>
        <v>795.29900761111116</v>
      </c>
      <c r="BZ88" s="181">
        <f t="shared" si="170"/>
        <v>0.77380443983783787</v>
      </c>
      <c r="CA88" s="520" t="b">
        <f t="shared" si="171"/>
        <v>0</v>
      </c>
    </row>
    <row r="89" spans="1:79" s="151" customFormat="1">
      <c r="A89" s="151" t="str">
        <f t="shared" si="151"/>
        <v>2EoKStandard Access koper 3mbLaag&lt; 250 meter</v>
      </c>
      <c r="B89" s="151" t="str">
        <f t="shared" si="152"/>
        <v>2EoKStandard Access koper 3mbLaag&lt; 250 meter</v>
      </c>
      <c r="C89" s="178">
        <v>2</v>
      </c>
      <c r="D89" s="415" t="s">
        <v>303</v>
      </c>
      <c r="E89" s="178" t="s">
        <v>268</v>
      </c>
      <c r="F89" s="107" t="s">
        <v>275</v>
      </c>
      <c r="G89" s="178" t="s">
        <v>3397</v>
      </c>
      <c r="I89" s="178"/>
      <c r="J89" s="520" t="str">
        <f t="shared" si="153"/>
        <v>EoKStandard Access koper 3mbLaag&lt; 250 meter</v>
      </c>
      <c r="L89" s="204">
        <f>INDEX(Mapping!$H:$H,MATCH(C$3&amp;C89,Mapping!$B:$B,0))</f>
        <v>1</v>
      </c>
      <c r="M89" s="204" t="str">
        <f>INDEX(Mapping!$H:$H,MATCH(D$3&amp;D89,Mapping!$B:$B,0))</f>
        <v>EoK</v>
      </c>
      <c r="N89" s="204" t="str">
        <f>INDEX(Mapping!$H:$H,MATCH(E$3&amp;E89,Mapping!$B:$B,0))</f>
        <v>Copper Standard Access 3Mbit/s</v>
      </c>
      <c r="O89" s="204" t="str">
        <f>INDEX(Mapping!$H:$H,MATCH(E89&amp;F89,Mapping!$B:$B,0))</f>
        <v/>
      </c>
      <c r="P89" s="204" t="str">
        <f>INDEX(Mapping!$H:$H,MATCH($E89&amp;$G89,Mapping!$B:$B,0))</f>
        <v>Nearnet</v>
      </c>
      <c r="Q89" s="204" t="str">
        <f>INDEX(Mapping!$H:$H,MATCH($E89&amp;$G89&amp;"graafafstand",Mapping!$B:$B,0))</f>
        <v>nvt</v>
      </c>
      <c r="R89" s="204">
        <f>INDEX(Mapping!$H:$H,MATCH(R$3&amp;$E89,Mapping!$B:$B,0))</f>
        <v>1</v>
      </c>
      <c r="S89" s="204">
        <f>INDEX(Mapping!$H:$H,MATCH(S$3&amp;$E89,Mapping!$B:$B,0))</f>
        <v>1</v>
      </c>
      <c r="T89" s="139" t="str">
        <f t="shared" si="154"/>
        <v>Copper Standard Access 3Mbit/sNearnet</v>
      </c>
      <c r="U89" s="151" t="str">
        <f t="shared" si="155"/>
        <v>Copper Standard Access 3Mbit/sNearnet</v>
      </c>
      <c r="W89" s="521">
        <f>MATCH($J89,'Tarieven ZM'!$B:$B,0)</f>
        <v>183</v>
      </c>
      <c r="X89" s="204">
        <f>INDEX('Tarieven ZM'!$H:$H,$W89)</f>
        <v>1000</v>
      </c>
      <c r="Y89" s="198">
        <f>IF(E89="Standard Access in ZG BT gebieden",0,-INDEX(Parameters!$B:$B,MATCH(Y$3&amp;$C89,Parameters!$A:$A,0))*$X89)</f>
        <v>0</v>
      </c>
      <c r="Z89" s="198">
        <f>IF(E89="Standard Access in ZG BT gebieden",0,MAX(-INDEX(Parameters!$B:$B,MATCH(Z$3&amp;$C89,Parameters!$A:$A,0))*$X89,-INDEX(Parameters!$B:$B,MATCH("FactorMaxSalesMandaat"&amp;E89,Parameters!$A:$A,0))*INDEX(Parameters!$B:$B,MATCH("MaxSalesMandaatAccessVVE"&amp;$C89,Parameters!$A:$A,0))))</f>
        <v>0</v>
      </c>
      <c r="AA89" s="139">
        <f t="shared" si="156"/>
        <v>1000</v>
      </c>
      <c r="AB89" s="205">
        <f>AA89/INDEX(Parameters!$B:$B,MATCH("AfschrijftermijnVVE"&amp;12*$C89,Parameters!$A:$A,0))</f>
        <v>27.777777777777779</v>
      </c>
      <c r="AC89" s="204">
        <f>INDEX('Tarieven ZM'!$G:$G,$W89)</f>
        <v>1000</v>
      </c>
      <c r="AD89" s="198">
        <f>IF(E89="Standard Access in ZG BT gebieden",0,-INDEX(Parameters!$B:$B,MATCH(AD$3&amp;$C89,Parameters!$A:$A,0))*$AC89)</f>
        <v>0</v>
      </c>
      <c r="AE89" s="198">
        <f>IF(E89="Standard Access in ZG BT gebieden",0,-INDEX(Parameters!$B:$B,MATCH(AE$3,Parameters!$A:$A,0))*$AC89)</f>
        <v>0</v>
      </c>
      <c r="AF89" s="139">
        <f t="shared" si="157"/>
        <v>1000</v>
      </c>
      <c r="AG89" s="522">
        <f t="shared" si="158"/>
        <v>1027.7777777777778</v>
      </c>
      <c r="AH89" s="175"/>
      <c r="AI89" s="523">
        <f>IF(N89&lt;&gt;"nvt",MATCH($T89,'Tarieven W&amp;O'!$B:$B,0),"nvt")</f>
        <v>23</v>
      </c>
      <c r="AJ89" s="205">
        <f>IF(AI89&lt;&gt;"nvt",IF($D89="EoK",INDEX(Parameters!C:C,MATCH("NLSx EoK",Parameters!A:A,0)),INDEX('Tarieven W&amp;O'!$H:$H,$AI89)),0)*R89</f>
        <v>350</v>
      </c>
      <c r="AK89" s="204">
        <f>IF(AI89&lt;&gt;"nvt",INDEX('Tarieven W&amp;O'!$I:$I,$AI89),0)*R89</f>
        <v>75</v>
      </c>
      <c r="AL89" s="524">
        <f>IF(AI89&lt;&gt;"nvt",-INDEX(Parameters!$B:$B,MATCH(AL$3,Parameters!$A:$A,0))*(AJ89+AK89),0)</f>
        <v>0</v>
      </c>
      <c r="AM89" s="525"/>
      <c r="AN89" s="139">
        <f t="shared" si="159"/>
        <v>425</v>
      </c>
      <c r="AO89" s="205">
        <f>AN89/INDEX(Parameters!$B:$B,MATCH("AfschrijftermijnVVE"&amp;12*$C89,Parameters!$A:$A,0))</f>
        <v>11.805555555555555</v>
      </c>
      <c r="AP89" s="139">
        <f t="shared" si="160"/>
        <v>23</v>
      </c>
      <c r="AQ89" s="526">
        <f>IF(AP89&lt;&gt;"nvt",R89*INDEX('Tarieven W&amp;O'!$G:$G,$AP89),0)</f>
        <v>41.5</v>
      </c>
      <c r="AR89" s="524">
        <f>-INDEX(Parameters!$B:$B,MATCH(AR$3,Parameters!$A:$A,0))*(AQ89)</f>
        <v>0</v>
      </c>
      <c r="AS89" s="205">
        <f>IF(E89="straal access",'EDC Minus'!$H$192,IF(Q89&lt;&gt;"nvt",Q89*S89*'EDC Minus'!$H$292/590,0))</f>
        <v>0</v>
      </c>
      <c r="AT89" s="139"/>
      <c r="AU89" s="150">
        <f t="shared" si="161"/>
        <v>41.5</v>
      </c>
      <c r="AV89" s="150">
        <f t="shared" si="162"/>
        <v>53.305555555555557</v>
      </c>
      <c r="AX89" s="526">
        <f>Parameters!$B$6*AV89</f>
        <v>0.53305555555555562</v>
      </c>
      <c r="AY89" s="150">
        <v>0</v>
      </c>
      <c r="AZ89" s="150"/>
      <c r="BA89" s="150">
        <f t="shared" si="163"/>
        <v>0.53305555555555562</v>
      </c>
      <c r="BC89" s="522">
        <f t="shared" si="164"/>
        <v>53.838611111111113</v>
      </c>
      <c r="BD89" s="175"/>
      <c r="BE89" s="527">
        <f t="shared" si="172"/>
        <v>973.93916666666667</v>
      </c>
      <c r="BF89" s="181">
        <f t="shared" si="173"/>
        <v>0.94761648648648644</v>
      </c>
      <c r="BG89" s="520" t="b">
        <f t="shared" si="165"/>
        <v>0</v>
      </c>
      <c r="BI89" s="528" t="s">
        <v>2181</v>
      </c>
      <c r="BK89" s="151">
        <f>VLOOKUP(J89,'Tarieven ZM'!$B$136:$I$235,8,0)</f>
        <v>0</v>
      </c>
      <c r="BL89" s="151" t="str">
        <f>IF(M89="EoK",N89&amp;"AdvancedNLS type 1/2/3",IF(E89&lt;&gt;"Straal Access",INDEX(Mapping!J:J,MATCH(E89&amp;G89,Mapping!B:B,0)),E89))</f>
        <v>Copper Standard Access 3Mbit/sAdvancedNLS type 1/2/3</v>
      </c>
      <c r="BM89" s="184">
        <f>INDEX('inkoop ULL tbv EVPN'!J:J,MATCH($BL89,'inkoop ULL tbv EVPN'!$H:$H,0))</f>
        <v>78.97</v>
      </c>
      <c r="BN89" s="180">
        <f>BM89/INDEX(Parameters!$B:$B,MATCH("AfschrijftermijnVVE"&amp;12*$C89,Parameters!$A:$A,0))</f>
        <v>2.1936111111111112</v>
      </c>
      <c r="BO89" s="184">
        <f>INDEX('inkoop ULL tbv EVPN'!I:I,MATCH($BL89,'inkoop ULL tbv EVPN'!$H:$H,0))</f>
        <v>14.7296035</v>
      </c>
      <c r="BP89" s="184">
        <f t="shared" si="166"/>
        <v>16.92321461111111</v>
      </c>
      <c r="BR89" s="180">
        <f>Parameters!$B$12*AG89</f>
        <v>102.77777777777779</v>
      </c>
      <c r="BS89" s="180">
        <f>SUM(Distributievergoedingen!$F$12,Distributievergoedingen!$I$12,Distributievergoedingen!$L$12,Distributievergoedingen!$O$12)*AF89+SUM(Distributievergoedingen!$O$12*AA89+Distributievergoedingen!$R$12+Distributievergoedingen!$U$12+Distributievergoedingen!$X$12)/(MAX(36,12*C89))</f>
        <v>112.77777777777777</v>
      </c>
      <c r="BT89" s="150"/>
      <c r="BU89" s="150">
        <f t="shared" si="167"/>
        <v>215.55555555555554</v>
      </c>
      <c r="BW89" s="522">
        <f t="shared" si="168"/>
        <v>232.47877016666666</v>
      </c>
      <c r="BY89" s="527">
        <f t="shared" si="169"/>
        <v>795.29900761111116</v>
      </c>
      <c r="BZ89" s="181">
        <f t="shared" si="170"/>
        <v>0.77380443983783787</v>
      </c>
      <c r="CA89" s="520" t="b">
        <f t="shared" si="171"/>
        <v>0</v>
      </c>
    </row>
    <row r="90" spans="1:79" s="151" customFormat="1">
      <c r="A90" s="151" t="str">
        <f t="shared" si="151"/>
        <v>2EoKStandard Access koper 5mbLaag&lt; 250 meter</v>
      </c>
      <c r="B90" s="151" t="str">
        <f t="shared" si="152"/>
        <v>2EoKStandard Access koper 5mbLaag&lt; 250 meter</v>
      </c>
      <c r="C90" s="178">
        <v>2</v>
      </c>
      <c r="D90" s="415" t="s">
        <v>303</v>
      </c>
      <c r="E90" s="178" t="s">
        <v>276</v>
      </c>
      <c r="F90" s="107" t="s">
        <v>275</v>
      </c>
      <c r="G90" s="178" t="s">
        <v>3397</v>
      </c>
      <c r="I90" s="178"/>
      <c r="J90" s="520" t="str">
        <f t="shared" si="153"/>
        <v>EoKStandard Access koper 5mbLaag&lt; 250 meter</v>
      </c>
      <c r="L90" s="204">
        <f>INDEX(Mapping!$H:$H,MATCH(C$3&amp;C90,Mapping!$B:$B,0))</f>
        <v>1</v>
      </c>
      <c r="M90" s="204" t="str">
        <f>INDEX(Mapping!$H:$H,MATCH(D$3&amp;D90,Mapping!$B:$B,0))</f>
        <v>EoK</v>
      </c>
      <c r="N90" s="204" t="str">
        <f>INDEX(Mapping!$H:$H,MATCH(E$3&amp;E90,Mapping!$B:$B,0))</f>
        <v>Copper Standard Access 5Mbit/s</v>
      </c>
      <c r="O90" s="204" t="str">
        <f>INDEX(Mapping!$H:$H,MATCH(E90&amp;F90,Mapping!$B:$B,0))</f>
        <v/>
      </c>
      <c r="P90" s="204" t="str">
        <f>INDEX(Mapping!$H:$H,MATCH($E90&amp;$G90,Mapping!$B:$B,0))</f>
        <v>Nearnet</v>
      </c>
      <c r="Q90" s="204" t="str">
        <f>INDEX(Mapping!$H:$H,MATCH($E90&amp;$G90&amp;"graafafstand",Mapping!$B:$B,0))</f>
        <v>nvt</v>
      </c>
      <c r="R90" s="204">
        <f>INDEX(Mapping!$H:$H,MATCH(R$3&amp;$E90,Mapping!$B:$B,0))</f>
        <v>1</v>
      </c>
      <c r="S90" s="204">
        <f>INDEX(Mapping!$H:$H,MATCH(S$3&amp;$E90,Mapping!$B:$B,0))</f>
        <v>1</v>
      </c>
      <c r="T90" s="139" t="str">
        <f t="shared" si="154"/>
        <v>Copper Standard Access 5Mbit/sNearnet</v>
      </c>
      <c r="U90" s="151" t="str">
        <f t="shared" si="155"/>
        <v>Copper Standard Access 5Mbit/sNearnet</v>
      </c>
      <c r="W90" s="521">
        <f>MATCH($J90,'Tarieven ZM'!$B:$B,0)</f>
        <v>184</v>
      </c>
      <c r="X90" s="204">
        <f>INDEX('Tarieven ZM'!$H:$H,$W90)</f>
        <v>1000</v>
      </c>
      <c r="Y90" s="198">
        <f>IF(E90="Standard Access in ZG BT gebieden",0,-INDEX(Parameters!$B:$B,MATCH(Y$3&amp;$C90,Parameters!$A:$A,0))*$X90)</f>
        <v>0</v>
      </c>
      <c r="Z90" s="198">
        <f>IF(E90="Standard Access in ZG BT gebieden",0,MAX(-INDEX(Parameters!$B:$B,MATCH(Z$3&amp;$C90,Parameters!$A:$A,0))*$X90,-INDEX(Parameters!$B:$B,MATCH("FactorMaxSalesMandaat"&amp;E90,Parameters!$A:$A,0))*INDEX(Parameters!$B:$B,MATCH("MaxSalesMandaatAccessVVE"&amp;$C90,Parameters!$A:$A,0))))</f>
        <v>0</v>
      </c>
      <c r="AA90" s="139">
        <f t="shared" si="156"/>
        <v>1000</v>
      </c>
      <c r="AB90" s="205">
        <f>AA90/INDEX(Parameters!$B:$B,MATCH("AfschrijftermijnVVE"&amp;12*$C90,Parameters!$A:$A,0))</f>
        <v>27.777777777777779</v>
      </c>
      <c r="AC90" s="204">
        <f>INDEX('Tarieven ZM'!$G:$G,$W90)</f>
        <v>1000</v>
      </c>
      <c r="AD90" s="198">
        <f>IF(E90="Standard Access in ZG BT gebieden",0,-INDEX(Parameters!$B:$B,MATCH(AD$3&amp;$C90,Parameters!$A:$A,0))*$AC90)</f>
        <v>0</v>
      </c>
      <c r="AE90" s="198">
        <f>IF(E90="Standard Access in ZG BT gebieden",0,-INDEX(Parameters!$B:$B,MATCH(AE$3,Parameters!$A:$A,0))*$AC90)</f>
        <v>0</v>
      </c>
      <c r="AF90" s="139">
        <f t="shared" si="157"/>
        <v>1000</v>
      </c>
      <c r="AG90" s="522">
        <f t="shared" si="158"/>
        <v>1027.7777777777778</v>
      </c>
      <c r="AH90" s="175"/>
      <c r="AI90" s="523">
        <f>IF(N90&lt;&gt;"nvt",MATCH($T90,'Tarieven W&amp;O'!$B:$B,0),"nvt")</f>
        <v>24</v>
      </c>
      <c r="AJ90" s="205">
        <f>IF(AI90&lt;&gt;"nvt",IF($D90="EoK",INDEX(Parameters!C:C,MATCH("NLSx EoK",Parameters!A:A,0)),INDEX('Tarieven W&amp;O'!$H:$H,$AI90)),0)*R90</f>
        <v>350</v>
      </c>
      <c r="AK90" s="204">
        <f>IF(AI90&lt;&gt;"nvt",INDEX('Tarieven W&amp;O'!$I:$I,$AI90),0)*R90</f>
        <v>75</v>
      </c>
      <c r="AL90" s="524">
        <f>IF(AI90&lt;&gt;"nvt",-INDEX(Parameters!$B:$B,MATCH(AL$3,Parameters!$A:$A,0))*(AJ90+AK90),0)</f>
        <v>0</v>
      </c>
      <c r="AM90" s="525"/>
      <c r="AN90" s="139">
        <f t="shared" si="159"/>
        <v>425</v>
      </c>
      <c r="AO90" s="205">
        <f>AN90/INDEX(Parameters!$B:$B,MATCH("AfschrijftermijnVVE"&amp;12*$C90,Parameters!$A:$A,0))</f>
        <v>11.805555555555555</v>
      </c>
      <c r="AP90" s="139">
        <f t="shared" si="160"/>
        <v>24</v>
      </c>
      <c r="AQ90" s="526">
        <f>IF(AP90&lt;&gt;"nvt",R90*INDEX('Tarieven W&amp;O'!$G:$G,$AP90),0)</f>
        <v>60.97</v>
      </c>
      <c r="AR90" s="524">
        <f>-INDEX(Parameters!$B:$B,MATCH(AR$3,Parameters!$A:$A,0))*(AQ90)</f>
        <v>0</v>
      </c>
      <c r="AS90" s="205">
        <f>IF(E90="straal access",'EDC Minus'!$H$192,IF(Q90&lt;&gt;"nvt",Q90*S90*'EDC Minus'!$H$292/590,0))</f>
        <v>0</v>
      </c>
      <c r="AT90" s="139"/>
      <c r="AU90" s="150">
        <f t="shared" si="161"/>
        <v>60.97</v>
      </c>
      <c r="AV90" s="150">
        <f t="shared" si="162"/>
        <v>72.775555555555556</v>
      </c>
      <c r="AX90" s="526">
        <f>Parameters!$B$6*AV90</f>
        <v>0.7277555555555556</v>
      </c>
      <c r="AY90" s="150">
        <v>0</v>
      </c>
      <c r="AZ90" s="150"/>
      <c r="BA90" s="150">
        <f t="shared" si="163"/>
        <v>0.7277555555555556</v>
      </c>
      <c r="BC90" s="522">
        <f t="shared" si="164"/>
        <v>73.503311111111117</v>
      </c>
      <c r="BD90" s="175"/>
      <c r="BE90" s="527">
        <f t="shared" si="172"/>
        <v>954.27446666666674</v>
      </c>
      <c r="BF90" s="181">
        <f t="shared" si="173"/>
        <v>0.92848326486486488</v>
      </c>
      <c r="BG90" s="520" t="b">
        <f t="shared" si="165"/>
        <v>0</v>
      </c>
      <c r="BI90" s="528" t="s">
        <v>2181</v>
      </c>
      <c r="BK90" s="151">
        <f>VLOOKUP(J90,'Tarieven ZM'!$B$136:$I$235,8,0)</f>
        <v>0</v>
      </c>
      <c r="BL90" s="151" t="str">
        <f>IF(M90="EoK",N90&amp;"AdvancedNLS type 1/2/3",IF(E90&lt;&gt;"Straal Access",INDEX(Mapping!J:J,MATCH(E90&amp;G90,Mapping!B:B,0)),E90))</f>
        <v>Copper Standard Access 5Mbit/sAdvancedNLS type 1/2/3</v>
      </c>
      <c r="BM90" s="184">
        <f>INDEX('inkoop ULL tbv EVPN'!J:J,MATCH($BL90,'inkoop ULL tbv EVPN'!$H:$H,0))</f>
        <v>78.97</v>
      </c>
      <c r="BN90" s="180">
        <f>BM90/INDEX(Parameters!$B:$B,MATCH("AfschrijftermijnVVE"&amp;12*$C90,Parameters!$A:$A,0))</f>
        <v>2.1936111111111112</v>
      </c>
      <c r="BO90" s="184">
        <f>INDEX('inkoop ULL tbv EVPN'!I:I,MATCH($BL90,'inkoop ULL tbv EVPN'!$H:$H,0))</f>
        <v>14.7296035</v>
      </c>
      <c r="BP90" s="184">
        <f t="shared" si="166"/>
        <v>16.92321461111111</v>
      </c>
      <c r="BR90" s="180">
        <f>Parameters!$B$12*AG90</f>
        <v>102.77777777777779</v>
      </c>
      <c r="BS90" s="180">
        <f>SUM(Distributievergoedingen!$F$12,Distributievergoedingen!$I$12,Distributievergoedingen!$L$12,Distributievergoedingen!$O$12)*AF90+SUM(Distributievergoedingen!$O$12*AA90+Distributievergoedingen!$R$12+Distributievergoedingen!$U$12+Distributievergoedingen!$X$12)/(MAX(36,12*C90))</f>
        <v>112.77777777777777</v>
      </c>
      <c r="BT90" s="150"/>
      <c r="BU90" s="150">
        <f t="shared" si="167"/>
        <v>215.55555555555554</v>
      </c>
      <c r="BW90" s="522">
        <f t="shared" si="168"/>
        <v>232.47877016666666</v>
      </c>
      <c r="BY90" s="527">
        <f t="shared" si="169"/>
        <v>795.29900761111116</v>
      </c>
      <c r="BZ90" s="181">
        <f t="shared" si="170"/>
        <v>0.77380443983783787</v>
      </c>
      <c r="CA90" s="520" t="b">
        <f t="shared" si="171"/>
        <v>0</v>
      </c>
    </row>
    <row r="91" spans="1:79" s="151" customFormat="1">
      <c r="A91" s="151" t="str">
        <f t="shared" si="151"/>
        <v>2EoKStandard Access koper 10mbLaag&lt; 250 meter</v>
      </c>
      <c r="B91" s="151" t="str">
        <f t="shared" si="152"/>
        <v>2EoKStandard Access koper 10mbLaag&lt; 250 meter</v>
      </c>
      <c r="C91" s="178">
        <v>2</v>
      </c>
      <c r="D91" s="415" t="s">
        <v>303</v>
      </c>
      <c r="E91" s="178" t="s">
        <v>277</v>
      </c>
      <c r="F91" s="107" t="s">
        <v>275</v>
      </c>
      <c r="G91" s="178" t="s">
        <v>3397</v>
      </c>
      <c r="I91" s="178"/>
      <c r="J91" s="520" t="str">
        <f t="shared" si="153"/>
        <v>EoKStandard Access koper 10mbLaag&lt; 250 meter</v>
      </c>
      <c r="L91" s="204">
        <f>INDEX(Mapping!$H:$H,MATCH(C$3&amp;C91,Mapping!$B:$B,0))</f>
        <v>1</v>
      </c>
      <c r="M91" s="204" t="str">
        <f>INDEX(Mapping!$H:$H,MATCH(D$3&amp;D91,Mapping!$B:$B,0))</f>
        <v>EoK</v>
      </c>
      <c r="N91" s="204" t="str">
        <f>INDEX(Mapping!$H:$H,MATCH(E$3&amp;E91,Mapping!$B:$B,0))</f>
        <v>Copper Standard Access 10Mbit/s</v>
      </c>
      <c r="O91" s="204" t="str">
        <f>INDEX(Mapping!$H:$H,MATCH(E91&amp;F91,Mapping!$B:$B,0))</f>
        <v/>
      </c>
      <c r="P91" s="204" t="str">
        <f>INDEX(Mapping!$H:$H,MATCH($E91&amp;$G91,Mapping!$B:$B,0))</f>
        <v>Nearnet</v>
      </c>
      <c r="Q91" s="204" t="str">
        <f>INDEX(Mapping!$H:$H,MATCH($E91&amp;$G91&amp;"graafafstand",Mapping!$B:$B,0))</f>
        <v>nvt</v>
      </c>
      <c r="R91" s="204">
        <f>INDEX(Mapping!$H:$H,MATCH(R$3&amp;$E91,Mapping!$B:$B,0))</f>
        <v>1</v>
      </c>
      <c r="S91" s="204">
        <f>INDEX(Mapping!$H:$H,MATCH(S$3&amp;$E91,Mapping!$B:$B,0))</f>
        <v>1</v>
      </c>
      <c r="T91" s="139" t="str">
        <f t="shared" si="154"/>
        <v>Copper Standard Access 10Mbit/sNearnet</v>
      </c>
      <c r="U91" s="151" t="str">
        <f t="shared" si="155"/>
        <v>Copper Standard Access 10Mbit/sNearnet</v>
      </c>
      <c r="W91" s="521">
        <f>MATCH($J91,'Tarieven ZM'!$B:$B,0)</f>
        <v>185</v>
      </c>
      <c r="X91" s="204">
        <f>INDEX('Tarieven ZM'!$H:$H,$W91)</f>
        <v>1000</v>
      </c>
      <c r="Y91" s="198">
        <f>IF(E91="Standard Access in ZG BT gebieden",0,-INDEX(Parameters!$B:$B,MATCH(Y$3&amp;$C91,Parameters!$A:$A,0))*$X91)</f>
        <v>0</v>
      </c>
      <c r="Z91" s="198">
        <f>IF(E91="Standard Access in ZG BT gebieden",0,MAX(-INDEX(Parameters!$B:$B,MATCH(Z$3&amp;$C91,Parameters!$A:$A,0))*$X91,-INDEX(Parameters!$B:$B,MATCH("FactorMaxSalesMandaat"&amp;E91,Parameters!$A:$A,0))*INDEX(Parameters!$B:$B,MATCH("MaxSalesMandaatAccessVVE"&amp;$C91,Parameters!$A:$A,0))))</f>
        <v>0</v>
      </c>
      <c r="AA91" s="139">
        <f t="shared" si="156"/>
        <v>1000</v>
      </c>
      <c r="AB91" s="205">
        <f>AA91/INDEX(Parameters!$B:$B,MATCH("AfschrijftermijnVVE"&amp;12*$C91,Parameters!$A:$A,0))</f>
        <v>27.777777777777779</v>
      </c>
      <c r="AC91" s="204">
        <f>INDEX('Tarieven ZM'!$G:$G,$W91)</f>
        <v>1000</v>
      </c>
      <c r="AD91" s="198">
        <f>IF(E91="Standard Access in ZG BT gebieden",0,-INDEX(Parameters!$B:$B,MATCH(AD$3&amp;$C91,Parameters!$A:$A,0))*$AC91)</f>
        <v>0</v>
      </c>
      <c r="AE91" s="198">
        <f>IF(E91="Standard Access in ZG BT gebieden",0,-INDEX(Parameters!$B:$B,MATCH(AE$3,Parameters!$A:$A,0))*$AC91)</f>
        <v>0</v>
      </c>
      <c r="AF91" s="139">
        <f t="shared" si="157"/>
        <v>1000</v>
      </c>
      <c r="AG91" s="522">
        <f t="shared" si="158"/>
        <v>1027.7777777777778</v>
      </c>
      <c r="AH91" s="175"/>
      <c r="AI91" s="523">
        <f>IF(N91&lt;&gt;"nvt",MATCH($T91,'Tarieven W&amp;O'!$B:$B,0),"nvt")</f>
        <v>25</v>
      </c>
      <c r="AJ91" s="205">
        <f>IF(AI91&lt;&gt;"nvt",IF($D91="EoK",INDEX(Parameters!C:C,MATCH("NLSx EoK",Parameters!A:A,0)),INDEX('Tarieven W&amp;O'!$H:$H,$AI91)),0)*R91</f>
        <v>350</v>
      </c>
      <c r="AK91" s="204">
        <f>IF(AI91&lt;&gt;"nvt",INDEX('Tarieven W&amp;O'!$I:$I,$AI91),0)*R91</f>
        <v>75</v>
      </c>
      <c r="AL91" s="524">
        <f>IF(AI91&lt;&gt;"nvt",-INDEX(Parameters!$B:$B,MATCH(AL$3,Parameters!$A:$A,0))*(AJ91+AK91),0)</f>
        <v>0</v>
      </c>
      <c r="AM91" s="525"/>
      <c r="AN91" s="139">
        <f t="shared" si="159"/>
        <v>425</v>
      </c>
      <c r="AO91" s="205">
        <f>AN91/INDEX(Parameters!$B:$B,MATCH("AfschrijftermijnVVE"&amp;12*$C91,Parameters!$A:$A,0))</f>
        <v>11.805555555555555</v>
      </c>
      <c r="AP91" s="139">
        <f t="shared" si="160"/>
        <v>25</v>
      </c>
      <c r="AQ91" s="526">
        <f>IF(AP91&lt;&gt;"nvt",R91*INDEX('Tarieven W&amp;O'!$G:$G,$AP91),0)</f>
        <v>83.59</v>
      </c>
      <c r="AR91" s="524">
        <f>-INDEX(Parameters!$B:$B,MATCH(AR$3,Parameters!$A:$A,0))*(AQ91)</f>
        <v>0</v>
      </c>
      <c r="AS91" s="205">
        <f>IF(E91="straal access",'EDC Minus'!$H$192,IF(Q91&lt;&gt;"nvt",Q91*S91*'EDC Minus'!$H$292/590,0))</f>
        <v>0</v>
      </c>
      <c r="AT91" s="139"/>
      <c r="AU91" s="150">
        <f t="shared" si="161"/>
        <v>83.59</v>
      </c>
      <c r="AV91" s="150">
        <f t="shared" si="162"/>
        <v>95.395555555555561</v>
      </c>
      <c r="AX91" s="526">
        <f>Parameters!$B$6*AV91</f>
        <v>0.95395555555555567</v>
      </c>
      <c r="AY91" s="150">
        <v>0</v>
      </c>
      <c r="AZ91" s="150"/>
      <c r="BA91" s="150">
        <f t="shared" si="163"/>
        <v>0.95395555555555567</v>
      </c>
      <c r="BC91" s="522">
        <f t="shared" si="164"/>
        <v>96.349511111111113</v>
      </c>
      <c r="BD91" s="175"/>
      <c r="BE91" s="527">
        <f t="shared" si="172"/>
        <v>931.42826666666667</v>
      </c>
      <c r="BF91" s="181">
        <f t="shared" si="173"/>
        <v>0.90625452972972964</v>
      </c>
      <c r="BG91" s="520" t="b">
        <f t="shared" si="165"/>
        <v>0</v>
      </c>
      <c r="BI91" s="528" t="s">
        <v>2181</v>
      </c>
      <c r="BK91" s="151">
        <f>VLOOKUP(J91,'Tarieven ZM'!$B$136:$I$235,8,0)</f>
        <v>0</v>
      </c>
      <c r="BL91" s="151" t="str">
        <f>IF(M91="EoK",N91&amp;"AdvancedNLS type 1/2/3",IF(E91&lt;&gt;"Straal Access",INDEX(Mapping!J:J,MATCH(E91&amp;G91,Mapping!B:B,0)),E91))</f>
        <v>Copper Standard Access 10Mbit/sAdvancedNLS type 1/2/3</v>
      </c>
      <c r="BM91" s="184">
        <f>INDEX('inkoop ULL tbv EVPN'!J:J,MATCH($BL91,'inkoop ULL tbv EVPN'!$H:$H,0))</f>
        <v>78.97</v>
      </c>
      <c r="BN91" s="180">
        <f>BM91/INDEX(Parameters!$B:$B,MATCH("AfschrijftermijnVVE"&amp;12*$C91,Parameters!$A:$A,0))</f>
        <v>2.1936111111111112</v>
      </c>
      <c r="BO91" s="184">
        <f>INDEX('inkoop ULL tbv EVPN'!I:I,MATCH($BL91,'inkoop ULL tbv EVPN'!$H:$H,0))</f>
        <v>14.7296035</v>
      </c>
      <c r="BP91" s="184">
        <f t="shared" si="166"/>
        <v>16.92321461111111</v>
      </c>
      <c r="BR91" s="180">
        <f>Parameters!$B$12*AG91</f>
        <v>102.77777777777779</v>
      </c>
      <c r="BS91" s="180">
        <f>SUM(Distributievergoedingen!$F$12,Distributievergoedingen!$I$12,Distributievergoedingen!$L$12,Distributievergoedingen!$O$12)*AF91+SUM(Distributievergoedingen!$O$12*AA91+Distributievergoedingen!$R$12+Distributievergoedingen!$U$12+Distributievergoedingen!$X$12)/(MAX(36,12*C91))</f>
        <v>112.77777777777777</v>
      </c>
      <c r="BT91" s="150"/>
      <c r="BU91" s="150">
        <f t="shared" si="167"/>
        <v>215.55555555555554</v>
      </c>
      <c r="BW91" s="522">
        <f t="shared" si="168"/>
        <v>232.47877016666666</v>
      </c>
      <c r="BY91" s="527">
        <f t="shared" si="169"/>
        <v>795.29900761111116</v>
      </c>
      <c r="BZ91" s="181">
        <f t="shared" si="170"/>
        <v>0.77380443983783787</v>
      </c>
      <c r="CA91" s="520" t="b">
        <f t="shared" si="171"/>
        <v>0</v>
      </c>
    </row>
    <row r="92" spans="1:79" s="151" customFormat="1">
      <c r="A92" s="151" t="str">
        <f t="shared" si="151"/>
        <v>2EoKStandard Access koper 15mbLaag&lt; 250 meter</v>
      </c>
      <c r="B92" s="151" t="str">
        <f t="shared" si="152"/>
        <v>2EoKStandard Access koper 15mbLaag&lt; 250 meter</v>
      </c>
      <c r="C92" s="178">
        <v>2</v>
      </c>
      <c r="D92" s="415" t="s">
        <v>303</v>
      </c>
      <c r="E92" s="178" t="s">
        <v>278</v>
      </c>
      <c r="F92" s="107" t="s">
        <v>275</v>
      </c>
      <c r="G92" s="178" t="s">
        <v>3397</v>
      </c>
      <c r="I92" s="178"/>
      <c r="J92" s="520" t="str">
        <f t="shared" si="153"/>
        <v>EoKStandard Access koper 15mbLaag&lt; 250 meter</v>
      </c>
      <c r="L92" s="204">
        <f>INDEX(Mapping!$H:$H,MATCH(C$3&amp;C92,Mapping!$B:$B,0))</f>
        <v>1</v>
      </c>
      <c r="M92" s="204" t="str">
        <f>INDEX(Mapping!$H:$H,MATCH(D$3&amp;D92,Mapping!$B:$B,0))</f>
        <v>EoK</v>
      </c>
      <c r="N92" s="204" t="str">
        <f>INDEX(Mapping!$H:$H,MATCH(E$3&amp;E92,Mapping!$B:$B,0))</f>
        <v>Copper Standard Access 15Mbit/s</v>
      </c>
      <c r="O92" s="204" t="str">
        <f>INDEX(Mapping!$H:$H,MATCH(E92&amp;F92,Mapping!$B:$B,0))</f>
        <v/>
      </c>
      <c r="P92" s="204" t="str">
        <f>INDEX(Mapping!$H:$H,MATCH($E92&amp;$G92,Mapping!$B:$B,0))</f>
        <v>Nearnet</v>
      </c>
      <c r="Q92" s="204" t="str">
        <f>INDEX(Mapping!$H:$H,MATCH($E92&amp;$G92&amp;"graafafstand",Mapping!$B:$B,0))</f>
        <v>nvt</v>
      </c>
      <c r="R92" s="204">
        <f>INDEX(Mapping!$H:$H,MATCH(R$3&amp;$E92,Mapping!$B:$B,0))</f>
        <v>1</v>
      </c>
      <c r="S92" s="204">
        <f>INDEX(Mapping!$H:$H,MATCH(S$3&amp;$E92,Mapping!$B:$B,0))</f>
        <v>1</v>
      </c>
      <c r="T92" s="139" t="str">
        <f t="shared" si="154"/>
        <v>Copper Standard Access 15Mbit/sNearnet</v>
      </c>
      <c r="U92" s="151" t="str">
        <f t="shared" si="155"/>
        <v>Copper Standard Access 15Mbit/sNearnet</v>
      </c>
      <c r="W92" s="521">
        <f>MATCH($J92,'Tarieven ZM'!$B:$B,0)</f>
        <v>186</v>
      </c>
      <c r="X92" s="204">
        <f>INDEX('Tarieven ZM'!$H:$H,$W92)</f>
        <v>1000</v>
      </c>
      <c r="Y92" s="198">
        <f>IF(E92="Standard Access in ZG BT gebieden",0,-INDEX(Parameters!$B:$B,MATCH(Y$3&amp;$C92,Parameters!$A:$A,0))*$X92)</f>
        <v>0</v>
      </c>
      <c r="Z92" s="198">
        <f>IF(E92="Standard Access in ZG BT gebieden",0,MAX(-INDEX(Parameters!$B:$B,MATCH(Z$3&amp;$C92,Parameters!$A:$A,0))*$X92,-INDEX(Parameters!$B:$B,MATCH("FactorMaxSalesMandaat"&amp;E92,Parameters!$A:$A,0))*INDEX(Parameters!$B:$B,MATCH("MaxSalesMandaatAccessVVE"&amp;$C92,Parameters!$A:$A,0))))</f>
        <v>0</v>
      </c>
      <c r="AA92" s="139">
        <f t="shared" si="156"/>
        <v>1000</v>
      </c>
      <c r="AB92" s="205">
        <f>AA92/INDEX(Parameters!$B:$B,MATCH("AfschrijftermijnVVE"&amp;12*$C92,Parameters!$A:$A,0))</f>
        <v>27.777777777777779</v>
      </c>
      <c r="AC92" s="204">
        <f>INDEX('Tarieven ZM'!$G:$G,$W92)</f>
        <v>1000</v>
      </c>
      <c r="AD92" s="198">
        <f>IF(E92="Standard Access in ZG BT gebieden",0,-INDEX(Parameters!$B:$B,MATCH(AD$3&amp;$C92,Parameters!$A:$A,0))*$AC92)</f>
        <v>0</v>
      </c>
      <c r="AE92" s="198">
        <f>IF(E92="Standard Access in ZG BT gebieden",0,-INDEX(Parameters!$B:$B,MATCH(AE$3,Parameters!$A:$A,0))*$AC92)</f>
        <v>0</v>
      </c>
      <c r="AF92" s="139">
        <f t="shared" si="157"/>
        <v>1000</v>
      </c>
      <c r="AG92" s="522">
        <f t="shared" si="158"/>
        <v>1027.7777777777778</v>
      </c>
      <c r="AH92" s="175"/>
      <c r="AI92" s="523">
        <f>IF(N92&lt;&gt;"nvt",MATCH($T92,'Tarieven W&amp;O'!$B:$B,0),"nvt")</f>
        <v>26</v>
      </c>
      <c r="AJ92" s="205">
        <f>IF(AI92&lt;&gt;"nvt",IF($D92="EoK",INDEX(Parameters!C:C,MATCH("NLSx EoK",Parameters!A:A,0)),INDEX('Tarieven W&amp;O'!$H:$H,$AI92)),0)*R92</f>
        <v>350</v>
      </c>
      <c r="AK92" s="204">
        <f>IF(AI92&lt;&gt;"nvt",INDEX('Tarieven W&amp;O'!$I:$I,$AI92),0)*R92</f>
        <v>75</v>
      </c>
      <c r="AL92" s="524">
        <f>IF(AI92&lt;&gt;"nvt",-INDEX(Parameters!$B:$B,MATCH(AL$3,Parameters!$A:$A,0))*(AJ92+AK92),0)</f>
        <v>0</v>
      </c>
      <c r="AM92" s="525"/>
      <c r="AN92" s="139">
        <f t="shared" si="159"/>
        <v>425</v>
      </c>
      <c r="AO92" s="205">
        <f>AN92/INDEX(Parameters!$B:$B,MATCH("AfschrijftermijnVVE"&amp;12*$C92,Parameters!$A:$A,0))</f>
        <v>11.805555555555555</v>
      </c>
      <c r="AP92" s="139">
        <f t="shared" si="160"/>
        <v>26</v>
      </c>
      <c r="AQ92" s="526">
        <f>IF(AP92&lt;&gt;"nvt",R92*INDEX('Tarieven W&amp;O'!$G:$G,$AP92),0)</f>
        <v>102.44</v>
      </c>
      <c r="AR92" s="524">
        <f>-INDEX(Parameters!$B:$B,MATCH(AR$3,Parameters!$A:$A,0))*(AQ92)</f>
        <v>0</v>
      </c>
      <c r="AS92" s="205">
        <f>IF(E92="straal access",'EDC Minus'!$H$192,IF(Q92&lt;&gt;"nvt",Q92*S92*'EDC Minus'!$H$292/590,0))</f>
        <v>0</v>
      </c>
      <c r="AT92" s="139"/>
      <c r="AU92" s="150">
        <f t="shared" si="161"/>
        <v>102.44</v>
      </c>
      <c r="AV92" s="150">
        <f t="shared" si="162"/>
        <v>114.24555555555555</v>
      </c>
      <c r="AX92" s="526">
        <f>Parameters!$B$6*AV92</f>
        <v>1.1424555555555556</v>
      </c>
      <c r="AY92" s="150">
        <v>0</v>
      </c>
      <c r="AZ92" s="150"/>
      <c r="BA92" s="150">
        <f t="shared" si="163"/>
        <v>1.1424555555555556</v>
      </c>
      <c r="BC92" s="522">
        <f t="shared" si="164"/>
        <v>115.38801111111111</v>
      </c>
      <c r="BD92" s="175"/>
      <c r="BE92" s="527">
        <f t="shared" si="172"/>
        <v>912.38976666666667</v>
      </c>
      <c r="BF92" s="181">
        <f t="shared" si="173"/>
        <v>0.88773058378378378</v>
      </c>
      <c r="BG92" s="520" t="b">
        <f t="shared" si="165"/>
        <v>0</v>
      </c>
      <c r="BI92" s="528" t="s">
        <v>2181</v>
      </c>
      <c r="BK92" s="151">
        <f>VLOOKUP(J92,'Tarieven ZM'!$B$136:$I$235,8,0)</f>
        <v>0</v>
      </c>
      <c r="BL92" s="151" t="str">
        <f>IF(M92="EoK",N92&amp;"AdvancedNLS type 1/2/3",IF(E92&lt;&gt;"Straal Access",INDEX(Mapping!J:J,MATCH(E92&amp;G92,Mapping!B:B,0)),E92))</f>
        <v>Copper Standard Access 15Mbit/sAdvancedNLS type 1/2/3</v>
      </c>
      <c r="BM92" s="184">
        <f>INDEX('inkoop ULL tbv EVPN'!J:J,MATCH($BL92,'inkoop ULL tbv EVPN'!$H:$H,0))</f>
        <v>78.97</v>
      </c>
      <c r="BN92" s="180">
        <f>BM92/INDEX(Parameters!$B:$B,MATCH("AfschrijftermijnVVE"&amp;12*$C92,Parameters!$A:$A,0))</f>
        <v>2.1936111111111112</v>
      </c>
      <c r="BO92" s="184">
        <f>INDEX('inkoop ULL tbv EVPN'!I:I,MATCH($BL92,'inkoop ULL tbv EVPN'!$H:$H,0))</f>
        <v>14.7296035</v>
      </c>
      <c r="BP92" s="184">
        <f t="shared" si="166"/>
        <v>16.92321461111111</v>
      </c>
      <c r="BR92" s="180">
        <f>Parameters!$B$12*AG92</f>
        <v>102.77777777777779</v>
      </c>
      <c r="BS92" s="180">
        <f>SUM(Distributievergoedingen!$F$12,Distributievergoedingen!$I$12,Distributievergoedingen!$L$12,Distributievergoedingen!$O$12)*AF92+SUM(Distributievergoedingen!$O$12*AA92+Distributievergoedingen!$R$12+Distributievergoedingen!$U$12+Distributievergoedingen!$X$12)/(MAX(36,12*C92))</f>
        <v>112.77777777777777</v>
      </c>
      <c r="BT92" s="150"/>
      <c r="BU92" s="150">
        <f t="shared" si="167"/>
        <v>215.55555555555554</v>
      </c>
      <c r="BW92" s="522">
        <f t="shared" si="168"/>
        <v>232.47877016666666</v>
      </c>
      <c r="BY92" s="527">
        <f t="shared" si="169"/>
        <v>795.29900761111116</v>
      </c>
      <c r="BZ92" s="181">
        <f t="shared" si="170"/>
        <v>0.77380443983783787</v>
      </c>
      <c r="CA92" s="520" t="b">
        <f t="shared" si="171"/>
        <v>0</v>
      </c>
    </row>
    <row r="93" spans="1:79" s="151" customFormat="1">
      <c r="A93" s="151" t="str">
        <f t="shared" si="151"/>
        <v>2EoKStandard Access koper 20mbLaag&lt; 250 meter</v>
      </c>
      <c r="B93" s="151" t="str">
        <f t="shared" si="152"/>
        <v>2EoKStandard Access koper 20mbLaag&lt; 250 meter</v>
      </c>
      <c r="C93" s="178">
        <v>2</v>
      </c>
      <c r="D93" s="415" t="s">
        <v>303</v>
      </c>
      <c r="E93" s="178" t="s">
        <v>279</v>
      </c>
      <c r="F93" s="107" t="s">
        <v>275</v>
      </c>
      <c r="G93" s="178" t="s">
        <v>3397</v>
      </c>
      <c r="I93" s="178"/>
      <c r="J93" s="520" t="str">
        <f t="shared" si="153"/>
        <v>EoKStandard Access koper 20mbLaag&lt; 250 meter</v>
      </c>
      <c r="L93" s="204">
        <f>INDEX(Mapping!$H:$H,MATCH(C$3&amp;C93,Mapping!$B:$B,0))</f>
        <v>1</v>
      </c>
      <c r="M93" s="204" t="str">
        <f>INDEX(Mapping!$H:$H,MATCH(D$3&amp;D93,Mapping!$B:$B,0))</f>
        <v>EoK</v>
      </c>
      <c r="N93" s="204" t="str">
        <f>INDEX(Mapping!$H:$H,MATCH(E$3&amp;E93,Mapping!$B:$B,0))</f>
        <v>Copper Standard Access 20Mbit/s</v>
      </c>
      <c r="O93" s="204" t="str">
        <f>INDEX(Mapping!$H:$H,MATCH(E93&amp;F93,Mapping!$B:$B,0))</f>
        <v/>
      </c>
      <c r="P93" s="204" t="str">
        <f>INDEX(Mapping!$H:$H,MATCH($E93&amp;$G93,Mapping!$B:$B,0))</f>
        <v>Nearnet</v>
      </c>
      <c r="Q93" s="204" t="str">
        <f>INDEX(Mapping!$H:$H,MATCH($E93&amp;$G93&amp;"graafafstand",Mapping!$B:$B,0))</f>
        <v>nvt</v>
      </c>
      <c r="R93" s="204">
        <f>INDEX(Mapping!$H:$H,MATCH(R$3&amp;$E93,Mapping!$B:$B,0))</f>
        <v>1</v>
      </c>
      <c r="S93" s="204">
        <f>INDEX(Mapping!$H:$H,MATCH(S$3&amp;$E93,Mapping!$B:$B,0))</f>
        <v>1</v>
      </c>
      <c r="T93" s="139" t="str">
        <f t="shared" si="154"/>
        <v>Copper Standard Access 20Mbit/sNearnet</v>
      </c>
      <c r="U93" s="151" t="str">
        <f t="shared" si="155"/>
        <v>Copper Standard Access 20Mbit/sNearnet</v>
      </c>
      <c r="W93" s="521">
        <f>MATCH($J93,'Tarieven ZM'!$B:$B,0)</f>
        <v>187</v>
      </c>
      <c r="X93" s="204">
        <f>INDEX('Tarieven ZM'!$H:$H,$W93)</f>
        <v>1000</v>
      </c>
      <c r="Y93" s="198">
        <f>IF(E93="Standard Access in ZG BT gebieden",0,-INDEX(Parameters!$B:$B,MATCH(Y$3&amp;$C93,Parameters!$A:$A,0))*$X93)</f>
        <v>0</v>
      </c>
      <c r="Z93" s="198">
        <f>IF(E93="Standard Access in ZG BT gebieden",0,MAX(-INDEX(Parameters!$B:$B,MATCH(Z$3&amp;$C93,Parameters!$A:$A,0))*$X93,-INDEX(Parameters!$B:$B,MATCH("FactorMaxSalesMandaat"&amp;E93,Parameters!$A:$A,0))*INDEX(Parameters!$B:$B,MATCH("MaxSalesMandaatAccessVVE"&amp;$C93,Parameters!$A:$A,0))))</f>
        <v>0</v>
      </c>
      <c r="AA93" s="139">
        <f t="shared" si="156"/>
        <v>1000</v>
      </c>
      <c r="AB93" s="205">
        <f>AA93/INDEX(Parameters!$B:$B,MATCH("AfschrijftermijnVVE"&amp;12*$C93,Parameters!$A:$A,0))</f>
        <v>27.777777777777779</v>
      </c>
      <c r="AC93" s="204">
        <f>INDEX('Tarieven ZM'!$G:$G,$W93)</f>
        <v>1000</v>
      </c>
      <c r="AD93" s="198">
        <f>IF(E93="Standard Access in ZG BT gebieden",0,-INDEX(Parameters!$B:$B,MATCH(AD$3&amp;$C93,Parameters!$A:$A,0))*$AC93)</f>
        <v>0</v>
      </c>
      <c r="AE93" s="198">
        <f>IF(E93="Standard Access in ZG BT gebieden",0,-INDEX(Parameters!$B:$B,MATCH(AE$3,Parameters!$A:$A,0))*$AC93)</f>
        <v>0</v>
      </c>
      <c r="AF93" s="139">
        <f t="shared" si="157"/>
        <v>1000</v>
      </c>
      <c r="AG93" s="522">
        <f t="shared" si="158"/>
        <v>1027.7777777777778</v>
      </c>
      <c r="AH93" s="175"/>
      <c r="AI93" s="523">
        <f>IF(N93&lt;&gt;"nvt",MATCH($T93,'Tarieven W&amp;O'!$B:$B,0),"nvt")</f>
        <v>27</v>
      </c>
      <c r="AJ93" s="205">
        <f>IF(AI93&lt;&gt;"nvt",IF($D93="EoK",INDEX(Parameters!C:C,MATCH("NLSx EoK",Parameters!A:A,0)),INDEX('Tarieven W&amp;O'!$H:$H,$AI93)),0)*R93</f>
        <v>350</v>
      </c>
      <c r="AK93" s="204">
        <f>IF(AI93&lt;&gt;"nvt",INDEX('Tarieven W&amp;O'!$I:$I,$AI93),0)*R93</f>
        <v>75</v>
      </c>
      <c r="AL93" s="524">
        <f>IF(AI93&lt;&gt;"nvt",-INDEX(Parameters!$B:$B,MATCH(AL$3,Parameters!$A:$A,0))*(AJ93+AK93),0)</f>
        <v>0</v>
      </c>
      <c r="AM93" s="525"/>
      <c r="AN93" s="139">
        <f t="shared" si="159"/>
        <v>425</v>
      </c>
      <c r="AO93" s="205">
        <f>AN93/INDEX(Parameters!$B:$B,MATCH("AfschrijftermijnVVE"&amp;12*$C93,Parameters!$A:$A,0))</f>
        <v>11.805555555555555</v>
      </c>
      <c r="AP93" s="139">
        <f t="shared" si="160"/>
        <v>27</v>
      </c>
      <c r="AQ93" s="526">
        <f>IF(AP93&lt;&gt;"nvt",R93*INDEX('Tarieven W&amp;O'!$G:$G,$AP93),0)</f>
        <v>121.28</v>
      </c>
      <c r="AR93" s="524">
        <f>-INDEX(Parameters!$B:$B,MATCH(AR$3,Parameters!$A:$A,0))*(AQ93)</f>
        <v>0</v>
      </c>
      <c r="AS93" s="205">
        <f>IF(E93="straal access",'EDC Minus'!$H$192,IF(Q93&lt;&gt;"nvt",Q93*S93*'EDC Minus'!$H$292/590,0))</f>
        <v>0</v>
      </c>
      <c r="AT93" s="139"/>
      <c r="AU93" s="150">
        <f t="shared" si="161"/>
        <v>121.28</v>
      </c>
      <c r="AV93" s="150">
        <f t="shared" si="162"/>
        <v>133.08555555555554</v>
      </c>
      <c r="AX93" s="526">
        <f>Parameters!$B$6*AV93</f>
        <v>1.3308555555555555</v>
      </c>
      <c r="AY93" s="150">
        <v>0</v>
      </c>
      <c r="AZ93" s="150"/>
      <c r="BA93" s="150">
        <f t="shared" si="163"/>
        <v>1.3308555555555555</v>
      </c>
      <c r="BC93" s="522">
        <f t="shared" si="164"/>
        <v>134.4164111111111</v>
      </c>
      <c r="BD93" s="175"/>
      <c r="BE93" s="527">
        <f t="shared" si="172"/>
        <v>893.36136666666675</v>
      </c>
      <c r="BF93" s="181">
        <f t="shared" si="173"/>
        <v>0.86921646486486492</v>
      </c>
      <c r="BG93" s="520" t="b">
        <f t="shared" si="165"/>
        <v>0</v>
      </c>
      <c r="BI93" s="528" t="s">
        <v>2181</v>
      </c>
      <c r="BK93" s="151">
        <f>VLOOKUP(J93,'Tarieven ZM'!$B$136:$I$235,8,0)</f>
        <v>0</v>
      </c>
      <c r="BL93" s="151" t="str">
        <f>IF(M93="EoK",N93&amp;"AdvancedNLS type 1/2/3",IF(E93&lt;&gt;"Straal Access",INDEX(Mapping!J:J,MATCH(E93&amp;G93,Mapping!B:B,0)),E93))</f>
        <v>Copper Standard Access 20Mbit/sAdvancedNLS type 1/2/3</v>
      </c>
      <c r="BM93" s="184">
        <f>INDEX('inkoop ULL tbv EVPN'!J:J,MATCH($BL93,'inkoop ULL tbv EVPN'!$H:$H,0))</f>
        <v>78.97</v>
      </c>
      <c r="BN93" s="180">
        <f>BM93/INDEX(Parameters!$B:$B,MATCH("AfschrijftermijnVVE"&amp;12*$C93,Parameters!$A:$A,0))</f>
        <v>2.1936111111111112</v>
      </c>
      <c r="BO93" s="184">
        <f>INDEX('inkoop ULL tbv EVPN'!I:I,MATCH($BL93,'inkoop ULL tbv EVPN'!$H:$H,0))</f>
        <v>14.7296035</v>
      </c>
      <c r="BP93" s="184">
        <f t="shared" si="166"/>
        <v>16.92321461111111</v>
      </c>
      <c r="BR93" s="180">
        <f>Parameters!$B$12*AG93</f>
        <v>102.77777777777779</v>
      </c>
      <c r="BS93" s="180">
        <f>SUM(Distributievergoedingen!$F$12,Distributievergoedingen!$I$12,Distributievergoedingen!$L$12,Distributievergoedingen!$O$12)*AF93+SUM(Distributievergoedingen!$O$12*AA93+Distributievergoedingen!$R$12+Distributievergoedingen!$U$12+Distributievergoedingen!$X$12)/(MAX(36,12*C93))</f>
        <v>112.77777777777777</v>
      </c>
      <c r="BT93" s="150"/>
      <c r="BU93" s="150">
        <f t="shared" si="167"/>
        <v>215.55555555555554</v>
      </c>
      <c r="BW93" s="522">
        <f t="shared" si="168"/>
        <v>232.47877016666666</v>
      </c>
      <c r="BY93" s="527">
        <f t="shared" si="169"/>
        <v>795.29900761111116</v>
      </c>
      <c r="BZ93" s="181">
        <f t="shared" si="170"/>
        <v>0.77380443983783787</v>
      </c>
      <c r="CA93" s="520" t="b">
        <f t="shared" si="171"/>
        <v>0</v>
      </c>
    </row>
    <row r="94" spans="1:79" s="151" customFormat="1">
      <c r="A94" s="151" t="str">
        <f t="shared" ref="A94:A103" si="174">C94&amp;D94&amp;E94&amp;F94&amp;G94</f>
        <v>3EoKStandard Access koper 3mbHoogOn-net (NLS1, 2)</v>
      </c>
      <c r="B94" s="151" t="str">
        <f t="shared" ref="B94:B103" si="175">A94</f>
        <v>3EoKStandard Access koper 3mbHoogOn-net (NLS1, 2)</v>
      </c>
      <c r="C94" s="178">
        <v>3</v>
      </c>
      <c r="D94" s="415" t="s">
        <v>303</v>
      </c>
      <c r="E94" s="178" t="s">
        <v>268</v>
      </c>
      <c r="F94" s="107" t="s">
        <v>274</v>
      </c>
      <c r="G94" s="178" t="s">
        <v>281</v>
      </c>
      <c r="I94" s="178"/>
      <c r="J94" s="520" t="str">
        <f t="shared" si="153"/>
        <v>EoKStandard Access koper 3mbHoogOn-net (NLS1, 2)</v>
      </c>
      <c r="L94" s="204">
        <f>INDEX(Mapping!$H:$H,MATCH(C$3&amp;C94,Mapping!$B:$B,0))</f>
        <v>1</v>
      </c>
      <c r="M94" s="204" t="str">
        <f>INDEX(Mapping!$H:$H,MATCH(D$3&amp;D94,Mapping!$B:$B,0))</f>
        <v>EoK</v>
      </c>
      <c r="N94" s="204" t="str">
        <f>INDEX(Mapping!$H:$H,MATCH(E$3&amp;E94,Mapping!$B:$B,0))</f>
        <v>Copper Standard Access 3Mbit/s</v>
      </c>
      <c r="O94" s="204" t="str">
        <f>INDEX(Mapping!$H:$H,MATCH(E94&amp;F94,Mapping!$B:$B,0))</f>
        <v/>
      </c>
      <c r="P94" s="204" t="str">
        <f>INDEX(Mapping!$H:$H,MATCH($E94&amp;$G94,Mapping!$B:$B,0))</f>
        <v>On-net (NLS1, 2)</v>
      </c>
      <c r="Q94" s="204">
        <f>INDEX(Mapping!$H:$H,MATCH($E94&amp;$G94&amp;"graafafstand",Mapping!$B:$B,0))</f>
        <v>0</v>
      </c>
      <c r="R94" s="204">
        <f>INDEX(Mapping!$H:$H,MATCH(R$3&amp;$E94,Mapping!$B:$B,0))</f>
        <v>1</v>
      </c>
      <c r="S94" s="204">
        <f>INDEX(Mapping!$H:$H,MATCH(S$3&amp;$E94,Mapping!$B:$B,0))</f>
        <v>1</v>
      </c>
      <c r="T94" s="139" t="str">
        <f t="shared" ref="T94:T103" si="176">N94&amp;O94&amp;P94</f>
        <v>Copper Standard Access 3Mbit/sOn-net (NLS1, 2)</v>
      </c>
      <c r="U94" s="151" t="str">
        <f t="shared" ref="U94:U103" si="177">T94</f>
        <v>Copper Standard Access 3Mbit/sOn-net (NLS1, 2)</v>
      </c>
      <c r="W94" s="521">
        <f>MATCH($J94,'Tarieven ZM'!$B:$B,0)</f>
        <v>137</v>
      </c>
      <c r="X94" s="204">
        <f>INDEX('Tarieven ZM'!$H:$H,$W94)</f>
        <v>1000</v>
      </c>
      <c r="Y94" s="198">
        <f>IF(E94="Standard Access in ZG BT gebieden",0,-INDEX(Parameters!$B:$B,MATCH(Y$3&amp;$C94,Parameters!$A:$A,0))*$X94)</f>
        <v>0</v>
      </c>
      <c r="Z94" s="198">
        <f>IF(E94="Standard Access in ZG BT gebieden",0,MAX(-INDEX(Parameters!$B:$B,MATCH(Z$3&amp;$C94,Parameters!$A:$A,0))*$X94,-INDEX(Parameters!$B:$B,MATCH("FactorMaxSalesMandaat"&amp;E94,Parameters!$A:$A,0))*INDEX(Parameters!$B:$B,MATCH("MaxSalesMandaatAccessVVE"&amp;$C94,Parameters!$A:$A,0))))</f>
        <v>0</v>
      </c>
      <c r="AA94" s="139">
        <f t="shared" ref="AA94:AA103" si="178">SUM(X94:Z94)</f>
        <v>1000</v>
      </c>
      <c r="AB94" s="205">
        <f>AA94/INDEX(Parameters!$B:$B,MATCH("AfschrijftermijnVVE"&amp;12*$C94,Parameters!$A:$A,0))</f>
        <v>27.777777777777779</v>
      </c>
      <c r="AC94" s="204">
        <f>INDEX('Tarieven ZM'!$G:$G,$W94)</f>
        <v>1000</v>
      </c>
      <c r="AD94" s="198">
        <f>IF(E94="Standard Access in ZG BT gebieden",0,-INDEX(Parameters!$B:$B,MATCH(AD$3&amp;$C94,Parameters!$A:$A,0))*$AC94)</f>
        <v>0</v>
      </c>
      <c r="AE94" s="198">
        <f>IF(E94="Standard Access in ZG BT gebieden",0,-INDEX(Parameters!$B:$B,MATCH(AE$3,Parameters!$A:$A,0))*$AC94)</f>
        <v>0</v>
      </c>
      <c r="AF94" s="139">
        <f t="shared" ref="AF94:AF103" si="179">SUM(AC94:AE94)</f>
        <v>1000</v>
      </c>
      <c r="AG94" s="522">
        <f t="shared" ref="AG94:AG103" si="180">SUM(AB94,AF94)</f>
        <v>1027.7777777777778</v>
      </c>
      <c r="AH94" s="175"/>
      <c r="AI94" s="523">
        <f>IF(N94&lt;&gt;"nvt",MATCH($T94,'Tarieven W&amp;O'!$B:$B,0),"nvt")</f>
        <v>9</v>
      </c>
      <c r="AJ94" s="205">
        <f>IF(AI94&lt;&gt;"nvt",IF($D94="EoK",INDEX(Parameters!C:C,MATCH("NLSx EoK",Parameters!A:A,0)),INDEX('Tarieven W&amp;O'!$H:$H,$AI94)),0)*R94</f>
        <v>350</v>
      </c>
      <c r="AK94" s="204">
        <f>IF(AI94&lt;&gt;"nvt",INDEX('Tarieven W&amp;O'!$I:$I,$AI94),0)*R94</f>
        <v>75</v>
      </c>
      <c r="AL94" s="524">
        <f>IF(AI94&lt;&gt;"nvt",-INDEX(Parameters!$B:$B,MATCH(AL$3,Parameters!$A:$A,0))*(AJ94+AK94),0)</f>
        <v>0</v>
      </c>
      <c r="AM94" s="525"/>
      <c r="AN94" s="139">
        <f t="shared" ref="AN94:AN103" si="181">SUM(AJ94:AM94)</f>
        <v>425</v>
      </c>
      <c r="AO94" s="205">
        <f>AN94/INDEX(Parameters!$B:$B,MATCH("AfschrijftermijnVVE"&amp;12*$C94,Parameters!$A:$A,0))</f>
        <v>11.805555555555555</v>
      </c>
      <c r="AP94" s="139">
        <f t="shared" ref="AP94:AP103" si="182">AI94</f>
        <v>9</v>
      </c>
      <c r="AQ94" s="526">
        <f>IF(AP94&lt;&gt;"nvt",R94*INDEX('Tarieven W&amp;O'!$G:$G,$AP94),0)</f>
        <v>41.5</v>
      </c>
      <c r="AR94" s="524">
        <f>-INDEX(Parameters!$B:$B,MATCH(AR$3,Parameters!$A:$A,0))*(AQ94)</f>
        <v>0</v>
      </c>
      <c r="AS94" s="205">
        <f>IF(E94="straal access",'EDC Minus'!$H$192,IF(Q94&lt;&gt;"nvt",Q94*S94*'EDC Minus'!$H$292/590,0))</f>
        <v>0</v>
      </c>
      <c r="AT94" s="139"/>
      <c r="AU94" s="150">
        <f t="shared" ref="AU94:AU103" si="183">SUM(AQ94:AT94)</f>
        <v>41.5</v>
      </c>
      <c r="AV94" s="150">
        <f t="shared" ref="AV94:AV103" si="184">SUM(AO94,AU94)</f>
        <v>53.305555555555557</v>
      </c>
      <c r="AX94" s="526">
        <f>Parameters!$B$6*AV94</f>
        <v>0.53305555555555562</v>
      </c>
      <c r="AY94" s="150">
        <v>0</v>
      </c>
      <c r="AZ94" s="150"/>
      <c r="BA94" s="150">
        <f t="shared" ref="BA94:BA103" si="185">SUM(AX94:AZ94)</f>
        <v>0.53305555555555562</v>
      </c>
      <c r="BC94" s="522">
        <f t="shared" ref="BC94:BC113" si="186">SUM(AV94,BA94)</f>
        <v>53.838611111111113</v>
      </c>
      <c r="BD94" s="175"/>
      <c r="BE94" s="527">
        <f t="shared" si="172"/>
        <v>973.93916666666667</v>
      </c>
      <c r="BF94" s="181">
        <f t="shared" si="173"/>
        <v>0.94761648648648644</v>
      </c>
      <c r="BG94" s="520" t="b">
        <f t="shared" ref="BG94:BG103" si="187">BF94&lt;0</f>
        <v>0</v>
      </c>
      <c r="BI94" s="528" t="s">
        <v>2181</v>
      </c>
      <c r="BK94" s="151">
        <f>VLOOKUP(J94,'Tarieven ZM'!$B$136:$I$235,8,0)</f>
        <v>0</v>
      </c>
      <c r="BL94" s="151" t="str">
        <f>IF(M94="EoK",N94&amp;"AdvancedNLS type 1/2/3",IF(E94&lt;&gt;"Straal Access",INDEX(Mapping!J:J,MATCH(E94&amp;G94,Mapping!B:B,0)),E94))</f>
        <v>Copper Standard Access 3Mbit/sAdvancedNLS type 1/2/3</v>
      </c>
      <c r="BM94" s="184">
        <f>INDEX('inkoop ULL tbv EVPN'!J:J,MATCH($BL94,'inkoop ULL tbv EVPN'!$H:$H,0))</f>
        <v>78.97</v>
      </c>
      <c r="BN94" s="180">
        <f>BM94/INDEX(Parameters!$B:$B,MATCH("AfschrijftermijnVVE"&amp;12*$C94,Parameters!$A:$A,0))</f>
        <v>2.1936111111111112</v>
      </c>
      <c r="BO94" s="184">
        <f>INDEX('inkoop ULL tbv EVPN'!I:I,MATCH($BL94,'inkoop ULL tbv EVPN'!$H:$H,0))</f>
        <v>14.7296035</v>
      </c>
      <c r="BP94" s="184">
        <f t="shared" ref="BP94:BP113" si="188">BN94+BO94</f>
        <v>16.92321461111111</v>
      </c>
      <c r="BR94" s="180">
        <f>Parameters!$B$12*AG94</f>
        <v>102.77777777777779</v>
      </c>
      <c r="BS94" s="180">
        <f>SUM(Distributievergoedingen!$F$12,Distributievergoedingen!$I$12,Distributievergoedingen!$L$12,Distributievergoedingen!$O$12)*AF94+SUM(Distributievergoedingen!$O$12*AA94+Distributievergoedingen!$R$12+Distributievergoedingen!$U$12+Distributievergoedingen!$X$12)/(MAX(36,12*C94))</f>
        <v>112.77777777777777</v>
      </c>
      <c r="BT94" s="150"/>
      <c r="BU94" s="150">
        <f t="shared" ref="BU94:BU113" si="189">SUM(BR94:BT94)</f>
        <v>215.55555555555554</v>
      </c>
      <c r="BW94" s="522">
        <f t="shared" ref="BW94:BW113" si="190">SUM(BP94,BU94)</f>
        <v>232.47877016666666</v>
      </c>
      <c r="BY94" s="527">
        <f t="shared" ref="BY94:BY113" si="191">AG94-BW94</f>
        <v>795.29900761111116</v>
      </c>
      <c r="BZ94" s="181">
        <f t="shared" ref="BZ94:BZ113" si="192">IF(AG94=0,-999%,BY94/AG94)</f>
        <v>0.77380443983783787</v>
      </c>
      <c r="CA94" s="520" t="b">
        <f t="shared" ref="CA94:CA113" si="193">BZ94&lt;0</f>
        <v>0</v>
      </c>
    </row>
    <row r="95" spans="1:79" s="151" customFormat="1">
      <c r="A95" s="151" t="str">
        <f t="shared" si="174"/>
        <v>3EoKStandard Access koper 5mbHoogOn-net (NLS1, 2)</v>
      </c>
      <c r="B95" s="151" t="str">
        <f t="shared" si="175"/>
        <v>3EoKStandard Access koper 5mbHoogOn-net (NLS1, 2)</v>
      </c>
      <c r="C95" s="178">
        <v>3</v>
      </c>
      <c r="D95" s="415" t="s">
        <v>303</v>
      </c>
      <c r="E95" s="178" t="s">
        <v>276</v>
      </c>
      <c r="F95" s="107" t="s">
        <v>274</v>
      </c>
      <c r="G95" s="178" t="s">
        <v>281</v>
      </c>
      <c r="I95" s="178"/>
      <c r="J95" s="520" t="str">
        <f t="shared" si="153"/>
        <v>EoKStandard Access koper 5mbHoogOn-net (NLS1, 2)</v>
      </c>
      <c r="L95" s="204">
        <f>INDEX(Mapping!$H:$H,MATCH(C$3&amp;C95,Mapping!$B:$B,0))</f>
        <v>1</v>
      </c>
      <c r="M95" s="204" t="str">
        <f>INDEX(Mapping!$H:$H,MATCH(D$3&amp;D95,Mapping!$B:$B,0))</f>
        <v>EoK</v>
      </c>
      <c r="N95" s="204" t="str">
        <f>INDEX(Mapping!$H:$H,MATCH(E$3&amp;E95,Mapping!$B:$B,0))</f>
        <v>Copper Standard Access 5Mbit/s</v>
      </c>
      <c r="O95" s="204" t="str">
        <f>INDEX(Mapping!$H:$H,MATCH(E95&amp;F95,Mapping!$B:$B,0))</f>
        <v/>
      </c>
      <c r="P95" s="204" t="str">
        <f>INDEX(Mapping!$H:$H,MATCH($E95&amp;$G95,Mapping!$B:$B,0))</f>
        <v>On-net (NLS1, 2)</v>
      </c>
      <c r="Q95" s="204">
        <f>INDEX(Mapping!$H:$H,MATCH($E95&amp;$G95&amp;"graafafstand",Mapping!$B:$B,0))</f>
        <v>0</v>
      </c>
      <c r="R95" s="204">
        <f>INDEX(Mapping!$H:$H,MATCH(R$3&amp;$E95,Mapping!$B:$B,0))</f>
        <v>1</v>
      </c>
      <c r="S95" s="204">
        <f>INDEX(Mapping!$H:$H,MATCH(S$3&amp;$E95,Mapping!$B:$B,0))</f>
        <v>1</v>
      </c>
      <c r="T95" s="139" t="str">
        <f t="shared" si="176"/>
        <v>Copper Standard Access 5Mbit/sOn-net (NLS1, 2)</v>
      </c>
      <c r="U95" s="151" t="str">
        <f t="shared" si="177"/>
        <v>Copper Standard Access 5Mbit/sOn-net (NLS1, 2)</v>
      </c>
      <c r="W95" s="521">
        <f>MATCH($J95,'Tarieven ZM'!$B:$B,0)</f>
        <v>138</v>
      </c>
      <c r="X95" s="204">
        <f>INDEX('Tarieven ZM'!$H:$H,$W95)</f>
        <v>1000</v>
      </c>
      <c r="Y95" s="198">
        <f>IF(E95="Standard Access in ZG BT gebieden",0,-INDEX(Parameters!$B:$B,MATCH(Y$3&amp;$C95,Parameters!$A:$A,0))*$X95)</f>
        <v>0</v>
      </c>
      <c r="Z95" s="198">
        <f>IF(E95="Standard Access in ZG BT gebieden",0,MAX(-INDEX(Parameters!$B:$B,MATCH(Z$3&amp;$C95,Parameters!$A:$A,0))*$X95,-INDEX(Parameters!$B:$B,MATCH("FactorMaxSalesMandaat"&amp;E95,Parameters!$A:$A,0))*INDEX(Parameters!$B:$B,MATCH("MaxSalesMandaatAccessVVE"&amp;$C95,Parameters!$A:$A,0))))</f>
        <v>0</v>
      </c>
      <c r="AA95" s="139">
        <f t="shared" si="178"/>
        <v>1000</v>
      </c>
      <c r="AB95" s="205">
        <f>AA95/INDEX(Parameters!$B:$B,MATCH("AfschrijftermijnVVE"&amp;12*$C95,Parameters!$A:$A,0))</f>
        <v>27.777777777777779</v>
      </c>
      <c r="AC95" s="204">
        <f>INDEX('Tarieven ZM'!$G:$G,$W95)</f>
        <v>1000</v>
      </c>
      <c r="AD95" s="198">
        <f>IF(E95="Standard Access in ZG BT gebieden",0,-INDEX(Parameters!$B:$B,MATCH(AD$3&amp;$C95,Parameters!$A:$A,0))*$AC95)</f>
        <v>0</v>
      </c>
      <c r="AE95" s="198">
        <f>IF(E95="Standard Access in ZG BT gebieden",0,-INDEX(Parameters!$B:$B,MATCH(AE$3,Parameters!$A:$A,0))*$AC95)</f>
        <v>0</v>
      </c>
      <c r="AF95" s="139">
        <f t="shared" si="179"/>
        <v>1000</v>
      </c>
      <c r="AG95" s="522">
        <f t="shared" si="180"/>
        <v>1027.7777777777778</v>
      </c>
      <c r="AH95" s="175"/>
      <c r="AI95" s="523">
        <f>IF(N95&lt;&gt;"nvt",MATCH($T95,'Tarieven W&amp;O'!$B:$B,0),"nvt")</f>
        <v>10</v>
      </c>
      <c r="AJ95" s="205">
        <f>IF(AI95&lt;&gt;"nvt",IF($D95="EoK",INDEX(Parameters!C:C,MATCH("NLSx EoK",Parameters!A:A,0)),INDEX('Tarieven W&amp;O'!$H:$H,$AI95)),0)*R95</f>
        <v>350</v>
      </c>
      <c r="AK95" s="204">
        <f>IF(AI95&lt;&gt;"nvt",INDEX('Tarieven W&amp;O'!$I:$I,$AI95),0)*R95</f>
        <v>75</v>
      </c>
      <c r="AL95" s="524">
        <f>IF(AI95&lt;&gt;"nvt",-INDEX(Parameters!$B:$B,MATCH(AL$3,Parameters!$A:$A,0))*(AJ95+AK95),0)</f>
        <v>0</v>
      </c>
      <c r="AM95" s="525"/>
      <c r="AN95" s="139">
        <f t="shared" si="181"/>
        <v>425</v>
      </c>
      <c r="AO95" s="205">
        <f>AN95/INDEX(Parameters!$B:$B,MATCH("AfschrijftermijnVVE"&amp;12*$C95,Parameters!$A:$A,0))</f>
        <v>11.805555555555555</v>
      </c>
      <c r="AP95" s="139">
        <f t="shared" si="182"/>
        <v>10</v>
      </c>
      <c r="AQ95" s="526">
        <f>IF(AP95&lt;&gt;"nvt",R95*INDEX('Tarieven W&amp;O'!$G:$G,$AP95),0)</f>
        <v>60.97</v>
      </c>
      <c r="AR95" s="524">
        <f>-INDEX(Parameters!$B:$B,MATCH(AR$3,Parameters!$A:$A,0))*(AQ95)</f>
        <v>0</v>
      </c>
      <c r="AS95" s="205">
        <f>IF(E95="straal access",'EDC Minus'!$H$192,IF(Q95&lt;&gt;"nvt",Q95*S95*'EDC Minus'!$H$292/590,0))</f>
        <v>0</v>
      </c>
      <c r="AT95" s="139"/>
      <c r="AU95" s="150">
        <f t="shared" si="183"/>
        <v>60.97</v>
      </c>
      <c r="AV95" s="150">
        <f t="shared" si="184"/>
        <v>72.775555555555556</v>
      </c>
      <c r="AX95" s="526">
        <f>Parameters!$B$6*AV95</f>
        <v>0.7277555555555556</v>
      </c>
      <c r="AY95" s="150">
        <v>0</v>
      </c>
      <c r="AZ95" s="150"/>
      <c r="BA95" s="150">
        <f t="shared" si="185"/>
        <v>0.7277555555555556</v>
      </c>
      <c r="BC95" s="522">
        <f t="shared" si="186"/>
        <v>73.503311111111117</v>
      </c>
      <c r="BD95" s="175"/>
      <c r="BE95" s="527">
        <f t="shared" si="172"/>
        <v>954.27446666666674</v>
      </c>
      <c r="BF95" s="181">
        <f t="shared" si="173"/>
        <v>0.92848326486486488</v>
      </c>
      <c r="BG95" s="520" t="b">
        <f t="shared" si="187"/>
        <v>0</v>
      </c>
      <c r="BI95" s="528" t="s">
        <v>2181</v>
      </c>
      <c r="BK95" s="151">
        <f>VLOOKUP(J95,'Tarieven ZM'!$B$136:$I$235,8,0)</f>
        <v>0</v>
      </c>
      <c r="BL95" s="151" t="str">
        <f>IF(M95="EoK",N95&amp;"AdvancedNLS type 1/2/3",IF(E95&lt;&gt;"Straal Access",INDEX(Mapping!J:J,MATCH(E95&amp;G95,Mapping!B:B,0)),E95))</f>
        <v>Copper Standard Access 5Mbit/sAdvancedNLS type 1/2/3</v>
      </c>
      <c r="BM95" s="184">
        <f>INDEX('inkoop ULL tbv EVPN'!J:J,MATCH($BL95,'inkoop ULL tbv EVPN'!$H:$H,0))</f>
        <v>78.97</v>
      </c>
      <c r="BN95" s="180">
        <f>BM95/INDEX(Parameters!$B:$B,MATCH("AfschrijftermijnVVE"&amp;12*$C95,Parameters!$A:$A,0))</f>
        <v>2.1936111111111112</v>
      </c>
      <c r="BO95" s="184">
        <f>INDEX('inkoop ULL tbv EVPN'!I:I,MATCH($BL95,'inkoop ULL tbv EVPN'!$H:$H,0))</f>
        <v>14.7296035</v>
      </c>
      <c r="BP95" s="184">
        <f t="shared" si="188"/>
        <v>16.92321461111111</v>
      </c>
      <c r="BR95" s="180">
        <f>Parameters!$B$12*AG95</f>
        <v>102.77777777777779</v>
      </c>
      <c r="BS95" s="180">
        <f>SUM(Distributievergoedingen!$F$12,Distributievergoedingen!$I$12,Distributievergoedingen!$L$12,Distributievergoedingen!$O$12)*AF95+SUM(Distributievergoedingen!$O$12*AA95+Distributievergoedingen!$R$12+Distributievergoedingen!$U$12+Distributievergoedingen!$X$12)/(MAX(36,12*C95))</f>
        <v>112.77777777777777</v>
      </c>
      <c r="BT95" s="150"/>
      <c r="BU95" s="150">
        <f t="shared" si="189"/>
        <v>215.55555555555554</v>
      </c>
      <c r="BW95" s="522">
        <f t="shared" si="190"/>
        <v>232.47877016666666</v>
      </c>
      <c r="BY95" s="527">
        <f t="shared" si="191"/>
        <v>795.29900761111116</v>
      </c>
      <c r="BZ95" s="181">
        <f t="shared" si="192"/>
        <v>0.77380443983783787</v>
      </c>
      <c r="CA95" s="520" t="b">
        <f t="shared" si="193"/>
        <v>0</v>
      </c>
    </row>
    <row r="96" spans="1:79" s="151" customFormat="1">
      <c r="A96" s="151" t="str">
        <f t="shared" si="174"/>
        <v>3EoKStandard Access koper 10mbHoogOn-net (NLS1, 2)</v>
      </c>
      <c r="B96" s="151" t="str">
        <f t="shared" si="175"/>
        <v>3EoKStandard Access koper 10mbHoogOn-net (NLS1, 2)</v>
      </c>
      <c r="C96" s="178">
        <v>3</v>
      </c>
      <c r="D96" s="415" t="s">
        <v>303</v>
      </c>
      <c r="E96" s="178" t="s">
        <v>277</v>
      </c>
      <c r="F96" s="107" t="s">
        <v>274</v>
      </c>
      <c r="G96" s="178" t="s">
        <v>281</v>
      </c>
      <c r="I96" s="178"/>
      <c r="J96" s="520" t="str">
        <f t="shared" si="153"/>
        <v>EoKStandard Access koper 10mbHoogOn-net (NLS1, 2)</v>
      </c>
      <c r="L96" s="204">
        <f>INDEX(Mapping!$H:$H,MATCH(C$3&amp;C96,Mapping!$B:$B,0))</f>
        <v>1</v>
      </c>
      <c r="M96" s="204" t="str">
        <f>INDEX(Mapping!$H:$H,MATCH(D$3&amp;D96,Mapping!$B:$B,0))</f>
        <v>EoK</v>
      </c>
      <c r="N96" s="204" t="str">
        <f>INDEX(Mapping!$H:$H,MATCH(E$3&amp;E96,Mapping!$B:$B,0))</f>
        <v>Copper Standard Access 10Mbit/s</v>
      </c>
      <c r="O96" s="204" t="str">
        <f>INDEX(Mapping!$H:$H,MATCH(E96&amp;F96,Mapping!$B:$B,0))</f>
        <v/>
      </c>
      <c r="P96" s="204" t="str">
        <f>INDEX(Mapping!$H:$H,MATCH($E96&amp;$G96,Mapping!$B:$B,0))</f>
        <v>On-net (NLS1, 2)</v>
      </c>
      <c r="Q96" s="204">
        <f>INDEX(Mapping!$H:$H,MATCH($E96&amp;$G96&amp;"graafafstand",Mapping!$B:$B,0))</f>
        <v>0</v>
      </c>
      <c r="R96" s="204">
        <f>INDEX(Mapping!$H:$H,MATCH(R$3&amp;$E96,Mapping!$B:$B,0))</f>
        <v>1</v>
      </c>
      <c r="S96" s="204">
        <f>INDEX(Mapping!$H:$H,MATCH(S$3&amp;$E96,Mapping!$B:$B,0))</f>
        <v>1</v>
      </c>
      <c r="T96" s="139" t="str">
        <f t="shared" si="176"/>
        <v>Copper Standard Access 10Mbit/sOn-net (NLS1, 2)</v>
      </c>
      <c r="U96" s="151" t="str">
        <f t="shared" si="177"/>
        <v>Copper Standard Access 10Mbit/sOn-net (NLS1, 2)</v>
      </c>
      <c r="W96" s="521">
        <f>MATCH($J96,'Tarieven ZM'!$B:$B,0)</f>
        <v>139</v>
      </c>
      <c r="X96" s="204">
        <f>INDEX('Tarieven ZM'!$H:$H,$W96)</f>
        <v>1000</v>
      </c>
      <c r="Y96" s="198">
        <f>IF(E96="Standard Access in ZG BT gebieden",0,-INDEX(Parameters!$B:$B,MATCH(Y$3&amp;$C96,Parameters!$A:$A,0))*$X96)</f>
        <v>0</v>
      </c>
      <c r="Z96" s="198">
        <f>IF(E96="Standard Access in ZG BT gebieden",0,MAX(-INDEX(Parameters!$B:$B,MATCH(Z$3&amp;$C96,Parameters!$A:$A,0))*$X96,-INDEX(Parameters!$B:$B,MATCH("FactorMaxSalesMandaat"&amp;E96,Parameters!$A:$A,0))*INDEX(Parameters!$B:$B,MATCH("MaxSalesMandaatAccessVVE"&amp;$C96,Parameters!$A:$A,0))))</f>
        <v>0</v>
      </c>
      <c r="AA96" s="139">
        <f t="shared" si="178"/>
        <v>1000</v>
      </c>
      <c r="AB96" s="205">
        <f>AA96/INDEX(Parameters!$B:$B,MATCH("AfschrijftermijnVVE"&amp;12*$C96,Parameters!$A:$A,0))</f>
        <v>27.777777777777779</v>
      </c>
      <c r="AC96" s="204">
        <f>INDEX('Tarieven ZM'!$G:$G,$W96)</f>
        <v>1000</v>
      </c>
      <c r="AD96" s="198">
        <f>IF(E96="Standard Access in ZG BT gebieden",0,-INDEX(Parameters!$B:$B,MATCH(AD$3&amp;$C96,Parameters!$A:$A,0))*$AC96)</f>
        <v>0</v>
      </c>
      <c r="AE96" s="198">
        <f>IF(E96="Standard Access in ZG BT gebieden",0,-INDEX(Parameters!$B:$B,MATCH(AE$3,Parameters!$A:$A,0))*$AC96)</f>
        <v>0</v>
      </c>
      <c r="AF96" s="139">
        <f t="shared" si="179"/>
        <v>1000</v>
      </c>
      <c r="AG96" s="522">
        <f t="shared" si="180"/>
        <v>1027.7777777777778</v>
      </c>
      <c r="AH96" s="175"/>
      <c r="AI96" s="523">
        <f>IF(N96&lt;&gt;"nvt",MATCH($T96,'Tarieven W&amp;O'!$B:$B,0),"nvt")</f>
        <v>11</v>
      </c>
      <c r="AJ96" s="205">
        <f>IF(AI96&lt;&gt;"nvt",IF($D96="EoK",INDEX(Parameters!C:C,MATCH("NLSx EoK",Parameters!A:A,0)),INDEX('Tarieven W&amp;O'!$H:$H,$AI96)),0)*R96</f>
        <v>350</v>
      </c>
      <c r="AK96" s="204">
        <f>IF(AI96&lt;&gt;"nvt",INDEX('Tarieven W&amp;O'!$I:$I,$AI96),0)*R96</f>
        <v>75</v>
      </c>
      <c r="AL96" s="524">
        <f>IF(AI96&lt;&gt;"nvt",-INDEX(Parameters!$B:$B,MATCH(AL$3,Parameters!$A:$A,0))*(AJ96+AK96),0)</f>
        <v>0</v>
      </c>
      <c r="AM96" s="525"/>
      <c r="AN96" s="139">
        <f t="shared" si="181"/>
        <v>425</v>
      </c>
      <c r="AO96" s="205">
        <f>AN96/INDEX(Parameters!$B:$B,MATCH("AfschrijftermijnVVE"&amp;12*$C96,Parameters!$A:$A,0))</f>
        <v>11.805555555555555</v>
      </c>
      <c r="AP96" s="139">
        <f t="shared" si="182"/>
        <v>11</v>
      </c>
      <c r="AQ96" s="526">
        <f>IF(AP96&lt;&gt;"nvt",R96*INDEX('Tarieven W&amp;O'!$G:$G,$AP96),0)</f>
        <v>83.59</v>
      </c>
      <c r="AR96" s="524">
        <f>-INDEX(Parameters!$B:$B,MATCH(AR$3,Parameters!$A:$A,0))*(AQ96)</f>
        <v>0</v>
      </c>
      <c r="AS96" s="205">
        <f>IF(E96="straal access",'EDC Minus'!$H$192,IF(Q96&lt;&gt;"nvt",Q96*S96*'EDC Minus'!$H$292/590,0))</f>
        <v>0</v>
      </c>
      <c r="AT96" s="139"/>
      <c r="AU96" s="150">
        <f t="shared" si="183"/>
        <v>83.59</v>
      </c>
      <c r="AV96" s="150">
        <f t="shared" si="184"/>
        <v>95.395555555555561</v>
      </c>
      <c r="AX96" s="526">
        <f>Parameters!$B$6*AV96</f>
        <v>0.95395555555555567</v>
      </c>
      <c r="AY96" s="150">
        <v>0</v>
      </c>
      <c r="AZ96" s="150"/>
      <c r="BA96" s="150">
        <f t="shared" si="185"/>
        <v>0.95395555555555567</v>
      </c>
      <c r="BC96" s="522">
        <f t="shared" si="186"/>
        <v>96.349511111111113</v>
      </c>
      <c r="BD96" s="175"/>
      <c r="BE96" s="527">
        <f t="shared" si="172"/>
        <v>931.42826666666667</v>
      </c>
      <c r="BF96" s="181">
        <f t="shared" si="173"/>
        <v>0.90625452972972964</v>
      </c>
      <c r="BG96" s="520" t="b">
        <f t="shared" si="187"/>
        <v>0</v>
      </c>
      <c r="BI96" s="528" t="s">
        <v>2181</v>
      </c>
      <c r="BK96" s="151">
        <f>VLOOKUP(J96,'Tarieven ZM'!$B$136:$I$235,8,0)</f>
        <v>0</v>
      </c>
      <c r="BL96" s="151" t="str">
        <f>IF(M96="EoK",N96&amp;"AdvancedNLS type 1/2/3",IF(E96&lt;&gt;"Straal Access",INDEX(Mapping!J:J,MATCH(E96&amp;G96,Mapping!B:B,0)),E96))</f>
        <v>Copper Standard Access 10Mbit/sAdvancedNLS type 1/2/3</v>
      </c>
      <c r="BM96" s="184">
        <f>INDEX('inkoop ULL tbv EVPN'!J:J,MATCH($BL96,'inkoop ULL tbv EVPN'!$H:$H,0))</f>
        <v>78.97</v>
      </c>
      <c r="BN96" s="180">
        <f>BM96/INDEX(Parameters!$B:$B,MATCH("AfschrijftermijnVVE"&amp;12*$C96,Parameters!$A:$A,0))</f>
        <v>2.1936111111111112</v>
      </c>
      <c r="BO96" s="184">
        <f>INDEX('inkoop ULL tbv EVPN'!I:I,MATCH($BL96,'inkoop ULL tbv EVPN'!$H:$H,0))</f>
        <v>14.7296035</v>
      </c>
      <c r="BP96" s="184">
        <f t="shared" si="188"/>
        <v>16.92321461111111</v>
      </c>
      <c r="BR96" s="180">
        <f>Parameters!$B$12*AG96</f>
        <v>102.77777777777779</v>
      </c>
      <c r="BS96" s="180">
        <f>SUM(Distributievergoedingen!$F$12,Distributievergoedingen!$I$12,Distributievergoedingen!$L$12,Distributievergoedingen!$O$12)*AF96+SUM(Distributievergoedingen!$O$12*AA96+Distributievergoedingen!$R$12+Distributievergoedingen!$U$12+Distributievergoedingen!$X$12)/(MAX(36,12*C96))</f>
        <v>112.77777777777777</v>
      </c>
      <c r="BT96" s="150"/>
      <c r="BU96" s="150">
        <f t="shared" si="189"/>
        <v>215.55555555555554</v>
      </c>
      <c r="BW96" s="522">
        <f t="shared" si="190"/>
        <v>232.47877016666666</v>
      </c>
      <c r="BY96" s="527">
        <f t="shared" si="191"/>
        <v>795.29900761111116</v>
      </c>
      <c r="BZ96" s="181">
        <f t="shared" si="192"/>
        <v>0.77380443983783787</v>
      </c>
      <c r="CA96" s="520" t="b">
        <f t="shared" si="193"/>
        <v>0</v>
      </c>
    </row>
    <row r="97" spans="1:79" s="151" customFormat="1">
      <c r="A97" s="151" t="str">
        <f t="shared" si="174"/>
        <v>3EoKStandard Access koper 15mbHoogOn-net (NLS1, 2)</v>
      </c>
      <c r="B97" s="151" t="str">
        <f t="shared" si="175"/>
        <v>3EoKStandard Access koper 15mbHoogOn-net (NLS1, 2)</v>
      </c>
      <c r="C97" s="178">
        <v>3</v>
      </c>
      <c r="D97" s="415" t="s">
        <v>303</v>
      </c>
      <c r="E97" s="178" t="s">
        <v>278</v>
      </c>
      <c r="F97" s="107" t="s">
        <v>274</v>
      </c>
      <c r="G97" s="178" t="s">
        <v>281</v>
      </c>
      <c r="I97" s="178"/>
      <c r="J97" s="520" t="str">
        <f t="shared" si="153"/>
        <v>EoKStandard Access koper 15mbHoogOn-net (NLS1, 2)</v>
      </c>
      <c r="L97" s="204">
        <f>INDEX(Mapping!$H:$H,MATCH(C$3&amp;C97,Mapping!$B:$B,0))</f>
        <v>1</v>
      </c>
      <c r="M97" s="204" t="str">
        <f>INDEX(Mapping!$H:$H,MATCH(D$3&amp;D97,Mapping!$B:$B,0))</f>
        <v>EoK</v>
      </c>
      <c r="N97" s="204" t="str">
        <f>INDEX(Mapping!$H:$H,MATCH(E$3&amp;E97,Mapping!$B:$B,0))</f>
        <v>Copper Standard Access 15Mbit/s</v>
      </c>
      <c r="O97" s="204" t="str">
        <f>INDEX(Mapping!$H:$H,MATCH(E97&amp;F97,Mapping!$B:$B,0))</f>
        <v/>
      </c>
      <c r="P97" s="204" t="str">
        <f>INDEX(Mapping!$H:$H,MATCH($E97&amp;$G97,Mapping!$B:$B,0))</f>
        <v>On-net (NLS1, 2)</v>
      </c>
      <c r="Q97" s="204">
        <f>INDEX(Mapping!$H:$H,MATCH($E97&amp;$G97&amp;"graafafstand",Mapping!$B:$B,0))</f>
        <v>0</v>
      </c>
      <c r="R97" s="204">
        <f>INDEX(Mapping!$H:$H,MATCH(R$3&amp;$E97,Mapping!$B:$B,0))</f>
        <v>1</v>
      </c>
      <c r="S97" s="204">
        <f>INDEX(Mapping!$H:$H,MATCH(S$3&amp;$E97,Mapping!$B:$B,0))</f>
        <v>1</v>
      </c>
      <c r="T97" s="139" t="str">
        <f t="shared" si="176"/>
        <v>Copper Standard Access 15Mbit/sOn-net (NLS1, 2)</v>
      </c>
      <c r="U97" s="151" t="str">
        <f t="shared" si="177"/>
        <v>Copper Standard Access 15Mbit/sOn-net (NLS1, 2)</v>
      </c>
      <c r="W97" s="521">
        <f>MATCH($J97,'Tarieven ZM'!$B:$B,0)</f>
        <v>140</v>
      </c>
      <c r="X97" s="204">
        <f>INDEX('Tarieven ZM'!$H:$H,$W97)</f>
        <v>1000</v>
      </c>
      <c r="Y97" s="198">
        <f>IF(E97="Standard Access in ZG BT gebieden",0,-INDEX(Parameters!$B:$B,MATCH(Y$3&amp;$C97,Parameters!$A:$A,0))*$X97)</f>
        <v>0</v>
      </c>
      <c r="Z97" s="198">
        <f>IF(E97="Standard Access in ZG BT gebieden",0,MAX(-INDEX(Parameters!$B:$B,MATCH(Z$3&amp;$C97,Parameters!$A:$A,0))*$X97,-INDEX(Parameters!$B:$B,MATCH("FactorMaxSalesMandaat"&amp;E97,Parameters!$A:$A,0))*INDEX(Parameters!$B:$B,MATCH("MaxSalesMandaatAccessVVE"&amp;$C97,Parameters!$A:$A,0))))</f>
        <v>0</v>
      </c>
      <c r="AA97" s="139">
        <f t="shared" si="178"/>
        <v>1000</v>
      </c>
      <c r="AB97" s="205">
        <f>AA97/INDEX(Parameters!$B:$B,MATCH("AfschrijftermijnVVE"&amp;12*$C97,Parameters!$A:$A,0))</f>
        <v>27.777777777777779</v>
      </c>
      <c r="AC97" s="204">
        <f>INDEX('Tarieven ZM'!$G:$G,$W97)</f>
        <v>1000</v>
      </c>
      <c r="AD97" s="198">
        <f>IF(E97="Standard Access in ZG BT gebieden",0,-INDEX(Parameters!$B:$B,MATCH(AD$3&amp;$C97,Parameters!$A:$A,0))*$AC97)</f>
        <v>0</v>
      </c>
      <c r="AE97" s="198">
        <f>IF(E97="Standard Access in ZG BT gebieden",0,-INDEX(Parameters!$B:$B,MATCH(AE$3,Parameters!$A:$A,0))*$AC97)</f>
        <v>0</v>
      </c>
      <c r="AF97" s="139">
        <f t="shared" si="179"/>
        <v>1000</v>
      </c>
      <c r="AG97" s="522">
        <f t="shared" si="180"/>
        <v>1027.7777777777778</v>
      </c>
      <c r="AH97" s="175"/>
      <c r="AI97" s="523">
        <f>IF(N97&lt;&gt;"nvt",MATCH($T97,'Tarieven W&amp;O'!$B:$B,0),"nvt")</f>
        <v>12</v>
      </c>
      <c r="AJ97" s="205">
        <f>IF(AI97&lt;&gt;"nvt",IF($D97="EoK",INDEX(Parameters!C:C,MATCH("NLSx EoK",Parameters!A:A,0)),INDEX('Tarieven W&amp;O'!$H:$H,$AI97)),0)*R97</f>
        <v>350</v>
      </c>
      <c r="AK97" s="204">
        <f>IF(AI97&lt;&gt;"nvt",INDEX('Tarieven W&amp;O'!$I:$I,$AI97),0)*R97</f>
        <v>75</v>
      </c>
      <c r="AL97" s="524">
        <f>IF(AI97&lt;&gt;"nvt",-INDEX(Parameters!$B:$B,MATCH(AL$3,Parameters!$A:$A,0))*(AJ97+AK97),0)</f>
        <v>0</v>
      </c>
      <c r="AM97" s="525"/>
      <c r="AN97" s="139">
        <f t="shared" si="181"/>
        <v>425</v>
      </c>
      <c r="AO97" s="205">
        <f>AN97/INDEX(Parameters!$B:$B,MATCH("AfschrijftermijnVVE"&amp;12*$C97,Parameters!$A:$A,0))</f>
        <v>11.805555555555555</v>
      </c>
      <c r="AP97" s="139">
        <f t="shared" si="182"/>
        <v>12</v>
      </c>
      <c r="AQ97" s="526">
        <f>IF(AP97&lt;&gt;"nvt",R97*INDEX('Tarieven W&amp;O'!$G:$G,$AP97),0)</f>
        <v>102.44</v>
      </c>
      <c r="AR97" s="524">
        <f>-INDEX(Parameters!$B:$B,MATCH(AR$3,Parameters!$A:$A,0))*(AQ97)</f>
        <v>0</v>
      </c>
      <c r="AS97" s="205">
        <f>IF(E97="straal access",'EDC Minus'!$H$192,IF(Q97&lt;&gt;"nvt",Q97*S97*'EDC Minus'!$H$292/590,0))</f>
        <v>0</v>
      </c>
      <c r="AT97" s="139"/>
      <c r="AU97" s="150">
        <f t="shared" si="183"/>
        <v>102.44</v>
      </c>
      <c r="AV97" s="150">
        <f t="shared" si="184"/>
        <v>114.24555555555555</v>
      </c>
      <c r="AX97" s="526">
        <f>Parameters!$B$6*AV97</f>
        <v>1.1424555555555556</v>
      </c>
      <c r="AY97" s="150">
        <v>0</v>
      </c>
      <c r="AZ97" s="150"/>
      <c r="BA97" s="150">
        <f t="shared" si="185"/>
        <v>1.1424555555555556</v>
      </c>
      <c r="BC97" s="522">
        <f t="shared" si="186"/>
        <v>115.38801111111111</v>
      </c>
      <c r="BD97" s="175"/>
      <c r="BE97" s="527">
        <f t="shared" si="172"/>
        <v>912.38976666666667</v>
      </c>
      <c r="BF97" s="181">
        <f t="shared" si="173"/>
        <v>0.88773058378378378</v>
      </c>
      <c r="BG97" s="520" t="b">
        <f t="shared" si="187"/>
        <v>0</v>
      </c>
      <c r="BI97" s="528" t="s">
        <v>2181</v>
      </c>
      <c r="BK97" s="151">
        <f>VLOOKUP(J97,'Tarieven ZM'!$B$136:$I$235,8,0)</f>
        <v>0</v>
      </c>
      <c r="BL97" s="151" t="str">
        <f>IF(M97="EoK",N97&amp;"AdvancedNLS type 1/2/3",IF(E97&lt;&gt;"Straal Access",INDEX(Mapping!J:J,MATCH(E97&amp;G97,Mapping!B:B,0)),E97))</f>
        <v>Copper Standard Access 15Mbit/sAdvancedNLS type 1/2/3</v>
      </c>
      <c r="BM97" s="184">
        <f>INDEX('inkoop ULL tbv EVPN'!J:J,MATCH($BL97,'inkoop ULL tbv EVPN'!$H:$H,0))</f>
        <v>78.97</v>
      </c>
      <c r="BN97" s="180">
        <f>BM97/INDEX(Parameters!$B:$B,MATCH("AfschrijftermijnVVE"&amp;12*$C97,Parameters!$A:$A,0))</f>
        <v>2.1936111111111112</v>
      </c>
      <c r="BO97" s="184">
        <f>INDEX('inkoop ULL tbv EVPN'!I:I,MATCH($BL97,'inkoop ULL tbv EVPN'!$H:$H,0))</f>
        <v>14.7296035</v>
      </c>
      <c r="BP97" s="184">
        <f t="shared" si="188"/>
        <v>16.92321461111111</v>
      </c>
      <c r="BR97" s="180">
        <f>Parameters!$B$12*AG97</f>
        <v>102.77777777777779</v>
      </c>
      <c r="BS97" s="180">
        <f>SUM(Distributievergoedingen!$F$12,Distributievergoedingen!$I$12,Distributievergoedingen!$L$12,Distributievergoedingen!$O$12)*AF97+SUM(Distributievergoedingen!$O$12*AA97+Distributievergoedingen!$R$12+Distributievergoedingen!$U$12+Distributievergoedingen!$X$12)/(MAX(36,12*C97))</f>
        <v>112.77777777777777</v>
      </c>
      <c r="BT97" s="150"/>
      <c r="BU97" s="150">
        <f t="shared" si="189"/>
        <v>215.55555555555554</v>
      </c>
      <c r="BW97" s="522">
        <f t="shared" si="190"/>
        <v>232.47877016666666</v>
      </c>
      <c r="BY97" s="527">
        <f t="shared" si="191"/>
        <v>795.29900761111116</v>
      </c>
      <c r="BZ97" s="181">
        <f t="shared" si="192"/>
        <v>0.77380443983783787</v>
      </c>
      <c r="CA97" s="520" t="b">
        <f t="shared" si="193"/>
        <v>0</v>
      </c>
    </row>
    <row r="98" spans="1:79" s="151" customFormat="1">
      <c r="A98" s="151" t="str">
        <f t="shared" si="174"/>
        <v>3EoKStandard Access koper 20mbHoogOn-net (NLS1, 2)</v>
      </c>
      <c r="B98" s="151" t="str">
        <f t="shared" si="175"/>
        <v>3EoKStandard Access koper 20mbHoogOn-net (NLS1, 2)</v>
      </c>
      <c r="C98" s="178">
        <v>3</v>
      </c>
      <c r="D98" s="415" t="s">
        <v>303</v>
      </c>
      <c r="E98" s="178" t="s">
        <v>279</v>
      </c>
      <c r="F98" s="107" t="s">
        <v>274</v>
      </c>
      <c r="G98" s="178" t="s">
        <v>281</v>
      </c>
      <c r="I98" s="178"/>
      <c r="J98" s="520" t="str">
        <f t="shared" si="153"/>
        <v>EoKStandard Access koper 20mbHoogOn-net (NLS1, 2)</v>
      </c>
      <c r="L98" s="204">
        <f>INDEX(Mapping!$H:$H,MATCH(C$3&amp;C98,Mapping!$B:$B,0))</f>
        <v>1</v>
      </c>
      <c r="M98" s="204" t="str">
        <f>INDEX(Mapping!$H:$H,MATCH(D$3&amp;D98,Mapping!$B:$B,0))</f>
        <v>EoK</v>
      </c>
      <c r="N98" s="204" t="str">
        <f>INDEX(Mapping!$H:$H,MATCH(E$3&amp;E98,Mapping!$B:$B,0))</f>
        <v>Copper Standard Access 20Mbit/s</v>
      </c>
      <c r="O98" s="204" t="str">
        <f>INDEX(Mapping!$H:$H,MATCH(E98&amp;F98,Mapping!$B:$B,0))</f>
        <v/>
      </c>
      <c r="P98" s="204" t="str">
        <f>INDEX(Mapping!$H:$H,MATCH($E98&amp;$G98,Mapping!$B:$B,0))</f>
        <v>On-net (NLS1, 2)</v>
      </c>
      <c r="Q98" s="204">
        <f>INDEX(Mapping!$H:$H,MATCH($E98&amp;$G98&amp;"graafafstand",Mapping!$B:$B,0))</f>
        <v>0</v>
      </c>
      <c r="R98" s="204">
        <f>INDEX(Mapping!$H:$H,MATCH(R$3&amp;$E98,Mapping!$B:$B,0))</f>
        <v>1</v>
      </c>
      <c r="S98" s="204">
        <f>INDEX(Mapping!$H:$H,MATCH(S$3&amp;$E98,Mapping!$B:$B,0))</f>
        <v>1</v>
      </c>
      <c r="T98" s="139" t="str">
        <f t="shared" si="176"/>
        <v>Copper Standard Access 20Mbit/sOn-net (NLS1, 2)</v>
      </c>
      <c r="U98" s="151" t="str">
        <f t="shared" si="177"/>
        <v>Copper Standard Access 20Mbit/sOn-net (NLS1, 2)</v>
      </c>
      <c r="W98" s="521">
        <f>MATCH($J98,'Tarieven ZM'!$B:$B,0)</f>
        <v>141</v>
      </c>
      <c r="X98" s="204">
        <f>INDEX('Tarieven ZM'!$H:$H,$W98)</f>
        <v>1000</v>
      </c>
      <c r="Y98" s="198">
        <f>IF(E98="Standard Access in ZG BT gebieden",0,-INDEX(Parameters!$B:$B,MATCH(Y$3&amp;$C98,Parameters!$A:$A,0))*$X98)</f>
        <v>0</v>
      </c>
      <c r="Z98" s="198">
        <f>IF(E98="Standard Access in ZG BT gebieden",0,MAX(-INDEX(Parameters!$B:$B,MATCH(Z$3&amp;$C98,Parameters!$A:$A,0))*$X98,-INDEX(Parameters!$B:$B,MATCH("FactorMaxSalesMandaat"&amp;E98,Parameters!$A:$A,0))*INDEX(Parameters!$B:$B,MATCH("MaxSalesMandaatAccessVVE"&amp;$C98,Parameters!$A:$A,0))))</f>
        <v>0</v>
      </c>
      <c r="AA98" s="139">
        <f t="shared" si="178"/>
        <v>1000</v>
      </c>
      <c r="AB98" s="205">
        <f>AA98/INDEX(Parameters!$B:$B,MATCH("AfschrijftermijnVVE"&amp;12*$C98,Parameters!$A:$A,0))</f>
        <v>27.777777777777779</v>
      </c>
      <c r="AC98" s="204">
        <f>INDEX('Tarieven ZM'!$G:$G,$W98)</f>
        <v>1000</v>
      </c>
      <c r="AD98" s="198">
        <f>IF(E98="Standard Access in ZG BT gebieden",0,-INDEX(Parameters!$B:$B,MATCH(AD$3&amp;$C98,Parameters!$A:$A,0))*$AC98)</f>
        <v>0</v>
      </c>
      <c r="AE98" s="198">
        <f>IF(E98="Standard Access in ZG BT gebieden",0,-INDEX(Parameters!$B:$B,MATCH(AE$3,Parameters!$A:$A,0))*$AC98)</f>
        <v>0</v>
      </c>
      <c r="AF98" s="139">
        <f t="shared" si="179"/>
        <v>1000</v>
      </c>
      <c r="AG98" s="522">
        <f t="shared" si="180"/>
        <v>1027.7777777777778</v>
      </c>
      <c r="AH98" s="175"/>
      <c r="AI98" s="523">
        <f>IF(N98&lt;&gt;"nvt",MATCH($T98,'Tarieven W&amp;O'!$B:$B,0),"nvt")</f>
        <v>13</v>
      </c>
      <c r="AJ98" s="205">
        <f>IF(AI98&lt;&gt;"nvt",IF($D98="EoK",INDEX(Parameters!C:C,MATCH("NLSx EoK",Parameters!A:A,0)),INDEX('Tarieven W&amp;O'!$H:$H,$AI98)),0)*R98</f>
        <v>350</v>
      </c>
      <c r="AK98" s="204">
        <f>IF(AI98&lt;&gt;"nvt",INDEX('Tarieven W&amp;O'!$I:$I,$AI98),0)*R98</f>
        <v>75</v>
      </c>
      <c r="AL98" s="524">
        <f>IF(AI98&lt;&gt;"nvt",-INDEX(Parameters!$B:$B,MATCH(AL$3,Parameters!$A:$A,0))*(AJ98+AK98),0)</f>
        <v>0</v>
      </c>
      <c r="AM98" s="525"/>
      <c r="AN98" s="139">
        <f t="shared" si="181"/>
        <v>425</v>
      </c>
      <c r="AO98" s="205">
        <f>AN98/INDEX(Parameters!$B:$B,MATCH("AfschrijftermijnVVE"&amp;12*$C98,Parameters!$A:$A,0))</f>
        <v>11.805555555555555</v>
      </c>
      <c r="AP98" s="139">
        <f t="shared" si="182"/>
        <v>13</v>
      </c>
      <c r="AQ98" s="526">
        <f>IF(AP98&lt;&gt;"nvt",R98*INDEX('Tarieven W&amp;O'!$G:$G,$AP98),0)</f>
        <v>121.28</v>
      </c>
      <c r="AR98" s="524">
        <f>-INDEX(Parameters!$B:$B,MATCH(AR$3,Parameters!$A:$A,0))*(AQ98)</f>
        <v>0</v>
      </c>
      <c r="AS98" s="205">
        <f>IF(E98="straal access",'EDC Minus'!$H$192,IF(Q98&lt;&gt;"nvt",Q98*S98*'EDC Minus'!$H$292/590,0))</f>
        <v>0</v>
      </c>
      <c r="AT98" s="139"/>
      <c r="AU98" s="150">
        <f t="shared" si="183"/>
        <v>121.28</v>
      </c>
      <c r="AV98" s="150">
        <f t="shared" si="184"/>
        <v>133.08555555555554</v>
      </c>
      <c r="AX98" s="526">
        <f>Parameters!$B$6*AV98</f>
        <v>1.3308555555555555</v>
      </c>
      <c r="AY98" s="150">
        <v>0</v>
      </c>
      <c r="AZ98" s="150"/>
      <c r="BA98" s="150">
        <f t="shared" si="185"/>
        <v>1.3308555555555555</v>
      </c>
      <c r="BC98" s="522">
        <f t="shared" si="186"/>
        <v>134.4164111111111</v>
      </c>
      <c r="BD98" s="175"/>
      <c r="BE98" s="527">
        <f t="shared" si="172"/>
        <v>893.36136666666675</v>
      </c>
      <c r="BF98" s="181">
        <f t="shared" si="173"/>
        <v>0.86921646486486492</v>
      </c>
      <c r="BG98" s="520" t="b">
        <f t="shared" si="187"/>
        <v>0</v>
      </c>
      <c r="BI98" s="528" t="s">
        <v>2181</v>
      </c>
      <c r="BK98" s="151">
        <f>VLOOKUP(J98,'Tarieven ZM'!$B$136:$I$235,8,0)</f>
        <v>0</v>
      </c>
      <c r="BL98" s="151" t="str">
        <f>IF(M98="EoK",N98&amp;"AdvancedNLS type 1/2/3",IF(E98&lt;&gt;"Straal Access",INDEX(Mapping!J:J,MATCH(E98&amp;G98,Mapping!B:B,0)),E98))</f>
        <v>Copper Standard Access 20Mbit/sAdvancedNLS type 1/2/3</v>
      </c>
      <c r="BM98" s="184">
        <f>INDEX('inkoop ULL tbv EVPN'!J:J,MATCH($BL98,'inkoop ULL tbv EVPN'!$H:$H,0))</f>
        <v>78.97</v>
      </c>
      <c r="BN98" s="180">
        <f>BM98/INDEX(Parameters!$B:$B,MATCH("AfschrijftermijnVVE"&amp;12*$C98,Parameters!$A:$A,0))</f>
        <v>2.1936111111111112</v>
      </c>
      <c r="BO98" s="184">
        <f>INDEX('inkoop ULL tbv EVPN'!I:I,MATCH($BL98,'inkoop ULL tbv EVPN'!$H:$H,0))</f>
        <v>14.7296035</v>
      </c>
      <c r="BP98" s="184">
        <f t="shared" si="188"/>
        <v>16.92321461111111</v>
      </c>
      <c r="BR98" s="180">
        <f>Parameters!$B$12*AG98</f>
        <v>102.77777777777779</v>
      </c>
      <c r="BS98" s="180">
        <f>SUM(Distributievergoedingen!$F$12,Distributievergoedingen!$I$12,Distributievergoedingen!$L$12,Distributievergoedingen!$O$12)*AF98+SUM(Distributievergoedingen!$O$12*AA98+Distributievergoedingen!$R$12+Distributievergoedingen!$U$12+Distributievergoedingen!$X$12)/(MAX(36,12*C98))</f>
        <v>112.77777777777777</v>
      </c>
      <c r="BT98" s="150"/>
      <c r="BU98" s="150">
        <f t="shared" si="189"/>
        <v>215.55555555555554</v>
      </c>
      <c r="BW98" s="522">
        <f t="shared" si="190"/>
        <v>232.47877016666666</v>
      </c>
      <c r="BY98" s="527">
        <f t="shared" si="191"/>
        <v>795.29900761111116</v>
      </c>
      <c r="BZ98" s="181">
        <f t="shared" si="192"/>
        <v>0.77380443983783787</v>
      </c>
      <c r="CA98" s="520" t="b">
        <f t="shared" si="193"/>
        <v>0</v>
      </c>
    </row>
    <row r="99" spans="1:79" s="151" customFormat="1">
      <c r="A99" s="151" t="str">
        <f t="shared" si="174"/>
        <v>3EoKStandard Access koper 3mbHoogOn-net (NLS3)</v>
      </c>
      <c r="B99" s="151" t="str">
        <f t="shared" si="175"/>
        <v>3EoKStandard Access koper 3mbHoogOn-net (NLS3)</v>
      </c>
      <c r="C99" s="178">
        <v>3</v>
      </c>
      <c r="D99" s="415" t="s">
        <v>303</v>
      </c>
      <c r="E99" s="178" t="s">
        <v>268</v>
      </c>
      <c r="F99" s="107" t="s">
        <v>274</v>
      </c>
      <c r="G99" s="178" t="s">
        <v>3398</v>
      </c>
      <c r="I99" s="178"/>
      <c r="J99" s="520" t="str">
        <f t="shared" ref="J99:J113" si="194">D99&amp;E99&amp;F99&amp;G99</f>
        <v>EoKStandard Access koper 3mbHoogOn-net (NLS3)</v>
      </c>
      <c r="L99" s="204">
        <f>INDEX(Mapping!$H:$H,MATCH(C$3&amp;C99,Mapping!$B:$B,0))</f>
        <v>1</v>
      </c>
      <c r="M99" s="204" t="str">
        <f>INDEX(Mapping!$H:$H,MATCH(D$3&amp;D99,Mapping!$B:$B,0))</f>
        <v>EoK</v>
      </c>
      <c r="N99" s="204" t="str">
        <f>INDEX(Mapping!$H:$H,MATCH(E$3&amp;E99,Mapping!$B:$B,0))</f>
        <v>Copper Standard Access 3Mbit/s</v>
      </c>
      <c r="O99" s="204" t="str">
        <f>INDEX(Mapping!$H:$H,MATCH(E99&amp;F99,Mapping!$B:$B,0))</f>
        <v/>
      </c>
      <c r="P99" s="204" t="str">
        <f>INDEX(Mapping!$H:$H,MATCH($E99&amp;$G99,Mapping!$B:$B,0))</f>
        <v>On-net (NLS3)</v>
      </c>
      <c r="Q99" s="204" t="str">
        <f>INDEX(Mapping!$H:$H,MATCH($E99&amp;$G99&amp;"graafafstand",Mapping!$B:$B,0))</f>
        <v>nvt</v>
      </c>
      <c r="R99" s="204">
        <f>INDEX(Mapping!$H:$H,MATCH(R$3&amp;$E99,Mapping!$B:$B,0))</f>
        <v>1</v>
      </c>
      <c r="S99" s="204">
        <f>INDEX(Mapping!$H:$H,MATCH(S$3&amp;$E99,Mapping!$B:$B,0))</f>
        <v>1</v>
      </c>
      <c r="T99" s="139" t="str">
        <f t="shared" si="176"/>
        <v>Copper Standard Access 3Mbit/sOn-net (NLS3)</v>
      </c>
      <c r="U99" s="151" t="str">
        <f t="shared" si="177"/>
        <v>Copper Standard Access 3Mbit/sOn-net (NLS3)</v>
      </c>
      <c r="W99" s="521">
        <f>MATCH($J99,'Tarieven ZM'!$B:$B,0)</f>
        <v>144</v>
      </c>
      <c r="X99" s="204">
        <f>INDEX('Tarieven ZM'!$H:$H,$W99)</f>
        <v>1000</v>
      </c>
      <c r="Y99" s="198">
        <f>IF(E99="Standard Access in ZG BT gebieden",0,-INDEX(Parameters!$B:$B,MATCH(Y$3&amp;$C99,Parameters!$A:$A,0))*$X99)</f>
        <v>0</v>
      </c>
      <c r="Z99" s="198">
        <f>IF(E99="Standard Access in ZG BT gebieden",0,MAX(-INDEX(Parameters!$B:$B,MATCH(Z$3&amp;$C99,Parameters!$A:$A,0))*$X99,-INDEX(Parameters!$B:$B,MATCH("FactorMaxSalesMandaat"&amp;E99,Parameters!$A:$A,0))*INDEX(Parameters!$B:$B,MATCH("MaxSalesMandaatAccessVVE"&amp;$C99,Parameters!$A:$A,0))))</f>
        <v>0</v>
      </c>
      <c r="AA99" s="139">
        <f t="shared" si="178"/>
        <v>1000</v>
      </c>
      <c r="AB99" s="205">
        <f>AA99/INDEX(Parameters!$B:$B,MATCH("AfschrijftermijnVVE"&amp;12*$C99,Parameters!$A:$A,0))</f>
        <v>27.777777777777779</v>
      </c>
      <c r="AC99" s="204">
        <f>INDEX('Tarieven ZM'!$G:$G,$W99)</f>
        <v>1000</v>
      </c>
      <c r="AD99" s="198">
        <f>IF(E99="Standard Access in ZG BT gebieden",0,-INDEX(Parameters!$B:$B,MATCH(AD$3&amp;$C99,Parameters!$A:$A,0))*$AC99)</f>
        <v>0</v>
      </c>
      <c r="AE99" s="198">
        <f>IF(E99="Standard Access in ZG BT gebieden",0,-INDEX(Parameters!$B:$B,MATCH(AE$3,Parameters!$A:$A,0))*$AC99)</f>
        <v>0</v>
      </c>
      <c r="AF99" s="139">
        <f t="shared" si="179"/>
        <v>1000</v>
      </c>
      <c r="AG99" s="522">
        <f t="shared" si="180"/>
        <v>1027.7777777777778</v>
      </c>
      <c r="AH99" s="175"/>
      <c r="AI99" s="523">
        <f>IF(N99&lt;&gt;"nvt",MATCH($T99,'Tarieven W&amp;O'!$B:$B,0),"nvt")</f>
        <v>16</v>
      </c>
      <c r="AJ99" s="205">
        <f>IF(AI99&lt;&gt;"nvt",IF($D99="EoK",INDEX(Parameters!C:C,MATCH("NLSx EoK",Parameters!A:A,0)),INDEX('Tarieven W&amp;O'!$H:$H,$AI99)),0)*R99</f>
        <v>350</v>
      </c>
      <c r="AK99" s="204">
        <f>IF(AI99&lt;&gt;"nvt",INDEX('Tarieven W&amp;O'!$I:$I,$AI99),0)*R99</f>
        <v>75</v>
      </c>
      <c r="AL99" s="524">
        <f>IF(AI99&lt;&gt;"nvt",-INDEX(Parameters!$B:$B,MATCH(AL$3,Parameters!$A:$A,0))*(AJ99+AK99),0)</f>
        <v>0</v>
      </c>
      <c r="AM99" s="525"/>
      <c r="AN99" s="139">
        <f t="shared" si="181"/>
        <v>425</v>
      </c>
      <c r="AO99" s="205">
        <f>AN99/INDEX(Parameters!$B:$B,MATCH("AfschrijftermijnVVE"&amp;12*$C99,Parameters!$A:$A,0))</f>
        <v>11.805555555555555</v>
      </c>
      <c r="AP99" s="139">
        <f t="shared" si="182"/>
        <v>16</v>
      </c>
      <c r="AQ99" s="526">
        <f>IF(AP99&lt;&gt;"nvt",R99*INDEX('Tarieven W&amp;O'!$G:$G,$AP99),0)</f>
        <v>41.5</v>
      </c>
      <c r="AR99" s="524">
        <f>-INDEX(Parameters!$B:$B,MATCH(AR$3,Parameters!$A:$A,0))*(AQ99)</f>
        <v>0</v>
      </c>
      <c r="AS99" s="205">
        <f>IF(E99="straal access",'EDC Minus'!$H$192,IF(Q99&lt;&gt;"nvt",Q99*S99*'EDC Minus'!$H$292/590,0))</f>
        <v>0</v>
      </c>
      <c r="AT99" s="139"/>
      <c r="AU99" s="150">
        <f t="shared" si="183"/>
        <v>41.5</v>
      </c>
      <c r="AV99" s="150">
        <f t="shared" si="184"/>
        <v>53.305555555555557</v>
      </c>
      <c r="AX99" s="526">
        <f>Parameters!$B$6*AV99</f>
        <v>0.53305555555555562</v>
      </c>
      <c r="AY99" s="150">
        <v>0</v>
      </c>
      <c r="AZ99" s="150"/>
      <c r="BA99" s="150">
        <f t="shared" si="185"/>
        <v>0.53305555555555562</v>
      </c>
      <c r="BC99" s="522">
        <f t="shared" si="186"/>
        <v>53.838611111111113</v>
      </c>
      <c r="BD99" s="175"/>
      <c r="BE99" s="527">
        <f t="shared" si="172"/>
        <v>973.93916666666667</v>
      </c>
      <c r="BF99" s="181">
        <f t="shared" si="173"/>
        <v>0.94761648648648644</v>
      </c>
      <c r="BG99" s="520" t="b">
        <f t="shared" si="187"/>
        <v>0</v>
      </c>
      <c r="BI99" s="528" t="s">
        <v>2181</v>
      </c>
      <c r="BK99" s="151">
        <f>VLOOKUP(J99,'Tarieven ZM'!$B$136:$I$235,8,0)</f>
        <v>0</v>
      </c>
      <c r="BL99" s="151" t="str">
        <f>IF(M99="EoK",N99&amp;"AdvancedNLS type 1/2/3",IF(E99&lt;&gt;"Straal Access",INDEX(Mapping!J:J,MATCH(E99&amp;G99,Mapping!B:B,0)),E99))</f>
        <v>Copper Standard Access 3Mbit/sAdvancedNLS type 1/2/3</v>
      </c>
      <c r="BM99" s="184">
        <f>INDEX('inkoop ULL tbv EVPN'!J:J,MATCH($BL99,'inkoop ULL tbv EVPN'!$H:$H,0))</f>
        <v>78.97</v>
      </c>
      <c r="BN99" s="180">
        <f>BM99/INDEX(Parameters!$B:$B,MATCH("AfschrijftermijnVVE"&amp;12*$C99,Parameters!$A:$A,0))</f>
        <v>2.1936111111111112</v>
      </c>
      <c r="BO99" s="184">
        <f>INDEX('inkoop ULL tbv EVPN'!I:I,MATCH($BL99,'inkoop ULL tbv EVPN'!$H:$H,0))</f>
        <v>14.7296035</v>
      </c>
      <c r="BP99" s="184">
        <f t="shared" si="188"/>
        <v>16.92321461111111</v>
      </c>
      <c r="BR99" s="180">
        <f>Parameters!$B$12*AG99</f>
        <v>102.77777777777779</v>
      </c>
      <c r="BS99" s="180">
        <f>SUM(Distributievergoedingen!$F$12,Distributievergoedingen!$I$12,Distributievergoedingen!$L$12,Distributievergoedingen!$O$12)*AF99+SUM(Distributievergoedingen!$O$12*AA99+Distributievergoedingen!$R$12+Distributievergoedingen!$U$12+Distributievergoedingen!$X$12)/(MAX(36,12*C99))</f>
        <v>112.77777777777777</v>
      </c>
      <c r="BT99" s="150"/>
      <c r="BU99" s="150">
        <f t="shared" si="189"/>
        <v>215.55555555555554</v>
      </c>
      <c r="BW99" s="522">
        <f t="shared" si="190"/>
        <v>232.47877016666666</v>
      </c>
      <c r="BY99" s="527">
        <f t="shared" si="191"/>
        <v>795.29900761111116</v>
      </c>
      <c r="BZ99" s="181">
        <f t="shared" si="192"/>
        <v>0.77380443983783787</v>
      </c>
      <c r="CA99" s="520" t="b">
        <f t="shared" si="193"/>
        <v>0</v>
      </c>
    </row>
    <row r="100" spans="1:79" s="151" customFormat="1">
      <c r="A100" s="151" t="str">
        <f t="shared" si="174"/>
        <v>3EoKStandard Access koper 5mbHoogOn-net (NLS3)</v>
      </c>
      <c r="B100" s="151" t="str">
        <f t="shared" si="175"/>
        <v>3EoKStandard Access koper 5mbHoogOn-net (NLS3)</v>
      </c>
      <c r="C100" s="178">
        <v>3</v>
      </c>
      <c r="D100" s="415" t="s">
        <v>303</v>
      </c>
      <c r="E100" s="178" t="s">
        <v>276</v>
      </c>
      <c r="F100" s="107" t="s">
        <v>274</v>
      </c>
      <c r="G100" s="178" t="s">
        <v>3398</v>
      </c>
      <c r="I100" s="178"/>
      <c r="J100" s="520" t="str">
        <f t="shared" si="194"/>
        <v>EoKStandard Access koper 5mbHoogOn-net (NLS3)</v>
      </c>
      <c r="L100" s="204">
        <f>INDEX(Mapping!$H:$H,MATCH(C$3&amp;C100,Mapping!$B:$B,0))</f>
        <v>1</v>
      </c>
      <c r="M100" s="204" t="str">
        <f>INDEX(Mapping!$H:$H,MATCH(D$3&amp;D100,Mapping!$B:$B,0))</f>
        <v>EoK</v>
      </c>
      <c r="N100" s="204" t="str">
        <f>INDEX(Mapping!$H:$H,MATCH(E$3&amp;E100,Mapping!$B:$B,0))</f>
        <v>Copper Standard Access 5Mbit/s</v>
      </c>
      <c r="O100" s="204" t="str">
        <f>INDEX(Mapping!$H:$H,MATCH(E100&amp;F100,Mapping!$B:$B,0))</f>
        <v/>
      </c>
      <c r="P100" s="204" t="str">
        <f>INDEX(Mapping!$H:$H,MATCH($E100&amp;$G100,Mapping!$B:$B,0))</f>
        <v>On-net (NLS3)</v>
      </c>
      <c r="Q100" s="204" t="str">
        <f>INDEX(Mapping!$H:$H,MATCH($E100&amp;$G100&amp;"graafafstand",Mapping!$B:$B,0))</f>
        <v>nvt</v>
      </c>
      <c r="R100" s="204">
        <f>INDEX(Mapping!$H:$H,MATCH(R$3&amp;$E100,Mapping!$B:$B,0))</f>
        <v>1</v>
      </c>
      <c r="S100" s="204">
        <f>INDEX(Mapping!$H:$H,MATCH(S$3&amp;$E100,Mapping!$B:$B,0))</f>
        <v>1</v>
      </c>
      <c r="T100" s="139" t="str">
        <f t="shared" si="176"/>
        <v>Copper Standard Access 5Mbit/sOn-net (NLS3)</v>
      </c>
      <c r="U100" s="151" t="str">
        <f t="shared" si="177"/>
        <v>Copper Standard Access 5Mbit/sOn-net (NLS3)</v>
      </c>
      <c r="W100" s="521">
        <f>MATCH($J100,'Tarieven ZM'!$B:$B,0)</f>
        <v>145</v>
      </c>
      <c r="X100" s="204">
        <f>INDEX('Tarieven ZM'!$H:$H,$W100)</f>
        <v>1000</v>
      </c>
      <c r="Y100" s="198">
        <f>IF(E100="Standard Access in ZG BT gebieden",0,-INDEX(Parameters!$B:$B,MATCH(Y$3&amp;$C100,Parameters!$A:$A,0))*$X100)</f>
        <v>0</v>
      </c>
      <c r="Z100" s="198">
        <f>IF(E100="Standard Access in ZG BT gebieden",0,MAX(-INDEX(Parameters!$B:$B,MATCH(Z$3&amp;$C100,Parameters!$A:$A,0))*$X100,-INDEX(Parameters!$B:$B,MATCH("FactorMaxSalesMandaat"&amp;E100,Parameters!$A:$A,0))*INDEX(Parameters!$B:$B,MATCH("MaxSalesMandaatAccessVVE"&amp;$C100,Parameters!$A:$A,0))))</f>
        <v>0</v>
      </c>
      <c r="AA100" s="139">
        <f t="shared" si="178"/>
        <v>1000</v>
      </c>
      <c r="AB100" s="205">
        <f>AA100/INDEX(Parameters!$B:$B,MATCH("AfschrijftermijnVVE"&amp;12*$C100,Parameters!$A:$A,0))</f>
        <v>27.777777777777779</v>
      </c>
      <c r="AC100" s="204">
        <f>INDEX('Tarieven ZM'!$G:$G,$W100)</f>
        <v>1000</v>
      </c>
      <c r="AD100" s="198">
        <f>IF(E100="Standard Access in ZG BT gebieden",0,-INDEX(Parameters!$B:$B,MATCH(AD$3&amp;$C100,Parameters!$A:$A,0))*$AC100)</f>
        <v>0</v>
      </c>
      <c r="AE100" s="198">
        <f>IF(E100="Standard Access in ZG BT gebieden",0,-INDEX(Parameters!$B:$B,MATCH(AE$3,Parameters!$A:$A,0))*$AC100)</f>
        <v>0</v>
      </c>
      <c r="AF100" s="139">
        <f t="shared" si="179"/>
        <v>1000</v>
      </c>
      <c r="AG100" s="522">
        <f t="shared" si="180"/>
        <v>1027.7777777777778</v>
      </c>
      <c r="AH100" s="175"/>
      <c r="AI100" s="523">
        <f>IF(N100&lt;&gt;"nvt",MATCH($T100,'Tarieven W&amp;O'!$B:$B,0),"nvt")</f>
        <v>17</v>
      </c>
      <c r="AJ100" s="205">
        <f>IF(AI100&lt;&gt;"nvt",IF($D100="EoK",INDEX(Parameters!C:C,MATCH("NLSx EoK",Parameters!A:A,0)),INDEX('Tarieven W&amp;O'!$H:$H,$AI100)),0)*R100</f>
        <v>350</v>
      </c>
      <c r="AK100" s="204">
        <f>IF(AI100&lt;&gt;"nvt",INDEX('Tarieven W&amp;O'!$I:$I,$AI100),0)*R100</f>
        <v>75</v>
      </c>
      <c r="AL100" s="524">
        <f>IF(AI100&lt;&gt;"nvt",-INDEX(Parameters!$B:$B,MATCH(AL$3,Parameters!$A:$A,0))*(AJ100+AK100),0)</f>
        <v>0</v>
      </c>
      <c r="AM100" s="525"/>
      <c r="AN100" s="139">
        <f t="shared" si="181"/>
        <v>425</v>
      </c>
      <c r="AO100" s="205">
        <f>AN100/INDEX(Parameters!$B:$B,MATCH("AfschrijftermijnVVE"&amp;12*$C100,Parameters!$A:$A,0))</f>
        <v>11.805555555555555</v>
      </c>
      <c r="AP100" s="139">
        <f t="shared" si="182"/>
        <v>17</v>
      </c>
      <c r="AQ100" s="526">
        <f>IF(AP100&lt;&gt;"nvt",R100*INDEX('Tarieven W&amp;O'!$G:$G,$AP100),0)</f>
        <v>60.97</v>
      </c>
      <c r="AR100" s="524">
        <f>-INDEX(Parameters!$B:$B,MATCH(AR$3,Parameters!$A:$A,0))*(AQ100)</f>
        <v>0</v>
      </c>
      <c r="AS100" s="205">
        <f>IF(E100="straal access",'EDC Minus'!$H$192,IF(Q100&lt;&gt;"nvt",Q100*S100*'EDC Minus'!$H$292/590,0))</f>
        <v>0</v>
      </c>
      <c r="AT100" s="139"/>
      <c r="AU100" s="150">
        <f t="shared" si="183"/>
        <v>60.97</v>
      </c>
      <c r="AV100" s="150">
        <f t="shared" si="184"/>
        <v>72.775555555555556</v>
      </c>
      <c r="AX100" s="526">
        <f>Parameters!$B$6*AV100</f>
        <v>0.7277555555555556</v>
      </c>
      <c r="AY100" s="150">
        <v>0</v>
      </c>
      <c r="AZ100" s="150"/>
      <c r="BA100" s="150">
        <f t="shared" si="185"/>
        <v>0.7277555555555556</v>
      </c>
      <c r="BC100" s="522">
        <f t="shared" si="186"/>
        <v>73.503311111111117</v>
      </c>
      <c r="BD100" s="175"/>
      <c r="BE100" s="527">
        <f t="shared" si="172"/>
        <v>954.27446666666674</v>
      </c>
      <c r="BF100" s="181">
        <f t="shared" si="173"/>
        <v>0.92848326486486488</v>
      </c>
      <c r="BG100" s="520" t="b">
        <f t="shared" si="187"/>
        <v>0</v>
      </c>
      <c r="BI100" s="528" t="s">
        <v>2181</v>
      </c>
      <c r="BK100" s="151">
        <f>VLOOKUP(J100,'Tarieven ZM'!$B$136:$I$235,8,0)</f>
        <v>0</v>
      </c>
      <c r="BL100" s="151" t="str">
        <f>IF(M100="EoK",N100&amp;"AdvancedNLS type 1/2/3",IF(E100&lt;&gt;"Straal Access",INDEX(Mapping!J:J,MATCH(E100&amp;G100,Mapping!B:B,0)),E100))</f>
        <v>Copper Standard Access 5Mbit/sAdvancedNLS type 1/2/3</v>
      </c>
      <c r="BM100" s="184">
        <f>INDEX('inkoop ULL tbv EVPN'!J:J,MATCH($BL100,'inkoop ULL tbv EVPN'!$H:$H,0))</f>
        <v>78.97</v>
      </c>
      <c r="BN100" s="180">
        <f>BM100/INDEX(Parameters!$B:$B,MATCH("AfschrijftermijnVVE"&amp;12*$C100,Parameters!$A:$A,0))</f>
        <v>2.1936111111111112</v>
      </c>
      <c r="BO100" s="184">
        <f>INDEX('inkoop ULL tbv EVPN'!I:I,MATCH($BL100,'inkoop ULL tbv EVPN'!$H:$H,0))</f>
        <v>14.7296035</v>
      </c>
      <c r="BP100" s="184">
        <f t="shared" si="188"/>
        <v>16.92321461111111</v>
      </c>
      <c r="BR100" s="180">
        <f>Parameters!$B$12*AG100</f>
        <v>102.77777777777779</v>
      </c>
      <c r="BS100" s="180">
        <f>SUM(Distributievergoedingen!$F$12,Distributievergoedingen!$I$12,Distributievergoedingen!$L$12,Distributievergoedingen!$O$12)*AF100+SUM(Distributievergoedingen!$O$12*AA100+Distributievergoedingen!$R$12+Distributievergoedingen!$U$12+Distributievergoedingen!$X$12)/(MAX(36,12*C100))</f>
        <v>112.77777777777777</v>
      </c>
      <c r="BT100" s="150"/>
      <c r="BU100" s="150">
        <f t="shared" si="189"/>
        <v>215.55555555555554</v>
      </c>
      <c r="BW100" s="522">
        <f t="shared" si="190"/>
        <v>232.47877016666666</v>
      </c>
      <c r="BY100" s="527">
        <f t="shared" si="191"/>
        <v>795.29900761111116</v>
      </c>
      <c r="BZ100" s="181">
        <f t="shared" si="192"/>
        <v>0.77380443983783787</v>
      </c>
      <c r="CA100" s="520" t="b">
        <f t="shared" si="193"/>
        <v>0</v>
      </c>
    </row>
    <row r="101" spans="1:79" s="151" customFormat="1">
      <c r="A101" s="151" t="str">
        <f t="shared" si="174"/>
        <v>3EoKStandard Access koper 10mbHoogOn-net (NLS3)</v>
      </c>
      <c r="B101" s="151" t="str">
        <f t="shared" si="175"/>
        <v>3EoKStandard Access koper 10mbHoogOn-net (NLS3)</v>
      </c>
      <c r="C101" s="178">
        <v>3</v>
      </c>
      <c r="D101" s="415" t="s">
        <v>303</v>
      </c>
      <c r="E101" s="178" t="s">
        <v>277</v>
      </c>
      <c r="F101" s="107" t="s">
        <v>274</v>
      </c>
      <c r="G101" s="178" t="s">
        <v>3398</v>
      </c>
      <c r="I101" s="178"/>
      <c r="J101" s="520" t="str">
        <f t="shared" si="194"/>
        <v>EoKStandard Access koper 10mbHoogOn-net (NLS3)</v>
      </c>
      <c r="L101" s="204">
        <f>INDEX(Mapping!$H:$H,MATCH(C$3&amp;C101,Mapping!$B:$B,0))</f>
        <v>1</v>
      </c>
      <c r="M101" s="204" t="str">
        <f>INDEX(Mapping!$H:$H,MATCH(D$3&amp;D101,Mapping!$B:$B,0))</f>
        <v>EoK</v>
      </c>
      <c r="N101" s="204" t="str">
        <f>INDEX(Mapping!$H:$H,MATCH(E$3&amp;E101,Mapping!$B:$B,0))</f>
        <v>Copper Standard Access 10Mbit/s</v>
      </c>
      <c r="O101" s="204" t="str">
        <f>INDEX(Mapping!$H:$H,MATCH(E101&amp;F101,Mapping!$B:$B,0))</f>
        <v/>
      </c>
      <c r="P101" s="204" t="str">
        <f>INDEX(Mapping!$H:$H,MATCH($E101&amp;$G101,Mapping!$B:$B,0))</f>
        <v>On-net (NLS3)</v>
      </c>
      <c r="Q101" s="204" t="str">
        <f>INDEX(Mapping!$H:$H,MATCH($E101&amp;$G101&amp;"graafafstand",Mapping!$B:$B,0))</f>
        <v>nvt</v>
      </c>
      <c r="R101" s="204">
        <f>INDEX(Mapping!$H:$H,MATCH(R$3&amp;$E101,Mapping!$B:$B,0))</f>
        <v>1</v>
      </c>
      <c r="S101" s="204">
        <f>INDEX(Mapping!$H:$H,MATCH(S$3&amp;$E101,Mapping!$B:$B,0))</f>
        <v>1</v>
      </c>
      <c r="T101" s="139" t="str">
        <f t="shared" si="176"/>
        <v>Copper Standard Access 10Mbit/sOn-net (NLS3)</v>
      </c>
      <c r="U101" s="151" t="str">
        <f t="shared" si="177"/>
        <v>Copper Standard Access 10Mbit/sOn-net (NLS3)</v>
      </c>
      <c r="W101" s="521">
        <f>MATCH($J101,'Tarieven ZM'!$B:$B,0)</f>
        <v>146</v>
      </c>
      <c r="X101" s="204">
        <f>INDEX('Tarieven ZM'!$H:$H,$W101)</f>
        <v>1000</v>
      </c>
      <c r="Y101" s="198">
        <f>IF(E101="Standard Access in ZG BT gebieden",0,-INDEX(Parameters!$B:$B,MATCH(Y$3&amp;$C101,Parameters!$A:$A,0))*$X101)</f>
        <v>0</v>
      </c>
      <c r="Z101" s="198">
        <f>IF(E101="Standard Access in ZG BT gebieden",0,MAX(-INDEX(Parameters!$B:$B,MATCH(Z$3&amp;$C101,Parameters!$A:$A,0))*$X101,-INDEX(Parameters!$B:$B,MATCH("FactorMaxSalesMandaat"&amp;E101,Parameters!$A:$A,0))*INDEX(Parameters!$B:$B,MATCH("MaxSalesMandaatAccessVVE"&amp;$C101,Parameters!$A:$A,0))))</f>
        <v>0</v>
      </c>
      <c r="AA101" s="139">
        <f t="shared" si="178"/>
        <v>1000</v>
      </c>
      <c r="AB101" s="205">
        <f>AA101/INDEX(Parameters!$B:$B,MATCH("AfschrijftermijnVVE"&amp;12*$C101,Parameters!$A:$A,0))</f>
        <v>27.777777777777779</v>
      </c>
      <c r="AC101" s="204">
        <f>INDEX('Tarieven ZM'!$G:$G,$W101)</f>
        <v>1000</v>
      </c>
      <c r="AD101" s="198">
        <f>IF(E101="Standard Access in ZG BT gebieden",0,-INDEX(Parameters!$B:$B,MATCH(AD$3&amp;$C101,Parameters!$A:$A,0))*$AC101)</f>
        <v>0</v>
      </c>
      <c r="AE101" s="198">
        <f>IF(E101="Standard Access in ZG BT gebieden",0,-INDEX(Parameters!$B:$B,MATCH(AE$3,Parameters!$A:$A,0))*$AC101)</f>
        <v>0</v>
      </c>
      <c r="AF101" s="139">
        <f t="shared" si="179"/>
        <v>1000</v>
      </c>
      <c r="AG101" s="522">
        <f t="shared" si="180"/>
        <v>1027.7777777777778</v>
      </c>
      <c r="AH101" s="175"/>
      <c r="AI101" s="523">
        <f>IF(N101&lt;&gt;"nvt",MATCH($T101,'Tarieven W&amp;O'!$B:$B,0),"nvt")</f>
        <v>18</v>
      </c>
      <c r="AJ101" s="205">
        <f>IF(AI101&lt;&gt;"nvt",IF($D101="EoK",INDEX(Parameters!C:C,MATCH("NLSx EoK",Parameters!A:A,0)),INDEX('Tarieven W&amp;O'!$H:$H,$AI101)),0)*R101</f>
        <v>350</v>
      </c>
      <c r="AK101" s="204">
        <f>IF(AI101&lt;&gt;"nvt",INDEX('Tarieven W&amp;O'!$I:$I,$AI101),0)*R101</f>
        <v>75</v>
      </c>
      <c r="AL101" s="524">
        <f>IF(AI101&lt;&gt;"nvt",-INDEX(Parameters!$B:$B,MATCH(AL$3,Parameters!$A:$A,0))*(AJ101+AK101),0)</f>
        <v>0</v>
      </c>
      <c r="AM101" s="525"/>
      <c r="AN101" s="139">
        <f t="shared" si="181"/>
        <v>425</v>
      </c>
      <c r="AO101" s="205">
        <f>AN101/INDEX(Parameters!$B:$B,MATCH("AfschrijftermijnVVE"&amp;12*$C101,Parameters!$A:$A,0))</f>
        <v>11.805555555555555</v>
      </c>
      <c r="AP101" s="139">
        <f t="shared" si="182"/>
        <v>18</v>
      </c>
      <c r="AQ101" s="526">
        <f>IF(AP101&lt;&gt;"nvt",R101*INDEX('Tarieven W&amp;O'!$G:$G,$AP101),0)</f>
        <v>83.59</v>
      </c>
      <c r="AR101" s="524">
        <f>-INDEX(Parameters!$B:$B,MATCH(AR$3,Parameters!$A:$A,0))*(AQ101)</f>
        <v>0</v>
      </c>
      <c r="AS101" s="205">
        <f>IF(E101="straal access",'EDC Minus'!$H$192,IF(Q101&lt;&gt;"nvt",Q101*S101*'EDC Minus'!$H$292/590,0))</f>
        <v>0</v>
      </c>
      <c r="AT101" s="139"/>
      <c r="AU101" s="150">
        <f t="shared" si="183"/>
        <v>83.59</v>
      </c>
      <c r="AV101" s="150">
        <f t="shared" si="184"/>
        <v>95.395555555555561</v>
      </c>
      <c r="AX101" s="526">
        <f>Parameters!$B$6*AV101</f>
        <v>0.95395555555555567</v>
      </c>
      <c r="AY101" s="150">
        <v>0</v>
      </c>
      <c r="AZ101" s="150"/>
      <c r="BA101" s="150">
        <f t="shared" si="185"/>
        <v>0.95395555555555567</v>
      </c>
      <c r="BC101" s="522">
        <f t="shared" si="186"/>
        <v>96.349511111111113</v>
      </c>
      <c r="BD101" s="175"/>
      <c r="BE101" s="527">
        <f t="shared" si="172"/>
        <v>931.42826666666667</v>
      </c>
      <c r="BF101" s="181">
        <f t="shared" si="173"/>
        <v>0.90625452972972964</v>
      </c>
      <c r="BG101" s="520" t="b">
        <f t="shared" si="187"/>
        <v>0</v>
      </c>
      <c r="BI101" s="528" t="s">
        <v>2181</v>
      </c>
      <c r="BK101" s="151">
        <f>VLOOKUP(J101,'Tarieven ZM'!$B$136:$I$235,8,0)</f>
        <v>0</v>
      </c>
      <c r="BL101" s="151" t="str">
        <f>IF(M101="EoK",N101&amp;"AdvancedNLS type 1/2/3",IF(E101&lt;&gt;"Straal Access",INDEX(Mapping!J:J,MATCH(E101&amp;G101,Mapping!B:B,0)),E101))</f>
        <v>Copper Standard Access 10Mbit/sAdvancedNLS type 1/2/3</v>
      </c>
      <c r="BM101" s="184">
        <f>INDEX('inkoop ULL tbv EVPN'!J:J,MATCH($BL101,'inkoop ULL tbv EVPN'!$H:$H,0))</f>
        <v>78.97</v>
      </c>
      <c r="BN101" s="180">
        <f>BM101/INDEX(Parameters!$B:$B,MATCH("AfschrijftermijnVVE"&amp;12*$C101,Parameters!$A:$A,0))</f>
        <v>2.1936111111111112</v>
      </c>
      <c r="BO101" s="184">
        <f>INDEX('inkoop ULL tbv EVPN'!I:I,MATCH($BL101,'inkoop ULL tbv EVPN'!$H:$H,0))</f>
        <v>14.7296035</v>
      </c>
      <c r="BP101" s="184">
        <f t="shared" si="188"/>
        <v>16.92321461111111</v>
      </c>
      <c r="BR101" s="180">
        <f>Parameters!$B$12*AG101</f>
        <v>102.77777777777779</v>
      </c>
      <c r="BS101" s="180">
        <f>SUM(Distributievergoedingen!$F$12,Distributievergoedingen!$I$12,Distributievergoedingen!$L$12,Distributievergoedingen!$O$12)*AF101+SUM(Distributievergoedingen!$O$12*AA101+Distributievergoedingen!$R$12+Distributievergoedingen!$U$12+Distributievergoedingen!$X$12)/(MAX(36,12*C101))</f>
        <v>112.77777777777777</v>
      </c>
      <c r="BT101" s="150"/>
      <c r="BU101" s="150">
        <f t="shared" si="189"/>
        <v>215.55555555555554</v>
      </c>
      <c r="BW101" s="522">
        <f t="shared" si="190"/>
        <v>232.47877016666666</v>
      </c>
      <c r="BY101" s="527">
        <f t="shared" si="191"/>
        <v>795.29900761111116</v>
      </c>
      <c r="BZ101" s="181">
        <f t="shared" si="192"/>
        <v>0.77380443983783787</v>
      </c>
      <c r="CA101" s="520" t="b">
        <f t="shared" si="193"/>
        <v>0</v>
      </c>
    </row>
    <row r="102" spans="1:79" s="151" customFormat="1">
      <c r="A102" s="151" t="str">
        <f t="shared" si="174"/>
        <v>3EoKStandard Access koper 15mbHoogOn-net (NLS3)</v>
      </c>
      <c r="B102" s="151" t="str">
        <f t="shared" si="175"/>
        <v>3EoKStandard Access koper 15mbHoogOn-net (NLS3)</v>
      </c>
      <c r="C102" s="178">
        <v>3</v>
      </c>
      <c r="D102" s="415" t="s">
        <v>303</v>
      </c>
      <c r="E102" s="178" t="s">
        <v>278</v>
      </c>
      <c r="F102" s="107" t="s">
        <v>274</v>
      </c>
      <c r="G102" s="178" t="s">
        <v>3398</v>
      </c>
      <c r="I102" s="178"/>
      <c r="J102" s="520" t="str">
        <f t="shared" si="194"/>
        <v>EoKStandard Access koper 15mbHoogOn-net (NLS3)</v>
      </c>
      <c r="L102" s="204">
        <f>INDEX(Mapping!$H:$H,MATCH(C$3&amp;C102,Mapping!$B:$B,0))</f>
        <v>1</v>
      </c>
      <c r="M102" s="204" t="str">
        <f>INDEX(Mapping!$H:$H,MATCH(D$3&amp;D102,Mapping!$B:$B,0))</f>
        <v>EoK</v>
      </c>
      <c r="N102" s="204" t="str">
        <f>INDEX(Mapping!$H:$H,MATCH(E$3&amp;E102,Mapping!$B:$B,0))</f>
        <v>Copper Standard Access 15Mbit/s</v>
      </c>
      <c r="O102" s="204" t="str">
        <f>INDEX(Mapping!$H:$H,MATCH(E102&amp;F102,Mapping!$B:$B,0))</f>
        <v/>
      </c>
      <c r="P102" s="204" t="str">
        <f>INDEX(Mapping!$H:$H,MATCH($E102&amp;$G102,Mapping!$B:$B,0))</f>
        <v>On-net (NLS3)</v>
      </c>
      <c r="Q102" s="204" t="str">
        <f>INDEX(Mapping!$H:$H,MATCH($E102&amp;$G102&amp;"graafafstand",Mapping!$B:$B,0))</f>
        <v>nvt</v>
      </c>
      <c r="R102" s="204">
        <f>INDEX(Mapping!$H:$H,MATCH(R$3&amp;$E102,Mapping!$B:$B,0))</f>
        <v>1</v>
      </c>
      <c r="S102" s="204">
        <f>INDEX(Mapping!$H:$H,MATCH(S$3&amp;$E102,Mapping!$B:$B,0))</f>
        <v>1</v>
      </c>
      <c r="T102" s="139" t="str">
        <f t="shared" si="176"/>
        <v>Copper Standard Access 15Mbit/sOn-net (NLS3)</v>
      </c>
      <c r="U102" s="151" t="str">
        <f t="shared" si="177"/>
        <v>Copper Standard Access 15Mbit/sOn-net (NLS3)</v>
      </c>
      <c r="W102" s="521">
        <f>MATCH($J102,'Tarieven ZM'!$B:$B,0)</f>
        <v>147</v>
      </c>
      <c r="X102" s="204">
        <f>INDEX('Tarieven ZM'!$H:$H,$W102)</f>
        <v>1000</v>
      </c>
      <c r="Y102" s="198">
        <f>IF(E102="Standard Access in ZG BT gebieden",0,-INDEX(Parameters!$B:$B,MATCH(Y$3&amp;$C102,Parameters!$A:$A,0))*$X102)</f>
        <v>0</v>
      </c>
      <c r="Z102" s="198">
        <f>IF(E102="Standard Access in ZG BT gebieden",0,MAX(-INDEX(Parameters!$B:$B,MATCH(Z$3&amp;$C102,Parameters!$A:$A,0))*$X102,-INDEX(Parameters!$B:$B,MATCH("FactorMaxSalesMandaat"&amp;E102,Parameters!$A:$A,0))*INDEX(Parameters!$B:$B,MATCH("MaxSalesMandaatAccessVVE"&amp;$C102,Parameters!$A:$A,0))))</f>
        <v>0</v>
      </c>
      <c r="AA102" s="139">
        <f t="shared" si="178"/>
        <v>1000</v>
      </c>
      <c r="AB102" s="205">
        <f>AA102/INDEX(Parameters!$B:$B,MATCH("AfschrijftermijnVVE"&amp;12*$C102,Parameters!$A:$A,0))</f>
        <v>27.777777777777779</v>
      </c>
      <c r="AC102" s="204">
        <f>INDEX('Tarieven ZM'!$G:$G,$W102)</f>
        <v>1000</v>
      </c>
      <c r="AD102" s="198">
        <f>IF(E102="Standard Access in ZG BT gebieden",0,-INDEX(Parameters!$B:$B,MATCH(AD$3&amp;$C102,Parameters!$A:$A,0))*$AC102)</f>
        <v>0</v>
      </c>
      <c r="AE102" s="198">
        <f>IF(E102="Standard Access in ZG BT gebieden",0,-INDEX(Parameters!$B:$B,MATCH(AE$3,Parameters!$A:$A,0))*$AC102)</f>
        <v>0</v>
      </c>
      <c r="AF102" s="139">
        <f t="shared" si="179"/>
        <v>1000</v>
      </c>
      <c r="AG102" s="522">
        <f t="shared" si="180"/>
        <v>1027.7777777777778</v>
      </c>
      <c r="AH102" s="175"/>
      <c r="AI102" s="523">
        <f>IF(N102&lt;&gt;"nvt",MATCH($T102,'Tarieven W&amp;O'!$B:$B,0),"nvt")</f>
        <v>19</v>
      </c>
      <c r="AJ102" s="205">
        <f>IF(AI102&lt;&gt;"nvt",IF($D102="EoK",INDEX(Parameters!C:C,MATCH("NLSx EoK",Parameters!A:A,0)),INDEX('Tarieven W&amp;O'!$H:$H,$AI102)),0)*R102</f>
        <v>350</v>
      </c>
      <c r="AK102" s="204">
        <f>IF(AI102&lt;&gt;"nvt",INDEX('Tarieven W&amp;O'!$I:$I,$AI102),0)*R102</f>
        <v>75</v>
      </c>
      <c r="AL102" s="524">
        <f>IF(AI102&lt;&gt;"nvt",-INDEX(Parameters!$B:$B,MATCH(AL$3,Parameters!$A:$A,0))*(AJ102+AK102),0)</f>
        <v>0</v>
      </c>
      <c r="AM102" s="525"/>
      <c r="AN102" s="139">
        <f t="shared" si="181"/>
        <v>425</v>
      </c>
      <c r="AO102" s="205">
        <f>AN102/INDEX(Parameters!$B:$B,MATCH("AfschrijftermijnVVE"&amp;12*$C102,Parameters!$A:$A,0))</f>
        <v>11.805555555555555</v>
      </c>
      <c r="AP102" s="139">
        <f t="shared" si="182"/>
        <v>19</v>
      </c>
      <c r="AQ102" s="526">
        <f>IF(AP102&lt;&gt;"nvt",R102*INDEX('Tarieven W&amp;O'!$G:$G,$AP102),0)</f>
        <v>102.44</v>
      </c>
      <c r="AR102" s="524">
        <f>-INDEX(Parameters!$B:$B,MATCH(AR$3,Parameters!$A:$A,0))*(AQ102)</f>
        <v>0</v>
      </c>
      <c r="AS102" s="205">
        <f>IF(E102="straal access",'EDC Minus'!$H$192,IF(Q102&lt;&gt;"nvt",Q102*S102*'EDC Minus'!$H$292/590,0))</f>
        <v>0</v>
      </c>
      <c r="AT102" s="139"/>
      <c r="AU102" s="150">
        <f t="shared" si="183"/>
        <v>102.44</v>
      </c>
      <c r="AV102" s="150">
        <f t="shared" si="184"/>
        <v>114.24555555555555</v>
      </c>
      <c r="AX102" s="526">
        <f>Parameters!$B$6*AV102</f>
        <v>1.1424555555555556</v>
      </c>
      <c r="AY102" s="150">
        <v>0</v>
      </c>
      <c r="AZ102" s="150"/>
      <c r="BA102" s="150">
        <f t="shared" si="185"/>
        <v>1.1424555555555556</v>
      </c>
      <c r="BC102" s="522">
        <f t="shared" si="186"/>
        <v>115.38801111111111</v>
      </c>
      <c r="BD102" s="175"/>
      <c r="BE102" s="527">
        <f t="shared" si="172"/>
        <v>912.38976666666667</v>
      </c>
      <c r="BF102" s="181">
        <f t="shared" si="173"/>
        <v>0.88773058378378378</v>
      </c>
      <c r="BG102" s="520" t="b">
        <f t="shared" si="187"/>
        <v>0</v>
      </c>
      <c r="BI102" s="528" t="s">
        <v>2181</v>
      </c>
      <c r="BK102" s="151">
        <f>VLOOKUP(J102,'Tarieven ZM'!$B$136:$I$235,8,0)</f>
        <v>0</v>
      </c>
      <c r="BL102" s="151" t="str">
        <f>IF(M102="EoK",N102&amp;"AdvancedNLS type 1/2/3",IF(E102&lt;&gt;"Straal Access",INDEX(Mapping!J:J,MATCH(E102&amp;G102,Mapping!B:B,0)),E102))</f>
        <v>Copper Standard Access 15Mbit/sAdvancedNLS type 1/2/3</v>
      </c>
      <c r="BM102" s="184">
        <f>INDEX('inkoop ULL tbv EVPN'!J:J,MATCH($BL102,'inkoop ULL tbv EVPN'!$H:$H,0))</f>
        <v>78.97</v>
      </c>
      <c r="BN102" s="180">
        <f>BM102/INDEX(Parameters!$B:$B,MATCH("AfschrijftermijnVVE"&amp;12*$C102,Parameters!$A:$A,0))</f>
        <v>2.1936111111111112</v>
      </c>
      <c r="BO102" s="184">
        <f>INDEX('inkoop ULL tbv EVPN'!I:I,MATCH($BL102,'inkoop ULL tbv EVPN'!$H:$H,0))</f>
        <v>14.7296035</v>
      </c>
      <c r="BP102" s="184">
        <f t="shared" si="188"/>
        <v>16.92321461111111</v>
      </c>
      <c r="BR102" s="180">
        <f>Parameters!$B$12*AG102</f>
        <v>102.77777777777779</v>
      </c>
      <c r="BS102" s="180">
        <f>SUM(Distributievergoedingen!$F$12,Distributievergoedingen!$I$12,Distributievergoedingen!$L$12,Distributievergoedingen!$O$12)*AF102+SUM(Distributievergoedingen!$O$12*AA102+Distributievergoedingen!$R$12+Distributievergoedingen!$U$12+Distributievergoedingen!$X$12)/(MAX(36,12*C102))</f>
        <v>112.77777777777777</v>
      </c>
      <c r="BT102" s="150"/>
      <c r="BU102" s="150">
        <f t="shared" si="189"/>
        <v>215.55555555555554</v>
      </c>
      <c r="BW102" s="522">
        <f t="shared" si="190"/>
        <v>232.47877016666666</v>
      </c>
      <c r="BY102" s="527">
        <f t="shared" si="191"/>
        <v>795.29900761111116</v>
      </c>
      <c r="BZ102" s="181">
        <f t="shared" si="192"/>
        <v>0.77380443983783787</v>
      </c>
      <c r="CA102" s="520" t="b">
        <f t="shared" si="193"/>
        <v>0</v>
      </c>
    </row>
    <row r="103" spans="1:79" s="151" customFormat="1">
      <c r="A103" s="151" t="str">
        <f t="shared" si="174"/>
        <v>3EoKStandard Access koper 20mbHoogOn-net (NLS3)</v>
      </c>
      <c r="B103" s="151" t="str">
        <f t="shared" si="175"/>
        <v>3EoKStandard Access koper 20mbHoogOn-net (NLS3)</v>
      </c>
      <c r="C103" s="178">
        <v>3</v>
      </c>
      <c r="D103" s="415" t="s">
        <v>303</v>
      </c>
      <c r="E103" s="178" t="s">
        <v>279</v>
      </c>
      <c r="F103" s="107" t="s">
        <v>274</v>
      </c>
      <c r="G103" s="178" t="s">
        <v>3398</v>
      </c>
      <c r="I103" s="178"/>
      <c r="J103" s="520" t="str">
        <f t="shared" si="194"/>
        <v>EoKStandard Access koper 20mbHoogOn-net (NLS3)</v>
      </c>
      <c r="L103" s="204">
        <f>INDEX(Mapping!$H:$H,MATCH(C$3&amp;C103,Mapping!$B:$B,0))</f>
        <v>1</v>
      </c>
      <c r="M103" s="204" t="str">
        <f>INDEX(Mapping!$H:$H,MATCH(D$3&amp;D103,Mapping!$B:$B,0))</f>
        <v>EoK</v>
      </c>
      <c r="N103" s="204" t="str">
        <f>INDEX(Mapping!$H:$H,MATCH(E$3&amp;E103,Mapping!$B:$B,0))</f>
        <v>Copper Standard Access 20Mbit/s</v>
      </c>
      <c r="O103" s="204" t="str">
        <f>INDEX(Mapping!$H:$H,MATCH(E103&amp;F103,Mapping!$B:$B,0))</f>
        <v/>
      </c>
      <c r="P103" s="204" t="str">
        <f>INDEX(Mapping!$H:$H,MATCH($E103&amp;$G103,Mapping!$B:$B,0))</f>
        <v>On-net (NLS3)</v>
      </c>
      <c r="Q103" s="204" t="str">
        <f>INDEX(Mapping!$H:$H,MATCH($E103&amp;$G103&amp;"graafafstand",Mapping!$B:$B,0))</f>
        <v>nvt</v>
      </c>
      <c r="R103" s="204">
        <f>INDEX(Mapping!$H:$H,MATCH(R$3&amp;$E103,Mapping!$B:$B,0))</f>
        <v>1</v>
      </c>
      <c r="S103" s="204">
        <f>INDEX(Mapping!$H:$H,MATCH(S$3&amp;$E103,Mapping!$B:$B,0))</f>
        <v>1</v>
      </c>
      <c r="T103" s="139" t="str">
        <f t="shared" si="176"/>
        <v>Copper Standard Access 20Mbit/sOn-net (NLS3)</v>
      </c>
      <c r="U103" s="151" t="str">
        <f t="shared" si="177"/>
        <v>Copper Standard Access 20Mbit/sOn-net (NLS3)</v>
      </c>
      <c r="W103" s="521">
        <f>MATCH($J103,'Tarieven ZM'!$B:$B,0)</f>
        <v>148</v>
      </c>
      <c r="X103" s="204">
        <f>INDEX('Tarieven ZM'!$H:$H,$W103)</f>
        <v>1000</v>
      </c>
      <c r="Y103" s="198">
        <f>IF(E103="Standard Access in ZG BT gebieden",0,-INDEX(Parameters!$B:$B,MATCH(Y$3&amp;$C103,Parameters!$A:$A,0))*$X103)</f>
        <v>0</v>
      </c>
      <c r="Z103" s="198">
        <f>IF(E103="Standard Access in ZG BT gebieden",0,MAX(-INDEX(Parameters!$B:$B,MATCH(Z$3&amp;$C103,Parameters!$A:$A,0))*$X103,-INDEX(Parameters!$B:$B,MATCH("FactorMaxSalesMandaat"&amp;E103,Parameters!$A:$A,0))*INDEX(Parameters!$B:$B,MATCH("MaxSalesMandaatAccessVVE"&amp;$C103,Parameters!$A:$A,0))))</f>
        <v>0</v>
      </c>
      <c r="AA103" s="139">
        <f t="shared" si="178"/>
        <v>1000</v>
      </c>
      <c r="AB103" s="205">
        <f>AA103/INDEX(Parameters!$B:$B,MATCH("AfschrijftermijnVVE"&amp;12*$C103,Parameters!$A:$A,0))</f>
        <v>27.777777777777779</v>
      </c>
      <c r="AC103" s="204">
        <f>INDEX('Tarieven ZM'!$G:$G,$W103)</f>
        <v>1000</v>
      </c>
      <c r="AD103" s="198">
        <f>IF(E103="Standard Access in ZG BT gebieden",0,-INDEX(Parameters!$B:$B,MATCH(AD$3&amp;$C103,Parameters!$A:$A,0))*$AC103)</f>
        <v>0</v>
      </c>
      <c r="AE103" s="198">
        <f>IF(E103="Standard Access in ZG BT gebieden",0,-INDEX(Parameters!$B:$B,MATCH(AE$3,Parameters!$A:$A,0))*$AC103)</f>
        <v>0</v>
      </c>
      <c r="AF103" s="139">
        <f t="shared" si="179"/>
        <v>1000</v>
      </c>
      <c r="AG103" s="522">
        <f t="shared" si="180"/>
        <v>1027.7777777777778</v>
      </c>
      <c r="AH103" s="175"/>
      <c r="AI103" s="523">
        <f>IF(N103&lt;&gt;"nvt",MATCH($T103,'Tarieven W&amp;O'!$B:$B,0),"nvt")</f>
        <v>20</v>
      </c>
      <c r="AJ103" s="205">
        <f>IF(AI103&lt;&gt;"nvt",IF($D103="EoK",INDEX(Parameters!C:C,MATCH("NLSx EoK",Parameters!A:A,0)),INDEX('Tarieven W&amp;O'!$H:$H,$AI103)),0)*R103</f>
        <v>350</v>
      </c>
      <c r="AK103" s="204">
        <f>IF(AI103&lt;&gt;"nvt",INDEX('Tarieven W&amp;O'!$I:$I,$AI103),0)*R103</f>
        <v>75</v>
      </c>
      <c r="AL103" s="524">
        <f>IF(AI103&lt;&gt;"nvt",-INDEX(Parameters!$B:$B,MATCH(AL$3,Parameters!$A:$A,0))*(AJ103+AK103),0)</f>
        <v>0</v>
      </c>
      <c r="AM103" s="525"/>
      <c r="AN103" s="139">
        <f t="shared" si="181"/>
        <v>425</v>
      </c>
      <c r="AO103" s="205">
        <f>AN103/INDEX(Parameters!$B:$B,MATCH("AfschrijftermijnVVE"&amp;12*$C103,Parameters!$A:$A,0))</f>
        <v>11.805555555555555</v>
      </c>
      <c r="AP103" s="139">
        <f t="shared" si="182"/>
        <v>20</v>
      </c>
      <c r="AQ103" s="526">
        <f>IF(AP103&lt;&gt;"nvt",R103*INDEX('Tarieven W&amp;O'!$G:$G,$AP103),0)</f>
        <v>121.28</v>
      </c>
      <c r="AR103" s="524">
        <f>-INDEX(Parameters!$B:$B,MATCH(AR$3,Parameters!$A:$A,0))*(AQ103)</f>
        <v>0</v>
      </c>
      <c r="AS103" s="205">
        <f>IF(E103="straal access",'EDC Minus'!$H$192,IF(Q103&lt;&gt;"nvt",Q103*S103*'EDC Minus'!$H$292/590,0))</f>
        <v>0</v>
      </c>
      <c r="AT103" s="139"/>
      <c r="AU103" s="150">
        <f t="shared" si="183"/>
        <v>121.28</v>
      </c>
      <c r="AV103" s="150">
        <f t="shared" si="184"/>
        <v>133.08555555555554</v>
      </c>
      <c r="AX103" s="526">
        <f>Parameters!$B$6*AV103</f>
        <v>1.3308555555555555</v>
      </c>
      <c r="AY103" s="150">
        <v>0</v>
      </c>
      <c r="AZ103" s="150"/>
      <c r="BA103" s="150">
        <f t="shared" si="185"/>
        <v>1.3308555555555555</v>
      </c>
      <c r="BC103" s="522">
        <f t="shared" si="186"/>
        <v>134.4164111111111</v>
      </c>
      <c r="BD103" s="175"/>
      <c r="BE103" s="527">
        <f t="shared" si="172"/>
        <v>893.36136666666675</v>
      </c>
      <c r="BF103" s="181">
        <f t="shared" si="173"/>
        <v>0.86921646486486492</v>
      </c>
      <c r="BG103" s="520" t="b">
        <f t="shared" si="187"/>
        <v>0</v>
      </c>
      <c r="BI103" s="528" t="s">
        <v>2181</v>
      </c>
      <c r="BK103" s="151">
        <f>VLOOKUP(J103,'Tarieven ZM'!$B$136:$I$235,8,0)</f>
        <v>0</v>
      </c>
      <c r="BL103" s="151" t="str">
        <f>IF(M103="EoK",N103&amp;"AdvancedNLS type 1/2/3",IF(E103&lt;&gt;"Straal Access",INDEX(Mapping!J:J,MATCH(E103&amp;G103,Mapping!B:B,0)),E103))</f>
        <v>Copper Standard Access 20Mbit/sAdvancedNLS type 1/2/3</v>
      </c>
      <c r="BM103" s="184">
        <f>INDEX('inkoop ULL tbv EVPN'!J:J,MATCH($BL103,'inkoop ULL tbv EVPN'!$H:$H,0))</f>
        <v>78.97</v>
      </c>
      <c r="BN103" s="180">
        <f>BM103/INDEX(Parameters!$B:$B,MATCH("AfschrijftermijnVVE"&amp;12*$C103,Parameters!$A:$A,0))</f>
        <v>2.1936111111111112</v>
      </c>
      <c r="BO103" s="184">
        <f>INDEX('inkoop ULL tbv EVPN'!I:I,MATCH($BL103,'inkoop ULL tbv EVPN'!$H:$H,0))</f>
        <v>14.7296035</v>
      </c>
      <c r="BP103" s="184">
        <f t="shared" si="188"/>
        <v>16.92321461111111</v>
      </c>
      <c r="BR103" s="180">
        <f>Parameters!$B$12*AG103</f>
        <v>102.77777777777779</v>
      </c>
      <c r="BS103" s="180">
        <f>SUM(Distributievergoedingen!$F$12,Distributievergoedingen!$I$12,Distributievergoedingen!$L$12,Distributievergoedingen!$O$12)*AF103+SUM(Distributievergoedingen!$O$12*AA103+Distributievergoedingen!$R$12+Distributievergoedingen!$U$12+Distributievergoedingen!$X$12)/(MAX(36,12*C103))</f>
        <v>112.77777777777777</v>
      </c>
      <c r="BT103" s="150"/>
      <c r="BU103" s="150">
        <f t="shared" si="189"/>
        <v>215.55555555555554</v>
      </c>
      <c r="BW103" s="522">
        <f t="shared" si="190"/>
        <v>232.47877016666666</v>
      </c>
      <c r="BY103" s="527">
        <f t="shared" si="191"/>
        <v>795.29900761111116</v>
      </c>
      <c r="BZ103" s="181">
        <f t="shared" si="192"/>
        <v>0.77380443983783787</v>
      </c>
      <c r="CA103" s="520" t="b">
        <f t="shared" si="193"/>
        <v>0</v>
      </c>
    </row>
    <row r="104" spans="1:79" s="151" customFormat="1">
      <c r="A104" s="151" t="str">
        <f t="shared" ref="A104:A108" si="195">C104&amp;D104&amp;E104&amp;F104&amp;G104</f>
        <v>3EoKStandard Access koper 3mbHoog&lt; 250 meter</v>
      </c>
      <c r="B104" s="151" t="str">
        <f t="shared" ref="B104:B108" si="196">A104</f>
        <v>3EoKStandard Access koper 3mbHoog&lt; 250 meter</v>
      </c>
      <c r="C104" s="178">
        <v>3</v>
      </c>
      <c r="D104" s="415" t="s">
        <v>303</v>
      </c>
      <c r="E104" s="178" t="s">
        <v>268</v>
      </c>
      <c r="F104" s="107" t="s">
        <v>274</v>
      </c>
      <c r="G104" s="178" t="s">
        <v>3397</v>
      </c>
      <c r="I104" s="178"/>
      <c r="J104" s="520" t="str">
        <f t="shared" si="194"/>
        <v>EoKStandard Access koper 3mbHoog&lt; 250 meter</v>
      </c>
      <c r="L104" s="204">
        <f>INDEX(Mapping!$H:$H,MATCH(C$3&amp;C104,Mapping!$B:$B,0))</f>
        <v>1</v>
      </c>
      <c r="M104" s="204" t="str">
        <f>INDEX(Mapping!$H:$H,MATCH(D$3&amp;D104,Mapping!$B:$B,0))</f>
        <v>EoK</v>
      </c>
      <c r="N104" s="204" t="str">
        <f>INDEX(Mapping!$H:$H,MATCH(E$3&amp;E104,Mapping!$B:$B,0))</f>
        <v>Copper Standard Access 3Mbit/s</v>
      </c>
      <c r="O104" s="204" t="str">
        <f>INDEX(Mapping!$H:$H,MATCH(E104&amp;F104,Mapping!$B:$B,0))</f>
        <v/>
      </c>
      <c r="P104" s="204" t="str">
        <f>INDEX(Mapping!$H:$H,MATCH($E104&amp;$G104,Mapping!$B:$B,0))</f>
        <v>Nearnet</v>
      </c>
      <c r="Q104" s="204" t="str">
        <f>INDEX(Mapping!$H:$H,MATCH($E104&amp;$G104&amp;"graafafstand",Mapping!$B:$B,0))</f>
        <v>nvt</v>
      </c>
      <c r="R104" s="204">
        <f>INDEX(Mapping!$H:$H,MATCH(R$3&amp;$E104,Mapping!$B:$B,0))</f>
        <v>1</v>
      </c>
      <c r="S104" s="204">
        <f>INDEX(Mapping!$H:$H,MATCH(S$3&amp;$E104,Mapping!$B:$B,0))</f>
        <v>1</v>
      </c>
      <c r="T104" s="139" t="str">
        <f t="shared" ref="T104:T108" si="197">N104&amp;O104&amp;P104</f>
        <v>Copper Standard Access 3Mbit/sNearnet</v>
      </c>
      <c r="U104" s="151" t="str">
        <f t="shared" ref="U104:U108" si="198">T104</f>
        <v>Copper Standard Access 3Mbit/sNearnet</v>
      </c>
      <c r="W104" s="521">
        <f>MATCH($J104,'Tarieven ZM'!$B:$B,0)</f>
        <v>149</v>
      </c>
      <c r="X104" s="204">
        <f>INDEX('Tarieven ZM'!$H:$H,$W104)</f>
        <v>1000</v>
      </c>
      <c r="Y104" s="198">
        <f>IF(E104="Standard Access in ZG BT gebieden",0,-INDEX(Parameters!$B:$B,MATCH(Y$3&amp;$C104,Parameters!$A:$A,0))*$X104)</f>
        <v>0</v>
      </c>
      <c r="Z104" s="198">
        <f>IF(E104="Standard Access in ZG BT gebieden",0,MAX(-INDEX(Parameters!$B:$B,MATCH(Z$3&amp;$C104,Parameters!$A:$A,0))*$X104,-INDEX(Parameters!$B:$B,MATCH("FactorMaxSalesMandaat"&amp;E104,Parameters!$A:$A,0))*INDEX(Parameters!$B:$B,MATCH("MaxSalesMandaatAccessVVE"&amp;$C104,Parameters!$A:$A,0))))</f>
        <v>0</v>
      </c>
      <c r="AA104" s="139">
        <f t="shared" ref="AA104:AA108" si="199">SUM(X104:Z104)</f>
        <v>1000</v>
      </c>
      <c r="AB104" s="205">
        <f>AA104/INDEX(Parameters!$B:$B,MATCH("AfschrijftermijnVVE"&amp;12*$C104,Parameters!$A:$A,0))</f>
        <v>27.777777777777779</v>
      </c>
      <c r="AC104" s="204">
        <f>INDEX('Tarieven ZM'!$G:$G,$W104)</f>
        <v>1000</v>
      </c>
      <c r="AD104" s="198">
        <f>IF(E104="Standard Access in ZG BT gebieden",0,-INDEX(Parameters!$B:$B,MATCH(AD$3&amp;$C104,Parameters!$A:$A,0))*$AC104)</f>
        <v>0</v>
      </c>
      <c r="AE104" s="198">
        <f>IF(E104="Standard Access in ZG BT gebieden",0,-INDEX(Parameters!$B:$B,MATCH(AE$3,Parameters!$A:$A,0))*$AC104)</f>
        <v>0</v>
      </c>
      <c r="AF104" s="139">
        <f t="shared" ref="AF104:AF108" si="200">SUM(AC104:AE104)</f>
        <v>1000</v>
      </c>
      <c r="AG104" s="522">
        <f t="shared" ref="AG104:AG108" si="201">SUM(AB104,AF104)</f>
        <v>1027.7777777777778</v>
      </c>
      <c r="AH104" s="175"/>
      <c r="AI104" s="523">
        <f>IF(N104&lt;&gt;"nvt",MATCH($T104,'Tarieven W&amp;O'!$B:$B,0),"nvt")</f>
        <v>23</v>
      </c>
      <c r="AJ104" s="205">
        <f>IF(AI104&lt;&gt;"nvt",IF($D104="EoK",INDEX(Parameters!C:C,MATCH("NLSx EoK",Parameters!A:A,0)),INDEX('Tarieven W&amp;O'!$H:$H,$AI104)),0)*R104</f>
        <v>350</v>
      </c>
      <c r="AK104" s="204">
        <f>IF(AI104&lt;&gt;"nvt",INDEX('Tarieven W&amp;O'!$I:$I,$AI104),0)*R104</f>
        <v>75</v>
      </c>
      <c r="AL104" s="524">
        <f>IF(AI104&lt;&gt;"nvt",-INDEX(Parameters!$B:$B,MATCH(AL$3,Parameters!$A:$A,0))*(AJ104+AK104),0)</f>
        <v>0</v>
      </c>
      <c r="AM104" s="525"/>
      <c r="AN104" s="139">
        <f t="shared" ref="AN104:AN108" si="202">SUM(AJ104:AM104)</f>
        <v>425</v>
      </c>
      <c r="AO104" s="205">
        <f>AN104/INDEX(Parameters!$B:$B,MATCH("AfschrijftermijnVVE"&amp;12*$C104,Parameters!$A:$A,0))</f>
        <v>11.805555555555555</v>
      </c>
      <c r="AP104" s="139">
        <f t="shared" ref="AP104:AP108" si="203">AI104</f>
        <v>23</v>
      </c>
      <c r="AQ104" s="526">
        <f>IF(AP104&lt;&gt;"nvt",R104*INDEX('Tarieven W&amp;O'!$G:$G,$AP104),0)</f>
        <v>41.5</v>
      </c>
      <c r="AR104" s="524">
        <f>-INDEX(Parameters!$B:$B,MATCH(AR$3,Parameters!$A:$A,0))*(AQ104)</f>
        <v>0</v>
      </c>
      <c r="AS104" s="205">
        <f>IF(E104="straal access",'EDC Minus'!$H$192,IF(Q104&lt;&gt;"nvt",Q104*S104*'EDC Minus'!$H$292/590,0))</f>
        <v>0</v>
      </c>
      <c r="AT104" s="139"/>
      <c r="AU104" s="150">
        <f t="shared" ref="AU104:AU108" si="204">SUM(AQ104:AT104)</f>
        <v>41.5</v>
      </c>
      <c r="AV104" s="150">
        <f t="shared" ref="AV104:AV108" si="205">SUM(AO104,AU104)</f>
        <v>53.305555555555557</v>
      </c>
      <c r="AX104" s="526">
        <f>Parameters!$B$6*AV104</f>
        <v>0.53305555555555562</v>
      </c>
      <c r="AY104" s="150">
        <v>0</v>
      </c>
      <c r="AZ104" s="150"/>
      <c r="BA104" s="150">
        <f t="shared" ref="BA104:BA108" si="206">SUM(AX104:AZ104)</f>
        <v>0.53305555555555562</v>
      </c>
      <c r="BC104" s="522">
        <f t="shared" si="186"/>
        <v>53.838611111111113</v>
      </c>
      <c r="BD104" s="175"/>
      <c r="BE104" s="527">
        <f t="shared" ref="BE104:BE123" si="207">AG104-BC104</f>
        <v>973.93916666666667</v>
      </c>
      <c r="BF104" s="181">
        <f t="shared" ref="BF104:BF123" si="208">IF(AG104=0,-999%,BE104/AG104)</f>
        <v>0.94761648648648644</v>
      </c>
      <c r="BG104" s="520" t="b">
        <f t="shared" ref="BG104:BG108" si="209">BF104&lt;0</f>
        <v>0</v>
      </c>
      <c r="BI104" s="528" t="s">
        <v>2181</v>
      </c>
      <c r="BK104" s="151">
        <f>VLOOKUP(J104,'Tarieven ZM'!$B$136:$I$235,8,0)</f>
        <v>0</v>
      </c>
      <c r="BL104" s="151" t="str">
        <f>IF(M104="EoK",N104&amp;"AdvancedNLS type 1/2/3",IF(E104&lt;&gt;"Straal Access",INDEX(Mapping!J:J,MATCH(E104&amp;G104,Mapping!B:B,0)),E104))</f>
        <v>Copper Standard Access 3Mbit/sAdvancedNLS type 1/2/3</v>
      </c>
      <c r="BM104" s="184">
        <f>INDEX('inkoop ULL tbv EVPN'!J:J,MATCH($BL104,'inkoop ULL tbv EVPN'!$H:$H,0))</f>
        <v>78.97</v>
      </c>
      <c r="BN104" s="180">
        <f>BM104/INDEX(Parameters!$B:$B,MATCH("AfschrijftermijnVVE"&amp;12*$C104,Parameters!$A:$A,0))</f>
        <v>2.1936111111111112</v>
      </c>
      <c r="BO104" s="184">
        <f>INDEX('inkoop ULL tbv EVPN'!I:I,MATCH($BL104,'inkoop ULL tbv EVPN'!$H:$H,0))</f>
        <v>14.7296035</v>
      </c>
      <c r="BP104" s="184">
        <f t="shared" si="188"/>
        <v>16.92321461111111</v>
      </c>
      <c r="BR104" s="180">
        <f>Parameters!$B$12*AG104</f>
        <v>102.77777777777779</v>
      </c>
      <c r="BS104" s="180">
        <f>SUM(Distributievergoedingen!$F$12,Distributievergoedingen!$I$12,Distributievergoedingen!$L$12,Distributievergoedingen!$O$12)*AF104+SUM(Distributievergoedingen!$O$12*AA104+Distributievergoedingen!$R$12+Distributievergoedingen!$U$12+Distributievergoedingen!$X$12)/(MAX(36,12*C104))</f>
        <v>112.77777777777777</v>
      </c>
      <c r="BT104" s="150"/>
      <c r="BU104" s="150">
        <f t="shared" si="189"/>
        <v>215.55555555555554</v>
      </c>
      <c r="BW104" s="522">
        <f t="shared" si="190"/>
        <v>232.47877016666666</v>
      </c>
      <c r="BY104" s="527">
        <f t="shared" si="191"/>
        <v>795.29900761111116</v>
      </c>
      <c r="BZ104" s="181">
        <f t="shared" si="192"/>
        <v>0.77380443983783787</v>
      </c>
      <c r="CA104" s="520" t="b">
        <f t="shared" si="193"/>
        <v>0</v>
      </c>
    </row>
    <row r="105" spans="1:79" s="151" customFormat="1">
      <c r="A105" s="151" t="str">
        <f t="shared" si="195"/>
        <v>3EoKStandard Access koper 5mbHoog&lt; 250 meter</v>
      </c>
      <c r="B105" s="151" t="str">
        <f t="shared" si="196"/>
        <v>3EoKStandard Access koper 5mbHoog&lt; 250 meter</v>
      </c>
      <c r="C105" s="178">
        <v>3</v>
      </c>
      <c r="D105" s="415" t="s">
        <v>303</v>
      </c>
      <c r="E105" s="178" t="s">
        <v>276</v>
      </c>
      <c r="F105" s="107" t="s">
        <v>274</v>
      </c>
      <c r="G105" s="178" t="s">
        <v>3397</v>
      </c>
      <c r="I105" s="178"/>
      <c r="J105" s="520" t="str">
        <f t="shared" si="194"/>
        <v>EoKStandard Access koper 5mbHoog&lt; 250 meter</v>
      </c>
      <c r="L105" s="204">
        <f>INDEX(Mapping!$H:$H,MATCH(C$3&amp;C105,Mapping!$B:$B,0))</f>
        <v>1</v>
      </c>
      <c r="M105" s="204" t="str">
        <f>INDEX(Mapping!$H:$H,MATCH(D$3&amp;D105,Mapping!$B:$B,0))</f>
        <v>EoK</v>
      </c>
      <c r="N105" s="204" t="str">
        <f>INDEX(Mapping!$H:$H,MATCH(E$3&amp;E105,Mapping!$B:$B,0))</f>
        <v>Copper Standard Access 5Mbit/s</v>
      </c>
      <c r="O105" s="204" t="str">
        <f>INDEX(Mapping!$H:$H,MATCH(E105&amp;F105,Mapping!$B:$B,0))</f>
        <v/>
      </c>
      <c r="P105" s="204" t="str">
        <f>INDEX(Mapping!$H:$H,MATCH($E105&amp;$G105,Mapping!$B:$B,0))</f>
        <v>Nearnet</v>
      </c>
      <c r="Q105" s="204" t="str">
        <f>INDEX(Mapping!$H:$H,MATCH($E105&amp;$G105&amp;"graafafstand",Mapping!$B:$B,0))</f>
        <v>nvt</v>
      </c>
      <c r="R105" s="204">
        <f>INDEX(Mapping!$H:$H,MATCH(R$3&amp;$E105,Mapping!$B:$B,0))</f>
        <v>1</v>
      </c>
      <c r="S105" s="204">
        <f>INDEX(Mapping!$H:$H,MATCH(S$3&amp;$E105,Mapping!$B:$B,0))</f>
        <v>1</v>
      </c>
      <c r="T105" s="139" t="str">
        <f t="shared" si="197"/>
        <v>Copper Standard Access 5Mbit/sNearnet</v>
      </c>
      <c r="U105" s="151" t="str">
        <f t="shared" si="198"/>
        <v>Copper Standard Access 5Mbit/sNearnet</v>
      </c>
      <c r="W105" s="521">
        <f>MATCH($J105,'Tarieven ZM'!$B:$B,0)</f>
        <v>150</v>
      </c>
      <c r="X105" s="204">
        <f>INDEX('Tarieven ZM'!$H:$H,$W105)</f>
        <v>1000</v>
      </c>
      <c r="Y105" s="198">
        <f>IF(E105="Standard Access in ZG BT gebieden",0,-INDEX(Parameters!$B:$B,MATCH(Y$3&amp;$C105,Parameters!$A:$A,0))*$X105)</f>
        <v>0</v>
      </c>
      <c r="Z105" s="198">
        <f>IF(E105="Standard Access in ZG BT gebieden",0,MAX(-INDEX(Parameters!$B:$B,MATCH(Z$3&amp;$C105,Parameters!$A:$A,0))*$X105,-INDEX(Parameters!$B:$B,MATCH("FactorMaxSalesMandaat"&amp;E105,Parameters!$A:$A,0))*INDEX(Parameters!$B:$B,MATCH("MaxSalesMandaatAccessVVE"&amp;$C105,Parameters!$A:$A,0))))</f>
        <v>0</v>
      </c>
      <c r="AA105" s="139">
        <f t="shared" si="199"/>
        <v>1000</v>
      </c>
      <c r="AB105" s="205">
        <f>AA105/INDEX(Parameters!$B:$B,MATCH("AfschrijftermijnVVE"&amp;12*$C105,Parameters!$A:$A,0))</f>
        <v>27.777777777777779</v>
      </c>
      <c r="AC105" s="204">
        <f>INDEX('Tarieven ZM'!$G:$G,$W105)</f>
        <v>1000</v>
      </c>
      <c r="AD105" s="198">
        <f>IF(E105="Standard Access in ZG BT gebieden",0,-INDEX(Parameters!$B:$B,MATCH(AD$3&amp;$C105,Parameters!$A:$A,0))*$AC105)</f>
        <v>0</v>
      </c>
      <c r="AE105" s="198">
        <f>IF(E105="Standard Access in ZG BT gebieden",0,-INDEX(Parameters!$B:$B,MATCH(AE$3,Parameters!$A:$A,0))*$AC105)</f>
        <v>0</v>
      </c>
      <c r="AF105" s="139">
        <f t="shared" si="200"/>
        <v>1000</v>
      </c>
      <c r="AG105" s="522">
        <f t="shared" si="201"/>
        <v>1027.7777777777778</v>
      </c>
      <c r="AH105" s="175"/>
      <c r="AI105" s="523">
        <f>IF(N105&lt;&gt;"nvt",MATCH($T105,'Tarieven W&amp;O'!$B:$B,0),"nvt")</f>
        <v>24</v>
      </c>
      <c r="AJ105" s="205">
        <f>IF(AI105&lt;&gt;"nvt",IF($D105="EoK",INDEX(Parameters!C:C,MATCH("NLSx EoK",Parameters!A:A,0)),INDEX('Tarieven W&amp;O'!$H:$H,$AI105)),0)*R105</f>
        <v>350</v>
      </c>
      <c r="AK105" s="204">
        <f>IF(AI105&lt;&gt;"nvt",INDEX('Tarieven W&amp;O'!$I:$I,$AI105),0)*R105</f>
        <v>75</v>
      </c>
      <c r="AL105" s="524">
        <f>IF(AI105&lt;&gt;"nvt",-INDEX(Parameters!$B:$B,MATCH(AL$3,Parameters!$A:$A,0))*(AJ105+AK105),0)</f>
        <v>0</v>
      </c>
      <c r="AM105" s="525"/>
      <c r="AN105" s="139">
        <f t="shared" si="202"/>
        <v>425</v>
      </c>
      <c r="AO105" s="205">
        <f>AN105/INDEX(Parameters!$B:$B,MATCH("AfschrijftermijnVVE"&amp;12*$C105,Parameters!$A:$A,0))</f>
        <v>11.805555555555555</v>
      </c>
      <c r="AP105" s="139">
        <f t="shared" si="203"/>
        <v>24</v>
      </c>
      <c r="AQ105" s="526">
        <f>IF(AP105&lt;&gt;"nvt",R105*INDEX('Tarieven W&amp;O'!$G:$G,$AP105),0)</f>
        <v>60.97</v>
      </c>
      <c r="AR105" s="524">
        <f>-INDEX(Parameters!$B:$B,MATCH(AR$3,Parameters!$A:$A,0))*(AQ105)</f>
        <v>0</v>
      </c>
      <c r="AS105" s="205">
        <f>IF(E105="straal access",'EDC Minus'!$H$192,IF(Q105&lt;&gt;"nvt",Q105*S105*'EDC Minus'!$H$292/590,0))</f>
        <v>0</v>
      </c>
      <c r="AT105" s="139"/>
      <c r="AU105" s="150">
        <f t="shared" si="204"/>
        <v>60.97</v>
      </c>
      <c r="AV105" s="150">
        <f t="shared" si="205"/>
        <v>72.775555555555556</v>
      </c>
      <c r="AX105" s="526">
        <f>Parameters!$B$6*AV105</f>
        <v>0.7277555555555556</v>
      </c>
      <c r="AY105" s="150">
        <v>0</v>
      </c>
      <c r="AZ105" s="150"/>
      <c r="BA105" s="150">
        <f t="shared" si="206"/>
        <v>0.7277555555555556</v>
      </c>
      <c r="BC105" s="522">
        <f t="shared" si="186"/>
        <v>73.503311111111117</v>
      </c>
      <c r="BD105" s="175"/>
      <c r="BE105" s="527">
        <f t="shared" si="207"/>
        <v>954.27446666666674</v>
      </c>
      <c r="BF105" s="181">
        <f t="shared" si="208"/>
        <v>0.92848326486486488</v>
      </c>
      <c r="BG105" s="520" t="b">
        <f t="shared" si="209"/>
        <v>0</v>
      </c>
      <c r="BI105" s="528" t="s">
        <v>2181</v>
      </c>
      <c r="BK105" s="151">
        <f>VLOOKUP(J105,'Tarieven ZM'!$B$136:$I$235,8,0)</f>
        <v>0</v>
      </c>
      <c r="BL105" s="151" t="str">
        <f>IF(M105="EoK",N105&amp;"AdvancedNLS type 1/2/3",IF(E105&lt;&gt;"Straal Access",INDEX(Mapping!J:J,MATCH(E105&amp;G105,Mapping!B:B,0)),E105))</f>
        <v>Copper Standard Access 5Mbit/sAdvancedNLS type 1/2/3</v>
      </c>
      <c r="BM105" s="184">
        <f>INDEX('inkoop ULL tbv EVPN'!J:J,MATCH($BL105,'inkoop ULL tbv EVPN'!$H:$H,0))</f>
        <v>78.97</v>
      </c>
      <c r="BN105" s="180">
        <f>BM105/INDEX(Parameters!$B:$B,MATCH("AfschrijftermijnVVE"&amp;12*$C105,Parameters!$A:$A,0))</f>
        <v>2.1936111111111112</v>
      </c>
      <c r="BO105" s="184">
        <f>INDEX('inkoop ULL tbv EVPN'!I:I,MATCH($BL105,'inkoop ULL tbv EVPN'!$H:$H,0))</f>
        <v>14.7296035</v>
      </c>
      <c r="BP105" s="184">
        <f t="shared" si="188"/>
        <v>16.92321461111111</v>
      </c>
      <c r="BR105" s="180">
        <f>Parameters!$B$12*AG105</f>
        <v>102.77777777777779</v>
      </c>
      <c r="BS105" s="180">
        <f>SUM(Distributievergoedingen!$F$12,Distributievergoedingen!$I$12,Distributievergoedingen!$L$12,Distributievergoedingen!$O$12)*AF105+SUM(Distributievergoedingen!$O$12*AA105+Distributievergoedingen!$R$12+Distributievergoedingen!$U$12+Distributievergoedingen!$X$12)/(MAX(36,12*C105))</f>
        <v>112.77777777777777</v>
      </c>
      <c r="BT105" s="150"/>
      <c r="BU105" s="150">
        <f t="shared" si="189"/>
        <v>215.55555555555554</v>
      </c>
      <c r="BW105" s="522">
        <f t="shared" si="190"/>
        <v>232.47877016666666</v>
      </c>
      <c r="BY105" s="527">
        <f t="shared" si="191"/>
        <v>795.29900761111116</v>
      </c>
      <c r="BZ105" s="181">
        <f t="shared" si="192"/>
        <v>0.77380443983783787</v>
      </c>
      <c r="CA105" s="520" t="b">
        <f t="shared" si="193"/>
        <v>0</v>
      </c>
    </row>
    <row r="106" spans="1:79" s="151" customFormat="1">
      <c r="A106" s="151" t="str">
        <f t="shared" si="195"/>
        <v>3EoKStandard Access koper 10mbHoog&lt; 250 meter</v>
      </c>
      <c r="B106" s="151" t="str">
        <f t="shared" si="196"/>
        <v>3EoKStandard Access koper 10mbHoog&lt; 250 meter</v>
      </c>
      <c r="C106" s="178">
        <v>3</v>
      </c>
      <c r="D106" s="415" t="s">
        <v>303</v>
      </c>
      <c r="E106" s="178" t="s">
        <v>277</v>
      </c>
      <c r="F106" s="107" t="s">
        <v>274</v>
      </c>
      <c r="G106" s="178" t="s">
        <v>3397</v>
      </c>
      <c r="I106" s="178"/>
      <c r="J106" s="520" t="str">
        <f t="shared" si="194"/>
        <v>EoKStandard Access koper 10mbHoog&lt; 250 meter</v>
      </c>
      <c r="L106" s="204">
        <f>INDEX(Mapping!$H:$H,MATCH(C$3&amp;C106,Mapping!$B:$B,0))</f>
        <v>1</v>
      </c>
      <c r="M106" s="204" t="str">
        <f>INDEX(Mapping!$H:$H,MATCH(D$3&amp;D106,Mapping!$B:$B,0))</f>
        <v>EoK</v>
      </c>
      <c r="N106" s="204" t="str">
        <f>INDEX(Mapping!$H:$H,MATCH(E$3&amp;E106,Mapping!$B:$B,0))</f>
        <v>Copper Standard Access 10Mbit/s</v>
      </c>
      <c r="O106" s="204" t="str">
        <f>INDEX(Mapping!$H:$H,MATCH(E106&amp;F106,Mapping!$B:$B,0))</f>
        <v/>
      </c>
      <c r="P106" s="204" t="str">
        <f>INDEX(Mapping!$H:$H,MATCH($E106&amp;$G106,Mapping!$B:$B,0))</f>
        <v>Nearnet</v>
      </c>
      <c r="Q106" s="204" t="str">
        <f>INDEX(Mapping!$H:$H,MATCH($E106&amp;$G106&amp;"graafafstand",Mapping!$B:$B,0))</f>
        <v>nvt</v>
      </c>
      <c r="R106" s="204">
        <f>INDEX(Mapping!$H:$H,MATCH(R$3&amp;$E106,Mapping!$B:$B,0))</f>
        <v>1</v>
      </c>
      <c r="S106" s="204">
        <f>INDEX(Mapping!$H:$H,MATCH(S$3&amp;$E106,Mapping!$B:$B,0))</f>
        <v>1</v>
      </c>
      <c r="T106" s="139" t="str">
        <f t="shared" si="197"/>
        <v>Copper Standard Access 10Mbit/sNearnet</v>
      </c>
      <c r="U106" s="151" t="str">
        <f t="shared" si="198"/>
        <v>Copper Standard Access 10Mbit/sNearnet</v>
      </c>
      <c r="W106" s="521">
        <f>MATCH($J106,'Tarieven ZM'!$B:$B,0)</f>
        <v>151</v>
      </c>
      <c r="X106" s="204">
        <f>INDEX('Tarieven ZM'!$H:$H,$W106)</f>
        <v>1000</v>
      </c>
      <c r="Y106" s="198">
        <f>IF(E106="Standard Access in ZG BT gebieden",0,-INDEX(Parameters!$B:$B,MATCH(Y$3&amp;$C106,Parameters!$A:$A,0))*$X106)</f>
        <v>0</v>
      </c>
      <c r="Z106" s="198">
        <f>IF(E106="Standard Access in ZG BT gebieden",0,MAX(-INDEX(Parameters!$B:$B,MATCH(Z$3&amp;$C106,Parameters!$A:$A,0))*$X106,-INDEX(Parameters!$B:$B,MATCH("FactorMaxSalesMandaat"&amp;E106,Parameters!$A:$A,0))*INDEX(Parameters!$B:$B,MATCH("MaxSalesMandaatAccessVVE"&amp;$C106,Parameters!$A:$A,0))))</f>
        <v>0</v>
      </c>
      <c r="AA106" s="139">
        <f t="shared" si="199"/>
        <v>1000</v>
      </c>
      <c r="AB106" s="205">
        <f>AA106/INDEX(Parameters!$B:$B,MATCH("AfschrijftermijnVVE"&amp;12*$C106,Parameters!$A:$A,0))</f>
        <v>27.777777777777779</v>
      </c>
      <c r="AC106" s="204">
        <f>INDEX('Tarieven ZM'!$G:$G,$W106)</f>
        <v>1000</v>
      </c>
      <c r="AD106" s="198">
        <f>IF(E106="Standard Access in ZG BT gebieden",0,-INDEX(Parameters!$B:$B,MATCH(AD$3&amp;$C106,Parameters!$A:$A,0))*$AC106)</f>
        <v>0</v>
      </c>
      <c r="AE106" s="198">
        <f>IF(E106="Standard Access in ZG BT gebieden",0,-INDEX(Parameters!$B:$B,MATCH(AE$3,Parameters!$A:$A,0))*$AC106)</f>
        <v>0</v>
      </c>
      <c r="AF106" s="139">
        <f t="shared" si="200"/>
        <v>1000</v>
      </c>
      <c r="AG106" s="522">
        <f t="shared" si="201"/>
        <v>1027.7777777777778</v>
      </c>
      <c r="AH106" s="175"/>
      <c r="AI106" s="523">
        <f>IF(N106&lt;&gt;"nvt",MATCH($T106,'Tarieven W&amp;O'!$B:$B,0),"nvt")</f>
        <v>25</v>
      </c>
      <c r="AJ106" s="205">
        <f>IF(AI106&lt;&gt;"nvt",IF($D106="EoK",INDEX(Parameters!C:C,MATCH("NLSx EoK",Parameters!A:A,0)),INDEX('Tarieven W&amp;O'!$H:$H,$AI106)),0)*R106</f>
        <v>350</v>
      </c>
      <c r="AK106" s="204">
        <f>IF(AI106&lt;&gt;"nvt",INDEX('Tarieven W&amp;O'!$I:$I,$AI106),0)*R106</f>
        <v>75</v>
      </c>
      <c r="AL106" s="524">
        <f>IF(AI106&lt;&gt;"nvt",-INDEX(Parameters!$B:$B,MATCH(AL$3,Parameters!$A:$A,0))*(AJ106+AK106),0)</f>
        <v>0</v>
      </c>
      <c r="AM106" s="525"/>
      <c r="AN106" s="139">
        <f t="shared" si="202"/>
        <v>425</v>
      </c>
      <c r="AO106" s="205">
        <f>AN106/INDEX(Parameters!$B:$B,MATCH("AfschrijftermijnVVE"&amp;12*$C106,Parameters!$A:$A,0))</f>
        <v>11.805555555555555</v>
      </c>
      <c r="AP106" s="139">
        <f t="shared" si="203"/>
        <v>25</v>
      </c>
      <c r="AQ106" s="526">
        <f>IF(AP106&lt;&gt;"nvt",R106*INDEX('Tarieven W&amp;O'!$G:$G,$AP106),0)</f>
        <v>83.59</v>
      </c>
      <c r="AR106" s="524">
        <f>-INDEX(Parameters!$B:$B,MATCH(AR$3,Parameters!$A:$A,0))*(AQ106)</f>
        <v>0</v>
      </c>
      <c r="AS106" s="205">
        <f>IF(E106="straal access",'EDC Minus'!$H$192,IF(Q106&lt;&gt;"nvt",Q106*S106*'EDC Minus'!$H$292/590,0))</f>
        <v>0</v>
      </c>
      <c r="AT106" s="139"/>
      <c r="AU106" s="150">
        <f t="shared" si="204"/>
        <v>83.59</v>
      </c>
      <c r="AV106" s="150">
        <f t="shared" si="205"/>
        <v>95.395555555555561</v>
      </c>
      <c r="AX106" s="526">
        <f>Parameters!$B$6*AV106</f>
        <v>0.95395555555555567</v>
      </c>
      <c r="AY106" s="150">
        <v>0</v>
      </c>
      <c r="AZ106" s="150"/>
      <c r="BA106" s="150">
        <f t="shared" si="206"/>
        <v>0.95395555555555567</v>
      </c>
      <c r="BC106" s="522">
        <f t="shared" si="186"/>
        <v>96.349511111111113</v>
      </c>
      <c r="BD106" s="175"/>
      <c r="BE106" s="527">
        <f t="shared" si="207"/>
        <v>931.42826666666667</v>
      </c>
      <c r="BF106" s="181">
        <f t="shared" si="208"/>
        <v>0.90625452972972964</v>
      </c>
      <c r="BG106" s="520" t="b">
        <f t="shared" si="209"/>
        <v>0</v>
      </c>
      <c r="BI106" s="528" t="s">
        <v>2181</v>
      </c>
      <c r="BK106" s="151">
        <f>VLOOKUP(J106,'Tarieven ZM'!$B$136:$I$235,8,0)</f>
        <v>0</v>
      </c>
      <c r="BL106" s="151" t="str">
        <f>IF(M106="EoK",N106&amp;"AdvancedNLS type 1/2/3",IF(E106&lt;&gt;"Straal Access",INDEX(Mapping!J:J,MATCH(E106&amp;G106,Mapping!B:B,0)),E106))</f>
        <v>Copper Standard Access 10Mbit/sAdvancedNLS type 1/2/3</v>
      </c>
      <c r="BM106" s="184">
        <f>INDEX('inkoop ULL tbv EVPN'!J:J,MATCH($BL106,'inkoop ULL tbv EVPN'!$H:$H,0))</f>
        <v>78.97</v>
      </c>
      <c r="BN106" s="180">
        <f>BM106/INDEX(Parameters!$B:$B,MATCH("AfschrijftermijnVVE"&amp;12*$C106,Parameters!$A:$A,0))</f>
        <v>2.1936111111111112</v>
      </c>
      <c r="BO106" s="184">
        <f>INDEX('inkoop ULL tbv EVPN'!I:I,MATCH($BL106,'inkoop ULL tbv EVPN'!$H:$H,0))</f>
        <v>14.7296035</v>
      </c>
      <c r="BP106" s="184">
        <f t="shared" si="188"/>
        <v>16.92321461111111</v>
      </c>
      <c r="BR106" s="180">
        <f>Parameters!$B$12*AG106</f>
        <v>102.77777777777779</v>
      </c>
      <c r="BS106" s="180">
        <f>SUM(Distributievergoedingen!$F$12,Distributievergoedingen!$I$12,Distributievergoedingen!$L$12,Distributievergoedingen!$O$12)*AF106+SUM(Distributievergoedingen!$O$12*AA106+Distributievergoedingen!$R$12+Distributievergoedingen!$U$12+Distributievergoedingen!$X$12)/(MAX(36,12*C106))</f>
        <v>112.77777777777777</v>
      </c>
      <c r="BT106" s="150"/>
      <c r="BU106" s="150">
        <f t="shared" si="189"/>
        <v>215.55555555555554</v>
      </c>
      <c r="BW106" s="522">
        <f t="shared" si="190"/>
        <v>232.47877016666666</v>
      </c>
      <c r="BY106" s="527">
        <f t="shared" si="191"/>
        <v>795.29900761111116</v>
      </c>
      <c r="BZ106" s="181">
        <f t="shared" si="192"/>
        <v>0.77380443983783787</v>
      </c>
      <c r="CA106" s="520" t="b">
        <f t="shared" si="193"/>
        <v>0</v>
      </c>
    </row>
    <row r="107" spans="1:79" s="151" customFormat="1">
      <c r="A107" s="151" t="str">
        <f t="shared" si="195"/>
        <v>3EoKStandard Access koper 15mbHoog&lt; 250 meter</v>
      </c>
      <c r="B107" s="151" t="str">
        <f t="shared" si="196"/>
        <v>3EoKStandard Access koper 15mbHoog&lt; 250 meter</v>
      </c>
      <c r="C107" s="178">
        <v>3</v>
      </c>
      <c r="D107" s="415" t="s">
        <v>303</v>
      </c>
      <c r="E107" s="178" t="s">
        <v>278</v>
      </c>
      <c r="F107" s="107" t="s">
        <v>274</v>
      </c>
      <c r="G107" s="178" t="s">
        <v>3397</v>
      </c>
      <c r="I107" s="178"/>
      <c r="J107" s="520" t="str">
        <f t="shared" si="194"/>
        <v>EoKStandard Access koper 15mbHoog&lt; 250 meter</v>
      </c>
      <c r="L107" s="204">
        <f>INDEX(Mapping!$H:$H,MATCH(C$3&amp;C107,Mapping!$B:$B,0))</f>
        <v>1</v>
      </c>
      <c r="M107" s="204" t="str">
        <f>INDEX(Mapping!$H:$H,MATCH(D$3&amp;D107,Mapping!$B:$B,0))</f>
        <v>EoK</v>
      </c>
      <c r="N107" s="204" t="str">
        <f>INDEX(Mapping!$H:$H,MATCH(E$3&amp;E107,Mapping!$B:$B,0))</f>
        <v>Copper Standard Access 15Mbit/s</v>
      </c>
      <c r="O107" s="204" t="str">
        <f>INDEX(Mapping!$H:$H,MATCH(E107&amp;F107,Mapping!$B:$B,0))</f>
        <v/>
      </c>
      <c r="P107" s="204" t="str">
        <f>INDEX(Mapping!$H:$H,MATCH($E107&amp;$G107,Mapping!$B:$B,0))</f>
        <v>Nearnet</v>
      </c>
      <c r="Q107" s="204" t="str">
        <f>INDEX(Mapping!$H:$H,MATCH($E107&amp;$G107&amp;"graafafstand",Mapping!$B:$B,0))</f>
        <v>nvt</v>
      </c>
      <c r="R107" s="204">
        <f>INDEX(Mapping!$H:$H,MATCH(R$3&amp;$E107,Mapping!$B:$B,0))</f>
        <v>1</v>
      </c>
      <c r="S107" s="204">
        <f>INDEX(Mapping!$H:$H,MATCH(S$3&amp;$E107,Mapping!$B:$B,0))</f>
        <v>1</v>
      </c>
      <c r="T107" s="139" t="str">
        <f t="shared" si="197"/>
        <v>Copper Standard Access 15Mbit/sNearnet</v>
      </c>
      <c r="U107" s="151" t="str">
        <f t="shared" si="198"/>
        <v>Copper Standard Access 15Mbit/sNearnet</v>
      </c>
      <c r="W107" s="521">
        <f>MATCH($J107,'Tarieven ZM'!$B:$B,0)</f>
        <v>152</v>
      </c>
      <c r="X107" s="204">
        <f>INDEX('Tarieven ZM'!$H:$H,$W107)</f>
        <v>1000</v>
      </c>
      <c r="Y107" s="198">
        <f>IF(E107="Standard Access in ZG BT gebieden",0,-INDEX(Parameters!$B:$B,MATCH(Y$3&amp;$C107,Parameters!$A:$A,0))*$X107)</f>
        <v>0</v>
      </c>
      <c r="Z107" s="198">
        <f>IF(E107="Standard Access in ZG BT gebieden",0,MAX(-INDEX(Parameters!$B:$B,MATCH(Z$3&amp;$C107,Parameters!$A:$A,0))*$X107,-INDEX(Parameters!$B:$B,MATCH("FactorMaxSalesMandaat"&amp;E107,Parameters!$A:$A,0))*INDEX(Parameters!$B:$B,MATCH("MaxSalesMandaatAccessVVE"&amp;$C107,Parameters!$A:$A,0))))</f>
        <v>0</v>
      </c>
      <c r="AA107" s="139">
        <f t="shared" si="199"/>
        <v>1000</v>
      </c>
      <c r="AB107" s="205">
        <f>AA107/INDEX(Parameters!$B:$B,MATCH("AfschrijftermijnVVE"&amp;12*$C107,Parameters!$A:$A,0))</f>
        <v>27.777777777777779</v>
      </c>
      <c r="AC107" s="204">
        <f>INDEX('Tarieven ZM'!$G:$G,$W107)</f>
        <v>1000</v>
      </c>
      <c r="AD107" s="198">
        <f>IF(E107="Standard Access in ZG BT gebieden",0,-INDEX(Parameters!$B:$B,MATCH(AD$3&amp;$C107,Parameters!$A:$A,0))*$AC107)</f>
        <v>0</v>
      </c>
      <c r="AE107" s="198">
        <f>IF(E107="Standard Access in ZG BT gebieden",0,-INDEX(Parameters!$B:$B,MATCH(AE$3,Parameters!$A:$A,0))*$AC107)</f>
        <v>0</v>
      </c>
      <c r="AF107" s="139">
        <f t="shared" si="200"/>
        <v>1000</v>
      </c>
      <c r="AG107" s="522">
        <f t="shared" si="201"/>
        <v>1027.7777777777778</v>
      </c>
      <c r="AH107" s="175"/>
      <c r="AI107" s="523">
        <f>IF(N107&lt;&gt;"nvt",MATCH($T107,'Tarieven W&amp;O'!$B:$B,0),"nvt")</f>
        <v>26</v>
      </c>
      <c r="AJ107" s="205">
        <f>IF(AI107&lt;&gt;"nvt",IF($D107="EoK",INDEX(Parameters!C:C,MATCH("NLSx EoK",Parameters!A:A,0)),INDEX('Tarieven W&amp;O'!$H:$H,$AI107)),0)*R107</f>
        <v>350</v>
      </c>
      <c r="AK107" s="204">
        <f>IF(AI107&lt;&gt;"nvt",INDEX('Tarieven W&amp;O'!$I:$I,$AI107),0)*R107</f>
        <v>75</v>
      </c>
      <c r="AL107" s="524">
        <f>IF(AI107&lt;&gt;"nvt",-INDEX(Parameters!$B:$B,MATCH(AL$3,Parameters!$A:$A,0))*(AJ107+AK107),0)</f>
        <v>0</v>
      </c>
      <c r="AM107" s="525"/>
      <c r="AN107" s="139">
        <f t="shared" si="202"/>
        <v>425</v>
      </c>
      <c r="AO107" s="205">
        <f>AN107/INDEX(Parameters!$B:$B,MATCH("AfschrijftermijnVVE"&amp;12*$C107,Parameters!$A:$A,0))</f>
        <v>11.805555555555555</v>
      </c>
      <c r="AP107" s="139">
        <f t="shared" si="203"/>
        <v>26</v>
      </c>
      <c r="AQ107" s="526">
        <f>IF(AP107&lt;&gt;"nvt",R107*INDEX('Tarieven W&amp;O'!$G:$G,$AP107),0)</f>
        <v>102.44</v>
      </c>
      <c r="AR107" s="524">
        <f>-INDEX(Parameters!$B:$B,MATCH(AR$3,Parameters!$A:$A,0))*(AQ107)</f>
        <v>0</v>
      </c>
      <c r="AS107" s="205">
        <f>IF(E107="straal access",'EDC Minus'!$H$192,IF(Q107&lt;&gt;"nvt",Q107*S107*'EDC Minus'!$H$292/590,0))</f>
        <v>0</v>
      </c>
      <c r="AT107" s="139"/>
      <c r="AU107" s="150">
        <f t="shared" si="204"/>
        <v>102.44</v>
      </c>
      <c r="AV107" s="150">
        <f t="shared" si="205"/>
        <v>114.24555555555555</v>
      </c>
      <c r="AX107" s="526">
        <f>Parameters!$B$6*AV107</f>
        <v>1.1424555555555556</v>
      </c>
      <c r="AY107" s="150">
        <v>0</v>
      </c>
      <c r="AZ107" s="150"/>
      <c r="BA107" s="150">
        <f t="shared" si="206"/>
        <v>1.1424555555555556</v>
      </c>
      <c r="BC107" s="522">
        <f t="shared" si="186"/>
        <v>115.38801111111111</v>
      </c>
      <c r="BD107" s="175"/>
      <c r="BE107" s="527">
        <f t="shared" si="207"/>
        <v>912.38976666666667</v>
      </c>
      <c r="BF107" s="181">
        <f t="shared" si="208"/>
        <v>0.88773058378378378</v>
      </c>
      <c r="BG107" s="520" t="b">
        <f t="shared" si="209"/>
        <v>0</v>
      </c>
      <c r="BI107" s="528" t="s">
        <v>2181</v>
      </c>
      <c r="BK107" s="151">
        <f>VLOOKUP(J107,'Tarieven ZM'!$B$136:$I$235,8,0)</f>
        <v>0</v>
      </c>
      <c r="BL107" s="151" t="str">
        <f>IF(M107="EoK",N107&amp;"AdvancedNLS type 1/2/3",IF(E107&lt;&gt;"Straal Access",INDEX(Mapping!J:J,MATCH(E107&amp;G107,Mapping!B:B,0)),E107))</f>
        <v>Copper Standard Access 15Mbit/sAdvancedNLS type 1/2/3</v>
      </c>
      <c r="BM107" s="184">
        <f>INDEX('inkoop ULL tbv EVPN'!J:J,MATCH($BL107,'inkoop ULL tbv EVPN'!$H:$H,0))</f>
        <v>78.97</v>
      </c>
      <c r="BN107" s="180">
        <f>BM107/INDEX(Parameters!$B:$B,MATCH("AfschrijftermijnVVE"&amp;12*$C107,Parameters!$A:$A,0))</f>
        <v>2.1936111111111112</v>
      </c>
      <c r="BO107" s="184">
        <f>INDEX('inkoop ULL tbv EVPN'!I:I,MATCH($BL107,'inkoop ULL tbv EVPN'!$H:$H,0))</f>
        <v>14.7296035</v>
      </c>
      <c r="BP107" s="184">
        <f t="shared" si="188"/>
        <v>16.92321461111111</v>
      </c>
      <c r="BR107" s="180">
        <f>Parameters!$B$12*AG107</f>
        <v>102.77777777777779</v>
      </c>
      <c r="BS107" s="180">
        <f>SUM(Distributievergoedingen!$F$12,Distributievergoedingen!$I$12,Distributievergoedingen!$L$12,Distributievergoedingen!$O$12)*AF107+SUM(Distributievergoedingen!$O$12*AA107+Distributievergoedingen!$R$12+Distributievergoedingen!$U$12+Distributievergoedingen!$X$12)/(MAX(36,12*C107))</f>
        <v>112.77777777777777</v>
      </c>
      <c r="BT107" s="150"/>
      <c r="BU107" s="150">
        <f t="shared" si="189"/>
        <v>215.55555555555554</v>
      </c>
      <c r="BW107" s="522">
        <f t="shared" si="190"/>
        <v>232.47877016666666</v>
      </c>
      <c r="BY107" s="527">
        <f t="shared" si="191"/>
        <v>795.29900761111116</v>
      </c>
      <c r="BZ107" s="181">
        <f t="shared" si="192"/>
        <v>0.77380443983783787</v>
      </c>
      <c r="CA107" s="520" t="b">
        <f t="shared" si="193"/>
        <v>0</v>
      </c>
    </row>
    <row r="108" spans="1:79" s="151" customFormat="1">
      <c r="A108" s="151" t="str">
        <f t="shared" si="195"/>
        <v>3EoKStandard Access koper 20mbHoog&lt; 250 meter</v>
      </c>
      <c r="B108" s="151" t="str">
        <f t="shared" si="196"/>
        <v>3EoKStandard Access koper 20mbHoog&lt; 250 meter</v>
      </c>
      <c r="C108" s="178">
        <v>3</v>
      </c>
      <c r="D108" s="415" t="s">
        <v>303</v>
      </c>
      <c r="E108" s="178" t="s">
        <v>279</v>
      </c>
      <c r="F108" s="107" t="s">
        <v>274</v>
      </c>
      <c r="G108" s="178" t="s">
        <v>3397</v>
      </c>
      <c r="I108" s="178"/>
      <c r="J108" s="520" t="str">
        <f t="shared" si="194"/>
        <v>EoKStandard Access koper 20mbHoog&lt; 250 meter</v>
      </c>
      <c r="L108" s="204">
        <f>INDEX(Mapping!$H:$H,MATCH(C$3&amp;C108,Mapping!$B:$B,0))</f>
        <v>1</v>
      </c>
      <c r="M108" s="204" t="str">
        <f>INDEX(Mapping!$H:$H,MATCH(D$3&amp;D108,Mapping!$B:$B,0))</f>
        <v>EoK</v>
      </c>
      <c r="N108" s="204" t="str">
        <f>INDEX(Mapping!$H:$H,MATCH(E$3&amp;E108,Mapping!$B:$B,0))</f>
        <v>Copper Standard Access 20Mbit/s</v>
      </c>
      <c r="O108" s="204" t="str">
        <f>INDEX(Mapping!$H:$H,MATCH(E108&amp;F108,Mapping!$B:$B,0))</f>
        <v/>
      </c>
      <c r="P108" s="204" t="str">
        <f>INDEX(Mapping!$H:$H,MATCH($E108&amp;$G108,Mapping!$B:$B,0))</f>
        <v>Nearnet</v>
      </c>
      <c r="Q108" s="204" t="str">
        <f>INDEX(Mapping!$H:$H,MATCH($E108&amp;$G108&amp;"graafafstand",Mapping!$B:$B,0))</f>
        <v>nvt</v>
      </c>
      <c r="R108" s="204">
        <f>INDEX(Mapping!$H:$H,MATCH(R$3&amp;$E108,Mapping!$B:$B,0))</f>
        <v>1</v>
      </c>
      <c r="S108" s="204">
        <f>INDEX(Mapping!$H:$H,MATCH(S$3&amp;$E108,Mapping!$B:$B,0))</f>
        <v>1</v>
      </c>
      <c r="T108" s="139" t="str">
        <f t="shared" si="197"/>
        <v>Copper Standard Access 20Mbit/sNearnet</v>
      </c>
      <c r="U108" s="151" t="str">
        <f t="shared" si="198"/>
        <v>Copper Standard Access 20Mbit/sNearnet</v>
      </c>
      <c r="W108" s="521">
        <f>MATCH($J108,'Tarieven ZM'!$B:$B,0)</f>
        <v>153</v>
      </c>
      <c r="X108" s="204">
        <f>INDEX('Tarieven ZM'!$H:$H,$W108)</f>
        <v>1000</v>
      </c>
      <c r="Y108" s="198">
        <f>IF(E108="Standard Access in ZG BT gebieden",0,-INDEX(Parameters!$B:$B,MATCH(Y$3&amp;$C108,Parameters!$A:$A,0))*$X108)</f>
        <v>0</v>
      </c>
      <c r="Z108" s="198">
        <f>IF(E108="Standard Access in ZG BT gebieden",0,MAX(-INDEX(Parameters!$B:$B,MATCH(Z$3&amp;$C108,Parameters!$A:$A,0))*$X108,-INDEX(Parameters!$B:$B,MATCH("FactorMaxSalesMandaat"&amp;E108,Parameters!$A:$A,0))*INDEX(Parameters!$B:$B,MATCH("MaxSalesMandaatAccessVVE"&amp;$C108,Parameters!$A:$A,0))))</f>
        <v>0</v>
      </c>
      <c r="AA108" s="139">
        <f t="shared" si="199"/>
        <v>1000</v>
      </c>
      <c r="AB108" s="205">
        <f>AA108/INDEX(Parameters!$B:$B,MATCH("AfschrijftermijnVVE"&amp;12*$C108,Parameters!$A:$A,0))</f>
        <v>27.777777777777779</v>
      </c>
      <c r="AC108" s="204">
        <f>INDEX('Tarieven ZM'!$G:$G,$W108)</f>
        <v>1000</v>
      </c>
      <c r="AD108" s="198">
        <f>IF(E108="Standard Access in ZG BT gebieden",0,-INDEX(Parameters!$B:$B,MATCH(AD$3&amp;$C108,Parameters!$A:$A,0))*$AC108)</f>
        <v>0</v>
      </c>
      <c r="AE108" s="198">
        <f>IF(E108="Standard Access in ZG BT gebieden",0,-INDEX(Parameters!$B:$B,MATCH(AE$3,Parameters!$A:$A,0))*$AC108)</f>
        <v>0</v>
      </c>
      <c r="AF108" s="139">
        <f t="shared" si="200"/>
        <v>1000</v>
      </c>
      <c r="AG108" s="522">
        <f t="shared" si="201"/>
        <v>1027.7777777777778</v>
      </c>
      <c r="AH108" s="175"/>
      <c r="AI108" s="523">
        <f>IF(N108&lt;&gt;"nvt",MATCH($T108,'Tarieven W&amp;O'!$B:$B,0),"nvt")</f>
        <v>27</v>
      </c>
      <c r="AJ108" s="205">
        <f>IF(AI108&lt;&gt;"nvt",IF($D108="EoK",INDEX(Parameters!C:C,MATCH("NLSx EoK",Parameters!A:A,0)),INDEX('Tarieven W&amp;O'!$H:$H,$AI108)),0)*R108</f>
        <v>350</v>
      </c>
      <c r="AK108" s="204">
        <f>IF(AI108&lt;&gt;"nvt",INDEX('Tarieven W&amp;O'!$I:$I,$AI108),0)*R108</f>
        <v>75</v>
      </c>
      <c r="AL108" s="524">
        <f>IF(AI108&lt;&gt;"nvt",-INDEX(Parameters!$B:$B,MATCH(AL$3,Parameters!$A:$A,0))*(AJ108+AK108),0)</f>
        <v>0</v>
      </c>
      <c r="AM108" s="525"/>
      <c r="AN108" s="139">
        <f t="shared" si="202"/>
        <v>425</v>
      </c>
      <c r="AO108" s="205">
        <f>AN108/INDEX(Parameters!$B:$B,MATCH("AfschrijftermijnVVE"&amp;12*$C108,Parameters!$A:$A,0))</f>
        <v>11.805555555555555</v>
      </c>
      <c r="AP108" s="139">
        <f t="shared" si="203"/>
        <v>27</v>
      </c>
      <c r="AQ108" s="526">
        <f>IF(AP108&lt;&gt;"nvt",R108*INDEX('Tarieven W&amp;O'!$G:$G,$AP108),0)</f>
        <v>121.28</v>
      </c>
      <c r="AR108" s="524">
        <f>-INDEX(Parameters!$B:$B,MATCH(AR$3,Parameters!$A:$A,0))*(AQ108)</f>
        <v>0</v>
      </c>
      <c r="AS108" s="205">
        <f>IF(E108="straal access",'EDC Minus'!$H$192,IF(Q108&lt;&gt;"nvt",Q108*S108*'EDC Minus'!$H$292/590,0))</f>
        <v>0</v>
      </c>
      <c r="AT108" s="139"/>
      <c r="AU108" s="150">
        <f t="shared" si="204"/>
        <v>121.28</v>
      </c>
      <c r="AV108" s="150">
        <f t="shared" si="205"/>
        <v>133.08555555555554</v>
      </c>
      <c r="AX108" s="526">
        <f>Parameters!$B$6*AV108</f>
        <v>1.3308555555555555</v>
      </c>
      <c r="AY108" s="150">
        <v>0</v>
      </c>
      <c r="AZ108" s="150"/>
      <c r="BA108" s="150">
        <f t="shared" si="206"/>
        <v>1.3308555555555555</v>
      </c>
      <c r="BC108" s="522">
        <f t="shared" si="186"/>
        <v>134.4164111111111</v>
      </c>
      <c r="BD108" s="175"/>
      <c r="BE108" s="527">
        <f t="shared" si="207"/>
        <v>893.36136666666675</v>
      </c>
      <c r="BF108" s="181">
        <f t="shared" si="208"/>
        <v>0.86921646486486492</v>
      </c>
      <c r="BG108" s="520" t="b">
        <f t="shared" si="209"/>
        <v>0</v>
      </c>
      <c r="BI108" s="528" t="s">
        <v>2181</v>
      </c>
      <c r="BK108" s="151">
        <f>VLOOKUP(J108,'Tarieven ZM'!$B$136:$I$235,8,0)</f>
        <v>0</v>
      </c>
      <c r="BL108" s="151" t="str">
        <f>IF(M108="EoK",N108&amp;"AdvancedNLS type 1/2/3",IF(E108&lt;&gt;"Straal Access",INDEX(Mapping!J:J,MATCH(E108&amp;G108,Mapping!B:B,0)),E108))</f>
        <v>Copper Standard Access 20Mbit/sAdvancedNLS type 1/2/3</v>
      </c>
      <c r="BM108" s="184">
        <f>INDEX('inkoop ULL tbv EVPN'!J:J,MATCH($BL108,'inkoop ULL tbv EVPN'!$H:$H,0))</f>
        <v>78.97</v>
      </c>
      <c r="BN108" s="180">
        <f>BM108/INDEX(Parameters!$B:$B,MATCH("AfschrijftermijnVVE"&amp;12*$C108,Parameters!$A:$A,0))</f>
        <v>2.1936111111111112</v>
      </c>
      <c r="BO108" s="184">
        <f>INDEX('inkoop ULL tbv EVPN'!I:I,MATCH($BL108,'inkoop ULL tbv EVPN'!$H:$H,0))</f>
        <v>14.7296035</v>
      </c>
      <c r="BP108" s="184">
        <f t="shared" si="188"/>
        <v>16.92321461111111</v>
      </c>
      <c r="BR108" s="180">
        <f>Parameters!$B$12*AG108</f>
        <v>102.77777777777779</v>
      </c>
      <c r="BS108" s="180">
        <f>SUM(Distributievergoedingen!$F$12,Distributievergoedingen!$I$12,Distributievergoedingen!$L$12,Distributievergoedingen!$O$12)*AF108+SUM(Distributievergoedingen!$O$12*AA108+Distributievergoedingen!$R$12+Distributievergoedingen!$U$12+Distributievergoedingen!$X$12)/(MAX(36,12*C108))</f>
        <v>112.77777777777777</v>
      </c>
      <c r="BT108" s="150"/>
      <c r="BU108" s="150">
        <f t="shared" si="189"/>
        <v>215.55555555555554</v>
      </c>
      <c r="BW108" s="522">
        <f t="shared" si="190"/>
        <v>232.47877016666666</v>
      </c>
      <c r="BY108" s="527">
        <f t="shared" si="191"/>
        <v>795.29900761111116</v>
      </c>
      <c r="BZ108" s="181">
        <f t="shared" si="192"/>
        <v>0.77380443983783787</v>
      </c>
      <c r="CA108" s="520" t="b">
        <f t="shared" si="193"/>
        <v>0</v>
      </c>
    </row>
    <row r="109" spans="1:79" s="151" customFormat="1">
      <c r="A109" s="151" t="str">
        <f t="shared" ref="A109:A113" si="210">C109&amp;D109&amp;E109&amp;F109&amp;G109</f>
        <v>3EoKStandard Access koper 3mbMiddelOn-net (NLS1, 2)</v>
      </c>
      <c r="B109" s="151" t="str">
        <f t="shared" ref="B109:B113" si="211">A109</f>
        <v>3EoKStandard Access koper 3mbMiddelOn-net (NLS1, 2)</v>
      </c>
      <c r="C109" s="178">
        <v>3</v>
      </c>
      <c r="D109" s="415" t="s">
        <v>303</v>
      </c>
      <c r="E109" s="178" t="s">
        <v>268</v>
      </c>
      <c r="F109" s="107" t="s">
        <v>280</v>
      </c>
      <c r="G109" s="178" t="s">
        <v>281</v>
      </c>
      <c r="I109" s="178"/>
      <c r="J109" s="520" t="str">
        <f t="shared" si="194"/>
        <v>EoKStandard Access koper 3mbMiddelOn-net (NLS1, 2)</v>
      </c>
      <c r="L109" s="204">
        <f>INDEX(Mapping!$H:$H,MATCH(C$3&amp;C109,Mapping!$B:$B,0))</f>
        <v>1</v>
      </c>
      <c r="M109" s="204" t="str">
        <f>INDEX(Mapping!$H:$H,MATCH(D$3&amp;D109,Mapping!$B:$B,0))</f>
        <v>EoK</v>
      </c>
      <c r="N109" s="204" t="str">
        <f>INDEX(Mapping!$H:$H,MATCH(E$3&amp;E109,Mapping!$B:$B,0))</f>
        <v>Copper Standard Access 3Mbit/s</v>
      </c>
      <c r="O109" s="204" t="str">
        <f>INDEX(Mapping!$H:$H,MATCH(E109&amp;F109,Mapping!$B:$B,0))</f>
        <v/>
      </c>
      <c r="P109" s="204" t="str">
        <f>INDEX(Mapping!$H:$H,MATCH($E109&amp;$G109,Mapping!$B:$B,0))</f>
        <v>On-net (NLS1, 2)</v>
      </c>
      <c r="Q109" s="204">
        <f>INDEX(Mapping!$H:$H,MATCH($E109&amp;$G109&amp;"graafafstand",Mapping!$B:$B,0))</f>
        <v>0</v>
      </c>
      <c r="R109" s="204">
        <f>INDEX(Mapping!$H:$H,MATCH(R$3&amp;$E109,Mapping!$B:$B,0))</f>
        <v>1</v>
      </c>
      <c r="S109" s="204">
        <f>INDEX(Mapping!$H:$H,MATCH(S$3&amp;$E109,Mapping!$B:$B,0))</f>
        <v>1</v>
      </c>
      <c r="T109" s="139" t="str">
        <f t="shared" ref="T109:T113" si="212">N109&amp;O109&amp;P109</f>
        <v>Copper Standard Access 3Mbit/sOn-net (NLS1, 2)</v>
      </c>
      <c r="U109" s="151" t="str">
        <f t="shared" ref="U109:U113" si="213">T109</f>
        <v>Copper Standard Access 3Mbit/sOn-net (NLS1, 2)</v>
      </c>
      <c r="W109" s="521">
        <f>MATCH($J109,'Tarieven ZM'!$B:$B,0)</f>
        <v>154</v>
      </c>
      <c r="X109" s="204">
        <f>INDEX('Tarieven ZM'!$H:$H,$W109)</f>
        <v>1000</v>
      </c>
      <c r="Y109" s="198">
        <f>IF(E109="Standard Access in ZG BT gebieden",0,-INDEX(Parameters!$B:$B,MATCH(Y$3&amp;$C109,Parameters!$A:$A,0))*$X109)</f>
        <v>0</v>
      </c>
      <c r="Z109" s="198">
        <f>IF(E109="Standard Access in ZG BT gebieden",0,MAX(-INDEX(Parameters!$B:$B,MATCH(Z$3&amp;$C109,Parameters!$A:$A,0))*$X109,-INDEX(Parameters!$B:$B,MATCH("FactorMaxSalesMandaat"&amp;E109,Parameters!$A:$A,0))*INDEX(Parameters!$B:$B,MATCH("MaxSalesMandaatAccessVVE"&amp;$C109,Parameters!$A:$A,0))))</f>
        <v>0</v>
      </c>
      <c r="AA109" s="139">
        <f t="shared" ref="AA109:AA113" si="214">SUM(X109:Z109)</f>
        <v>1000</v>
      </c>
      <c r="AB109" s="205">
        <f>AA109/INDEX(Parameters!$B:$B,MATCH("AfschrijftermijnVVE"&amp;12*$C109,Parameters!$A:$A,0))</f>
        <v>27.777777777777779</v>
      </c>
      <c r="AC109" s="204">
        <f>INDEX('Tarieven ZM'!$G:$G,$W109)</f>
        <v>1000</v>
      </c>
      <c r="AD109" s="198">
        <f>IF(E109="Standard Access in ZG BT gebieden",0,-INDEX(Parameters!$B:$B,MATCH(AD$3&amp;$C109,Parameters!$A:$A,0))*$AC109)</f>
        <v>0</v>
      </c>
      <c r="AE109" s="198">
        <f>IF(E109="Standard Access in ZG BT gebieden",0,-INDEX(Parameters!$B:$B,MATCH(AE$3,Parameters!$A:$A,0))*$AC109)</f>
        <v>0</v>
      </c>
      <c r="AF109" s="139">
        <f t="shared" ref="AF109:AF113" si="215">SUM(AC109:AE109)</f>
        <v>1000</v>
      </c>
      <c r="AG109" s="522">
        <f t="shared" ref="AG109:AG113" si="216">SUM(AB109,AF109)</f>
        <v>1027.7777777777778</v>
      </c>
      <c r="AH109" s="175"/>
      <c r="AI109" s="523">
        <f>IF(N109&lt;&gt;"nvt",MATCH($T109,'Tarieven W&amp;O'!$B:$B,0),"nvt")</f>
        <v>9</v>
      </c>
      <c r="AJ109" s="205">
        <f>IF(AI109&lt;&gt;"nvt",IF($D109="EoK",INDEX(Parameters!C:C,MATCH("NLSx EoK",Parameters!A:A,0)),INDEX('Tarieven W&amp;O'!$H:$H,$AI109)),0)*R109</f>
        <v>350</v>
      </c>
      <c r="AK109" s="204">
        <f>IF(AI109&lt;&gt;"nvt",INDEX('Tarieven W&amp;O'!$I:$I,$AI109),0)*R109</f>
        <v>75</v>
      </c>
      <c r="AL109" s="524">
        <f>IF(AI109&lt;&gt;"nvt",-INDEX(Parameters!$B:$B,MATCH(AL$3,Parameters!$A:$A,0))*(AJ109+AK109),0)</f>
        <v>0</v>
      </c>
      <c r="AM109" s="525"/>
      <c r="AN109" s="139">
        <f t="shared" ref="AN109:AN113" si="217">SUM(AJ109:AM109)</f>
        <v>425</v>
      </c>
      <c r="AO109" s="205">
        <f>AN109/INDEX(Parameters!$B:$B,MATCH("AfschrijftermijnVVE"&amp;12*$C109,Parameters!$A:$A,0))</f>
        <v>11.805555555555555</v>
      </c>
      <c r="AP109" s="139">
        <f t="shared" ref="AP109:AP113" si="218">AI109</f>
        <v>9</v>
      </c>
      <c r="AQ109" s="526">
        <f>IF(AP109&lt;&gt;"nvt",R109*INDEX('Tarieven W&amp;O'!$G:$G,$AP109),0)</f>
        <v>41.5</v>
      </c>
      <c r="AR109" s="524">
        <f>-INDEX(Parameters!$B:$B,MATCH(AR$3,Parameters!$A:$A,0))*(AQ109)</f>
        <v>0</v>
      </c>
      <c r="AS109" s="205">
        <f>IF(E109="straal access",'EDC Minus'!$H$192,IF(Q109&lt;&gt;"nvt",Q109*S109*'EDC Minus'!$H$292/590,0))</f>
        <v>0</v>
      </c>
      <c r="AT109" s="139"/>
      <c r="AU109" s="150">
        <f t="shared" ref="AU109:AU113" si="219">SUM(AQ109:AT109)</f>
        <v>41.5</v>
      </c>
      <c r="AV109" s="150">
        <f t="shared" ref="AV109:AV113" si="220">SUM(AO109,AU109)</f>
        <v>53.305555555555557</v>
      </c>
      <c r="AX109" s="526">
        <f>Parameters!$B$6*AV109</f>
        <v>0.53305555555555562</v>
      </c>
      <c r="AY109" s="150">
        <v>0</v>
      </c>
      <c r="AZ109" s="150"/>
      <c r="BA109" s="150">
        <f t="shared" ref="BA109:BA113" si="221">SUM(AX109:AZ109)</f>
        <v>0.53305555555555562</v>
      </c>
      <c r="BC109" s="522">
        <f t="shared" si="186"/>
        <v>53.838611111111113</v>
      </c>
      <c r="BD109" s="175"/>
      <c r="BE109" s="527">
        <f t="shared" si="207"/>
        <v>973.93916666666667</v>
      </c>
      <c r="BF109" s="181">
        <f t="shared" si="208"/>
        <v>0.94761648648648644</v>
      </c>
      <c r="BG109" s="520" t="b">
        <f t="shared" ref="BG109:BG113" si="222">BF109&lt;0</f>
        <v>0</v>
      </c>
      <c r="BI109" s="528" t="s">
        <v>2181</v>
      </c>
      <c r="BK109" s="151">
        <f>VLOOKUP(J109,'Tarieven ZM'!$B$136:$I$235,8,0)</f>
        <v>0</v>
      </c>
      <c r="BL109" s="151" t="str">
        <f>IF(M109="EoK",N109&amp;"AdvancedNLS type 1/2/3",IF(E109&lt;&gt;"Straal Access",INDEX(Mapping!J:J,MATCH(E109&amp;G109,Mapping!B:B,0)),E109))</f>
        <v>Copper Standard Access 3Mbit/sAdvancedNLS type 1/2/3</v>
      </c>
      <c r="BM109" s="184">
        <f>INDEX('inkoop ULL tbv EVPN'!J:J,MATCH($BL109,'inkoop ULL tbv EVPN'!$H:$H,0))</f>
        <v>78.97</v>
      </c>
      <c r="BN109" s="180">
        <f>BM109/INDEX(Parameters!$B:$B,MATCH("AfschrijftermijnVVE"&amp;12*$C109,Parameters!$A:$A,0))</f>
        <v>2.1936111111111112</v>
      </c>
      <c r="BO109" s="184">
        <f>INDEX('inkoop ULL tbv EVPN'!I:I,MATCH($BL109,'inkoop ULL tbv EVPN'!$H:$H,0))</f>
        <v>14.7296035</v>
      </c>
      <c r="BP109" s="184">
        <f t="shared" si="188"/>
        <v>16.92321461111111</v>
      </c>
      <c r="BR109" s="180">
        <f>Parameters!$B$12*AG109</f>
        <v>102.77777777777779</v>
      </c>
      <c r="BS109" s="180">
        <f>SUM(Distributievergoedingen!$F$12,Distributievergoedingen!$I$12,Distributievergoedingen!$L$12,Distributievergoedingen!$O$12)*AF109+SUM(Distributievergoedingen!$O$12*AA109+Distributievergoedingen!$R$12+Distributievergoedingen!$U$12+Distributievergoedingen!$X$12)/(MAX(36,12*C109))</f>
        <v>112.77777777777777</v>
      </c>
      <c r="BT109" s="150"/>
      <c r="BU109" s="150">
        <f t="shared" si="189"/>
        <v>215.55555555555554</v>
      </c>
      <c r="BW109" s="522">
        <f t="shared" si="190"/>
        <v>232.47877016666666</v>
      </c>
      <c r="BY109" s="527">
        <f t="shared" si="191"/>
        <v>795.29900761111116</v>
      </c>
      <c r="BZ109" s="181">
        <f t="shared" si="192"/>
        <v>0.77380443983783787</v>
      </c>
      <c r="CA109" s="520" t="b">
        <f t="shared" si="193"/>
        <v>0</v>
      </c>
    </row>
    <row r="110" spans="1:79" s="151" customFormat="1">
      <c r="A110" s="151" t="str">
        <f t="shared" si="210"/>
        <v>3EoKStandard Access koper 5mbMiddelOn-net (NLS1, 2)</v>
      </c>
      <c r="B110" s="151" t="str">
        <f t="shared" si="211"/>
        <v>3EoKStandard Access koper 5mbMiddelOn-net (NLS1, 2)</v>
      </c>
      <c r="C110" s="178">
        <v>3</v>
      </c>
      <c r="D110" s="415" t="s">
        <v>303</v>
      </c>
      <c r="E110" s="178" t="s">
        <v>276</v>
      </c>
      <c r="F110" s="107" t="s">
        <v>280</v>
      </c>
      <c r="G110" s="178" t="s">
        <v>281</v>
      </c>
      <c r="I110" s="178"/>
      <c r="J110" s="520" t="str">
        <f t="shared" si="194"/>
        <v>EoKStandard Access koper 5mbMiddelOn-net (NLS1, 2)</v>
      </c>
      <c r="L110" s="204">
        <f>INDEX(Mapping!$H:$H,MATCH(C$3&amp;C110,Mapping!$B:$B,0))</f>
        <v>1</v>
      </c>
      <c r="M110" s="204" t="str">
        <f>INDEX(Mapping!$H:$H,MATCH(D$3&amp;D110,Mapping!$B:$B,0))</f>
        <v>EoK</v>
      </c>
      <c r="N110" s="204" t="str">
        <f>INDEX(Mapping!$H:$H,MATCH(E$3&amp;E110,Mapping!$B:$B,0))</f>
        <v>Copper Standard Access 5Mbit/s</v>
      </c>
      <c r="O110" s="204" t="str">
        <f>INDEX(Mapping!$H:$H,MATCH(E110&amp;F110,Mapping!$B:$B,0))</f>
        <v/>
      </c>
      <c r="P110" s="204" t="str">
        <f>INDEX(Mapping!$H:$H,MATCH($E110&amp;$G110,Mapping!$B:$B,0))</f>
        <v>On-net (NLS1, 2)</v>
      </c>
      <c r="Q110" s="204">
        <f>INDEX(Mapping!$H:$H,MATCH($E110&amp;$G110&amp;"graafafstand",Mapping!$B:$B,0))</f>
        <v>0</v>
      </c>
      <c r="R110" s="204">
        <f>INDEX(Mapping!$H:$H,MATCH(R$3&amp;$E110,Mapping!$B:$B,0))</f>
        <v>1</v>
      </c>
      <c r="S110" s="204">
        <f>INDEX(Mapping!$H:$H,MATCH(S$3&amp;$E110,Mapping!$B:$B,0))</f>
        <v>1</v>
      </c>
      <c r="T110" s="139" t="str">
        <f t="shared" si="212"/>
        <v>Copper Standard Access 5Mbit/sOn-net (NLS1, 2)</v>
      </c>
      <c r="U110" s="151" t="str">
        <f t="shared" si="213"/>
        <v>Copper Standard Access 5Mbit/sOn-net (NLS1, 2)</v>
      </c>
      <c r="W110" s="521">
        <f>MATCH($J110,'Tarieven ZM'!$B:$B,0)</f>
        <v>155</v>
      </c>
      <c r="X110" s="204">
        <f>INDEX('Tarieven ZM'!$H:$H,$W110)</f>
        <v>1000</v>
      </c>
      <c r="Y110" s="198">
        <f>IF(E110="Standard Access in ZG BT gebieden",0,-INDEX(Parameters!$B:$B,MATCH(Y$3&amp;$C110,Parameters!$A:$A,0))*$X110)</f>
        <v>0</v>
      </c>
      <c r="Z110" s="198">
        <f>IF(E110="Standard Access in ZG BT gebieden",0,MAX(-INDEX(Parameters!$B:$B,MATCH(Z$3&amp;$C110,Parameters!$A:$A,0))*$X110,-INDEX(Parameters!$B:$B,MATCH("FactorMaxSalesMandaat"&amp;E110,Parameters!$A:$A,0))*INDEX(Parameters!$B:$B,MATCH("MaxSalesMandaatAccessVVE"&amp;$C110,Parameters!$A:$A,0))))</f>
        <v>0</v>
      </c>
      <c r="AA110" s="139">
        <f t="shared" si="214"/>
        <v>1000</v>
      </c>
      <c r="AB110" s="205">
        <f>AA110/INDEX(Parameters!$B:$B,MATCH("AfschrijftermijnVVE"&amp;12*$C110,Parameters!$A:$A,0))</f>
        <v>27.777777777777779</v>
      </c>
      <c r="AC110" s="204">
        <f>INDEX('Tarieven ZM'!$G:$G,$W110)</f>
        <v>1000</v>
      </c>
      <c r="AD110" s="198">
        <f>IF(E110="Standard Access in ZG BT gebieden",0,-INDEX(Parameters!$B:$B,MATCH(AD$3&amp;$C110,Parameters!$A:$A,0))*$AC110)</f>
        <v>0</v>
      </c>
      <c r="AE110" s="198">
        <f>IF(E110="Standard Access in ZG BT gebieden",0,-INDEX(Parameters!$B:$B,MATCH(AE$3,Parameters!$A:$A,0))*$AC110)</f>
        <v>0</v>
      </c>
      <c r="AF110" s="139">
        <f t="shared" si="215"/>
        <v>1000</v>
      </c>
      <c r="AG110" s="522">
        <f t="shared" si="216"/>
        <v>1027.7777777777778</v>
      </c>
      <c r="AH110" s="175"/>
      <c r="AI110" s="523">
        <f>IF(N110&lt;&gt;"nvt",MATCH($T110,'Tarieven W&amp;O'!$B:$B,0),"nvt")</f>
        <v>10</v>
      </c>
      <c r="AJ110" s="205">
        <f>IF(AI110&lt;&gt;"nvt",IF($D110="EoK",INDEX(Parameters!C:C,MATCH("NLSx EoK",Parameters!A:A,0)),INDEX('Tarieven W&amp;O'!$H:$H,$AI110)),0)*R110</f>
        <v>350</v>
      </c>
      <c r="AK110" s="204">
        <f>IF(AI110&lt;&gt;"nvt",INDEX('Tarieven W&amp;O'!$I:$I,$AI110),0)*R110</f>
        <v>75</v>
      </c>
      <c r="AL110" s="524">
        <f>IF(AI110&lt;&gt;"nvt",-INDEX(Parameters!$B:$B,MATCH(AL$3,Parameters!$A:$A,0))*(AJ110+AK110),0)</f>
        <v>0</v>
      </c>
      <c r="AM110" s="525"/>
      <c r="AN110" s="139">
        <f t="shared" si="217"/>
        <v>425</v>
      </c>
      <c r="AO110" s="205">
        <f>AN110/INDEX(Parameters!$B:$B,MATCH("AfschrijftermijnVVE"&amp;12*$C110,Parameters!$A:$A,0))</f>
        <v>11.805555555555555</v>
      </c>
      <c r="AP110" s="139">
        <f t="shared" si="218"/>
        <v>10</v>
      </c>
      <c r="AQ110" s="526">
        <f>IF(AP110&lt;&gt;"nvt",R110*INDEX('Tarieven W&amp;O'!$G:$G,$AP110),0)</f>
        <v>60.97</v>
      </c>
      <c r="AR110" s="524">
        <f>-INDEX(Parameters!$B:$B,MATCH(AR$3,Parameters!$A:$A,0))*(AQ110)</f>
        <v>0</v>
      </c>
      <c r="AS110" s="205">
        <f>IF(E110="straal access",'EDC Minus'!$H$192,IF(Q110&lt;&gt;"nvt",Q110*S110*'EDC Minus'!$H$292/590,0))</f>
        <v>0</v>
      </c>
      <c r="AT110" s="139"/>
      <c r="AU110" s="150">
        <f t="shared" si="219"/>
        <v>60.97</v>
      </c>
      <c r="AV110" s="150">
        <f t="shared" si="220"/>
        <v>72.775555555555556</v>
      </c>
      <c r="AX110" s="526">
        <f>Parameters!$B$6*AV110</f>
        <v>0.7277555555555556</v>
      </c>
      <c r="AY110" s="150">
        <v>0</v>
      </c>
      <c r="AZ110" s="150"/>
      <c r="BA110" s="150">
        <f t="shared" si="221"/>
        <v>0.7277555555555556</v>
      </c>
      <c r="BC110" s="522">
        <f t="shared" si="186"/>
        <v>73.503311111111117</v>
      </c>
      <c r="BD110" s="175"/>
      <c r="BE110" s="527">
        <f t="shared" si="207"/>
        <v>954.27446666666674</v>
      </c>
      <c r="BF110" s="181">
        <f t="shared" si="208"/>
        <v>0.92848326486486488</v>
      </c>
      <c r="BG110" s="520" t="b">
        <f t="shared" si="222"/>
        <v>0</v>
      </c>
      <c r="BI110" s="528" t="s">
        <v>2181</v>
      </c>
      <c r="BK110" s="151">
        <f>VLOOKUP(J110,'Tarieven ZM'!$B$136:$I$235,8,0)</f>
        <v>0</v>
      </c>
      <c r="BL110" s="151" t="str">
        <f>IF(M110="EoK",N110&amp;"AdvancedNLS type 1/2/3",IF(E110&lt;&gt;"Straal Access",INDEX(Mapping!J:J,MATCH(E110&amp;G110,Mapping!B:B,0)),E110))</f>
        <v>Copper Standard Access 5Mbit/sAdvancedNLS type 1/2/3</v>
      </c>
      <c r="BM110" s="184">
        <f>INDEX('inkoop ULL tbv EVPN'!J:J,MATCH($BL110,'inkoop ULL tbv EVPN'!$H:$H,0))</f>
        <v>78.97</v>
      </c>
      <c r="BN110" s="180">
        <f>BM110/INDEX(Parameters!$B:$B,MATCH("AfschrijftermijnVVE"&amp;12*$C110,Parameters!$A:$A,0))</f>
        <v>2.1936111111111112</v>
      </c>
      <c r="BO110" s="184">
        <f>INDEX('inkoop ULL tbv EVPN'!I:I,MATCH($BL110,'inkoop ULL tbv EVPN'!$H:$H,0))</f>
        <v>14.7296035</v>
      </c>
      <c r="BP110" s="184">
        <f t="shared" si="188"/>
        <v>16.92321461111111</v>
      </c>
      <c r="BR110" s="180">
        <f>Parameters!$B$12*AG110</f>
        <v>102.77777777777779</v>
      </c>
      <c r="BS110" s="180">
        <f>SUM(Distributievergoedingen!$F$12,Distributievergoedingen!$I$12,Distributievergoedingen!$L$12,Distributievergoedingen!$O$12)*AF110+SUM(Distributievergoedingen!$O$12*AA110+Distributievergoedingen!$R$12+Distributievergoedingen!$U$12+Distributievergoedingen!$X$12)/(MAX(36,12*C110))</f>
        <v>112.77777777777777</v>
      </c>
      <c r="BT110" s="150"/>
      <c r="BU110" s="150">
        <f t="shared" si="189"/>
        <v>215.55555555555554</v>
      </c>
      <c r="BW110" s="522">
        <f t="shared" si="190"/>
        <v>232.47877016666666</v>
      </c>
      <c r="BY110" s="527">
        <f t="shared" si="191"/>
        <v>795.29900761111116</v>
      </c>
      <c r="BZ110" s="181">
        <f t="shared" si="192"/>
        <v>0.77380443983783787</v>
      </c>
      <c r="CA110" s="520" t="b">
        <f t="shared" si="193"/>
        <v>0</v>
      </c>
    </row>
    <row r="111" spans="1:79" s="151" customFormat="1">
      <c r="A111" s="151" t="str">
        <f t="shared" si="210"/>
        <v>3EoKStandard Access koper 10mbMiddelOn-net (NLS1, 2)</v>
      </c>
      <c r="B111" s="151" t="str">
        <f t="shared" si="211"/>
        <v>3EoKStandard Access koper 10mbMiddelOn-net (NLS1, 2)</v>
      </c>
      <c r="C111" s="178">
        <v>3</v>
      </c>
      <c r="D111" s="415" t="s">
        <v>303</v>
      </c>
      <c r="E111" s="178" t="s">
        <v>277</v>
      </c>
      <c r="F111" s="107" t="s">
        <v>280</v>
      </c>
      <c r="G111" s="178" t="s">
        <v>281</v>
      </c>
      <c r="I111" s="178"/>
      <c r="J111" s="520" t="str">
        <f t="shared" si="194"/>
        <v>EoKStandard Access koper 10mbMiddelOn-net (NLS1, 2)</v>
      </c>
      <c r="L111" s="204">
        <f>INDEX(Mapping!$H:$H,MATCH(C$3&amp;C111,Mapping!$B:$B,0))</f>
        <v>1</v>
      </c>
      <c r="M111" s="204" t="str">
        <f>INDEX(Mapping!$H:$H,MATCH(D$3&amp;D111,Mapping!$B:$B,0))</f>
        <v>EoK</v>
      </c>
      <c r="N111" s="204" t="str">
        <f>INDEX(Mapping!$H:$H,MATCH(E$3&amp;E111,Mapping!$B:$B,0))</f>
        <v>Copper Standard Access 10Mbit/s</v>
      </c>
      <c r="O111" s="204" t="str">
        <f>INDEX(Mapping!$H:$H,MATCH(E111&amp;F111,Mapping!$B:$B,0))</f>
        <v/>
      </c>
      <c r="P111" s="204" t="str">
        <f>INDEX(Mapping!$H:$H,MATCH($E111&amp;$G111,Mapping!$B:$B,0))</f>
        <v>On-net (NLS1, 2)</v>
      </c>
      <c r="Q111" s="204">
        <f>INDEX(Mapping!$H:$H,MATCH($E111&amp;$G111&amp;"graafafstand",Mapping!$B:$B,0))</f>
        <v>0</v>
      </c>
      <c r="R111" s="204">
        <f>INDEX(Mapping!$H:$H,MATCH(R$3&amp;$E111,Mapping!$B:$B,0))</f>
        <v>1</v>
      </c>
      <c r="S111" s="204">
        <f>INDEX(Mapping!$H:$H,MATCH(S$3&amp;$E111,Mapping!$B:$B,0))</f>
        <v>1</v>
      </c>
      <c r="T111" s="139" t="str">
        <f t="shared" si="212"/>
        <v>Copper Standard Access 10Mbit/sOn-net (NLS1, 2)</v>
      </c>
      <c r="U111" s="151" t="str">
        <f t="shared" si="213"/>
        <v>Copper Standard Access 10Mbit/sOn-net (NLS1, 2)</v>
      </c>
      <c r="W111" s="521">
        <f>MATCH($J111,'Tarieven ZM'!$B:$B,0)</f>
        <v>156</v>
      </c>
      <c r="X111" s="204">
        <f>INDEX('Tarieven ZM'!$H:$H,$W111)</f>
        <v>1000</v>
      </c>
      <c r="Y111" s="198">
        <f>IF(E111="Standard Access in ZG BT gebieden",0,-INDEX(Parameters!$B:$B,MATCH(Y$3&amp;$C111,Parameters!$A:$A,0))*$X111)</f>
        <v>0</v>
      </c>
      <c r="Z111" s="198">
        <f>IF(E111="Standard Access in ZG BT gebieden",0,MAX(-INDEX(Parameters!$B:$B,MATCH(Z$3&amp;$C111,Parameters!$A:$A,0))*$X111,-INDEX(Parameters!$B:$B,MATCH("FactorMaxSalesMandaat"&amp;E111,Parameters!$A:$A,0))*INDEX(Parameters!$B:$B,MATCH("MaxSalesMandaatAccessVVE"&amp;$C111,Parameters!$A:$A,0))))</f>
        <v>0</v>
      </c>
      <c r="AA111" s="139">
        <f t="shared" si="214"/>
        <v>1000</v>
      </c>
      <c r="AB111" s="205">
        <f>AA111/INDEX(Parameters!$B:$B,MATCH("AfschrijftermijnVVE"&amp;12*$C111,Parameters!$A:$A,0))</f>
        <v>27.777777777777779</v>
      </c>
      <c r="AC111" s="204">
        <f>INDEX('Tarieven ZM'!$G:$G,$W111)</f>
        <v>1000</v>
      </c>
      <c r="AD111" s="198">
        <f>IF(E111="Standard Access in ZG BT gebieden",0,-INDEX(Parameters!$B:$B,MATCH(AD$3&amp;$C111,Parameters!$A:$A,0))*$AC111)</f>
        <v>0</v>
      </c>
      <c r="AE111" s="198">
        <f>IF(E111="Standard Access in ZG BT gebieden",0,-INDEX(Parameters!$B:$B,MATCH(AE$3,Parameters!$A:$A,0))*$AC111)</f>
        <v>0</v>
      </c>
      <c r="AF111" s="139">
        <f t="shared" si="215"/>
        <v>1000</v>
      </c>
      <c r="AG111" s="522">
        <f t="shared" si="216"/>
        <v>1027.7777777777778</v>
      </c>
      <c r="AH111" s="175"/>
      <c r="AI111" s="523">
        <f>IF(N111&lt;&gt;"nvt",MATCH($T111,'Tarieven W&amp;O'!$B:$B,0),"nvt")</f>
        <v>11</v>
      </c>
      <c r="AJ111" s="205">
        <f>IF(AI111&lt;&gt;"nvt",IF($D111="EoK",INDEX(Parameters!C:C,MATCH("NLSx EoK",Parameters!A:A,0)),INDEX('Tarieven W&amp;O'!$H:$H,$AI111)),0)*R111</f>
        <v>350</v>
      </c>
      <c r="AK111" s="204">
        <f>IF(AI111&lt;&gt;"nvt",INDEX('Tarieven W&amp;O'!$I:$I,$AI111),0)*R111</f>
        <v>75</v>
      </c>
      <c r="AL111" s="524">
        <f>IF(AI111&lt;&gt;"nvt",-INDEX(Parameters!$B:$B,MATCH(AL$3,Parameters!$A:$A,0))*(AJ111+AK111),0)</f>
        <v>0</v>
      </c>
      <c r="AM111" s="525"/>
      <c r="AN111" s="139">
        <f t="shared" si="217"/>
        <v>425</v>
      </c>
      <c r="AO111" s="205">
        <f>AN111/INDEX(Parameters!$B:$B,MATCH("AfschrijftermijnVVE"&amp;12*$C111,Parameters!$A:$A,0))</f>
        <v>11.805555555555555</v>
      </c>
      <c r="AP111" s="139">
        <f t="shared" si="218"/>
        <v>11</v>
      </c>
      <c r="AQ111" s="526">
        <f>IF(AP111&lt;&gt;"nvt",R111*INDEX('Tarieven W&amp;O'!$G:$G,$AP111),0)</f>
        <v>83.59</v>
      </c>
      <c r="AR111" s="524">
        <f>-INDEX(Parameters!$B:$B,MATCH(AR$3,Parameters!$A:$A,0))*(AQ111)</f>
        <v>0</v>
      </c>
      <c r="AS111" s="205">
        <f>IF(E111="straal access",'EDC Minus'!$H$192,IF(Q111&lt;&gt;"nvt",Q111*S111*'EDC Minus'!$H$292/590,0))</f>
        <v>0</v>
      </c>
      <c r="AT111" s="139"/>
      <c r="AU111" s="150">
        <f t="shared" si="219"/>
        <v>83.59</v>
      </c>
      <c r="AV111" s="150">
        <f t="shared" si="220"/>
        <v>95.395555555555561</v>
      </c>
      <c r="AX111" s="526">
        <f>Parameters!$B$6*AV111</f>
        <v>0.95395555555555567</v>
      </c>
      <c r="AY111" s="150">
        <v>0</v>
      </c>
      <c r="AZ111" s="150"/>
      <c r="BA111" s="150">
        <f t="shared" si="221"/>
        <v>0.95395555555555567</v>
      </c>
      <c r="BC111" s="522">
        <f t="shared" si="186"/>
        <v>96.349511111111113</v>
      </c>
      <c r="BD111" s="175"/>
      <c r="BE111" s="527">
        <f t="shared" si="207"/>
        <v>931.42826666666667</v>
      </c>
      <c r="BF111" s="181">
        <f t="shared" si="208"/>
        <v>0.90625452972972964</v>
      </c>
      <c r="BG111" s="520" t="b">
        <f t="shared" si="222"/>
        <v>0</v>
      </c>
      <c r="BI111" s="528" t="s">
        <v>2181</v>
      </c>
      <c r="BK111" s="151">
        <f>VLOOKUP(J111,'Tarieven ZM'!$B$136:$I$235,8,0)</f>
        <v>0</v>
      </c>
      <c r="BL111" s="151" t="str">
        <f>IF(M111="EoK",N111&amp;"AdvancedNLS type 1/2/3",IF(E111&lt;&gt;"Straal Access",INDEX(Mapping!J:J,MATCH(E111&amp;G111,Mapping!B:B,0)),E111))</f>
        <v>Copper Standard Access 10Mbit/sAdvancedNLS type 1/2/3</v>
      </c>
      <c r="BM111" s="184">
        <f>INDEX('inkoop ULL tbv EVPN'!J:J,MATCH($BL111,'inkoop ULL tbv EVPN'!$H:$H,0))</f>
        <v>78.97</v>
      </c>
      <c r="BN111" s="180">
        <f>BM111/INDEX(Parameters!$B:$B,MATCH("AfschrijftermijnVVE"&amp;12*$C111,Parameters!$A:$A,0))</f>
        <v>2.1936111111111112</v>
      </c>
      <c r="BO111" s="184">
        <f>INDEX('inkoop ULL tbv EVPN'!I:I,MATCH($BL111,'inkoop ULL tbv EVPN'!$H:$H,0))</f>
        <v>14.7296035</v>
      </c>
      <c r="BP111" s="184">
        <f t="shared" si="188"/>
        <v>16.92321461111111</v>
      </c>
      <c r="BR111" s="180">
        <f>Parameters!$B$12*AG111</f>
        <v>102.77777777777779</v>
      </c>
      <c r="BS111" s="180">
        <f>SUM(Distributievergoedingen!$F$12,Distributievergoedingen!$I$12,Distributievergoedingen!$L$12,Distributievergoedingen!$O$12)*AF111+SUM(Distributievergoedingen!$O$12*AA111+Distributievergoedingen!$R$12+Distributievergoedingen!$U$12+Distributievergoedingen!$X$12)/(MAX(36,12*C111))</f>
        <v>112.77777777777777</v>
      </c>
      <c r="BT111" s="150"/>
      <c r="BU111" s="150">
        <f t="shared" si="189"/>
        <v>215.55555555555554</v>
      </c>
      <c r="BW111" s="522">
        <f t="shared" si="190"/>
        <v>232.47877016666666</v>
      </c>
      <c r="BY111" s="527">
        <f t="shared" si="191"/>
        <v>795.29900761111116</v>
      </c>
      <c r="BZ111" s="181">
        <f t="shared" si="192"/>
        <v>0.77380443983783787</v>
      </c>
      <c r="CA111" s="520" t="b">
        <f t="shared" si="193"/>
        <v>0</v>
      </c>
    </row>
    <row r="112" spans="1:79" s="151" customFormat="1">
      <c r="A112" s="151" t="str">
        <f t="shared" si="210"/>
        <v>3EoKStandard Access koper 15mbMiddelOn-net (NLS1, 2)</v>
      </c>
      <c r="B112" s="151" t="str">
        <f t="shared" si="211"/>
        <v>3EoKStandard Access koper 15mbMiddelOn-net (NLS1, 2)</v>
      </c>
      <c r="C112" s="178">
        <v>3</v>
      </c>
      <c r="D112" s="415" t="s">
        <v>303</v>
      </c>
      <c r="E112" s="178" t="s">
        <v>278</v>
      </c>
      <c r="F112" s="107" t="s">
        <v>280</v>
      </c>
      <c r="G112" s="178" t="s">
        <v>281</v>
      </c>
      <c r="I112" s="178"/>
      <c r="J112" s="520" t="str">
        <f t="shared" si="194"/>
        <v>EoKStandard Access koper 15mbMiddelOn-net (NLS1, 2)</v>
      </c>
      <c r="L112" s="204">
        <f>INDEX(Mapping!$H:$H,MATCH(C$3&amp;C112,Mapping!$B:$B,0))</f>
        <v>1</v>
      </c>
      <c r="M112" s="204" t="str">
        <f>INDEX(Mapping!$H:$H,MATCH(D$3&amp;D112,Mapping!$B:$B,0))</f>
        <v>EoK</v>
      </c>
      <c r="N112" s="204" t="str">
        <f>INDEX(Mapping!$H:$H,MATCH(E$3&amp;E112,Mapping!$B:$B,0))</f>
        <v>Copper Standard Access 15Mbit/s</v>
      </c>
      <c r="O112" s="204" t="str">
        <f>INDEX(Mapping!$H:$H,MATCH(E112&amp;F112,Mapping!$B:$B,0))</f>
        <v/>
      </c>
      <c r="P112" s="204" t="str">
        <f>INDEX(Mapping!$H:$H,MATCH($E112&amp;$G112,Mapping!$B:$B,0))</f>
        <v>On-net (NLS1, 2)</v>
      </c>
      <c r="Q112" s="204">
        <f>INDEX(Mapping!$H:$H,MATCH($E112&amp;$G112&amp;"graafafstand",Mapping!$B:$B,0))</f>
        <v>0</v>
      </c>
      <c r="R112" s="204">
        <f>INDEX(Mapping!$H:$H,MATCH(R$3&amp;$E112,Mapping!$B:$B,0))</f>
        <v>1</v>
      </c>
      <c r="S112" s="204">
        <f>INDEX(Mapping!$H:$H,MATCH(S$3&amp;$E112,Mapping!$B:$B,0))</f>
        <v>1</v>
      </c>
      <c r="T112" s="139" t="str">
        <f t="shared" si="212"/>
        <v>Copper Standard Access 15Mbit/sOn-net (NLS1, 2)</v>
      </c>
      <c r="U112" s="151" t="str">
        <f t="shared" si="213"/>
        <v>Copper Standard Access 15Mbit/sOn-net (NLS1, 2)</v>
      </c>
      <c r="W112" s="521">
        <f>MATCH($J112,'Tarieven ZM'!$B:$B,0)</f>
        <v>157</v>
      </c>
      <c r="X112" s="204">
        <f>INDEX('Tarieven ZM'!$H:$H,$W112)</f>
        <v>1000</v>
      </c>
      <c r="Y112" s="198">
        <f>IF(E112="Standard Access in ZG BT gebieden",0,-INDEX(Parameters!$B:$B,MATCH(Y$3&amp;$C112,Parameters!$A:$A,0))*$X112)</f>
        <v>0</v>
      </c>
      <c r="Z112" s="198">
        <f>IF(E112="Standard Access in ZG BT gebieden",0,MAX(-INDEX(Parameters!$B:$B,MATCH(Z$3&amp;$C112,Parameters!$A:$A,0))*$X112,-INDEX(Parameters!$B:$B,MATCH("FactorMaxSalesMandaat"&amp;E112,Parameters!$A:$A,0))*INDEX(Parameters!$B:$B,MATCH("MaxSalesMandaatAccessVVE"&amp;$C112,Parameters!$A:$A,0))))</f>
        <v>0</v>
      </c>
      <c r="AA112" s="139">
        <f t="shared" si="214"/>
        <v>1000</v>
      </c>
      <c r="AB112" s="205">
        <f>AA112/INDEX(Parameters!$B:$B,MATCH("AfschrijftermijnVVE"&amp;12*$C112,Parameters!$A:$A,0))</f>
        <v>27.777777777777779</v>
      </c>
      <c r="AC112" s="204">
        <f>INDEX('Tarieven ZM'!$G:$G,$W112)</f>
        <v>1000</v>
      </c>
      <c r="AD112" s="198">
        <f>IF(E112="Standard Access in ZG BT gebieden",0,-INDEX(Parameters!$B:$B,MATCH(AD$3&amp;$C112,Parameters!$A:$A,0))*$AC112)</f>
        <v>0</v>
      </c>
      <c r="AE112" s="198">
        <f>IF(E112="Standard Access in ZG BT gebieden",0,-INDEX(Parameters!$B:$B,MATCH(AE$3,Parameters!$A:$A,0))*$AC112)</f>
        <v>0</v>
      </c>
      <c r="AF112" s="139">
        <f t="shared" si="215"/>
        <v>1000</v>
      </c>
      <c r="AG112" s="522">
        <f t="shared" si="216"/>
        <v>1027.7777777777778</v>
      </c>
      <c r="AH112" s="175"/>
      <c r="AI112" s="523">
        <f>IF(N112&lt;&gt;"nvt",MATCH($T112,'Tarieven W&amp;O'!$B:$B,0),"nvt")</f>
        <v>12</v>
      </c>
      <c r="AJ112" s="205">
        <f>IF(AI112&lt;&gt;"nvt",IF($D112="EoK",INDEX(Parameters!C:C,MATCH("NLSx EoK",Parameters!A:A,0)),INDEX('Tarieven W&amp;O'!$H:$H,$AI112)),0)*R112</f>
        <v>350</v>
      </c>
      <c r="AK112" s="204">
        <f>IF(AI112&lt;&gt;"nvt",INDEX('Tarieven W&amp;O'!$I:$I,$AI112),0)*R112</f>
        <v>75</v>
      </c>
      <c r="AL112" s="524">
        <f>IF(AI112&lt;&gt;"nvt",-INDEX(Parameters!$B:$B,MATCH(AL$3,Parameters!$A:$A,0))*(AJ112+AK112),0)</f>
        <v>0</v>
      </c>
      <c r="AM112" s="525"/>
      <c r="AN112" s="139">
        <f t="shared" si="217"/>
        <v>425</v>
      </c>
      <c r="AO112" s="205">
        <f>AN112/INDEX(Parameters!$B:$B,MATCH("AfschrijftermijnVVE"&amp;12*$C112,Parameters!$A:$A,0))</f>
        <v>11.805555555555555</v>
      </c>
      <c r="AP112" s="139">
        <f t="shared" si="218"/>
        <v>12</v>
      </c>
      <c r="AQ112" s="526">
        <f>IF(AP112&lt;&gt;"nvt",R112*INDEX('Tarieven W&amp;O'!$G:$G,$AP112),0)</f>
        <v>102.44</v>
      </c>
      <c r="AR112" s="524">
        <f>-INDEX(Parameters!$B:$B,MATCH(AR$3,Parameters!$A:$A,0))*(AQ112)</f>
        <v>0</v>
      </c>
      <c r="AS112" s="205">
        <f>IF(E112="straal access",'EDC Minus'!$H$192,IF(Q112&lt;&gt;"nvt",Q112*S112*'EDC Minus'!$H$292/590,0))</f>
        <v>0</v>
      </c>
      <c r="AT112" s="139"/>
      <c r="AU112" s="150">
        <f t="shared" si="219"/>
        <v>102.44</v>
      </c>
      <c r="AV112" s="150">
        <f t="shared" si="220"/>
        <v>114.24555555555555</v>
      </c>
      <c r="AX112" s="526">
        <f>Parameters!$B$6*AV112</f>
        <v>1.1424555555555556</v>
      </c>
      <c r="AY112" s="150">
        <v>0</v>
      </c>
      <c r="AZ112" s="150"/>
      <c r="BA112" s="150">
        <f t="shared" si="221"/>
        <v>1.1424555555555556</v>
      </c>
      <c r="BC112" s="522">
        <f t="shared" si="186"/>
        <v>115.38801111111111</v>
      </c>
      <c r="BD112" s="175"/>
      <c r="BE112" s="527">
        <f t="shared" si="207"/>
        <v>912.38976666666667</v>
      </c>
      <c r="BF112" s="181">
        <f t="shared" si="208"/>
        <v>0.88773058378378378</v>
      </c>
      <c r="BG112" s="520" t="b">
        <f t="shared" si="222"/>
        <v>0</v>
      </c>
      <c r="BI112" s="528" t="s">
        <v>2181</v>
      </c>
      <c r="BK112" s="151">
        <f>VLOOKUP(J112,'Tarieven ZM'!$B$136:$I$235,8,0)</f>
        <v>0</v>
      </c>
      <c r="BL112" s="151" t="str">
        <f>IF(M112="EoK",N112&amp;"AdvancedNLS type 1/2/3",IF(E112&lt;&gt;"Straal Access",INDEX(Mapping!J:J,MATCH(E112&amp;G112,Mapping!B:B,0)),E112))</f>
        <v>Copper Standard Access 15Mbit/sAdvancedNLS type 1/2/3</v>
      </c>
      <c r="BM112" s="184">
        <f>INDEX('inkoop ULL tbv EVPN'!J:J,MATCH($BL112,'inkoop ULL tbv EVPN'!$H:$H,0))</f>
        <v>78.97</v>
      </c>
      <c r="BN112" s="180">
        <f>BM112/INDEX(Parameters!$B:$B,MATCH("AfschrijftermijnVVE"&amp;12*$C112,Parameters!$A:$A,0))</f>
        <v>2.1936111111111112</v>
      </c>
      <c r="BO112" s="184">
        <f>INDEX('inkoop ULL tbv EVPN'!I:I,MATCH($BL112,'inkoop ULL tbv EVPN'!$H:$H,0))</f>
        <v>14.7296035</v>
      </c>
      <c r="BP112" s="184">
        <f t="shared" si="188"/>
        <v>16.92321461111111</v>
      </c>
      <c r="BR112" s="180">
        <f>Parameters!$B$12*AG112</f>
        <v>102.77777777777779</v>
      </c>
      <c r="BS112" s="180">
        <f>SUM(Distributievergoedingen!$F$12,Distributievergoedingen!$I$12,Distributievergoedingen!$L$12,Distributievergoedingen!$O$12)*AF112+SUM(Distributievergoedingen!$O$12*AA112+Distributievergoedingen!$R$12+Distributievergoedingen!$U$12+Distributievergoedingen!$X$12)/(MAX(36,12*C112))</f>
        <v>112.77777777777777</v>
      </c>
      <c r="BT112" s="150"/>
      <c r="BU112" s="150">
        <f t="shared" si="189"/>
        <v>215.55555555555554</v>
      </c>
      <c r="BW112" s="522">
        <f t="shared" si="190"/>
        <v>232.47877016666666</v>
      </c>
      <c r="BY112" s="527">
        <f t="shared" si="191"/>
        <v>795.29900761111116</v>
      </c>
      <c r="BZ112" s="181">
        <f t="shared" si="192"/>
        <v>0.77380443983783787</v>
      </c>
      <c r="CA112" s="520" t="b">
        <f t="shared" si="193"/>
        <v>0</v>
      </c>
    </row>
    <row r="113" spans="1:79" s="151" customFormat="1">
      <c r="A113" s="151" t="str">
        <f t="shared" si="210"/>
        <v>3EoKStandard Access koper 20mbMiddelOn-net (NLS1, 2)</v>
      </c>
      <c r="B113" s="151" t="str">
        <f t="shared" si="211"/>
        <v>3EoKStandard Access koper 20mbMiddelOn-net (NLS1, 2)</v>
      </c>
      <c r="C113" s="178">
        <v>3</v>
      </c>
      <c r="D113" s="415" t="s">
        <v>303</v>
      </c>
      <c r="E113" s="178" t="s">
        <v>279</v>
      </c>
      <c r="F113" s="107" t="s">
        <v>280</v>
      </c>
      <c r="G113" s="178" t="s">
        <v>281</v>
      </c>
      <c r="I113" s="178"/>
      <c r="J113" s="520" t="str">
        <f t="shared" si="194"/>
        <v>EoKStandard Access koper 20mbMiddelOn-net (NLS1, 2)</v>
      </c>
      <c r="L113" s="204">
        <f>INDEX(Mapping!$H:$H,MATCH(C$3&amp;C113,Mapping!$B:$B,0))</f>
        <v>1</v>
      </c>
      <c r="M113" s="204" t="str">
        <f>INDEX(Mapping!$H:$H,MATCH(D$3&amp;D113,Mapping!$B:$B,0))</f>
        <v>EoK</v>
      </c>
      <c r="N113" s="204" t="str">
        <f>INDEX(Mapping!$H:$H,MATCH(E$3&amp;E113,Mapping!$B:$B,0))</f>
        <v>Copper Standard Access 20Mbit/s</v>
      </c>
      <c r="O113" s="204" t="str">
        <f>INDEX(Mapping!$H:$H,MATCH(E113&amp;F113,Mapping!$B:$B,0))</f>
        <v/>
      </c>
      <c r="P113" s="204" t="str">
        <f>INDEX(Mapping!$H:$H,MATCH($E113&amp;$G113,Mapping!$B:$B,0))</f>
        <v>On-net (NLS1, 2)</v>
      </c>
      <c r="Q113" s="204">
        <f>INDEX(Mapping!$H:$H,MATCH($E113&amp;$G113&amp;"graafafstand",Mapping!$B:$B,0))</f>
        <v>0</v>
      </c>
      <c r="R113" s="204">
        <f>INDEX(Mapping!$H:$H,MATCH(R$3&amp;$E113,Mapping!$B:$B,0))</f>
        <v>1</v>
      </c>
      <c r="S113" s="204">
        <f>INDEX(Mapping!$H:$H,MATCH(S$3&amp;$E113,Mapping!$B:$B,0))</f>
        <v>1</v>
      </c>
      <c r="T113" s="139" t="str">
        <f t="shared" si="212"/>
        <v>Copper Standard Access 20Mbit/sOn-net (NLS1, 2)</v>
      </c>
      <c r="U113" s="151" t="str">
        <f t="shared" si="213"/>
        <v>Copper Standard Access 20Mbit/sOn-net (NLS1, 2)</v>
      </c>
      <c r="W113" s="521">
        <f>MATCH($J113,'Tarieven ZM'!$B:$B,0)</f>
        <v>158</v>
      </c>
      <c r="X113" s="204">
        <f>INDEX('Tarieven ZM'!$H:$H,$W113)</f>
        <v>1000</v>
      </c>
      <c r="Y113" s="198">
        <f>IF(E113="Standard Access in ZG BT gebieden",0,-INDEX(Parameters!$B:$B,MATCH(Y$3&amp;$C113,Parameters!$A:$A,0))*$X113)</f>
        <v>0</v>
      </c>
      <c r="Z113" s="198">
        <f>IF(E113="Standard Access in ZG BT gebieden",0,MAX(-INDEX(Parameters!$B:$B,MATCH(Z$3&amp;$C113,Parameters!$A:$A,0))*$X113,-INDEX(Parameters!$B:$B,MATCH("FactorMaxSalesMandaat"&amp;E113,Parameters!$A:$A,0))*INDEX(Parameters!$B:$B,MATCH("MaxSalesMandaatAccessVVE"&amp;$C113,Parameters!$A:$A,0))))</f>
        <v>0</v>
      </c>
      <c r="AA113" s="139">
        <f t="shared" si="214"/>
        <v>1000</v>
      </c>
      <c r="AB113" s="205">
        <f>AA113/INDEX(Parameters!$B:$B,MATCH("AfschrijftermijnVVE"&amp;12*$C113,Parameters!$A:$A,0))</f>
        <v>27.777777777777779</v>
      </c>
      <c r="AC113" s="204">
        <f>INDEX('Tarieven ZM'!$G:$G,$W113)</f>
        <v>1000</v>
      </c>
      <c r="AD113" s="198">
        <f>IF(E113="Standard Access in ZG BT gebieden",0,-INDEX(Parameters!$B:$B,MATCH(AD$3&amp;$C113,Parameters!$A:$A,0))*$AC113)</f>
        <v>0</v>
      </c>
      <c r="AE113" s="198">
        <f>IF(E113="Standard Access in ZG BT gebieden",0,-INDEX(Parameters!$B:$B,MATCH(AE$3,Parameters!$A:$A,0))*$AC113)</f>
        <v>0</v>
      </c>
      <c r="AF113" s="139">
        <f t="shared" si="215"/>
        <v>1000</v>
      </c>
      <c r="AG113" s="522">
        <f t="shared" si="216"/>
        <v>1027.7777777777778</v>
      </c>
      <c r="AH113" s="175"/>
      <c r="AI113" s="523">
        <f>IF(N113&lt;&gt;"nvt",MATCH($T113,'Tarieven W&amp;O'!$B:$B,0),"nvt")</f>
        <v>13</v>
      </c>
      <c r="AJ113" s="205">
        <f>IF(AI113&lt;&gt;"nvt",IF($D113="EoK",INDEX(Parameters!C:C,MATCH("NLSx EoK",Parameters!A:A,0)),INDEX('Tarieven W&amp;O'!$H:$H,$AI113)),0)*R113</f>
        <v>350</v>
      </c>
      <c r="AK113" s="204">
        <f>IF(AI113&lt;&gt;"nvt",INDEX('Tarieven W&amp;O'!$I:$I,$AI113),0)*R113</f>
        <v>75</v>
      </c>
      <c r="AL113" s="524">
        <f>IF(AI113&lt;&gt;"nvt",-INDEX(Parameters!$B:$B,MATCH(AL$3,Parameters!$A:$A,0))*(AJ113+AK113),0)</f>
        <v>0</v>
      </c>
      <c r="AM113" s="525"/>
      <c r="AN113" s="139">
        <f t="shared" si="217"/>
        <v>425</v>
      </c>
      <c r="AO113" s="205">
        <f>AN113/INDEX(Parameters!$B:$B,MATCH("AfschrijftermijnVVE"&amp;12*$C113,Parameters!$A:$A,0))</f>
        <v>11.805555555555555</v>
      </c>
      <c r="AP113" s="139">
        <f t="shared" si="218"/>
        <v>13</v>
      </c>
      <c r="AQ113" s="526">
        <f>IF(AP113&lt;&gt;"nvt",R113*INDEX('Tarieven W&amp;O'!$G:$G,$AP113),0)</f>
        <v>121.28</v>
      </c>
      <c r="AR113" s="524">
        <f>-INDEX(Parameters!$B:$B,MATCH(AR$3,Parameters!$A:$A,0))*(AQ113)</f>
        <v>0</v>
      </c>
      <c r="AS113" s="205">
        <f>IF(E113="straal access",'EDC Minus'!$H$192,IF(Q113&lt;&gt;"nvt",Q113*S113*'EDC Minus'!$H$292/590,0))</f>
        <v>0</v>
      </c>
      <c r="AT113" s="139"/>
      <c r="AU113" s="150">
        <f t="shared" si="219"/>
        <v>121.28</v>
      </c>
      <c r="AV113" s="150">
        <f t="shared" si="220"/>
        <v>133.08555555555554</v>
      </c>
      <c r="AX113" s="526">
        <f>Parameters!$B$6*AV113</f>
        <v>1.3308555555555555</v>
      </c>
      <c r="AY113" s="150">
        <v>0</v>
      </c>
      <c r="AZ113" s="150"/>
      <c r="BA113" s="150">
        <f t="shared" si="221"/>
        <v>1.3308555555555555</v>
      </c>
      <c r="BC113" s="522">
        <f t="shared" si="186"/>
        <v>134.4164111111111</v>
      </c>
      <c r="BD113" s="175"/>
      <c r="BE113" s="527">
        <f t="shared" si="207"/>
        <v>893.36136666666675</v>
      </c>
      <c r="BF113" s="181">
        <f t="shared" si="208"/>
        <v>0.86921646486486492</v>
      </c>
      <c r="BG113" s="520" t="b">
        <f t="shared" si="222"/>
        <v>0</v>
      </c>
      <c r="BI113" s="528" t="s">
        <v>2181</v>
      </c>
      <c r="BK113" s="151">
        <f>VLOOKUP(J113,'Tarieven ZM'!$B$136:$I$235,8,0)</f>
        <v>0</v>
      </c>
      <c r="BL113" s="151" t="str">
        <f>IF(M113="EoK",N113&amp;"AdvancedNLS type 1/2/3",IF(E113&lt;&gt;"Straal Access",INDEX(Mapping!J:J,MATCH(E113&amp;G113,Mapping!B:B,0)),E113))</f>
        <v>Copper Standard Access 20Mbit/sAdvancedNLS type 1/2/3</v>
      </c>
      <c r="BM113" s="184">
        <f>INDEX('inkoop ULL tbv EVPN'!J:J,MATCH($BL113,'inkoop ULL tbv EVPN'!$H:$H,0))</f>
        <v>78.97</v>
      </c>
      <c r="BN113" s="180">
        <f>BM113/INDEX(Parameters!$B:$B,MATCH("AfschrijftermijnVVE"&amp;12*$C113,Parameters!$A:$A,0))</f>
        <v>2.1936111111111112</v>
      </c>
      <c r="BO113" s="184">
        <f>INDEX('inkoop ULL tbv EVPN'!I:I,MATCH($BL113,'inkoop ULL tbv EVPN'!$H:$H,0))</f>
        <v>14.7296035</v>
      </c>
      <c r="BP113" s="184">
        <f t="shared" si="188"/>
        <v>16.92321461111111</v>
      </c>
      <c r="BR113" s="180">
        <f>Parameters!$B$12*AG113</f>
        <v>102.77777777777779</v>
      </c>
      <c r="BS113" s="180">
        <f>SUM(Distributievergoedingen!$F$12,Distributievergoedingen!$I$12,Distributievergoedingen!$L$12,Distributievergoedingen!$O$12)*AF113+SUM(Distributievergoedingen!$O$12*AA113+Distributievergoedingen!$R$12+Distributievergoedingen!$U$12+Distributievergoedingen!$X$12)/(MAX(36,12*C113))</f>
        <v>112.77777777777777</v>
      </c>
      <c r="BT113" s="150"/>
      <c r="BU113" s="150">
        <f t="shared" si="189"/>
        <v>215.55555555555554</v>
      </c>
      <c r="BW113" s="522">
        <f t="shared" si="190"/>
        <v>232.47877016666666</v>
      </c>
      <c r="BY113" s="527">
        <f t="shared" si="191"/>
        <v>795.29900761111116</v>
      </c>
      <c r="BZ113" s="181">
        <f t="shared" si="192"/>
        <v>0.77380443983783787</v>
      </c>
      <c r="CA113" s="520" t="b">
        <f t="shared" si="193"/>
        <v>0</v>
      </c>
    </row>
    <row r="114" spans="1:79" s="151" customFormat="1">
      <c r="A114" s="151" t="str">
        <f t="shared" ref="A114:A123" si="223">C114&amp;D114&amp;E114&amp;F114&amp;G114</f>
        <v>3EoKStandard Access koper 3mbMiddelOn-net (NLS3)</v>
      </c>
      <c r="B114" s="151" t="str">
        <f t="shared" ref="B114:B123" si="224">A114</f>
        <v>3EoKStandard Access koper 3mbMiddelOn-net (NLS3)</v>
      </c>
      <c r="C114" s="178">
        <v>3</v>
      </c>
      <c r="D114" s="415" t="s">
        <v>303</v>
      </c>
      <c r="E114" s="178" t="s">
        <v>268</v>
      </c>
      <c r="F114" s="107" t="s">
        <v>280</v>
      </c>
      <c r="G114" s="178" t="s">
        <v>3398</v>
      </c>
      <c r="I114" s="178"/>
      <c r="J114" s="520" t="str">
        <f t="shared" ref="J114:J133" si="225">D114&amp;E114&amp;F114&amp;G114</f>
        <v>EoKStandard Access koper 3mbMiddelOn-net (NLS3)</v>
      </c>
      <c r="L114" s="204">
        <f>INDEX(Mapping!$H:$H,MATCH(C$3&amp;C114,Mapping!$B:$B,0))</f>
        <v>1</v>
      </c>
      <c r="M114" s="204" t="str">
        <f>INDEX(Mapping!$H:$H,MATCH(D$3&amp;D114,Mapping!$B:$B,0))</f>
        <v>EoK</v>
      </c>
      <c r="N114" s="204" t="str">
        <f>INDEX(Mapping!$H:$H,MATCH(E$3&amp;E114,Mapping!$B:$B,0))</f>
        <v>Copper Standard Access 3Mbit/s</v>
      </c>
      <c r="O114" s="204" t="str">
        <f>INDEX(Mapping!$H:$H,MATCH(E114&amp;F114,Mapping!$B:$B,0))</f>
        <v/>
      </c>
      <c r="P114" s="204" t="str">
        <f>INDEX(Mapping!$H:$H,MATCH($E114&amp;$G114,Mapping!$B:$B,0))</f>
        <v>On-net (NLS3)</v>
      </c>
      <c r="Q114" s="204" t="str">
        <f>INDEX(Mapping!$H:$H,MATCH($E114&amp;$G114&amp;"graafafstand",Mapping!$B:$B,0))</f>
        <v>nvt</v>
      </c>
      <c r="R114" s="204">
        <f>INDEX(Mapping!$H:$H,MATCH(R$3&amp;$E114,Mapping!$B:$B,0))</f>
        <v>1</v>
      </c>
      <c r="S114" s="204">
        <f>INDEX(Mapping!$H:$H,MATCH(S$3&amp;$E114,Mapping!$B:$B,0))</f>
        <v>1</v>
      </c>
      <c r="T114" s="139" t="str">
        <f t="shared" ref="T114:T123" si="226">N114&amp;O114&amp;P114</f>
        <v>Copper Standard Access 3Mbit/sOn-net (NLS3)</v>
      </c>
      <c r="U114" s="151" t="str">
        <f t="shared" ref="U114:U123" si="227">T114</f>
        <v>Copper Standard Access 3Mbit/sOn-net (NLS3)</v>
      </c>
      <c r="W114" s="521">
        <f>MATCH($J114,'Tarieven ZM'!$B:$B,0)</f>
        <v>161</v>
      </c>
      <c r="X114" s="204">
        <f>INDEX('Tarieven ZM'!$H:$H,$W114)</f>
        <v>1000</v>
      </c>
      <c r="Y114" s="198">
        <f>IF(E114="Standard Access in ZG BT gebieden",0,-INDEX(Parameters!$B:$B,MATCH(Y$3&amp;$C114,Parameters!$A:$A,0))*$X114)</f>
        <v>0</v>
      </c>
      <c r="Z114" s="198">
        <f>IF(E114="Standard Access in ZG BT gebieden",0,MAX(-INDEX(Parameters!$B:$B,MATCH(Z$3&amp;$C114,Parameters!$A:$A,0))*$X114,-INDEX(Parameters!$B:$B,MATCH("FactorMaxSalesMandaat"&amp;E114,Parameters!$A:$A,0))*INDEX(Parameters!$B:$B,MATCH("MaxSalesMandaatAccessVVE"&amp;$C114,Parameters!$A:$A,0))))</f>
        <v>0</v>
      </c>
      <c r="AA114" s="139">
        <f t="shared" ref="AA114:AA123" si="228">SUM(X114:Z114)</f>
        <v>1000</v>
      </c>
      <c r="AB114" s="205">
        <f>AA114/INDEX(Parameters!$B:$B,MATCH("AfschrijftermijnVVE"&amp;12*$C114,Parameters!$A:$A,0))</f>
        <v>27.777777777777779</v>
      </c>
      <c r="AC114" s="204">
        <f>INDEX('Tarieven ZM'!$G:$G,$W114)</f>
        <v>1000</v>
      </c>
      <c r="AD114" s="198">
        <f>IF(E114="Standard Access in ZG BT gebieden",0,-INDEX(Parameters!$B:$B,MATCH(AD$3&amp;$C114,Parameters!$A:$A,0))*$AC114)</f>
        <v>0</v>
      </c>
      <c r="AE114" s="198">
        <f>IF(E114="Standard Access in ZG BT gebieden",0,-INDEX(Parameters!$B:$B,MATCH(AE$3,Parameters!$A:$A,0))*$AC114)</f>
        <v>0</v>
      </c>
      <c r="AF114" s="139">
        <f t="shared" ref="AF114:AF123" si="229">SUM(AC114:AE114)</f>
        <v>1000</v>
      </c>
      <c r="AG114" s="522">
        <f t="shared" ref="AG114:AG123" si="230">SUM(AB114,AF114)</f>
        <v>1027.7777777777778</v>
      </c>
      <c r="AH114" s="175"/>
      <c r="AI114" s="523">
        <f>IF(N114&lt;&gt;"nvt",MATCH($T114,'Tarieven W&amp;O'!$B:$B,0),"nvt")</f>
        <v>16</v>
      </c>
      <c r="AJ114" s="205">
        <f>IF(AI114&lt;&gt;"nvt",IF($D114="EoK",INDEX(Parameters!C:C,MATCH("NLSx EoK",Parameters!A:A,0)),INDEX('Tarieven W&amp;O'!$H:$H,$AI114)),0)*R114</f>
        <v>350</v>
      </c>
      <c r="AK114" s="204">
        <f>IF(AI114&lt;&gt;"nvt",INDEX('Tarieven W&amp;O'!$I:$I,$AI114),0)*R114</f>
        <v>75</v>
      </c>
      <c r="AL114" s="524">
        <f>IF(AI114&lt;&gt;"nvt",-INDEX(Parameters!$B:$B,MATCH(AL$3,Parameters!$A:$A,0))*(AJ114+AK114),0)</f>
        <v>0</v>
      </c>
      <c r="AM114" s="525"/>
      <c r="AN114" s="139">
        <f t="shared" ref="AN114:AN123" si="231">SUM(AJ114:AM114)</f>
        <v>425</v>
      </c>
      <c r="AO114" s="205">
        <f>AN114/INDEX(Parameters!$B:$B,MATCH("AfschrijftermijnVVE"&amp;12*$C114,Parameters!$A:$A,0))</f>
        <v>11.805555555555555</v>
      </c>
      <c r="AP114" s="139">
        <f t="shared" ref="AP114:AP123" si="232">AI114</f>
        <v>16</v>
      </c>
      <c r="AQ114" s="526">
        <f>IF(AP114&lt;&gt;"nvt",R114*INDEX('Tarieven W&amp;O'!$G:$G,$AP114),0)</f>
        <v>41.5</v>
      </c>
      <c r="AR114" s="524">
        <f>-INDEX(Parameters!$B:$B,MATCH(AR$3,Parameters!$A:$A,0))*(AQ114)</f>
        <v>0</v>
      </c>
      <c r="AS114" s="205">
        <f>IF(E114="straal access",'EDC Minus'!$H$192,IF(Q114&lt;&gt;"nvt",Q114*S114*'EDC Minus'!$H$292/590,0))</f>
        <v>0</v>
      </c>
      <c r="AT114" s="139"/>
      <c r="AU114" s="150">
        <f t="shared" ref="AU114:AU123" si="233">SUM(AQ114:AT114)</f>
        <v>41.5</v>
      </c>
      <c r="AV114" s="150">
        <f t="shared" ref="AV114:AV123" si="234">SUM(AO114,AU114)</f>
        <v>53.305555555555557</v>
      </c>
      <c r="AX114" s="526">
        <f>Parameters!$B$6*AV114</f>
        <v>0.53305555555555562</v>
      </c>
      <c r="AY114" s="150">
        <v>0</v>
      </c>
      <c r="AZ114" s="150"/>
      <c r="BA114" s="150">
        <f t="shared" ref="BA114:BA123" si="235">SUM(AX114:AZ114)</f>
        <v>0.53305555555555562</v>
      </c>
      <c r="BC114" s="522">
        <f t="shared" ref="BC114:BC128" si="236">SUM(AV114,BA114)</f>
        <v>53.838611111111113</v>
      </c>
      <c r="BD114" s="175"/>
      <c r="BE114" s="527">
        <f t="shared" si="207"/>
        <v>973.93916666666667</v>
      </c>
      <c r="BF114" s="181">
        <f t="shared" si="208"/>
        <v>0.94761648648648644</v>
      </c>
      <c r="BG114" s="520" t="b">
        <f t="shared" ref="BG114:BG123" si="237">BF114&lt;0</f>
        <v>0</v>
      </c>
      <c r="BI114" s="528" t="s">
        <v>2181</v>
      </c>
      <c r="BK114" s="151">
        <f>VLOOKUP(J114,'Tarieven ZM'!$B$136:$I$235,8,0)</f>
        <v>0</v>
      </c>
      <c r="BL114" s="151" t="str">
        <f>IF(M114="EoK",N114&amp;"AdvancedNLS type 1/2/3",IF(E114&lt;&gt;"Straal Access",INDEX(Mapping!J:J,MATCH(E114&amp;G114,Mapping!B:B,0)),E114))</f>
        <v>Copper Standard Access 3Mbit/sAdvancedNLS type 1/2/3</v>
      </c>
      <c r="BM114" s="184">
        <f>INDEX('inkoop ULL tbv EVPN'!J:J,MATCH($BL114,'inkoop ULL tbv EVPN'!$H:$H,0))</f>
        <v>78.97</v>
      </c>
      <c r="BN114" s="180">
        <f>BM114/INDEX(Parameters!$B:$B,MATCH("AfschrijftermijnVVE"&amp;12*$C114,Parameters!$A:$A,0))</f>
        <v>2.1936111111111112</v>
      </c>
      <c r="BO114" s="184">
        <f>INDEX('inkoop ULL tbv EVPN'!I:I,MATCH($BL114,'inkoop ULL tbv EVPN'!$H:$H,0))</f>
        <v>14.7296035</v>
      </c>
      <c r="BP114" s="184">
        <f t="shared" ref="BP114:BP128" si="238">BN114+BO114</f>
        <v>16.92321461111111</v>
      </c>
      <c r="BR114" s="180">
        <f>Parameters!$B$12*AG114</f>
        <v>102.77777777777779</v>
      </c>
      <c r="BS114" s="180">
        <f>SUM(Distributievergoedingen!$F$12,Distributievergoedingen!$I$12,Distributievergoedingen!$L$12,Distributievergoedingen!$O$12)*AF114+SUM(Distributievergoedingen!$O$12*AA114+Distributievergoedingen!$R$12+Distributievergoedingen!$U$12+Distributievergoedingen!$X$12)/(MAX(36,12*C114))</f>
        <v>112.77777777777777</v>
      </c>
      <c r="BT114" s="150"/>
      <c r="BU114" s="150">
        <f t="shared" ref="BU114:BU128" si="239">SUM(BR114:BT114)</f>
        <v>215.55555555555554</v>
      </c>
      <c r="BW114" s="522">
        <f t="shared" ref="BW114:BW128" si="240">SUM(BP114,BU114)</f>
        <v>232.47877016666666</v>
      </c>
      <c r="BY114" s="527">
        <f t="shared" ref="BY114:BY128" si="241">AG114-BW114</f>
        <v>795.29900761111116</v>
      </c>
      <c r="BZ114" s="181">
        <f t="shared" ref="BZ114:BZ128" si="242">IF(AG114=0,-999%,BY114/AG114)</f>
        <v>0.77380443983783787</v>
      </c>
      <c r="CA114" s="520" t="b">
        <f t="shared" ref="CA114:CA128" si="243">BZ114&lt;0</f>
        <v>0</v>
      </c>
    </row>
    <row r="115" spans="1:79" s="151" customFormat="1">
      <c r="A115" s="151" t="str">
        <f t="shared" si="223"/>
        <v>3EoKStandard Access koper 5mbMiddelOn-net (NLS3)</v>
      </c>
      <c r="B115" s="151" t="str">
        <f t="shared" si="224"/>
        <v>3EoKStandard Access koper 5mbMiddelOn-net (NLS3)</v>
      </c>
      <c r="C115" s="178">
        <v>3</v>
      </c>
      <c r="D115" s="415" t="s">
        <v>303</v>
      </c>
      <c r="E115" s="178" t="s">
        <v>276</v>
      </c>
      <c r="F115" s="107" t="s">
        <v>280</v>
      </c>
      <c r="G115" s="178" t="s">
        <v>3398</v>
      </c>
      <c r="I115" s="178"/>
      <c r="J115" s="520" t="str">
        <f t="shared" si="225"/>
        <v>EoKStandard Access koper 5mbMiddelOn-net (NLS3)</v>
      </c>
      <c r="L115" s="204">
        <f>INDEX(Mapping!$H:$H,MATCH(C$3&amp;C115,Mapping!$B:$B,0))</f>
        <v>1</v>
      </c>
      <c r="M115" s="204" t="str">
        <f>INDEX(Mapping!$H:$H,MATCH(D$3&amp;D115,Mapping!$B:$B,0))</f>
        <v>EoK</v>
      </c>
      <c r="N115" s="204" t="str">
        <f>INDEX(Mapping!$H:$H,MATCH(E$3&amp;E115,Mapping!$B:$B,0))</f>
        <v>Copper Standard Access 5Mbit/s</v>
      </c>
      <c r="O115" s="204" t="str">
        <f>INDEX(Mapping!$H:$H,MATCH(E115&amp;F115,Mapping!$B:$B,0))</f>
        <v/>
      </c>
      <c r="P115" s="204" t="str">
        <f>INDEX(Mapping!$H:$H,MATCH($E115&amp;$G115,Mapping!$B:$B,0))</f>
        <v>On-net (NLS3)</v>
      </c>
      <c r="Q115" s="204" t="str">
        <f>INDEX(Mapping!$H:$H,MATCH($E115&amp;$G115&amp;"graafafstand",Mapping!$B:$B,0))</f>
        <v>nvt</v>
      </c>
      <c r="R115" s="204">
        <f>INDEX(Mapping!$H:$H,MATCH(R$3&amp;$E115,Mapping!$B:$B,0))</f>
        <v>1</v>
      </c>
      <c r="S115" s="204">
        <f>INDEX(Mapping!$H:$H,MATCH(S$3&amp;$E115,Mapping!$B:$B,0))</f>
        <v>1</v>
      </c>
      <c r="T115" s="139" t="str">
        <f t="shared" si="226"/>
        <v>Copper Standard Access 5Mbit/sOn-net (NLS3)</v>
      </c>
      <c r="U115" s="151" t="str">
        <f t="shared" si="227"/>
        <v>Copper Standard Access 5Mbit/sOn-net (NLS3)</v>
      </c>
      <c r="W115" s="521">
        <f>MATCH($J115,'Tarieven ZM'!$B:$B,0)</f>
        <v>162</v>
      </c>
      <c r="X115" s="204">
        <f>INDEX('Tarieven ZM'!$H:$H,$W115)</f>
        <v>1000</v>
      </c>
      <c r="Y115" s="198">
        <f>IF(E115="Standard Access in ZG BT gebieden",0,-INDEX(Parameters!$B:$B,MATCH(Y$3&amp;$C115,Parameters!$A:$A,0))*$X115)</f>
        <v>0</v>
      </c>
      <c r="Z115" s="198">
        <f>IF(E115="Standard Access in ZG BT gebieden",0,MAX(-INDEX(Parameters!$B:$B,MATCH(Z$3&amp;$C115,Parameters!$A:$A,0))*$X115,-INDEX(Parameters!$B:$B,MATCH("FactorMaxSalesMandaat"&amp;E115,Parameters!$A:$A,0))*INDEX(Parameters!$B:$B,MATCH("MaxSalesMandaatAccessVVE"&amp;$C115,Parameters!$A:$A,0))))</f>
        <v>0</v>
      </c>
      <c r="AA115" s="139">
        <f t="shared" si="228"/>
        <v>1000</v>
      </c>
      <c r="AB115" s="205">
        <f>AA115/INDEX(Parameters!$B:$B,MATCH("AfschrijftermijnVVE"&amp;12*$C115,Parameters!$A:$A,0))</f>
        <v>27.777777777777779</v>
      </c>
      <c r="AC115" s="204">
        <f>INDEX('Tarieven ZM'!$G:$G,$W115)</f>
        <v>1000</v>
      </c>
      <c r="AD115" s="198">
        <f>IF(E115="Standard Access in ZG BT gebieden",0,-INDEX(Parameters!$B:$B,MATCH(AD$3&amp;$C115,Parameters!$A:$A,0))*$AC115)</f>
        <v>0</v>
      </c>
      <c r="AE115" s="198">
        <f>IF(E115="Standard Access in ZG BT gebieden",0,-INDEX(Parameters!$B:$B,MATCH(AE$3,Parameters!$A:$A,0))*$AC115)</f>
        <v>0</v>
      </c>
      <c r="AF115" s="139">
        <f t="shared" si="229"/>
        <v>1000</v>
      </c>
      <c r="AG115" s="522">
        <f t="shared" si="230"/>
        <v>1027.7777777777778</v>
      </c>
      <c r="AH115" s="175"/>
      <c r="AI115" s="523">
        <f>IF(N115&lt;&gt;"nvt",MATCH($T115,'Tarieven W&amp;O'!$B:$B,0),"nvt")</f>
        <v>17</v>
      </c>
      <c r="AJ115" s="205">
        <f>IF(AI115&lt;&gt;"nvt",IF($D115="EoK",INDEX(Parameters!C:C,MATCH("NLSx EoK",Parameters!A:A,0)),INDEX('Tarieven W&amp;O'!$H:$H,$AI115)),0)*R115</f>
        <v>350</v>
      </c>
      <c r="AK115" s="204">
        <f>IF(AI115&lt;&gt;"nvt",INDEX('Tarieven W&amp;O'!$I:$I,$AI115),0)*R115</f>
        <v>75</v>
      </c>
      <c r="AL115" s="524">
        <f>IF(AI115&lt;&gt;"nvt",-INDEX(Parameters!$B:$B,MATCH(AL$3,Parameters!$A:$A,0))*(AJ115+AK115),0)</f>
        <v>0</v>
      </c>
      <c r="AM115" s="525"/>
      <c r="AN115" s="139">
        <f t="shared" si="231"/>
        <v>425</v>
      </c>
      <c r="AO115" s="205">
        <f>AN115/INDEX(Parameters!$B:$B,MATCH("AfschrijftermijnVVE"&amp;12*$C115,Parameters!$A:$A,0))</f>
        <v>11.805555555555555</v>
      </c>
      <c r="AP115" s="139">
        <f t="shared" si="232"/>
        <v>17</v>
      </c>
      <c r="AQ115" s="526">
        <f>IF(AP115&lt;&gt;"nvt",R115*INDEX('Tarieven W&amp;O'!$G:$G,$AP115),0)</f>
        <v>60.97</v>
      </c>
      <c r="AR115" s="524">
        <f>-INDEX(Parameters!$B:$B,MATCH(AR$3,Parameters!$A:$A,0))*(AQ115)</f>
        <v>0</v>
      </c>
      <c r="AS115" s="205">
        <f>IF(E115="straal access",'EDC Minus'!$H$192,IF(Q115&lt;&gt;"nvt",Q115*S115*'EDC Minus'!$H$292/590,0))</f>
        <v>0</v>
      </c>
      <c r="AT115" s="139"/>
      <c r="AU115" s="150">
        <f t="shared" si="233"/>
        <v>60.97</v>
      </c>
      <c r="AV115" s="150">
        <f t="shared" si="234"/>
        <v>72.775555555555556</v>
      </c>
      <c r="AX115" s="526">
        <f>Parameters!$B$6*AV115</f>
        <v>0.7277555555555556</v>
      </c>
      <c r="AY115" s="150">
        <v>0</v>
      </c>
      <c r="AZ115" s="150"/>
      <c r="BA115" s="150">
        <f t="shared" si="235"/>
        <v>0.7277555555555556</v>
      </c>
      <c r="BC115" s="522">
        <f t="shared" si="236"/>
        <v>73.503311111111117</v>
      </c>
      <c r="BD115" s="175"/>
      <c r="BE115" s="527">
        <f t="shared" si="207"/>
        <v>954.27446666666674</v>
      </c>
      <c r="BF115" s="181">
        <f t="shared" si="208"/>
        <v>0.92848326486486488</v>
      </c>
      <c r="BG115" s="520" t="b">
        <f t="shared" si="237"/>
        <v>0</v>
      </c>
      <c r="BI115" s="528" t="s">
        <v>2181</v>
      </c>
      <c r="BK115" s="151">
        <f>VLOOKUP(J115,'Tarieven ZM'!$B$136:$I$235,8,0)</f>
        <v>0</v>
      </c>
      <c r="BL115" s="151" t="str">
        <f>IF(M115="EoK",N115&amp;"AdvancedNLS type 1/2/3",IF(E115&lt;&gt;"Straal Access",INDEX(Mapping!J:J,MATCH(E115&amp;G115,Mapping!B:B,0)),E115))</f>
        <v>Copper Standard Access 5Mbit/sAdvancedNLS type 1/2/3</v>
      </c>
      <c r="BM115" s="184">
        <f>INDEX('inkoop ULL tbv EVPN'!J:J,MATCH($BL115,'inkoop ULL tbv EVPN'!$H:$H,0))</f>
        <v>78.97</v>
      </c>
      <c r="BN115" s="180">
        <f>BM115/INDEX(Parameters!$B:$B,MATCH("AfschrijftermijnVVE"&amp;12*$C115,Parameters!$A:$A,0))</f>
        <v>2.1936111111111112</v>
      </c>
      <c r="BO115" s="184">
        <f>INDEX('inkoop ULL tbv EVPN'!I:I,MATCH($BL115,'inkoop ULL tbv EVPN'!$H:$H,0))</f>
        <v>14.7296035</v>
      </c>
      <c r="BP115" s="184">
        <f t="shared" si="238"/>
        <v>16.92321461111111</v>
      </c>
      <c r="BR115" s="180">
        <f>Parameters!$B$12*AG115</f>
        <v>102.77777777777779</v>
      </c>
      <c r="BS115" s="180">
        <f>SUM(Distributievergoedingen!$F$12,Distributievergoedingen!$I$12,Distributievergoedingen!$L$12,Distributievergoedingen!$O$12)*AF115+SUM(Distributievergoedingen!$O$12*AA115+Distributievergoedingen!$R$12+Distributievergoedingen!$U$12+Distributievergoedingen!$X$12)/(MAX(36,12*C115))</f>
        <v>112.77777777777777</v>
      </c>
      <c r="BT115" s="150"/>
      <c r="BU115" s="150">
        <f t="shared" si="239"/>
        <v>215.55555555555554</v>
      </c>
      <c r="BW115" s="522">
        <f t="shared" si="240"/>
        <v>232.47877016666666</v>
      </c>
      <c r="BY115" s="527">
        <f t="shared" si="241"/>
        <v>795.29900761111116</v>
      </c>
      <c r="BZ115" s="181">
        <f t="shared" si="242"/>
        <v>0.77380443983783787</v>
      </c>
      <c r="CA115" s="520" t="b">
        <f t="shared" si="243"/>
        <v>0</v>
      </c>
    </row>
    <row r="116" spans="1:79" s="151" customFormat="1">
      <c r="A116" s="151" t="str">
        <f t="shared" si="223"/>
        <v>3EoKStandard Access koper 10mbMiddelOn-net (NLS3)</v>
      </c>
      <c r="B116" s="151" t="str">
        <f t="shared" si="224"/>
        <v>3EoKStandard Access koper 10mbMiddelOn-net (NLS3)</v>
      </c>
      <c r="C116" s="178">
        <v>3</v>
      </c>
      <c r="D116" s="415" t="s">
        <v>303</v>
      </c>
      <c r="E116" s="178" t="s">
        <v>277</v>
      </c>
      <c r="F116" s="107" t="s">
        <v>280</v>
      </c>
      <c r="G116" s="178" t="s">
        <v>3398</v>
      </c>
      <c r="I116" s="178"/>
      <c r="J116" s="520" t="str">
        <f t="shared" si="225"/>
        <v>EoKStandard Access koper 10mbMiddelOn-net (NLS3)</v>
      </c>
      <c r="L116" s="204">
        <f>INDEX(Mapping!$H:$H,MATCH(C$3&amp;C116,Mapping!$B:$B,0))</f>
        <v>1</v>
      </c>
      <c r="M116" s="204" t="str">
        <f>INDEX(Mapping!$H:$H,MATCH(D$3&amp;D116,Mapping!$B:$B,0))</f>
        <v>EoK</v>
      </c>
      <c r="N116" s="204" t="str">
        <f>INDEX(Mapping!$H:$H,MATCH(E$3&amp;E116,Mapping!$B:$B,0))</f>
        <v>Copper Standard Access 10Mbit/s</v>
      </c>
      <c r="O116" s="204" t="str">
        <f>INDEX(Mapping!$H:$H,MATCH(E116&amp;F116,Mapping!$B:$B,0))</f>
        <v/>
      </c>
      <c r="P116" s="204" t="str">
        <f>INDEX(Mapping!$H:$H,MATCH($E116&amp;$G116,Mapping!$B:$B,0))</f>
        <v>On-net (NLS3)</v>
      </c>
      <c r="Q116" s="204" t="str">
        <f>INDEX(Mapping!$H:$H,MATCH($E116&amp;$G116&amp;"graafafstand",Mapping!$B:$B,0))</f>
        <v>nvt</v>
      </c>
      <c r="R116" s="204">
        <f>INDEX(Mapping!$H:$H,MATCH(R$3&amp;$E116,Mapping!$B:$B,0))</f>
        <v>1</v>
      </c>
      <c r="S116" s="204">
        <f>INDEX(Mapping!$H:$H,MATCH(S$3&amp;$E116,Mapping!$B:$B,0))</f>
        <v>1</v>
      </c>
      <c r="T116" s="139" t="str">
        <f t="shared" si="226"/>
        <v>Copper Standard Access 10Mbit/sOn-net (NLS3)</v>
      </c>
      <c r="U116" s="151" t="str">
        <f t="shared" si="227"/>
        <v>Copper Standard Access 10Mbit/sOn-net (NLS3)</v>
      </c>
      <c r="W116" s="521">
        <f>MATCH($J116,'Tarieven ZM'!$B:$B,0)</f>
        <v>163</v>
      </c>
      <c r="X116" s="204">
        <f>INDEX('Tarieven ZM'!$H:$H,$W116)</f>
        <v>1000</v>
      </c>
      <c r="Y116" s="198">
        <f>IF(E116="Standard Access in ZG BT gebieden",0,-INDEX(Parameters!$B:$B,MATCH(Y$3&amp;$C116,Parameters!$A:$A,0))*$X116)</f>
        <v>0</v>
      </c>
      <c r="Z116" s="198">
        <f>IF(E116="Standard Access in ZG BT gebieden",0,MAX(-INDEX(Parameters!$B:$B,MATCH(Z$3&amp;$C116,Parameters!$A:$A,0))*$X116,-INDEX(Parameters!$B:$B,MATCH("FactorMaxSalesMandaat"&amp;E116,Parameters!$A:$A,0))*INDEX(Parameters!$B:$B,MATCH("MaxSalesMandaatAccessVVE"&amp;$C116,Parameters!$A:$A,0))))</f>
        <v>0</v>
      </c>
      <c r="AA116" s="139">
        <f t="shared" si="228"/>
        <v>1000</v>
      </c>
      <c r="AB116" s="205">
        <f>AA116/INDEX(Parameters!$B:$B,MATCH("AfschrijftermijnVVE"&amp;12*$C116,Parameters!$A:$A,0))</f>
        <v>27.777777777777779</v>
      </c>
      <c r="AC116" s="204">
        <f>INDEX('Tarieven ZM'!$G:$G,$W116)</f>
        <v>1000</v>
      </c>
      <c r="AD116" s="198">
        <f>IF(E116="Standard Access in ZG BT gebieden",0,-INDEX(Parameters!$B:$B,MATCH(AD$3&amp;$C116,Parameters!$A:$A,0))*$AC116)</f>
        <v>0</v>
      </c>
      <c r="AE116" s="198">
        <f>IF(E116="Standard Access in ZG BT gebieden",0,-INDEX(Parameters!$B:$B,MATCH(AE$3,Parameters!$A:$A,0))*$AC116)</f>
        <v>0</v>
      </c>
      <c r="AF116" s="139">
        <f t="shared" si="229"/>
        <v>1000</v>
      </c>
      <c r="AG116" s="522">
        <f t="shared" si="230"/>
        <v>1027.7777777777778</v>
      </c>
      <c r="AH116" s="175"/>
      <c r="AI116" s="523">
        <f>IF(N116&lt;&gt;"nvt",MATCH($T116,'Tarieven W&amp;O'!$B:$B,0),"nvt")</f>
        <v>18</v>
      </c>
      <c r="AJ116" s="205">
        <f>IF(AI116&lt;&gt;"nvt",IF($D116="EoK",INDEX(Parameters!C:C,MATCH("NLSx EoK",Parameters!A:A,0)),INDEX('Tarieven W&amp;O'!$H:$H,$AI116)),0)*R116</f>
        <v>350</v>
      </c>
      <c r="AK116" s="204">
        <f>IF(AI116&lt;&gt;"nvt",INDEX('Tarieven W&amp;O'!$I:$I,$AI116),0)*R116</f>
        <v>75</v>
      </c>
      <c r="AL116" s="524">
        <f>IF(AI116&lt;&gt;"nvt",-INDEX(Parameters!$B:$B,MATCH(AL$3,Parameters!$A:$A,0))*(AJ116+AK116),0)</f>
        <v>0</v>
      </c>
      <c r="AM116" s="525"/>
      <c r="AN116" s="139">
        <f t="shared" si="231"/>
        <v>425</v>
      </c>
      <c r="AO116" s="205">
        <f>AN116/INDEX(Parameters!$B:$B,MATCH("AfschrijftermijnVVE"&amp;12*$C116,Parameters!$A:$A,0))</f>
        <v>11.805555555555555</v>
      </c>
      <c r="AP116" s="139">
        <f t="shared" si="232"/>
        <v>18</v>
      </c>
      <c r="AQ116" s="526">
        <f>IF(AP116&lt;&gt;"nvt",R116*INDEX('Tarieven W&amp;O'!$G:$G,$AP116),0)</f>
        <v>83.59</v>
      </c>
      <c r="AR116" s="524">
        <f>-INDEX(Parameters!$B:$B,MATCH(AR$3,Parameters!$A:$A,0))*(AQ116)</f>
        <v>0</v>
      </c>
      <c r="AS116" s="205">
        <f>IF(E116="straal access",'EDC Minus'!$H$192,IF(Q116&lt;&gt;"nvt",Q116*S116*'EDC Minus'!$H$292/590,0))</f>
        <v>0</v>
      </c>
      <c r="AT116" s="139"/>
      <c r="AU116" s="150">
        <f t="shared" si="233"/>
        <v>83.59</v>
      </c>
      <c r="AV116" s="150">
        <f t="shared" si="234"/>
        <v>95.395555555555561</v>
      </c>
      <c r="AX116" s="526">
        <f>Parameters!$B$6*AV116</f>
        <v>0.95395555555555567</v>
      </c>
      <c r="AY116" s="150">
        <v>0</v>
      </c>
      <c r="AZ116" s="150"/>
      <c r="BA116" s="150">
        <f t="shared" si="235"/>
        <v>0.95395555555555567</v>
      </c>
      <c r="BC116" s="522">
        <f t="shared" si="236"/>
        <v>96.349511111111113</v>
      </c>
      <c r="BD116" s="175"/>
      <c r="BE116" s="527">
        <f t="shared" si="207"/>
        <v>931.42826666666667</v>
      </c>
      <c r="BF116" s="181">
        <f t="shared" si="208"/>
        <v>0.90625452972972964</v>
      </c>
      <c r="BG116" s="520" t="b">
        <f t="shared" si="237"/>
        <v>0</v>
      </c>
      <c r="BI116" s="528" t="s">
        <v>2181</v>
      </c>
      <c r="BK116" s="151">
        <f>VLOOKUP(J116,'Tarieven ZM'!$B$136:$I$235,8,0)</f>
        <v>0</v>
      </c>
      <c r="BL116" s="151" t="str">
        <f>IF(M116="EoK",N116&amp;"AdvancedNLS type 1/2/3",IF(E116&lt;&gt;"Straal Access",INDEX(Mapping!J:J,MATCH(E116&amp;G116,Mapping!B:B,0)),E116))</f>
        <v>Copper Standard Access 10Mbit/sAdvancedNLS type 1/2/3</v>
      </c>
      <c r="BM116" s="184">
        <f>INDEX('inkoop ULL tbv EVPN'!J:J,MATCH($BL116,'inkoop ULL tbv EVPN'!$H:$H,0))</f>
        <v>78.97</v>
      </c>
      <c r="BN116" s="180">
        <f>BM116/INDEX(Parameters!$B:$B,MATCH("AfschrijftermijnVVE"&amp;12*$C116,Parameters!$A:$A,0))</f>
        <v>2.1936111111111112</v>
      </c>
      <c r="BO116" s="184">
        <f>INDEX('inkoop ULL tbv EVPN'!I:I,MATCH($BL116,'inkoop ULL tbv EVPN'!$H:$H,0))</f>
        <v>14.7296035</v>
      </c>
      <c r="BP116" s="184">
        <f t="shared" si="238"/>
        <v>16.92321461111111</v>
      </c>
      <c r="BR116" s="180">
        <f>Parameters!$B$12*AG116</f>
        <v>102.77777777777779</v>
      </c>
      <c r="BS116" s="180">
        <f>SUM(Distributievergoedingen!$F$12,Distributievergoedingen!$I$12,Distributievergoedingen!$L$12,Distributievergoedingen!$O$12)*AF116+SUM(Distributievergoedingen!$O$12*AA116+Distributievergoedingen!$R$12+Distributievergoedingen!$U$12+Distributievergoedingen!$X$12)/(MAX(36,12*C116))</f>
        <v>112.77777777777777</v>
      </c>
      <c r="BT116" s="150"/>
      <c r="BU116" s="150">
        <f t="shared" si="239"/>
        <v>215.55555555555554</v>
      </c>
      <c r="BW116" s="522">
        <f t="shared" si="240"/>
        <v>232.47877016666666</v>
      </c>
      <c r="BY116" s="527">
        <f t="shared" si="241"/>
        <v>795.29900761111116</v>
      </c>
      <c r="BZ116" s="181">
        <f t="shared" si="242"/>
        <v>0.77380443983783787</v>
      </c>
      <c r="CA116" s="520" t="b">
        <f t="shared" si="243"/>
        <v>0</v>
      </c>
    </row>
    <row r="117" spans="1:79" s="151" customFormat="1">
      <c r="A117" s="151" t="str">
        <f t="shared" si="223"/>
        <v>3EoKStandard Access koper 15mbMiddelOn-net (NLS3)</v>
      </c>
      <c r="B117" s="151" t="str">
        <f t="shared" si="224"/>
        <v>3EoKStandard Access koper 15mbMiddelOn-net (NLS3)</v>
      </c>
      <c r="C117" s="178">
        <v>3</v>
      </c>
      <c r="D117" s="415" t="s">
        <v>303</v>
      </c>
      <c r="E117" s="178" t="s">
        <v>278</v>
      </c>
      <c r="F117" s="107" t="s">
        <v>280</v>
      </c>
      <c r="G117" s="178" t="s">
        <v>3398</v>
      </c>
      <c r="I117" s="178"/>
      <c r="J117" s="520" t="str">
        <f t="shared" si="225"/>
        <v>EoKStandard Access koper 15mbMiddelOn-net (NLS3)</v>
      </c>
      <c r="L117" s="204">
        <f>INDEX(Mapping!$H:$H,MATCH(C$3&amp;C117,Mapping!$B:$B,0))</f>
        <v>1</v>
      </c>
      <c r="M117" s="204" t="str">
        <f>INDEX(Mapping!$H:$H,MATCH(D$3&amp;D117,Mapping!$B:$B,0))</f>
        <v>EoK</v>
      </c>
      <c r="N117" s="204" t="str">
        <f>INDEX(Mapping!$H:$H,MATCH(E$3&amp;E117,Mapping!$B:$B,0))</f>
        <v>Copper Standard Access 15Mbit/s</v>
      </c>
      <c r="O117" s="204" t="str">
        <f>INDEX(Mapping!$H:$H,MATCH(E117&amp;F117,Mapping!$B:$B,0))</f>
        <v/>
      </c>
      <c r="P117" s="204" t="str">
        <f>INDEX(Mapping!$H:$H,MATCH($E117&amp;$G117,Mapping!$B:$B,0))</f>
        <v>On-net (NLS3)</v>
      </c>
      <c r="Q117" s="204" t="str">
        <f>INDEX(Mapping!$H:$H,MATCH($E117&amp;$G117&amp;"graafafstand",Mapping!$B:$B,0))</f>
        <v>nvt</v>
      </c>
      <c r="R117" s="204">
        <f>INDEX(Mapping!$H:$H,MATCH(R$3&amp;$E117,Mapping!$B:$B,0))</f>
        <v>1</v>
      </c>
      <c r="S117" s="204">
        <f>INDEX(Mapping!$H:$H,MATCH(S$3&amp;$E117,Mapping!$B:$B,0))</f>
        <v>1</v>
      </c>
      <c r="T117" s="139" t="str">
        <f t="shared" si="226"/>
        <v>Copper Standard Access 15Mbit/sOn-net (NLS3)</v>
      </c>
      <c r="U117" s="151" t="str">
        <f t="shared" si="227"/>
        <v>Copper Standard Access 15Mbit/sOn-net (NLS3)</v>
      </c>
      <c r="W117" s="521">
        <f>MATCH($J117,'Tarieven ZM'!$B:$B,0)</f>
        <v>164</v>
      </c>
      <c r="X117" s="204">
        <f>INDEX('Tarieven ZM'!$H:$H,$W117)</f>
        <v>1000</v>
      </c>
      <c r="Y117" s="198">
        <f>IF(E117="Standard Access in ZG BT gebieden",0,-INDEX(Parameters!$B:$B,MATCH(Y$3&amp;$C117,Parameters!$A:$A,0))*$X117)</f>
        <v>0</v>
      </c>
      <c r="Z117" s="198">
        <f>IF(E117="Standard Access in ZG BT gebieden",0,MAX(-INDEX(Parameters!$B:$B,MATCH(Z$3&amp;$C117,Parameters!$A:$A,0))*$X117,-INDEX(Parameters!$B:$B,MATCH("FactorMaxSalesMandaat"&amp;E117,Parameters!$A:$A,0))*INDEX(Parameters!$B:$B,MATCH("MaxSalesMandaatAccessVVE"&amp;$C117,Parameters!$A:$A,0))))</f>
        <v>0</v>
      </c>
      <c r="AA117" s="139">
        <f t="shared" si="228"/>
        <v>1000</v>
      </c>
      <c r="AB117" s="205">
        <f>AA117/INDEX(Parameters!$B:$B,MATCH("AfschrijftermijnVVE"&amp;12*$C117,Parameters!$A:$A,0))</f>
        <v>27.777777777777779</v>
      </c>
      <c r="AC117" s="204">
        <f>INDEX('Tarieven ZM'!$G:$G,$W117)</f>
        <v>1000</v>
      </c>
      <c r="AD117" s="198">
        <f>IF(E117="Standard Access in ZG BT gebieden",0,-INDEX(Parameters!$B:$B,MATCH(AD$3&amp;$C117,Parameters!$A:$A,0))*$AC117)</f>
        <v>0</v>
      </c>
      <c r="AE117" s="198">
        <f>IF(E117="Standard Access in ZG BT gebieden",0,-INDEX(Parameters!$B:$B,MATCH(AE$3,Parameters!$A:$A,0))*$AC117)</f>
        <v>0</v>
      </c>
      <c r="AF117" s="139">
        <f t="shared" si="229"/>
        <v>1000</v>
      </c>
      <c r="AG117" s="522">
        <f t="shared" si="230"/>
        <v>1027.7777777777778</v>
      </c>
      <c r="AH117" s="175"/>
      <c r="AI117" s="523">
        <f>IF(N117&lt;&gt;"nvt",MATCH($T117,'Tarieven W&amp;O'!$B:$B,0),"nvt")</f>
        <v>19</v>
      </c>
      <c r="AJ117" s="205">
        <f>IF(AI117&lt;&gt;"nvt",IF($D117="EoK",INDEX(Parameters!C:C,MATCH("NLSx EoK",Parameters!A:A,0)),INDEX('Tarieven W&amp;O'!$H:$H,$AI117)),0)*R117</f>
        <v>350</v>
      </c>
      <c r="AK117" s="204">
        <f>IF(AI117&lt;&gt;"nvt",INDEX('Tarieven W&amp;O'!$I:$I,$AI117),0)*R117</f>
        <v>75</v>
      </c>
      <c r="AL117" s="524">
        <f>IF(AI117&lt;&gt;"nvt",-INDEX(Parameters!$B:$B,MATCH(AL$3,Parameters!$A:$A,0))*(AJ117+AK117),0)</f>
        <v>0</v>
      </c>
      <c r="AM117" s="525"/>
      <c r="AN117" s="139">
        <f t="shared" si="231"/>
        <v>425</v>
      </c>
      <c r="AO117" s="205">
        <f>AN117/INDEX(Parameters!$B:$B,MATCH("AfschrijftermijnVVE"&amp;12*$C117,Parameters!$A:$A,0))</f>
        <v>11.805555555555555</v>
      </c>
      <c r="AP117" s="139">
        <f t="shared" si="232"/>
        <v>19</v>
      </c>
      <c r="AQ117" s="526">
        <f>IF(AP117&lt;&gt;"nvt",R117*INDEX('Tarieven W&amp;O'!$G:$G,$AP117),0)</f>
        <v>102.44</v>
      </c>
      <c r="AR117" s="524">
        <f>-INDEX(Parameters!$B:$B,MATCH(AR$3,Parameters!$A:$A,0))*(AQ117)</f>
        <v>0</v>
      </c>
      <c r="AS117" s="205">
        <f>IF(E117="straal access",'EDC Minus'!$H$192,IF(Q117&lt;&gt;"nvt",Q117*S117*'EDC Minus'!$H$292/590,0))</f>
        <v>0</v>
      </c>
      <c r="AT117" s="139"/>
      <c r="AU117" s="150">
        <f t="shared" si="233"/>
        <v>102.44</v>
      </c>
      <c r="AV117" s="150">
        <f t="shared" si="234"/>
        <v>114.24555555555555</v>
      </c>
      <c r="AX117" s="526">
        <f>Parameters!$B$6*AV117</f>
        <v>1.1424555555555556</v>
      </c>
      <c r="AY117" s="150">
        <v>0</v>
      </c>
      <c r="AZ117" s="150"/>
      <c r="BA117" s="150">
        <f t="shared" si="235"/>
        <v>1.1424555555555556</v>
      </c>
      <c r="BC117" s="522">
        <f t="shared" si="236"/>
        <v>115.38801111111111</v>
      </c>
      <c r="BD117" s="175"/>
      <c r="BE117" s="527">
        <f t="shared" si="207"/>
        <v>912.38976666666667</v>
      </c>
      <c r="BF117" s="181">
        <f t="shared" si="208"/>
        <v>0.88773058378378378</v>
      </c>
      <c r="BG117" s="520" t="b">
        <f t="shared" si="237"/>
        <v>0</v>
      </c>
      <c r="BI117" s="528" t="s">
        <v>2181</v>
      </c>
      <c r="BK117" s="151">
        <f>VLOOKUP(J117,'Tarieven ZM'!$B$136:$I$235,8,0)</f>
        <v>0</v>
      </c>
      <c r="BL117" s="151" t="str">
        <f>IF(M117="EoK",N117&amp;"AdvancedNLS type 1/2/3",IF(E117&lt;&gt;"Straal Access",INDEX(Mapping!J:J,MATCH(E117&amp;G117,Mapping!B:B,0)),E117))</f>
        <v>Copper Standard Access 15Mbit/sAdvancedNLS type 1/2/3</v>
      </c>
      <c r="BM117" s="184">
        <f>INDEX('inkoop ULL tbv EVPN'!J:J,MATCH($BL117,'inkoop ULL tbv EVPN'!$H:$H,0))</f>
        <v>78.97</v>
      </c>
      <c r="BN117" s="180">
        <f>BM117/INDEX(Parameters!$B:$B,MATCH("AfschrijftermijnVVE"&amp;12*$C117,Parameters!$A:$A,0))</f>
        <v>2.1936111111111112</v>
      </c>
      <c r="BO117" s="184">
        <f>INDEX('inkoop ULL tbv EVPN'!I:I,MATCH($BL117,'inkoop ULL tbv EVPN'!$H:$H,0))</f>
        <v>14.7296035</v>
      </c>
      <c r="BP117" s="184">
        <f t="shared" si="238"/>
        <v>16.92321461111111</v>
      </c>
      <c r="BR117" s="180">
        <f>Parameters!$B$12*AG117</f>
        <v>102.77777777777779</v>
      </c>
      <c r="BS117" s="180">
        <f>SUM(Distributievergoedingen!$F$12,Distributievergoedingen!$I$12,Distributievergoedingen!$L$12,Distributievergoedingen!$O$12)*AF117+SUM(Distributievergoedingen!$O$12*AA117+Distributievergoedingen!$R$12+Distributievergoedingen!$U$12+Distributievergoedingen!$X$12)/(MAX(36,12*C117))</f>
        <v>112.77777777777777</v>
      </c>
      <c r="BT117" s="150"/>
      <c r="BU117" s="150">
        <f t="shared" si="239"/>
        <v>215.55555555555554</v>
      </c>
      <c r="BW117" s="522">
        <f t="shared" si="240"/>
        <v>232.47877016666666</v>
      </c>
      <c r="BY117" s="527">
        <f t="shared" si="241"/>
        <v>795.29900761111116</v>
      </c>
      <c r="BZ117" s="181">
        <f t="shared" si="242"/>
        <v>0.77380443983783787</v>
      </c>
      <c r="CA117" s="520" t="b">
        <f t="shared" si="243"/>
        <v>0</v>
      </c>
    </row>
    <row r="118" spans="1:79" s="151" customFormat="1">
      <c r="A118" s="151" t="str">
        <f t="shared" si="223"/>
        <v>3EoKStandard Access koper 20mbMiddelOn-net (NLS3)</v>
      </c>
      <c r="B118" s="151" t="str">
        <f t="shared" si="224"/>
        <v>3EoKStandard Access koper 20mbMiddelOn-net (NLS3)</v>
      </c>
      <c r="C118" s="178">
        <v>3</v>
      </c>
      <c r="D118" s="415" t="s">
        <v>303</v>
      </c>
      <c r="E118" s="178" t="s">
        <v>279</v>
      </c>
      <c r="F118" s="107" t="s">
        <v>280</v>
      </c>
      <c r="G118" s="178" t="s">
        <v>3398</v>
      </c>
      <c r="I118" s="178"/>
      <c r="J118" s="520" t="str">
        <f t="shared" si="225"/>
        <v>EoKStandard Access koper 20mbMiddelOn-net (NLS3)</v>
      </c>
      <c r="L118" s="204">
        <f>INDEX(Mapping!$H:$H,MATCH(C$3&amp;C118,Mapping!$B:$B,0))</f>
        <v>1</v>
      </c>
      <c r="M118" s="204" t="str">
        <f>INDEX(Mapping!$H:$H,MATCH(D$3&amp;D118,Mapping!$B:$B,0))</f>
        <v>EoK</v>
      </c>
      <c r="N118" s="204" t="str">
        <f>INDEX(Mapping!$H:$H,MATCH(E$3&amp;E118,Mapping!$B:$B,0))</f>
        <v>Copper Standard Access 20Mbit/s</v>
      </c>
      <c r="O118" s="204" t="str">
        <f>INDEX(Mapping!$H:$H,MATCH(E118&amp;F118,Mapping!$B:$B,0))</f>
        <v/>
      </c>
      <c r="P118" s="204" t="str">
        <f>INDEX(Mapping!$H:$H,MATCH($E118&amp;$G118,Mapping!$B:$B,0))</f>
        <v>On-net (NLS3)</v>
      </c>
      <c r="Q118" s="204" t="str">
        <f>INDEX(Mapping!$H:$H,MATCH($E118&amp;$G118&amp;"graafafstand",Mapping!$B:$B,0))</f>
        <v>nvt</v>
      </c>
      <c r="R118" s="204">
        <f>INDEX(Mapping!$H:$H,MATCH(R$3&amp;$E118,Mapping!$B:$B,0))</f>
        <v>1</v>
      </c>
      <c r="S118" s="204">
        <f>INDEX(Mapping!$H:$H,MATCH(S$3&amp;$E118,Mapping!$B:$B,0))</f>
        <v>1</v>
      </c>
      <c r="T118" s="139" t="str">
        <f t="shared" si="226"/>
        <v>Copper Standard Access 20Mbit/sOn-net (NLS3)</v>
      </c>
      <c r="U118" s="151" t="str">
        <f t="shared" si="227"/>
        <v>Copper Standard Access 20Mbit/sOn-net (NLS3)</v>
      </c>
      <c r="W118" s="521">
        <f>MATCH($J118,'Tarieven ZM'!$B:$B,0)</f>
        <v>165</v>
      </c>
      <c r="X118" s="204">
        <f>INDEX('Tarieven ZM'!$H:$H,$W118)</f>
        <v>1000</v>
      </c>
      <c r="Y118" s="198">
        <f>IF(E118="Standard Access in ZG BT gebieden",0,-INDEX(Parameters!$B:$B,MATCH(Y$3&amp;$C118,Parameters!$A:$A,0))*$X118)</f>
        <v>0</v>
      </c>
      <c r="Z118" s="198">
        <f>IF(E118="Standard Access in ZG BT gebieden",0,MAX(-INDEX(Parameters!$B:$B,MATCH(Z$3&amp;$C118,Parameters!$A:$A,0))*$X118,-INDEX(Parameters!$B:$B,MATCH("FactorMaxSalesMandaat"&amp;E118,Parameters!$A:$A,0))*INDEX(Parameters!$B:$B,MATCH("MaxSalesMandaatAccessVVE"&amp;$C118,Parameters!$A:$A,0))))</f>
        <v>0</v>
      </c>
      <c r="AA118" s="139">
        <f t="shared" si="228"/>
        <v>1000</v>
      </c>
      <c r="AB118" s="205">
        <f>AA118/INDEX(Parameters!$B:$B,MATCH("AfschrijftermijnVVE"&amp;12*$C118,Parameters!$A:$A,0))</f>
        <v>27.777777777777779</v>
      </c>
      <c r="AC118" s="204">
        <f>INDEX('Tarieven ZM'!$G:$G,$W118)</f>
        <v>1000</v>
      </c>
      <c r="AD118" s="198">
        <f>IF(E118="Standard Access in ZG BT gebieden",0,-INDEX(Parameters!$B:$B,MATCH(AD$3&amp;$C118,Parameters!$A:$A,0))*$AC118)</f>
        <v>0</v>
      </c>
      <c r="AE118" s="198">
        <f>IF(E118="Standard Access in ZG BT gebieden",0,-INDEX(Parameters!$B:$B,MATCH(AE$3,Parameters!$A:$A,0))*$AC118)</f>
        <v>0</v>
      </c>
      <c r="AF118" s="139">
        <f t="shared" si="229"/>
        <v>1000</v>
      </c>
      <c r="AG118" s="522">
        <f t="shared" si="230"/>
        <v>1027.7777777777778</v>
      </c>
      <c r="AH118" s="175"/>
      <c r="AI118" s="523">
        <f>IF(N118&lt;&gt;"nvt",MATCH($T118,'Tarieven W&amp;O'!$B:$B,0),"nvt")</f>
        <v>20</v>
      </c>
      <c r="AJ118" s="205">
        <f>IF(AI118&lt;&gt;"nvt",IF($D118="EoK",INDEX(Parameters!C:C,MATCH("NLSx EoK",Parameters!A:A,0)),INDEX('Tarieven W&amp;O'!$H:$H,$AI118)),0)*R118</f>
        <v>350</v>
      </c>
      <c r="AK118" s="204">
        <f>IF(AI118&lt;&gt;"nvt",INDEX('Tarieven W&amp;O'!$I:$I,$AI118),0)*R118</f>
        <v>75</v>
      </c>
      <c r="AL118" s="524">
        <f>IF(AI118&lt;&gt;"nvt",-INDEX(Parameters!$B:$B,MATCH(AL$3,Parameters!$A:$A,0))*(AJ118+AK118),0)</f>
        <v>0</v>
      </c>
      <c r="AM118" s="525"/>
      <c r="AN118" s="139">
        <f t="shared" si="231"/>
        <v>425</v>
      </c>
      <c r="AO118" s="205">
        <f>AN118/INDEX(Parameters!$B:$B,MATCH("AfschrijftermijnVVE"&amp;12*$C118,Parameters!$A:$A,0))</f>
        <v>11.805555555555555</v>
      </c>
      <c r="AP118" s="139">
        <f t="shared" si="232"/>
        <v>20</v>
      </c>
      <c r="AQ118" s="526">
        <f>IF(AP118&lt;&gt;"nvt",R118*INDEX('Tarieven W&amp;O'!$G:$G,$AP118),0)</f>
        <v>121.28</v>
      </c>
      <c r="AR118" s="524">
        <f>-INDEX(Parameters!$B:$B,MATCH(AR$3,Parameters!$A:$A,0))*(AQ118)</f>
        <v>0</v>
      </c>
      <c r="AS118" s="205">
        <f>IF(E118="straal access",'EDC Minus'!$H$192,IF(Q118&lt;&gt;"nvt",Q118*S118*'EDC Minus'!$H$292/590,0))</f>
        <v>0</v>
      </c>
      <c r="AT118" s="139"/>
      <c r="AU118" s="150">
        <f t="shared" si="233"/>
        <v>121.28</v>
      </c>
      <c r="AV118" s="150">
        <f t="shared" si="234"/>
        <v>133.08555555555554</v>
      </c>
      <c r="AX118" s="526">
        <f>Parameters!$B$6*AV118</f>
        <v>1.3308555555555555</v>
      </c>
      <c r="AY118" s="150">
        <v>0</v>
      </c>
      <c r="AZ118" s="150"/>
      <c r="BA118" s="150">
        <f t="shared" si="235"/>
        <v>1.3308555555555555</v>
      </c>
      <c r="BC118" s="522">
        <f t="shared" si="236"/>
        <v>134.4164111111111</v>
      </c>
      <c r="BD118" s="175"/>
      <c r="BE118" s="527">
        <f t="shared" si="207"/>
        <v>893.36136666666675</v>
      </c>
      <c r="BF118" s="181">
        <f t="shared" si="208"/>
        <v>0.86921646486486492</v>
      </c>
      <c r="BG118" s="520" t="b">
        <f t="shared" si="237"/>
        <v>0</v>
      </c>
      <c r="BI118" s="528" t="s">
        <v>2181</v>
      </c>
      <c r="BK118" s="151">
        <f>VLOOKUP(J118,'Tarieven ZM'!$B$136:$I$235,8,0)</f>
        <v>0</v>
      </c>
      <c r="BL118" s="151" t="str">
        <f>IF(M118="EoK",N118&amp;"AdvancedNLS type 1/2/3",IF(E118&lt;&gt;"Straal Access",INDEX(Mapping!J:J,MATCH(E118&amp;G118,Mapping!B:B,0)),E118))</f>
        <v>Copper Standard Access 20Mbit/sAdvancedNLS type 1/2/3</v>
      </c>
      <c r="BM118" s="184">
        <f>INDEX('inkoop ULL tbv EVPN'!J:J,MATCH($BL118,'inkoop ULL tbv EVPN'!$H:$H,0))</f>
        <v>78.97</v>
      </c>
      <c r="BN118" s="180">
        <f>BM118/INDEX(Parameters!$B:$B,MATCH("AfschrijftermijnVVE"&amp;12*$C118,Parameters!$A:$A,0))</f>
        <v>2.1936111111111112</v>
      </c>
      <c r="BO118" s="184">
        <f>INDEX('inkoop ULL tbv EVPN'!I:I,MATCH($BL118,'inkoop ULL tbv EVPN'!$H:$H,0))</f>
        <v>14.7296035</v>
      </c>
      <c r="BP118" s="184">
        <f t="shared" si="238"/>
        <v>16.92321461111111</v>
      </c>
      <c r="BR118" s="180">
        <f>Parameters!$B$12*AG118</f>
        <v>102.77777777777779</v>
      </c>
      <c r="BS118" s="180">
        <f>SUM(Distributievergoedingen!$F$12,Distributievergoedingen!$I$12,Distributievergoedingen!$L$12,Distributievergoedingen!$O$12)*AF118+SUM(Distributievergoedingen!$O$12*AA118+Distributievergoedingen!$R$12+Distributievergoedingen!$U$12+Distributievergoedingen!$X$12)/(MAX(36,12*C118))</f>
        <v>112.77777777777777</v>
      </c>
      <c r="BT118" s="150"/>
      <c r="BU118" s="150">
        <f t="shared" si="239"/>
        <v>215.55555555555554</v>
      </c>
      <c r="BW118" s="522">
        <f t="shared" si="240"/>
        <v>232.47877016666666</v>
      </c>
      <c r="BY118" s="527">
        <f t="shared" si="241"/>
        <v>795.29900761111116</v>
      </c>
      <c r="BZ118" s="181">
        <f t="shared" si="242"/>
        <v>0.77380443983783787</v>
      </c>
      <c r="CA118" s="520" t="b">
        <f t="shared" si="243"/>
        <v>0</v>
      </c>
    </row>
    <row r="119" spans="1:79" s="151" customFormat="1">
      <c r="A119" s="151" t="str">
        <f t="shared" si="223"/>
        <v>3EoKStandard Access koper 3mbMiddel&lt; 250 meter</v>
      </c>
      <c r="B119" s="151" t="str">
        <f t="shared" si="224"/>
        <v>3EoKStandard Access koper 3mbMiddel&lt; 250 meter</v>
      </c>
      <c r="C119" s="178">
        <v>3</v>
      </c>
      <c r="D119" s="415" t="s">
        <v>303</v>
      </c>
      <c r="E119" s="178" t="s">
        <v>268</v>
      </c>
      <c r="F119" s="107" t="s">
        <v>280</v>
      </c>
      <c r="G119" s="178" t="s">
        <v>3397</v>
      </c>
      <c r="I119" s="178"/>
      <c r="J119" s="520" t="str">
        <f t="shared" si="225"/>
        <v>EoKStandard Access koper 3mbMiddel&lt; 250 meter</v>
      </c>
      <c r="L119" s="204">
        <f>INDEX(Mapping!$H:$H,MATCH(C$3&amp;C119,Mapping!$B:$B,0))</f>
        <v>1</v>
      </c>
      <c r="M119" s="204" t="str">
        <f>INDEX(Mapping!$H:$H,MATCH(D$3&amp;D119,Mapping!$B:$B,0))</f>
        <v>EoK</v>
      </c>
      <c r="N119" s="204" t="str">
        <f>INDEX(Mapping!$H:$H,MATCH(E$3&amp;E119,Mapping!$B:$B,0))</f>
        <v>Copper Standard Access 3Mbit/s</v>
      </c>
      <c r="O119" s="204" t="str">
        <f>INDEX(Mapping!$H:$H,MATCH(E119&amp;F119,Mapping!$B:$B,0))</f>
        <v/>
      </c>
      <c r="P119" s="204" t="str">
        <f>INDEX(Mapping!$H:$H,MATCH($E119&amp;$G119,Mapping!$B:$B,0))</f>
        <v>Nearnet</v>
      </c>
      <c r="Q119" s="204" t="str">
        <f>INDEX(Mapping!$H:$H,MATCH($E119&amp;$G119&amp;"graafafstand",Mapping!$B:$B,0))</f>
        <v>nvt</v>
      </c>
      <c r="R119" s="204">
        <f>INDEX(Mapping!$H:$H,MATCH(R$3&amp;$E119,Mapping!$B:$B,0))</f>
        <v>1</v>
      </c>
      <c r="S119" s="204">
        <f>INDEX(Mapping!$H:$H,MATCH(S$3&amp;$E119,Mapping!$B:$B,0))</f>
        <v>1</v>
      </c>
      <c r="T119" s="139" t="str">
        <f t="shared" si="226"/>
        <v>Copper Standard Access 3Mbit/sNearnet</v>
      </c>
      <c r="U119" s="151" t="str">
        <f t="shared" si="227"/>
        <v>Copper Standard Access 3Mbit/sNearnet</v>
      </c>
      <c r="W119" s="521">
        <f>MATCH($J119,'Tarieven ZM'!$B:$B,0)</f>
        <v>166</v>
      </c>
      <c r="X119" s="204">
        <f>INDEX('Tarieven ZM'!$H:$H,$W119)</f>
        <v>1000</v>
      </c>
      <c r="Y119" s="198">
        <f>IF(E119="Standard Access in ZG BT gebieden",0,-INDEX(Parameters!$B:$B,MATCH(Y$3&amp;$C119,Parameters!$A:$A,0))*$X119)</f>
        <v>0</v>
      </c>
      <c r="Z119" s="198">
        <f>IF(E119="Standard Access in ZG BT gebieden",0,MAX(-INDEX(Parameters!$B:$B,MATCH(Z$3&amp;$C119,Parameters!$A:$A,0))*$X119,-INDEX(Parameters!$B:$B,MATCH("FactorMaxSalesMandaat"&amp;E119,Parameters!$A:$A,0))*INDEX(Parameters!$B:$B,MATCH("MaxSalesMandaatAccessVVE"&amp;$C119,Parameters!$A:$A,0))))</f>
        <v>0</v>
      </c>
      <c r="AA119" s="139">
        <f t="shared" si="228"/>
        <v>1000</v>
      </c>
      <c r="AB119" s="205">
        <f>AA119/INDEX(Parameters!$B:$B,MATCH("AfschrijftermijnVVE"&amp;12*$C119,Parameters!$A:$A,0))</f>
        <v>27.777777777777779</v>
      </c>
      <c r="AC119" s="204">
        <f>INDEX('Tarieven ZM'!$G:$G,$W119)</f>
        <v>1000</v>
      </c>
      <c r="AD119" s="198">
        <f>IF(E119="Standard Access in ZG BT gebieden",0,-INDEX(Parameters!$B:$B,MATCH(AD$3&amp;$C119,Parameters!$A:$A,0))*$AC119)</f>
        <v>0</v>
      </c>
      <c r="AE119" s="198">
        <f>IF(E119="Standard Access in ZG BT gebieden",0,-INDEX(Parameters!$B:$B,MATCH(AE$3,Parameters!$A:$A,0))*$AC119)</f>
        <v>0</v>
      </c>
      <c r="AF119" s="139">
        <f t="shared" si="229"/>
        <v>1000</v>
      </c>
      <c r="AG119" s="522">
        <f t="shared" si="230"/>
        <v>1027.7777777777778</v>
      </c>
      <c r="AH119" s="175"/>
      <c r="AI119" s="523">
        <f>IF(N119&lt;&gt;"nvt",MATCH($T119,'Tarieven W&amp;O'!$B:$B,0),"nvt")</f>
        <v>23</v>
      </c>
      <c r="AJ119" s="205">
        <f>IF(AI119&lt;&gt;"nvt",IF($D119="EoK",INDEX(Parameters!C:C,MATCH("NLSx EoK",Parameters!A:A,0)),INDEX('Tarieven W&amp;O'!$H:$H,$AI119)),0)*R119</f>
        <v>350</v>
      </c>
      <c r="AK119" s="204">
        <f>IF(AI119&lt;&gt;"nvt",INDEX('Tarieven W&amp;O'!$I:$I,$AI119),0)*R119</f>
        <v>75</v>
      </c>
      <c r="AL119" s="524">
        <f>IF(AI119&lt;&gt;"nvt",-INDEX(Parameters!$B:$B,MATCH(AL$3,Parameters!$A:$A,0))*(AJ119+AK119),0)</f>
        <v>0</v>
      </c>
      <c r="AM119" s="525"/>
      <c r="AN119" s="139">
        <f t="shared" si="231"/>
        <v>425</v>
      </c>
      <c r="AO119" s="205">
        <f>AN119/INDEX(Parameters!$B:$B,MATCH("AfschrijftermijnVVE"&amp;12*$C119,Parameters!$A:$A,0))</f>
        <v>11.805555555555555</v>
      </c>
      <c r="AP119" s="139">
        <f t="shared" si="232"/>
        <v>23</v>
      </c>
      <c r="AQ119" s="526">
        <f>IF(AP119&lt;&gt;"nvt",R119*INDEX('Tarieven W&amp;O'!$G:$G,$AP119),0)</f>
        <v>41.5</v>
      </c>
      <c r="AR119" s="524">
        <f>-INDEX(Parameters!$B:$B,MATCH(AR$3,Parameters!$A:$A,0))*(AQ119)</f>
        <v>0</v>
      </c>
      <c r="AS119" s="205">
        <f>IF(E119="straal access",'EDC Minus'!$H$192,IF(Q119&lt;&gt;"nvt",Q119*S119*'EDC Minus'!$H$292/590,0))</f>
        <v>0</v>
      </c>
      <c r="AT119" s="139"/>
      <c r="AU119" s="150">
        <f t="shared" si="233"/>
        <v>41.5</v>
      </c>
      <c r="AV119" s="150">
        <f t="shared" si="234"/>
        <v>53.305555555555557</v>
      </c>
      <c r="AX119" s="526">
        <f>Parameters!$B$6*AV119</f>
        <v>0.53305555555555562</v>
      </c>
      <c r="AY119" s="150">
        <v>0</v>
      </c>
      <c r="AZ119" s="150"/>
      <c r="BA119" s="150">
        <f t="shared" si="235"/>
        <v>0.53305555555555562</v>
      </c>
      <c r="BC119" s="522">
        <f t="shared" si="236"/>
        <v>53.838611111111113</v>
      </c>
      <c r="BD119" s="175"/>
      <c r="BE119" s="527">
        <f t="shared" si="207"/>
        <v>973.93916666666667</v>
      </c>
      <c r="BF119" s="181">
        <f t="shared" si="208"/>
        <v>0.94761648648648644</v>
      </c>
      <c r="BG119" s="520" t="b">
        <f t="shared" si="237"/>
        <v>0</v>
      </c>
      <c r="BI119" s="528" t="s">
        <v>2181</v>
      </c>
      <c r="BK119" s="151">
        <f>VLOOKUP(J119,'Tarieven ZM'!$B$136:$I$235,8,0)</f>
        <v>0</v>
      </c>
      <c r="BL119" s="151" t="str">
        <f>IF(M119="EoK",N119&amp;"AdvancedNLS type 1/2/3",IF(E119&lt;&gt;"Straal Access",INDEX(Mapping!J:J,MATCH(E119&amp;G119,Mapping!B:B,0)),E119))</f>
        <v>Copper Standard Access 3Mbit/sAdvancedNLS type 1/2/3</v>
      </c>
      <c r="BM119" s="184">
        <f>INDEX('inkoop ULL tbv EVPN'!J:J,MATCH($BL119,'inkoop ULL tbv EVPN'!$H:$H,0))</f>
        <v>78.97</v>
      </c>
      <c r="BN119" s="180">
        <f>BM119/INDEX(Parameters!$B:$B,MATCH("AfschrijftermijnVVE"&amp;12*$C119,Parameters!$A:$A,0))</f>
        <v>2.1936111111111112</v>
      </c>
      <c r="BO119" s="184">
        <f>INDEX('inkoop ULL tbv EVPN'!I:I,MATCH($BL119,'inkoop ULL tbv EVPN'!$H:$H,0))</f>
        <v>14.7296035</v>
      </c>
      <c r="BP119" s="184">
        <f t="shared" si="238"/>
        <v>16.92321461111111</v>
      </c>
      <c r="BR119" s="180">
        <f>Parameters!$B$12*AG119</f>
        <v>102.77777777777779</v>
      </c>
      <c r="BS119" s="180">
        <f>SUM(Distributievergoedingen!$F$12,Distributievergoedingen!$I$12,Distributievergoedingen!$L$12,Distributievergoedingen!$O$12)*AF119+SUM(Distributievergoedingen!$O$12*AA119+Distributievergoedingen!$R$12+Distributievergoedingen!$U$12+Distributievergoedingen!$X$12)/(MAX(36,12*C119))</f>
        <v>112.77777777777777</v>
      </c>
      <c r="BT119" s="150"/>
      <c r="BU119" s="150">
        <f t="shared" si="239"/>
        <v>215.55555555555554</v>
      </c>
      <c r="BW119" s="522">
        <f t="shared" si="240"/>
        <v>232.47877016666666</v>
      </c>
      <c r="BY119" s="527">
        <f t="shared" si="241"/>
        <v>795.29900761111116</v>
      </c>
      <c r="BZ119" s="181">
        <f t="shared" si="242"/>
        <v>0.77380443983783787</v>
      </c>
      <c r="CA119" s="520" t="b">
        <f t="shared" si="243"/>
        <v>0</v>
      </c>
    </row>
    <row r="120" spans="1:79" s="151" customFormat="1">
      <c r="A120" s="151" t="str">
        <f t="shared" si="223"/>
        <v>3EoKStandard Access koper 5mbMiddel&lt; 250 meter</v>
      </c>
      <c r="B120" s="151" t="str">
        <f t="shared" si="224"/>
        <v>3EoKStandard Access koper 5mbMiddel&lt; 250 meter</v>
      </c>
      <c r="C120" s="178">
        <v>3</v>
      </c>
      <c r="D120" s="415" t="s">
        <v>303</v>
      </c>
      <c r="E120" s="178" t="s">
        <v>276</v>
      </c>
      <c r="F120" s="107" t="s">
        <v>280</v>
      </c>
      <c r="G120" s="178" t="s">
        <v>3397</v>
      </c>
      <c r="I120" s="178"/>
      <c r="J120" s="520" t="str">
        <f t="shared" si="225"/>
        <v>EoKStandard Access koper 5mbMiddel&lt; 250 meter</v>
      </c>
      <c r="L120" s="204">
        <f>INDEX(Mapping!$H:$H,MATCH(C$3&amp;C120,Mapping!$B:$B,0))</f>
        <v>1</v>
      </c>
      <c r="M120" s="204" t="str">
        <f>INDEX(Mapping!$H:$H,MATCH(D$3&amp;D120,Mapping!$B:$B,0))</f>
        <v>EoK</v>
      </c>
      <c r="N120" s="204" t="str">
        <f>INDEX(Mapping!$H:$H,MATCH(E$3&amp;E120,Mapping!$B:$B,0))</f>
        <v>Copper Standard Access 5Mbit/s</v>
      </c>
      <c r="O120" s="204" t="str">
        <f>INDEX(Mapping!$H:$H,MATCH(E120&amp;F120,Mapping!$B:$B,0))</f>
        <v/>
      </c>
      <c r="P120" s="204" t="str">
        <f>INDEX(Mapping!$H:$H,MATCH($E120&amp;$G120,Mapping!$B:$B,0))</f>
        <v>Nearnet</v>
      </c>
      <c r="Q120" s="204" t="str">
        <f>INDEX(Mapping!$H:$H,MATCH($E120&amp;$G120&amp;"graafafstand",Mapping!$B:$B,0))</f>
        <v>nvt</v>
      </c>
      <c r="R120" s="204">
        <f>INDEX(Mapping!$H:$H,MATCH(R$3&amp;$E120,Mapping!$B:$B,0))</f>
        <v>1</v>
      </c>
      <c r="S120" s="204">
        <f>INDEX(Mapping!$H:$H,MATCH(S$3&amp;$E120,Mapping!$B:$B,0))</f>
        <v>1</v>
      </c>
      <c r="T120" s="139" t="str">
        <f t="shared" si="226"/>
        <v>Copper Standard Access 5Mbit/sNearnet</v>
      </c>
      <c r="U120" s="151" t="str">
        <f t="shared" si="227"/>
        <v>Copper Standard Access 5Mbit/sNearnet</v>
      </c>
      <c r="W120" s="521">
        <f>MATCH($J120,'Tarieven ZM'!$B:$B,0)</f>
        <v>167</v>
      </c>
      <c r="X120" s="204">
        <f>INDEX('Tarieven ZM'!$H:$H,$W120)</f>
        <v>1000</v>
      </c>
      <c r="Y120" s="198">
        <f>IF(E120="Standard Access in ZG BT gebieden",0,-INDEX(Parameters!$B:$B,MATCH(Y$3&amp;$C120,Parameters!$A:$A,0))*$X120)</f>
        <v>0</v>
      </c>
      <c r="Z120" s="198">
        <f>IF(E120="Standard Access in ZG BT gebieden",0,MAX(-INDEX(Parameters!$B:$B,MATCH(Z$3&amp;$C120,Parameters!$A:$A,0))*$X120,-INDEX(Parameters!$B:$B,MATCH("FactorMaxSalesMandaat"&amp;E120,Parameters!$A:$A,0))*INDEX(Parameters!$B:$B,MATCH("MaxSalesMandaatAccessVVE"&amp;$C120,Parameters!$A:$A,0))))</f>
        <v>0</v>
      </c>
      <c r="AA120" s="139">
        <f t="shared" si="228"/>
        <v>1000</v>
      </c>
      <c r="AB120" s="205">
        <f>AA120/INDEX(Parameters!$B:$B,MATCH("AfschrijftermijnVVE"&amp;12*$C120,Parameters!$A:$A,0))</f>
        <v>27.777777777777779</v>
      </c>
      <c r="AC120" s="204">
        <f>INDEX('Tarieven ZM'!$G:$G,$W120)</f>
        <v>1000</v>
      </c>
      <c r="AD120" s="198">
        <f>IF(E120="Standard Access in ZG BT gebieden",0,-INDEX(Parameters!$B:$B,MATCH(AD$3&amp;$C120,Parameters!$A:$A,0))*$AC120)</f>
        <v>0</v>
      </c>
      <c r="AE120" s="198">
        <f>IF(E120="Standard Access in ZG BT gebieden",0,-INDEX(Parameters!$B:$B,MATCH(AE$3,Parameters!$A:$A,0))*$AC120)</f>
        <v>0</v>
      </c>
      <c r="AF120" s="139">
        <f t="shared" si="229"/>
        <v>1000</v>
      </c>
      <c r="AG120" s="522">
        <f t="shared" si="230"/>
        <v>1027.7777777777778</v>
      </c>
      <c r="AH120" s="175"/>
      <c r="AI120" s="523">
        <f>IF(N120&lt;&gt;"nvt",MATCH($T120,'Tarieven W&amp;O'!$B:$B,0),"nvt")</f>
        <v>24</v>
      </c>
      <c r="AJ120" s="205">
        <f>IF(AI120&lt;&gt;"nvt",IF($D120="EoK",INDEX(Parameters!C:C,MATCH("NLSx EoK",Parameters!A:A,0)),INDEX('Tarieven W&amp;O'!$H:$H,$AI120)),0)*R120</f>
        <v>350</v>
      </c>
      <c r="AK120" s="204">
        <f>IF(AI120&lt;&gt;"nvt",INDEX('Tarieven W&amp;O'!$I:$I,$AI120),0)*R120</f>
        <v>75</v>
      </c>
      <c r="AL120" s="524">
        <f>IF(AI120&lt;&gt;"nvt",-INDEX(Parameters!$B:$B,MATCH(AL$3,Parameters!$A:$A,0))*(AJ120+AK120),0)</f>
        <v>0</v>
      </c>
      <c r="AM120" s="525"/>
      <c r="AN120" s="139">
        <f t="shared" si="231"/>
        <v>425</v>
      </c>
      <c r="AO120" s="205">
        <f>AN120/INDEX(Parameters!$B:$B,MATCH("AfschrijftermijnVVE"&amp;12*$C120,Parameters!$A:$A,0))</f>
        <v>11.805555555555555</v>
      </c>
      <c r="AP120" s="139">
        <f t="shared" si="232"/>
        <v>24</v>
      </c>
      <c r="AQ120" s="526">
        <f>IF(AP120&lt;&gt;"nvt",R120*INDEX('Tarieven W&amp;O'!$G:$G,$AP120),0)</f>
        <v>60.97</v>
      </c>
      <c r="AR120" s="524">
        <f>-INDEX(Parameters!$B:$B,MATCH(AR$3,Parameters!$A:$A,0))*(AQ120)</f>
        <v>0</v>
      </c>
      <c r="AS120" s="205">
        <f>IF(E120="straal access",'EDC Minus'!$H$192,IF(Q120&lt;&gt;"nvt",Q120*S120*'EDC Minus'!$H$292/590,0))</f>
        <v>0</v>
      </c>
      <c r="AT120" s="139"/>
      <c r="AU120" s="150">
        <f t="shared" si="233"/>
        <v>60.97</v>
      </c>
      <c r="AV120" s="150">
        <f t="shared" si="234"/>
        <v>72.775555555555556</v>
      </c>
      <c r="AX120" s="526">
        <f>Parameters!$B$6*AV120</f>
        <v>0.7277555555555556</v>
      </c>
      <c r="AY120" s="150">
        <v>0</v>
      </c>
      <c r="AZ120" s="150"/>
      <c r="BA120" s="150">
        <f t="shared" si="235"/>
        <v>0.7277555555555556</v>
      </c>
      <c r="BC120" s="522">
        <f t="shared" si="236"/>
        <v>73.503311111111117</v>
      </c>
      <c r="BD120" s="175"/>
      <c r="BE120" s="527">
        <f t="shared" si="207"/>
        <v>954.27446666666674</v>
      </c>
      <c r="BF120" s="181">
        <f t="shared" si="208"/>
        <v>0.92848326486486488</v>
      </c>
      <c r="BG120" s="520" t="b">
        <f t="shared" si="237"/>
        <v>0</v>
      </c>
      <c r="BI120" s="528" t="s">
        <v>2181</v>
      </c>
      <c r="BK120" s="151">
        <f>VLOOKUP(J120,'Tarieven ZM'!$B$136:$I$235,8,0)</f>
        <v>0</v>
      </c>
      <c r="BL120" s="151" t="str">
        <f>IF(M120="EoK",N120&amp;"AdvancedNLS type 1/2/3",IF(E120&lt;&gt;"Straal Access",INDEX(Mapping!J:J,MATCH(E120&amp;G120,Mapping!B:B,0)),E120))</f>
        <v>Copper Standard Access 5Mbit/sAdvancedNLS type 1/2/3</v>
      </c>
      <c r="BM120" s="184">
        <f>INDEX('inkoop ULL tbv EVPN'!J:J,MATCH($BL120,'inkoop ULL tbv EVPN'!$H:$H,0))</f>
        <v>78.97</v>
      </c>
      <c r="BN120" s="180">
        <f>BM120/INDEX(Parameters!$B:$B,MATCH("AfschrijftermijnVVE"&amp;12*$C120,Parameters!$A:$A,0))</f>
        <v>2.1936111111111112</v>
      </c>
      <c r="BO120" s="184">
        <f>INDEX('inkoop ULL tbv EVPN'!I:I,MATCH($BL120,'inkoop ULL tbv EVPN'!$H:$H,0))</f>
        <v>14.7296035</v>
      </c>
      <c r="BP120" s="184">
        <f t="shared" si="238"/>
        <v>16.92321461111111</v>
      </c>
      <c r="BR120" s="180">
        <f>Parameters!$B$12*AG120</f>
        <v>102.77777777777779</v>
      </c>
      <c r="BS120" s="180">
        <f>SUM(Distributievergoedingen!$F$12,Distributievergoedingen!$I$12,Distributievergoedingen!$L$12,Distributievergoedingen!$O$12)*AF120+SUM(Distributievergoedingen!$O$12*AA120+Distributievergoedingen!$R$12+Distributievergoedingen!$U$12+Distributievergoedingen!$X$12)/(MAX(36,12*C120))</f>
        <v>112.77777777777777</v>
      </c>
      <c r="BT120" s="150"/>
      <c r="BU120" s="150">
        <f t="shared" si="239"/>
        <v>215.55555555555554</v>
      </c>
      <c r="BW120" s="522">
        <f t="shared" si="240"/>
        <v>232.47877016666666</v>
      </c>
      <c r="BY120" s="527">
        <f t="shared" si="241"/>
        <v>795.29900761111116</v>
      </c>
      <c r="BZ120" s="181">
        <f t="shared" si="242"/>
        <v>0.77380443983783787</v>
      </c>
      <c r="CA120" s="520" t="b">
        <f t="shared" si="243"/>
        <v>0</v>
      </c>
    </row>
    <row r="121" spans="1:79" s="151" customFormat="1">
      <c r="A121" s="151" t="str">
        <f t="shared" si="223"/>
        <v>3EoKStandard Access koper 10mbMiddel&lt; 250 meter</v>
      </c>
      <c r="B121" s="151" t="str">
        <f t="shared" si="224"/>
        <v>3EoKStandard Access koper 10mbMiddel&lt; 250 meter</v>
      </c>
      <c r="C121" s="178">
        <v>3</v>
      </c>
      <c r="D121" s="415" t="s">
        <v>303</v>
      </c>
      <c r="E121" s="178" t="s">
        <v>277</v>
      </c>
      <c r="F121" s="107" t="s">
        <v>280</v>
      </c>
      <c r="G121" s="178" t="s">
        <v>3397</v>
      </c>
      <c r="I121" s="178"/>
      <c r="J121" s="520" t="str">
        <f t="shared" si="225"/>
        <v>EoKStandard Access koper 10mbMiddel&lt; 250 meter</v>
      </c>
      <c r="L121" s="204">
        <f>INDEX(Mapping!$H:$H,MATCH(C$3&amp;C121,Mapping!$B:$B,0))</f>
        <v>1</v>
      </c>
      <c r="M121" s="204" t="str">
        <f>INDEX(Mapping!$H:$H,MATCH(D$3&amp;D121,Mapping!$B:$B,0))</f>
        <v>EoK</v>
      </c>
      <c r="N121" s="204" t="str">
        <f>INDEX(Mapping!$H:$H,MATCH(E$3&amp;E121,Mapping!$B:$B,0))</f>
        <v>Copper Standard Access 10Mbit/s</v>
      </c>
      <c r="O121" s="204" t="str">
        <f>INDEX(Mapping!$H:$H,MATCH(E121&amp;F121,Mapping!$B:$B,0))</f>
        <v/>
      </c>
      <c r="P121" s="204" t="str">
        <f>INDEX(Mapping!$H:$H,MATCH($E121&amp;$G121,Mapping!$B:$B,0))</f>
        <v>Nearnet</v>
      </c>
      <c r="Q121" s="204" t="str">
        <f>INDEX(Mapping!$H:$H,MATCH($E121&amp;$G121&amp;"graafafstand",Mapping!$B:$B,0))</f>
        <v>nvt</v>
      </c>
      <c r="R121" s="204">
        <f>INDEX(Mapping!$H:$H,MATCH(R$3&amp;$E121,Mapping!$B:$B,0))</f>
        <v>1</v>
      </c>
      <c r="S121" s="204">
        <f>INDEX(Mapping!$H:$H,MATCH(S$3&amp;$E121,Mapping!$B:$B,0))</f>
        <v>1</v>
      </c>
      <c r="T121" s="139" t="str">
        <f t="shared" si="226"/>
        <v>Copper Standard Access 10Mbit/sNearnet</v>
      </c>
      <c r="U121" s="151" t="str">
        <f t="shared" si="227"/>
        <v>Copper Standard Access 10Mbit/sNearnet</v>
      </c>
      <c r="W121" s="521">
        <f>MATCH($J121,'Tarieven ZM'!$B:$B,0)</f>
        <v>168</v>
      </c>
      <c r="X121" s="204">
        <f>INDEX('Tarieven ZM'!$H:$H,$W121)</f>
        <v>1000</v>
      </c>
      <c r="Y121" s="198">
        <f>IF(E121="Standard Access in ZG BT gebieden",0,-INDEX(Parameters!$B:$B,MATCH(Y$3&amp;$C121,Parameters!$A:$A,0))*$X121)</f>
        <v>0</v>
      </c>
      <c r="Z121" s="198">
        <f>IF(E121="Standard Access in ZG BT gebieden",0,MAX(-INDEX(Parameters!$B:$B,MATCH(Z$3&amp;$C121,Parameters!$A:$A,0))*$X121,-INDEX(Parameters!$B:$B,MATCH("FactorMaxSalesMandaat"&amp;E121,Parameters!$A:$A,0))*INDEX(Parameters!$B:$B,MATCH("MaxSalesMandaatAccessVVE"&amp;$C121,Parameters!$A:$A,0))))</f>
        <v>0</v>
      </c>
      <c r="AA121" s="139">
        <f t="shared" si="228"/>
        <v>1000</v>
      </c>
      <c r="AB121" s="205">
        <f>AA121/INDEX(Parameters!$B:$B,MATCH("AfschrijftermijnVVE"&amp;12*$C121,Parameters!$A:$A,0))</f>
        <v>27.777777777777779</v>
      </c>
      <c r="AC121" s="204">
        <f>INDEX('Tarieven ZM'!$G:$G,$W121)</f>
        <v>1000</v>
      </c>
      <c r="AD121" s="198">
        <f>IF(E121="Standard Access in ZG BT gebieden",0,-INDEX(Parameters!$B:$B,MATCH(AD$3&amp;$C121,Parameters!$A:$A,0))*$AC121)</f>
        <v>0</v>
      </c>
      <c r="AE121" s="198">
        <f>IF(E121="Standard Access in ZG BT gebieden",0,-INDEX(Parameters!$B:$B,MATCH(AE$3,Parameters!$A:$A,0))*$AC121)</f>
        <v>0</v>
      </c>
      <c r="AF121" s="139">
        <f t="shared" si="229"/>
        <v>1000</v>
      </c>
      <c r="AG121" s="522">
        <f t="shared" si="230"/>
        <v>1027.7777777777778</v>
      </c>
      <c r="AH121" s="175"/>
      <c r="AI121" s="523">
        <f>IF(N121&lt;&gt;"nvt",MATCH($T121,'Tarieven W&amp;O'!$B:$B,0),"nvt")</f>
        <v>25</v>
      </c>
      <c r="AJ121" s="205">
        <f>IF(AI121&lt;&gt;"nvt",IF($D121="EoK",INDEX(Parameters!C:C,MATCH("NLSx EoK",Parameters!A:A,0)),INDEX('Tarieven W&amp;O'!$H:$H,$AI121)),0)*R121</f>
        <v>350</v>
      </c>
      <c r="AK121" s="204">
        <f>IF(AI121&lt;&gt;"nvt",INDEX('Tarieven W&amp;O'!$I:$I,$AI121),0)*R121</f>
        <v>75</v>
      </c>
      <c r="AL121" s="524">
        <f>IF(AI121&lt;&gt;"nvt",-INDEX(Parameters!$B:$B,MATCH(AL$3,Parameters!$A:$A,0))*(AJ121+AK121),0)</f>
        <v>0</v>
      </c>
      <c r="AM121" s="525"/>
      <c r="AN121" s="139">
        <f t="shared" si="231"/>
        <v>425</v>
      </c>
      <c r="AO121" s="205">
        <f>AN121/INDEX(Parameters!$B:$B,MATCH("AfschrijftermijnVVE"&amp;12*$C121,Parameters!$A:$A,0))</f>
        <v>11.805555555555555</v>
      </c>
      <c r="AP121" s="139">
        <f t="shared" si="232"/>
        <v>25</v>
      </c>
      <c r="AQ121" s="526">
        <f>IF(AP121&lt;&gt;"nvt",R121*INDEX('Tarieven W&amp;O'!$G:$G,$AP121),0)</f>
        <v>83.59</v>
      </c>
      <c r="AR121" s="524">
        <f>-INDEX(Parameters!$B:$B,MATCH(AR$3,Parameters!$A:$A,0))*(AQ121)</f>
        <v>0</v>
      </c>
      <c r="AS121" s="205">
        <f>IF(E121="straal access",'EDC Minus'!$H$192,IF(Q121&lt;&gt;"nvt",Q121*S121*'EDC Minus'!$H$292/590,0))</f>
        <v>0</v>
      </c>
      <c r="AT121" s="139"/>
      <c r="AU121" s="150">
        <f t="shared" si="233"/>
        <v>83.59</v>
      </c>
      <c r="AV121" s="150">
        <f t="shared" si="234"/>
        <v>95.395555555555561</v>
      </c>
      <c r="AX121" s="526">
        <f>Parameters!$B$6*AV121</f>
        <v>0.95395555555555567</v>
      </c>
      <c r="AY121" s="150">
        <v>0</v>
      </c>
      <c r="AZ121" s="150"/>
      <c r="BA121" s="150">
        <f t="shared" si="235"/>
        <v>0.95395555555555567</v>
      </c>
      <c r="BC121" s="522">
        <f t="shared" si="236"/>
        <v>96.349511111111113</v>
      </c>
      <c r="BD121" s="175"/>
      <c r="BE121" s="527">
        <f t="shared" si="207"/>
        <v>931.42826666666667</v>
      </c>
      <c r="BF121" s="181">
        <f t="shared" si="208"/>
        <v>0.90625452972972964</v>
      </c>
      <c r="BG121" s="520" t="b">
        <f t="shared" si="237"/>
        <v>0</v>
      </c>
      <c r="BI121" s="528" t="s">
        <v>2181</v>
      </c>
      <c r="BK121" s="151">
        <f>VLOOKUP(J121,'Tarieven ZM'!$B$136:$I$235,8,0)</f>
        <v>0</v>
      </c>
      <c r="BL121" s="151" t="str">
        <f>IF(M121="EoK",N121&amp;"AdvancedNLS type 1/2/3",IF(E121&lt;&gt;"Straal Access",INDEX(Mapping!J:J,MATCH(E121&amp;G121,Mapping!B:B,0)),E121))</f>
        <v>Copper Standard Access 10Mbit/sAdvancedNLS type 1/2/3</v>
      </c>
      <c r="BM121" s="184">
        <f>INDEX('inkoop ULL tbv EVPN'!J:J,MATCH($BL121,'inkoop ULL tbv EVPN'!$H:$H,0))</f>
        <v>78.97</v>
      </c>
      <c r="BN121" s="180">
        <f>BM121/INDEX(Parameters!$B:$B,MATCH("AfschrijftermijnVVE"&amp;12*$C121,Parameters!$A:$A,0))</f>
        <v>2.1936111111111112</v>
      </c>
      <c r="BO121" s="184">
        <f>INDEX('inkoop ULL tbv EVPN'!I:I,MATCH($BL121,'inkoop ULL tbv EVPN'!$H:$H,0))</f>
        <v>14.7296035</v>
      </c>
      <c r="BP121" s="184">
        <f t="shared" si="238"/>
        <v>16.92321461111111</v>
      </c>
      <c r="BR121" s="180">
        <f>Parameters!$B$12*AG121</f>
        <v>102.77777777777779</v>
      </c>
      <c r="BS121" s="180">
        <f>SUM(Distributievergoedingen!$F$12,Distributievergoedingen!$I$12,Distributievergoedingen!$L$12,Distributievergoedingen!$O$12)*AF121+SUM(Distributievergoedingen!$O$12*AA121+Distributievergoedingen!$R$12+Distributievergoedingen!$U$12+Distributievergoedingen!$X$12)/(MAX(36,12*C121))</f>
        <v>112.77777777777777</v>
      </c>
      <c r="BT121" s="150"/>
      <c r="BU121" s="150">
        <f t="shared" si="239"/>
        <v>215.55555555555554</v>
      </c>
      <c r="BW121" s="522">
        <f t="shared" si="240"/>
        <v>232.47877016666666</v>
      </c>
      <c r="BY121" s="527">
        <f t="shared" si="241"/>
        <v>795.29900761111116</v>
      </c>
      <c r="BZ121" s="181">
        <f t="shared" si="242"/>
        <v>0.77380443983783787</v>
      </c>
      <c r="CA121" s="520" t="b">
        <f t="shared" si="243"/>
        <v>0</v>
      </c>
    </row>
    <row r="122" spans="1:79" s="151" customFormat="1">
      <c r="A122" s="151" t="str">
        <f t="shared" si="223"/>
        <v>3EoKStandard Access koper 15mbMiddel&lt; 250 meter</v>
      </c>
      <c r="B122" s="151" t="str">
        <f t="shared" si="224"/>
        <v>3EoKStandard Access koper 15mbMiddel&lt; 250 meter</v>
      </c>
      <c r="C122" s="178">
        <v>3</v>
      </c>
      <c r="D122" s="415" t="s">
        <v>303</v>
      </c>
      <c r="E122" s="178" t="s">
        <v>278</v>
      </c>
      <c r="F122" s="107" t="s">
        <v>280</v>
      </c>
      <c r="G122" s="178" t="s">
        <v>3397</v>
      </c>
      <c r="I122" s="178"/>
      <c r="J122" s="520" t="str">
        <f t="shared" si="225"/>
        <v>EoKStandard Access koper 15mbMiddel&lt; 250 meter</v>
      </c>
      <c r="L122" s="204">
        <f>INDEX(Mapping!$H:$H,MATCH(C$3&amp;C122,Mapping!$B:$B,0))</f>
        <v>1</v>
      </c>
      <c r="M122" s="204" t="str">
        <f>INDEX(Mapping!$H:$H,MATCH(D$3&amp;D122,Mapping!$B:$B,0))</f>
        <v>EoK</v>
      </c>
      <c r="N122" s="204" t="str">
        <f>INDEX(Mapping!$H:$H,MATCH(E$3&amp;E122,Mapping!$B:$B,0))</f>
        <v>Copper Standard Access 15Mbit/s</v>
      </c>
      <c r="O122" s="204" t="str">
        <f>INDEX(Mapping!$H:$H,MATCH(E122&amp;F122,Mapping!$B:$B,0))</f>
        <v/>
      </c>
      <c r="P122" s="204" t="str">
        <f>INDEX(Mapping!$H:$H,MATCH($E122&amp;$G122,Mapping!$B:$B,0))</f>
        <v>Nearnet</v>
      </c>
      <c r="Q122" s="204" t="str">
        <f>INDEX(Mapping!$H:$H,MATCH($E122&amp;$G122&amp;"graafafstand",Mapping!$B:$B,0))</f>
        <v>nvt</v>
      </c>
      <c r="R122" s="204">
        <f>INDEX(Mapping!$H:$H,MATCH(R$3&amp;$E122,Mapping!$B:$B,0))</f>
        <v>1</v>
      </c>
      <c r="S122" s="204">
        <f>INDEX(Mapping!$H:$H,MATCH(S$3&amp;$E122,Mapping!$B:$B,0))</f>
        <v>1</v>
      </c>
      <c r="T122" s="139" t="str">
        <f t="shared" si="226"/>
        <v>Copper Standard Access 15Mbit/sNearnet</v>
      </c>
      <c r="U122" s="151" t="str">
        <f t="shared" si="227"/>
        <v>Copper Standard Access 15Mbit/sNearnet</v>
      </c>
      <c r="W122" s="521">
        <f>MATCH($J122,'Tarieven ZM'!$B:$B,0)</f>
        <v>169</v>
      </c>
      <c r="X122" s="204">
        <f>INDEX('Tarieven ZM'!$H:$H,$W122)</f>
        <v>1000</v>
      </c>
      <c r="Y122" s="198">
        <f>IF(E122="Standard Access in ZG BT gebieden",0,-INDEX(Parameters!$B:$B,MATCH(Y$3&amp;$C122,Parameters!$A:$A,0))*$X122)</f>
        <v>0</v>
      </c>
      <c r="Z122" s="198">
        <f>IF(E122="Standard Access in ZG BT gebieden",0,MAX(-INDEX(Parameters!$B:$B,MATCH(Z$3&amp;$C122,Parameters!$A:$A,0))*$X122,-INDEX(Parameters!$B:$B,MATCH("FactorMaxSalesMandaat"&amp;E122,Parameters!$A:$A,0))*INDEX(Parameters!$B:$B,MATCH("MaxSalesMandaatAccessVVE"&amp;$C122,Parameters!$A:$A,0))))</f>
        <v>0</v>
      </c>
      <c r="AA122" s="139">
        <f t="shared" si="228"/>
        <v>1000</v>
      </c>
      <c r="AB122" s="205">
        <f>AA122/INDEX(Parameters!$B:$B,MATCH("AfschrijftermijnVVE"&amp;12*$C122,Parameters!$A:$A,0))</f>
        <v>27.777777777777779</v>
      </c>
      <c r="AC122" s="204">
        <f>INDEX('Tarieven ZM'!$G:$G,$W122)</f>
        <v>1000</v>
      </c>
      <c r="AD122" s="198">
        <f>IF(E122="Standard Access in ZG BT gebieden",0,-INDEX(Parameters!$B:$B,MATCH(AD$3&amp;$C122,Parameters!$A:$A,0))*$AC122)</f>
        <v>0</v>
      </c>
      <c r="AE122" s="198">
        <f>IF(E122="Standard Access in ZG BT gebieden",0,-INDEX(Parameters!$B:$B,MATCH(AE$3,Parameters!$A:$A,0))*$AC122)</f>
        <v>0</v>
      </c>
      <c r="AF122" s="139">
        <f t="shared" si="229"/>
        <v>1000</v>
      </c>
      <c r="AG122" s="522">
        <f t="shared" si="230"/>
        <v>1027.7777777777778</v>
      </c>
      <c r="AH122" s="175"/>
      <c r="AI122" s="523">
        <f>IF(N122&lt;&gt;"nvt",MATCH($T122,'Tarieven W&amp;O'!$B:$B,0),"nvt")</f>
        <v>26</v>
      </c>
      <c r="AJ122" s="205">
        <f>IF(AI122&lt;&gt;"nvt",IF($D122="EoK",INDEX(Parameters!C:C,MATCH("NLSx EoK",Parameters!A:A,0)),INDEX('Tarieven W&amp;O'!$H:$H,$AI122)),0)*R122</f>
        <v>350</v>
      </c>
      <c r="AK122" s="204">
        <f>IF(AI122&lt;&gt;"nvt",INDEX('Tarieven W&amp;O'!$I:$I,$AI122),0)*R122</f>
        <v>75</v>
      </c>
      <c r="AL122" s="524">
        <f>IF(AI122&lt;&gt;"nvt",-INDEX(Parameters!$B:$B,MATCH(AL$3,Parameters!$A:$A,0))*(AJ122+AK122),0)</f>
        <v>0</v>
      </c>
      <c r="AM122" s="525"/>
      <c r="AN122" s="139">
        <f t="shared" si="231"/>
        <v>425</v>
      </c>
      <c r="AO122" s="205">
        <f>AN122/INDEX(Parameters!$B:$B,MATCH("AfschrijftermijnVVE"&amp;12*$C122,Parameters!$A:$A,0))</f>
        <v>11.805555555555555</v>
      </c>
      <c r="AP122" s="139">
        <f t="shared" si="232"/>
        <v>26</v>
      </c>
      <c r="AQ122" s="526">
        <f>IF(AP122&lt;&gt;"nvt",R122*INDEX('Tarieven W&amp;O'!$G:$G,$AP122),0)</f>
        <v>102.44</v>
      </c>
      <c r="AR122" s="524">
        <f>-INDEX(Parameters!$B:$B,MATCH(AR$3,Parameters!$A:$A,0))*(AQ122)</f>
        <v>0</v>
      </c>
      <c r="AS122" s="205">
        <f>IF(E122="straal access",'EDC Minus'!$H$192,IF(Q122&lt;&gt;"nvt",Q122*S122*'EDC Minus'!$H$292/590,0))</f>
        <v>0</v>
      </c>
      <c r="AT122" s="139"/>
      <c r="AU122" s="150">
        <f t="shared" si="233"/>
        <v>102.44</v>
      </c>
      <c r="AV122" s="150">
        <f t="shared" si="234"/>
        <v>114.24555555555555</v>
      </c>
      <c r="AX122" s="526">
        <f>Parameters!$B$6*AV122</f>
        <v>1.1424555555555556</v>
      </c>
      <c r="AY122" s="150">
        <v>0</v>
      </c>
      <c r="AZ122" s="150"/>
      <c r="BA122" s="150">
        <f t="shared" si="235"/>
        <v>1.1424555555555556</v>
      </c>
      <c r="BC122" s="522">
        <f t="shared" si="236"/>
        <v>115.38801111111111</v>
      </c>
      <c r="BD122" s="175"/>
      <c r="BE122" s="527">
        <f t="shared" si="207"/>
        <v>912.38976666666667</v>
      </c>
      <c r="BF122" s="181">
        <f t="shared" si="208"/>
        <v>0.88773058378378378</v>
      </c>
      <c r="BG122" s="520" t="b">
        <f t="shared" si="237"/>
        <v>0</v>
      </c>
      <c r="BI122" s="528" t="s">
        <v>2181</v>
      </c>
      <c r="BK122" s="151">
        <f>VLOOKUP(J122,'Tarieven ZM'!$B$136:$I$235,8,0)</f>
        <v>0</v>
      </c>
      <c r="BL122" s="151" t="str">
        <f>IF(M122="EoK",N122&amp;"AdvancedNLS type 1/2/3",IF(E122&lt;&gt;"Straal Access",INDEX(Mapping!J:J,MATCH(E122&amp;G122,Mapping!B:B,0)),E122))</f>
        <v>Copper Standard Access 15Mbit/sAdvancedNLS type 1/2/3</v>
      </c>
      <c r="BM122" s="184">
        <f>INDEX('inkoop ULL tbv EVPN'!J:J,MATCH($BL122,'inkoop ULL tbv EVPN'!$H:$H,0))</f>
        <v>78.97</v>
      </c>
      <c r="BN122" s="180">
        <f>BM122/INDEX(Parameters!$B:$B,MATCH("AfschrijftermijnVVE"&amp;12*$C122,Parameters!$A:$A,0))</f>
        <v>2.1936111111111112</v>
      </c>
      <c r="BO122" s="184">
        <f>INDEX('inkoop ULL tbv EVPN'!I:I,MATCH($BL122,'inkoop ULL tbv EVPN'!$H:$H,0))</f>
        <v>14.7296035</v>
      </c>
      <c r="BP122" s="184">
        <f t="shared" si="238"/>
        <v>16.92321461111111</v>
      </c>
      <c r="BR122" s="180">
        <f>Parameters!$B$12*AG122</f>
        <v>102.77777777777779</v>
      </c>
      <c r="BS122" s="180">
        <f>SUM(Distributievergoedingen!$F$12,Distributievergoedingen!$I$12,Distributievergoedingen!$L$12,Distributievergoedingen!$O$12)*AF122+SUM(Distributievergoedingen!$O$12*AA122+Distributievergoedingen!$R$12+Distributievergoedingen!$U$12+Distributievergoedingen!$X$12)/(MAX(36,12*C122))</f>
        <v>112.77777777777777</v>
      </c>
      <c r="BT122" s="150"/>
      <c r="BU122" s="150">
        <f t="shared" si="239"/>
        <v>215.55555555555554</v>
      </c>
      <c r="BW122" s="522">
        <f t="shared" si="240"/>
        <v>232.47877016666666</v>
      </c>
      <c r="BY122" s="527">
        <f t="shared" si="241"/>
        <v>795.29900761111116</v>
      </c>
      <c r="BZ122" s="181">
        <f t="shared" si="242"/>
        <v>0.77380443983783787</v>
      </c>
      <c r="CA122" s="520" t="b">
        <f t="shared" si="243"/>
        <v>0</v>
      </c>
    </row>
    <row r="123" spans="1:79" s="151" customFormat="1">
      <c r="A123" s="151" t="str">
        <f t="shared" si="223"/>
        <v>3EoKStandard Access koper 20mbMiddel&lt; 250 meter</v>
      </c>
      <c r="B123" s="151" t="str">
        <f t="shared" si="224"/>
        <v>3EoKStandard Access koper 20mbMiddel&lt; 250 meter</v>
      </c>
      <c r="C123" s="178">
        <v>3</v>
      </c>
      <c r="D123" s="415" t="s">
        <v>303</v>
      </c>
      <c r="E123" s="178" t="s">
        <v>279</v>
      </c>
      <c r="F123" s="107" t="s">
        <v>280</v>
      </c>
      <c r="G123" s="178" t="s">
        <v>3397</v>
      </c>
      <c r="I123" s="178"/>
      <c r="J123" s="520" t="str">
        <f t="shared" si="225"/>
        <v>EoKStandard Access koper 20mbMiddel&lt; 250 meter</v>
      </c>
      <c r="L123" s="204">
        <f>INDEX(Mapping!$H:$H,MATCH(C$3&amp;C123,Mapping!$B:$B,0))</f>
        <v>1</v>
      </c>
      <c r="M123" s="204" t="str">
        <f>INDEX(Mapping!$H:$H,MATCH(D$3&amp;D123,Mapping!$B:$B,0))</f>
        <v>EoK</v>
      </c>
      <c r="N123" s="204" t="str">
        <f>INDEX(Mapping!$H:$H,MATCH(E$3&amp;E123,Mapping!$B:$B,0))</f>
        <v>Copper Standard Access 20Mbit/s</v>
      </c>
      <c r="O123" s="204" t="str">
        <f>INDEX(Mapping!$H:$H,MATCH(E123&amp;F123,Mapping!$B:$B,0))</f>
        <v/>
      </c>
      <c r="P123" s="204" t="str">
        <f>INDEX(Mapping!$H:$H,MATCH($E123&amp;$G123,Mapping!$B:$B,0))</f>
        <v>Nearnet</v>
      </c>
      <c r="Q123" s="204" t="str">
        <f>INDEX(Mapping!$H:$H,MATCH($E123&amp;$G123&amp;"graafafstand",Mapping!$B:$B,0))</f>
        <v>nvt</v>
      </c>
      <c r="R123" s="204">
        <f>INDEX(Mapping!$H:$H,MATCH(R$3&amp;$E123,Mapping!$B:$B,0))</f>
        <v>1</v>
      </c>
      <c r="S123" s="204">
        <f>INDEX(Mapping!$H:$H,MATCH(S$3&amp;$E123,Mapping!$B:$B,0))</f>
        <v>1</v>
      </c>
      <c r="T123" s="139" t="str">
        <f t="shared" si="226"/>
        <v>Copper Standard Access 20Mbit/sNearnet</v>
      </c>
      <c r="U123" s="151" t="str">
        <f t="shared" si="227"/>
        <v>Copper Standard Access 20Mbit/sNearnet</v>
      </c>
      <c r="W123" s="521">
        <f>MATCH($J123,'Tarieven ZM'!$B:$B,0)</f>
        <v>170</v>
      </c>
      <c r="X123" s="204">
        <f>INDEX('Tarieven ZM'!$H:$H,$W123)</f>
        <v>1000</v>
      </c>
      <c r="Y123" s="198">
        <f>IF(E123="Standard Access in ZG BT gebieden",0,-INDEX(Parameters!$B:$B,MATCH(Y$3&amp;$C123,Parameters!$A:$A,0))*$X123)</f>
        <v>0</v>
      </c>
      <c r="Z123" s="198">
        <f>IF(E123="Standard Access in ZG BT gebieden",0,MAX(-INDEX(Parameters!$B:$B,MATCH(Z$3&amp;$C123,Parameters!$A:$A,0))*$X123,-INDEX(Parameters!$B:$B,MATCH("FactorMaxSalesMandaat"&amp;E123,Parameters!$A:$A,0))*INDEX(Parameters!$B:$B,MATCH("MaxSalesMandaatAccessVVE"&amp;$C123,Parameters!$A:$A,0))))</f>
        <v>0</v>
      </c>
      <c r="AA123" s="139">
        <f t="shared" si="228"/>
        <v>1000</v>
      </c>
      <c r="AB123" s="205">
        <f>AA123/INDEX(Parameters!$B:$B,MATCH("AfschrijftermijnVVE"&amp;12*$C123,Parameters!$A:$A,0))</f>
        <v>27.777777777777779</v>
      </c>
      <c r="AC123" s="204">
        <f>INDEX('Tarieven ZM'!$G:$G,$W123)</f>
        <v>1000</v>
      </c>
      <c r="AD123" s="198">
        <f>IF(E123="Standard Access in ZG BT gebieden",0,-INDEX(Parameters!$B:$B,MATCH(AD$3&amp;$C123,Parameters!$A:$A,0))*$AC123)</f>
        <v>0</v>
      </c>
      <c r="AE123" s="198">
        <f>IF(E123="Standard Access in ZG BT gebieden",0,-INDEX(Parameters!$B:$B,MATCH(AE$3,Parameters!$A:$A,0))*$AC123)</f>
        <v>0</v>
      </c>
      <c r="AF123" s="139">
        <f t="shared" si="229"/>
        <v>1000</v>
      </c>
      <c r="AG123" s="522">
        <f t="shared" si="230"/>
        <v>1027.7777777777778</v>
      </c>
      <c r="AH123" s="175"/>
      <c r="AI123" s="523">
        <f>IF(N123&lt;&gt;"nvt",MATCH($T123,'Tarieven W&amp;O'!$B:$B,0),"nvt")</f>
        <v>27</v>
      </c>
      <c r="AJ123" s="205">
        <f>IF(AI123&lt;&gt;"nvt",IF($D123="EoK",INDEX(Parameters!C:C,MATCH("NLSx EoK",Parameters!A:A,0)),INDEX('Tarieven W&amp;O'!$H:$H,$AI123)),0)*R123</f>
        <v>350</v>
      </c>
      <c r="AK123" s="204">
        <f>IF(AI123&lt;&gt;"nvt",INDEX('Tarieven W&amp;O'!$I:$I,$AI123),0)*R123</f>
        <v>75</v>
      </c>
      <c r="AL123" s="524">
        <f>IF(AI123&lt;&gt;"nvt",-INDEX(Parameters!$B:$B,MATCH(AL$3,Parameters!$A:$A,0))*(AJ123+AK123),0)</f>
        <v>0</v>
      </c>
      <c r="AM123" s="525"/>
      <c r="AN123" s="139">
        <f t="shared" si="231"/>
        <v>425</v>
      </c>
      <c r="AO123" s="205">
        <f>AN123/INDEX(Parameters!$B:$B,MATCH("AfschrijftermijnVVE"&amp;12*$C123,Parameters!$A:$A,0))</f>
        <v>11.805555555555555</v>
      </c>
      <c r="AP123" s="139">
        <f t="shared" si="232"/>
        <v>27</v>
      </c>
      <c r="AQ123" s="526">
        <f>IF(AP123&lt;&gt;"nvt",R123*INDEX('Tarieven W&amp;O'!$G:$G,$AP123),0)</f>
        <v>121.28</v>
      </c>
      <c r="AR123" s="524">
        <f>-INDEX(Parameters!$B:$B,MATCH(AR$3,Parameters!$A:$A,0))*(AQ123)</f>
        <v>0</v>
      </c>
      <c r="AS123" s="205">
        <f>IF(E123="straal access",'EDC Minus'!$H$192,IF(Q123&lt;&gt;"nvt",Q123*S123*'EDC Minus'!$H$292/590,0))</f>
        <v>0</v>
      </c>
      <c r="AT123" s="139"/>
      <c r="AU123" s="150">
        <f t="shared" si="233"/>
        <v>121.28</v>
      </c>
      <c r="AV123" s="150">
        <f t="shared" si="234"/>
        <v>133.08555555555554</v>
      </c>
      <c r="AX123" s="526">
        <f>Parameters!$B$6*AV123</f>
        <v>1.3308555555555555</v>
      </c>
      <c r="AY123" s="150">
        <v>0</v>
      </c>
      <c r="AZ123" s="150"/>
      <c r="BA123" s="150">
        <f t="shared" si="235"/>
        <v>1.3308555555555555</v>
      </c>
      <c r="BC123" s="522">
        <f t="shared" si="236"/>
        <v>134.4164111111111</v>
      </c>
      <c r="BD123" s="175"/>
      <c r="BE123" s="527">
        <f t="shared" si="207"/>
        <v>893.36136666666675</v>
      </c>
      <c r="BF123" s="181">
        <f t="shared" si="208"/>
        <v>0.86921646486486492</v>
      </c>
      <c r="BG123" s="520" t="b">
        <f t="shared" si="237"/>
        <v>0</v>
      </c>
      <c r="BI123" s="528" t="s">
        <v>2181</v>
      </c>
      <c r="BK123" s="151">
        <f>VLOOKUP(J123,'Tarieven ZM'!$B$136:$I$235,8,0)</f>
        <v>0</v>
      </c>
      <c r="BL123" s="151" t="str">
        <f>IF(M123="EoK",N123&amp;"AdvancedNLS type 1/2/3",IF(E123&lt;&gt;"Straal Access",INDEX(Mapping!J:J,MATCH(E123&amp;G123,Mapping!B:B,0)),E123))</f>
        <v>Copper Standard Access 20Mbit/sAdvancedNLS type 1/2/3</v>
      </c>
      <c r="BM123" s="184">
        <f>INDEX('inkoop ULL tbv EVPN'!J:J,MATCH($BL123,'inkoop ULL tbv EVPN'!$H:$H,0))</f>
        <v>78.97</v>
      </c>
      <c r="BN123" s="180">
        <f>BM123/INDEX(Parameters!$B:$B,MATCH("AfschrijftermijnVVE"&amp;12*$C123,Parameters!$A:$A,0))</f>
        <v>2.1936111111111112</v>
      </c>
      <c r="BO123" s="184">
        <f>INDEX('inkoop ULL tbv EVPN'!I:I,MATCH($BL123,'inkoop ULL tbv EVPN'!$H:$H,0))</f>
        <v>14.7296035</v>
      </c>
      <c r="BP123" s="184">
        <f t="shared" si="238"/>
        <v>16.92321461111111</v>
      </c>
      <c r="BR123" s="180">
        <f>Parameters!$B$12*AG123</f>
        <v>102.77777777777779</v>
      </c>
      <c r="BS123" s="180">
        <f>SUM(Distributievergoedingen!$F$12,Distributievergoedingen!$I$12,Distributievergoedingen!$L$12,Distributievergoedingen!$O$12)*AF123+SUM(Distributievergoedingen!$O$12*AA123+Distributievergoedingen!$R$12+Distributievergoedingen!$U$12+Distributievergoedingen!$X$12)/(MAX(36,12*C123))</f>
        <v>112.77777777777777</v>
      </c>
      <c r="BT123" s="150"/>
      <c r="BU123" s="150">
        <f t="shared" si="239"/>
        <v>215.55555555555554</v>
      </c>
      <c r="BW123" s="522">
        <f t="shared" si="240"/>
        <v>232.47877016666666</v>
      </c>
      <c r="BY123" s="527">
        <f t="shared" si="241"/>
        <v>795.29900761111116</v>
      </c>
      <c r="BZ123" s="181">
        <f t="shared" si="242"/>
        <v>0.77380443983783787</v>
      </c>
      <c r="CA123" s="520" t="b">
        <f t="shared" si="243"/>
        <v>0</v>
      </c>
    </row>
    <row r="124" spans="1:79" s="151" customFormat="1">
      <c r="A124" s="151" t="str">
        <f t="shared" ref="A124" si="244">C124&amp;D124&amp;E124&amp;F124&amp;G124</f>
        <v>3EoKStandard Access koper 3mbLaagOn-net (NLS1, 2)</v>
      </c>
      <c r="B124" s="151" t="str">
        <f t="shared" ref="B124" si="245">A124</f>
        <v>3EoKStandard Access koper 3mbLaagOn-net (NLS1, 2)</v>
      </c>
      <c r="C124" s="178">
        <v>3</v>
      </c>
      <c r="D124" s="415" t="s">
        <v>303</v>
      </c>
      <c r="E124" s="178" t="s">
        <v>268</v>
      </c>
      <c r="F124" s="107" t="s">
        <v>275</v>
      </c>
      <c r="G124" s="178" t="s">
        <v>281</v>
      </c>
      <c r="I124" s="178"/>
      <c r="J124" s="520" t="str">
        <f t="shared" si="225"/>
        <v>EoKStandard Access koper 3mbLaagOn-net (NLS1, 2)</v>
      </c>
      <c r="L124" s="204">
        <f>INDEX(Mapping!$H:$H,MATCH(C$3&amp;C124,Mapping!$B:$B,0))</f>
        <v>1</v>
      </c>
      <c r="M124" s="204" t="str">
        <f>INDEX(Mapping!$H:$H,MATCH(D$3&amp;D124,Mapping!$B:$B,0))</f>
        <v>EoK</v>
      </c>
      <c r="N124" s="204" t="str">
        <f>INDEX(Mapping!$H:$H,MATCH(E$3&amp;E124,Mapping!$B:$B,0))</f>
        <v>Copper Standard Access 3Mbit/s</v>
      </c>
      <c r="O124" s="204" t="str">
        <f>INDEX(Mapping!$H:$H,MATCH(E124&amp;F124,Mapping!$B:$B,0))</f>
        <v/>
      </c>
      <c r="P124" s="204" t="str">
        <f>INDEX(Mapping!$H:$H,MATCH($E124&amp;$G124,Mapping!$B:$B,0))</f>
        <v>On-net (NLS1, 2)</v>
      </c>
      <c r="Q124" s="204">
        <f>INDEX(Mapping!$H:$H,MATCH($E124&amp;$G124&amp;"graafafstand",Mapping!$B:$B,0))</f>
        <v>0</v>
      </c>
      <c r="R124" s="204">
        <f>INDEX(Mapping!$H:$H,MATCH(R$3&amp;$E124,Mapping!$B:$B,0))</f>
        <v>1</v>
      </c>
      <c r="S124" s="204">
        <f>INDEX(Mapping!$H:$H,MATCH(S$3&amp;$E124,Mapping!$B:$B,0))</f>
        <v>1</v>
      </c>
      <c r="T124" s="139" t="str">
        <f t="shared" ref="T124" si="246">N124&amp;O124&amp;P124</f>
        <v>Copper Standard Access 3Mbit/sOn-net (NLS1, 2)</v>
      </c>
      <c r="U124" s="151" t="str">
        <f t="shared" ref="U124" si="247">T124</f>
        <v>Copper Standard Access 3Mbit/sOn-net (NLS1, 2)</v>
      </c>
      <c r="W124" s="521">
        <f>MATCH($J124,'Tarieven ZM'!$B:$B,0)</f>
        <v>171</v>
      </c>
      <c r="X124" s="204">
        <f>INDEX('Tarieven ZM'!$H:$H,$W124)</f>
        <v>1000</v>
      </c>
      <c r="Y124" s="198">
        <f>IF(E124="Standard Access in ZG BT gebieden",0,-INDEX(Parameters!$B:$B,MATCH(Y$3&amp;$C124,Parameters!$A:$A,0))*$X124)</f>
        <v>0</v>
      </c>
      <c r="Z124" s="198">
        <f>IF(E124="Standard Access in ZG BT gebieden",0,MAX(-INDEX(Parameters!$B:$B,MATCH(Z$3&amp;$C124,Parameters!$A:$A,0))*$X124,-INDEX(Parameters!$B:$B,MATCH("FactorMaxSalesMandaat"&amp;E124,Parameters!$A:$A,0))*INDEX(Parameters!$B:$B,MATCH("MaxSalesMandaatAccessVVE"&amp;$C124,Parameters!$A:$A,0))))</f>
        <v>0</v>
      </c>
      <c r="AA124" s="139">
        <f t="shared" ref="AA124" si="248">SUM(X124:Z124)</f>
        <v>1000</v>
      </c>
      <c r="AB124" s="205">
        <f>AA124/INDEX(Parameters!$B:$B,MATCH("AfschrijftermijnVVE"&amp;12*$C124,Parameters!$A:$A,0))</f>
        <v>27.777777777777779</v>
      </c>
      <c r="AC124" s="204">
        <f>INDEX('Tarieven ZM'!$G:$G,$W124)</f>
        <v>1000</v>
      </c>
      <c r="AD124" s="198">
        <f>IF(E124="Standard Access in ZG BT gebieden",0,-INDEX(Parameters!$B:$B,MATCH(AD$3&amp;$C124,Parameters!$A:$A,0))*$AC124)</f>
        <v>0</v>
      </c>
      <c r="AE124" s="198">
        <f>IF(E124="Standard Access in ZG BT gebieden",0,-INDEX(Parameters!$B:$B,MATCH(AE$3,Parameters!$A:$A,0))*$AC124)</f>
        <v>0</v>
      </c>
      <c r="AF124" s="139">
        <f t="shared" ref="AF124" si="249">SUM(AC124:AE124)</f>
        <v>1000</v>
      </c>
      <c r="AG124" s="522">
        <f t="shared" ref="AG124" si="250">SUM(AB124,AF124)</f>
        <v>1027.7777777777778</v>
      </c>
      <c r="AH124" s="175"/>
      <c r="AI124" s="523">
        <f>IF(N124&lt;&gt;"nvt",MATCH($T124,'Tarieven W&amp;O'!$B:$B,0),"nvt")</f>
        <v>9</v>
      </c>
      <c r="AJ124" s="205">
        <f>IF(AI124&lt;&gt;"nvt",IF($D124="EoK",INDEX(Parameters!C:C,MATCH("NLSx EoK",Parameters!A:A,0)),INDEX('Tarieven W&amp;O'!$H:$H,$AI124)),0)*R124</f>
        <v>350</v>
      </c>
      <c r="AK124" s="204">
        <f>IF(AI124&lt;&gt;"nvt",INDEX('Tarieven W&amp;O'!$I:$I,$AI124),0)*R124</f>
        <v>75</v>
      </c>
      <c r="AL124" s="524">
        <f>IF(AI124&lt;&gt;"nvt",-INDEX(Parameters!$B:$B,MATCH(AL$3,Parameters!$A:$A,0))*(AJ124+AK124),0)</f>
        <v>0</v>
      </c>
      <c r="AM124" s="525"/>
      <c r="AN124" s="139">
        <f t="shared" ref="AN124" si="251">SUM(AJ124:AM124)</f>
        <v>425</v>
      </c>
      <c r="AO124" s="205">
        <f>AN124/INDEX(Parameters!$B:$B,MATCH("AfschrijftermijnVVE"&amp;12*$C124,Parameters!$A:$A,0))</f>
        <v>11.805555555555555</v>
      </c>
      <c r="AP124" s="139">
        <f t="shared" ref="AP124" si="252">AI124</f>
        <v>9</v>
      </c>
      <c r="AQ124" s="526">
        <f>IF(AP124&lt;&gt;"nvt",R124*INDEX('Tarieven W&amp;O'!$G:$G,$AP124),0)</f>
        <v>41.5</v>
      </c>
      <c r="AR124" s="524">
        <f>-INDEX(Parameters!$B:$B,MATCH(AR$3,Parameters!$A:$A,0))*(AQ124)</f>
        <v>0</v>
      </c>
      <c r="AS124" s="205">
        <f>IF(E124="straal access",'EDC Minus'!$H$192,IF(Q124&lt;&gt;"nvt",Q124*S124*'EDC Minus'!$H$292/590,0))</f>
        <v>0</v>
      </c>
      <c r="AT124" s="139"/>
      <c r="AU124" s="150">
        <f t="shared" ref="AU124" si="253">SUM(AQ124:AT124)</f>
        <v>41.5</v>
      </c>
      <c r="AV124" s="150">
        <f t="shared" ref="AV124" si="254">SUM(AO124,AU124)</f>
        <v>53.305555555555557</v>
      </c>
      <c r="AX124" s="526">
        <f>Parameters!$B$6*AV124</f>
        <v>0.53305555555555562</v>
      </c>
      <c r="AY124" s="150">
        <v>0</v>
      </c>
      <c r="AZ124" s="150"/>
      <c r="BA124" s="150">
        <f t="shared" ref="BA124" si="255">SUM(AX124:AZ124)</f>
        <v>0.53305555555555562</v>
      </c>
      <c r="BC124" s="522">
        <f t="shared" si="236"/>
        <v>53.838611111111113</v>
      </c>
      <c r="BD124" s="175"/>
      <c r="BE124" s="527">
        <f t="shared" ref="BE124:BE139" si="256">AG124-BC124</f>
        <v>973.93916666666667</v>
      </c>
      <c r="BF124" s="181">
        <f t="shared" ref="BF124:BF139" si="257">IF(AG124=0,-999%,BE124/AG124)</f>
        <v>0.94761648648648644</v>
      </c>
      <c r="BG124" s="520" t="b">
        <f t="shared" ref="BG124" si="258">BF124&lt;0</f>
        <v>0</v>
      </c>
      <c r="BI124" s="528" t="s">
        <v>2181</v>
      </c>
      <c r="BK124" s="151">
        <f>VLOOKUP(J124,'Tarieven ZM'!$B$136:$I$235,8,0)</f>
        <v>0</v>
      </c>
      <c r="BL124" s="151" t="str">
        <f>IF(M124="EoK",N124&amp;"AdvancedNLS type 1/2/3",IF(E124&lt;&gt;"Straal Access",INDEX(Mapping!J:J,MATCH(E124&amp;G124,Mapping!B:B,0)),E124))</f>
        <v>Copper Standard Access 3Mbit/sAdvancedNLS type 1/2/3</v>
      </c>
      <c r="BM124" s="184">
        <f>INDEX('inkoop ULL tbv EVPN'!J:J,MATCH($BL124,'inkoop ULL tbv EVPN'!$H:$H,0))</f>
        <v>78.97</v>
      </c>
      <c r="BN124" s="180">
        <f>BM124/INDEX(Parameters!$B:$B,MATCH("AfschrijftermijnVVE"&amp;12*$C124,Parameters!$A:$A,0))</f>
        <v>2.1936111111111112</v>
      </c>
      <c r="BO124" s="184">
        <f>INDEX('inkoop ULL tbv EVPN'!I:I,MATCH($BL124,'inkoop ULL tbv EVPN'!$H:$H,0))</f>
        <v>14.7296035</v>
      </c>
      <c r="BP124" s="184">
        <f t="shared" si="238"/>
        <v>16.92321461111111</v>
      </c>
      <c r="BR124" s="180">
        <f>Parameters!$B$12*AG124</f>
        <v>102.77777777777779</v>
      </c>
      <c r="BS124" s="180">
        <f>SUM(Distributievergoedingen!$F$12,Distributievergoedingen!$I$12,Distributievergoedingen!$L$12,Distributievergoedingen!$O$12)*AF124+SUM(Distributievergoedingen!$O$12*AA124+Distributievergoedingen!$R$12+Distributievergoedingen!$U$12+Distributievergoedingen!$X$12)/(MAX(36,12*C124))</f>
        <v>112.77777777777777</v>
      </c>
      <c r="BT124" s="150"/>
      <c r="BU124" s="150">
        <f t="shared" si="239"/>
        <v>215.55555555555554</v>
      </c>
      <c r="BW124" s="522">
        <f t="shared" si="240"/>
        <v>232.47877016666666</v>
      </c>
      <c r="BY124" s="527">
        <f t="shared" si="241"/>
        <v>795.29900761111116</v>
      </c>
      <c r="BZ124" s="181">
        <f t="shared" si="242"/>
        <v>0.77380443983783787</v>
      </c>
      <c r="CA124" s="520" t="b">
        <f t="shared" si="243"/>
        <v>0</v>
      </c>
    </row>
    <row r="125" spans="1:79" s="151" customFormat="1">
      <c r="A125" s="151" t="str">
        <f>C125&amp;D125&amp;E125&amp;F125&amp;G125</f>
        <v>3EoKStandard Access koper 5mbLaagOn-net (NLS1, 2)</v>
      </c>
      <c r="B125" s="151" t="str">
        <f>A125</f>
        <v>3EoKStandard Access koper 5mbLaagOn-net (NLS1, 2)</v>
      </c>
      <c r="C125" s="178">
        <v>3</v>
      </c>
      <c r="D125" s="415" t="s">
        <v>303</v>
      </c>
      <c r="E125" s="178" t="s">
        <v>276</v>
      </c>
      <c r="F125" s="107" t="s">
        <v>275</v>
      </c>
      <c r="G125" s="178" t="s">
        <v>281</v>
      </c>
      <c r="I125" s="178"/>
      <c r="J125" s="520" t="str">
        <f t="shared" si="225"/>
        <v>EoKStandard Access koper 5mbLaagOn-net (NLS1, 2)</v>
      </c>
      <c r="L125" s="204">
        <f>INDEX(Mapping!$H:$H,MATCH(C$3&amp;C125,Mapping!$B:$B,0))</f>
        <v>1</v>
      </c>
      <c r="M125" s="204" t="str">
        <f>INDEX(Mapping!$H:$H,MATCH(D$3&amp;D125,Mapping!$B:$B,0))</f>
        <v>EoK</v>
      </c>
      <c r="N125" s="204" t="str">
        <f>INDEX(Mapping!$H:$H,MATCH(E$3&amp;E125,Mapping!$B:$B,0))</f>
        <v>Copper Standard Access 5Mbit/s</v>
      </c>
      <c r="O125" s="204" t="str">
        <f>INDEX(Mapping!$H:$H,MATCH(E125&amp;F125,Mapping!$B:$B,0))</f>
        <v/>
      </c>
      <c r="P125" s="204" t="str">
        <f>INDEX(Mapping!$H:$H,MATCH($E125&amp;$G125,Mapping!$B:$B,0))</f>
        <v>On-net (NLS1, 2)</v>
      </c>
      <c r="Q125" s="204">
        <f>INDEX(Mapping!$H:$H,MATCH($E125&amp;$G125&amp;"graafafstand",Mapping!$B:$B,0))</f>
        <v>0</v>
      </c>
      <c r="R125" s="204">
        <f>INDEX(Mapping!$H:$H,MATCH(R$3&amp;$E125,Mapping!$B:$B,0))</f>
        <v>1</v>
      </c>
      <c r="S125" s="204">
        <f>INDEX(Mapping!$H:$H,MATCH(S$3&amp;$E125,Mapping!$B:$B,0))</f>
        <v>1</v>
      </c>
      <c r="T125" s="139" t="str">
        <f>N125&amp;O125&amp;P125</f>
        <v>Copper Standard Access 5Mbit/sOn-net (NLS1, 2)</v>
      </c>
      <c r="U125" s="151" t="str">
        <f>T125</f>
        <v>Copper Standard Access 5Mbit/sOn-net (NLS1, 2)</v>
      </c>
      <c r="W125" s="521">
        <f>MATCH($J125,'Tarieven ZM'!$B:$B,0)</f>
        <v>172</v>
      </c>
      <c r="X125" s="204">
        <f>INDEX('Tarieven ZM'!$H:$H,$W125)</f>
        <v>1000</v>
      </c>
      <c r="Y125" s="198">
        <f>IF(E125="Standard Access in ZG BT gebieden",0,-INDEX(Parameters!$B:$B,MATCH(Y$3&amp;$C125,Parameters!$A:$A,0))*$X125)</f>
        <v>0</v>
      </c>
      <c r="Z125" s="198">
        <f>IF(E125="Standard Access in ZG BT gebieden",0,MAX(-INDEX(Parameters!$B:$B,MATCH(Z$3&amp;$C125,Parameters!$A:$A,0))*$X125,-INDEX(Parameters!$B:$B,MATCH("FactorMaxSalesMandaat"&amp;E125,Parameters!$A:$A,0))*INDEX(Parameters!$B:$B,MATCH("MaxSalesMandaatAccessVVE"&amp;$C125,Parameters!$A:$A,0))))</f>
        <v>0</v>
      </c>
      <c r="AA125" s="139">
        <f>SUM(X125:Z125)</f>
        <v>1000</v>
      </c>
      <c r="AB125" s="205">
        <f>AA125/INDEX(Parameters!$B:$B,MATCH("AfschrijftermijnVVE"&amp;12*$C125,Parameters!$A:$A,0))</f>
        <v>27.777777777777779</v>
      </c>
      <c r="AC125" s="204">
        <f>INDEX('Tarieven ZM'!$G:$G,$W125)</f>
        <v>1000</v>
      </c>
      <c r="AD125" s="198">
        <f>IF(E125="Standard Access in ZG BT gebieden",0,-INDEX(Parameters!$B:$B,MATCH(AD$3&amp;$C125,Parameters!$A:$A,0))*$AC125)</f>
        <v>0</v>
      </c>
      <c r="AE125" s="198">
        <f>IF(E125="Standard Access in ZG BT gebieden",0,-INDEX(Parameters!$B:$B,MATCH(AE$3,Parameters!$A:$A,0))*$AC125)</f>
        <v>0</v>
      </c>
      <c r="AF125" s="139">
        <f>SUM(AC125:AE125)</f>
        <v>1000</v>
      </c>
      <c r="AG125" s="522">
        <f>SUM(AB125,AF125)</f>
        <v>1027.7777777777778</v>
      </c>
      <c r="AH125" s="175"/>
      <c r="AI125" s="523">
        <f>IF(N125&lt;&gt;"nvt",MATCH($T125,'Tarieven W&amp;O'!$B:$B,0),"nvt")</f>
        <v>10</v>
      </c>
      <c r="AJ125" s="205">
        <f>IF(AI125&lt;&gt;"nvt",IF($D125="EoK",INDEX(Parameters!C:C,MATCH("NLSx EoK",Parameters!A:A,0)),INDEX('Tarieven W&amp;O'!$H:$H,$AI125)),0)*R125</f>
        <v>350</v>
      </c>
      <c r="AK125" s="204">
        <f>IF(AI125&lt;&gt;"nvt",INDEX('Tarieven W&amp;O'!$I:$I,$AI125),0)*R125</f>
        <v>75</v>
      </c>
      <c r="AL125" s="524">
        <f>IF(AI125&lt;&gt;"nvt",-INDEX(Parameters!$B:$B,MATCH(AL$3,Parameters!$A:$A,0))*(AJ125+AK125),0)</f>
        <v>0</v>
      </c>
      <c r="AM125" s="525"/>
      <c r="AN125" s="139">
        <f>SUM(AJ125:AM125)</f>
        <v>425</v>
      </c>
      <c r="AO125" s="205">
        <f>AN125/INDEX(Parameters!$B:$B,MATCH("AfschrijftermijnVVE"&amp;12*$C125,Parameters!$A:$A,0))</f>
        <v>11.805555555555555</v>
      </c>
      <c r="AP125" s="139">
        <f>AI125</f>
        <v>10</v>
      </c>
      <c r="AQ125" s="526">
        <f>IF(AP125&lt;&gt;"nvt",R125*INDEX('Tarieven W&amp;O'!$G:$G,$AP125),0)</f>
        <v>60.97</v>
      </c>
      <c r="AR125" s="524">
        <f>-INDEX(Parameters!$B:$B,MATCH(AR$3,Parameters!$A:$A,0))*(AQ125)</f>
        <v>0</v>
      </c>
      <c r="AS125" s="205">
        <f>IF(E125="straal access",'EDC Minus'!$H$192,IF(Q125&lt;&gt;"nvt",Q125*S125*'EDC Minus'!$H$292/590,0))</f>
        <v>0</v>
      </c>
      <c r="AT125" s="139"/>
      <c r="AU125" s="150">
        <f>SUM(AQ125:AT125)</f>
        <v>60.97</v>
      </c>
      <c r="AV125" s="150">
        <f>SUM(AO125,AU125)</f>
        <v>72.775555555555556</v>
      </c>
      <c r="AX125" s="526">
        <f>Parameters!$B$6*AV125</f>
        <v>0.7277555555555556</v>
      </c>
      <c r="AY125" s="150">
        <v>0</v>
      </c>
      <c r="AZ125" s="150"/>
      <c r="BA125" s="150">
        <f>SUM(AX125:AZ125)</f>
        <v>0.7277555555555556</v>
      </c>
      <c r="BC125" s="522">
        <f t="shared" si="236"/>
        <v>73.503311111111117</v>
      </c>
      <c r="BD125" s="175"/>
      <c r="BE125" s="527">
        <f t="shared" si="256"/>
        <v>954.27446666666674</v>
      </c>
      <c r="BF125" s="181">
        <f t="shared" si="257"/>
        <v>0.92848326486486488</v>
      </c>
      <c r="BG125" s="520" t="b">
        <f>BF125&lt;0</f>
        <v>0</v>
      </c>
      <c r="BI125" s="528" t="s">
        <v>2181</v>
      </c>
      <c r="BK125" s="151">
        <f>VLOOKUP(J125,'Tarieven ZM'!$B$136:$I$235,8,0)</f>
        <v>0</v>
      </c>
      <c r="BL125" s="151" t="str">
        <f>IF(M125="EoK",N125&amp;"AdvancedNLS type 1/2/3",IF(E125&lt;&gt;"Straal Access",INDEX(Mapping!J:J,MATCH(E125&amp;G125,Mapping!B:B,0)),E125))</f>
        <v>Copper Standard Access 5Mbit/sAdvancedNLS type 1/2/3</v>
      </c>
      <c r="BM125" s="184">
        <f>INDEX('inkoop ULL tbv EVPN'!J:J,MATCH($BL125,'inkoop ULL tbv EVPN'!$H:$H,0))</f>
        <v>78.97</v>
      </c>
      <c r="BN125" s="180">
        <f>BM125/INDEX(Parameters!$B:$B,MATCH("AfschrijftermijnVVE"&amp;12*$C125,Parameters!$A:$A,0))</f>
        <v>2.1936111111111112</v>
      </c>
      <c r="BO125" s="184">
        <f>INDEX('inkoop ULL tbv EVPN'!I:I,MATCH($BL125,'inkoop ULL tbv EVPN'!$H:$H,0))</f>
        <v>14.7296035</v>
      </c>
      <c r="BP125" s="184">
        <f t="shared" si="238"/>
        <v>16.92321461111111</v>
      </c>
      <c r="BR125" s="180">
        <f>Parameters!$B$12*AG125</f>
        <v>102.77777777777779</v>
      </c>
      <c r="BS125" s="180">
        <f>SUM(Distributievergoedingen!$F$12,Distributievergoedingen!$I$12,Distributievergoedingen!$L$12,Distributievergoedingen!$O$12)*AF125+SUM(Distributievergoedingen!$O$12*AA125+Distributievergoedingen!$R$12+Distributievergoedingen!$U$12+Distributievergoedingen!$X$12)/(MAX(36,12*C125))</f>
        <v>112.77777777777777</v>
      </c>
      <c r="BT125" s="150"/>
      <c r="BU125" s="150">
        <f t="shared" si="239"/>
        <v>215.55555555555554</v>
      </c>
      <c r="BW125" s="522">
        <f t="shared" si="240"/>
        <v>232.47877016666666</v>
      </c>
      <c r="BY125" s="527">
        <f t="shared" si="241"/>
        <v>795.29900761111116</v>
      </c>
      <c r="BZ125" s="181">
        <f t="shared" si="242"/>
        <v>0.77380443983783787</v>
      </c>
      <c r="CA125" s="520" t="b">
        <f t="shared" si="243"/>
        <v>0</v>
      </c>
    </row>
    <row r="126" spans="1:79" s="151" customFormat="1">
      <c r="A126" s="151" t="str">
        <f t="shared" ref="A126:A138" si="259">C126&amp;D126&amp;E126&amp;F126&amp;G126</f>
        <v>3EoKStandard Access koper 10mbLaagOn-net (NLS1, 2)</v>
      </c>
      <c r="B126" s="151" t="str">
        <f t="shared" ref="B126:B138" si="260">A126</f>
        <v>3EoKStandard Access koper 10mbLaagOn-net (NLS1, 2)</v>
      </c>
      <c r="C126" s="178">
        <v>3</v>
      </c>
      <c r="D126" s="415" t="s">
        <v>303</v>
      </c>
      <c r="E126" s="178" t="s">
        <v>277</v>
      </c>
      <c r="F126" s="107" t="s">
        <v>275</v>
      </c>
      <c r="G126" s="178" t="s">
        <v>281</v>
      </c>
      <c r="I126" s="178"/>
      <c r="J126" s="520" t="str">
        <f t="shared" si="225"/>
        <v>EoKStandard Access koper 10mbLaagOn-net (NLS1, 2)</v>
      </c>
      <c r="L126" s="204">
        <f>INDEX(Mapping!$H:$H,MATCH(C$3&amp;C126,Mapping!$B:$B,0))</f>
        <v>1</v>
      </c>
      <c r="M126" s="204" t="str">
        <f>INDEX(Mapping!$H:$H,MATCH(D$3&amp;D126,Mapping!$B:$B,0))</f>
        <v>EoK</v>
      </c>
      <c r="N126" s="204" t="str">
        <f>INDEX(Mapping!$H:$H,MATCH(E$3&amp;E126,Mapping!$B:$B,0))</f>
        <v>Copper Standard Access 10Mbit/s</v>
      </c>
      <c r="O126" s="204" t="str">
        <f>INDEX(Mapping!$H:$H,MATCH(E126&amp;F126,Mapping!$B:$B,0))</f>
        <v/>
      </c>
      <c r="P126" s="204" t="str">
        <f>INDEX(Mapping!$H:$H,MATCH($E126&amp;$G126,Mapping!$B:$B,0))</f>
        <v>On-net (NLS1, 2)</v>
      </c>
      <c r="Q126" s="204">
        <f>INDEX(Mapping!$H:$H,MATCH($E126&amp;$G126&amp;"graafafstand",Mapping!$B:$B,0))</f>
        <v>0</v>
      </c>
      <c r="R126" s="204">
        <f>INDEX(Mapping!$H:$H,MATCH(R$3&amp;$E126,Mapping!$B:$B,0))</f>
        <v>1</v>
      </c>
      <c r="S126" s="204">
        <f>INDEX(Mapping!$H:$H,MATCH(S$3&amp;$E126,Mapping!$B:$B,0))</f>
        <v>1</v>
      </c>
      <c r="T126" s="139" t="str">
        <f t="shared" ref="T126:T138" si="261">N126&amp;O126&amp;P126</f>
        <v>Copper Standard Access 10Mbit/sOn-net (NLS1, 2)</v>
      </c>
      <c r="U126" s="151" t="str">
        <f t="shared" ref="U126:U138" si="262">T126</f>
        <v>Copper Standard Access 10Mbit/sOn-net (NLS1, 2)</v>
      </c>
      <c r="W126" s="521">
        <f>MATCH($J126,'Tarieven ZM'!$B:$B,0)</f>
        <v>173</v>
      </c>
      <c r="X126" s="204">
        <f>INDEX('Tarieven ZM'!$H:$H,$W126)</f>
        <v>1000</v>
      </c>
      <c r="Y126" s="198">
        <f>IF(E126="Standard Access in ZG BT gebieden",0,-INDEX(Parameters!$B:$B,MATCH(Y$3&amp;$C126,Parameters!$A:$A,0))*$X126)</f>
        <v>0</v>
      </c>
      <c r="Z126" s="198">
        <f>IF(E126="Standard Access in ZG BT gebieden",0,MAX(-INDEX(Parameters!$B:$B,MATCH(Z$3&amp;$C126,Parameters!$A:$A,0))*$X126,-INDEX(Parameters!$B:$B,MATCH("FactorMaxSalesMandaat"&amp;E126,Parameters!$A:$A,0))*INDEX(Parameters!$B:$B,MATCH("MaxSalesMandaatAccessVVE"&amp;$C126,Parameters!$A:$A,0))))</f>
        <v>0</v>
      </c>
      <c r="AA126" s="139">
        <f t="shared" ref="AA126:AA138" si="263">SUM(X126:Z126)</f>
        <v>1000</v>
      </c>
      <c r="AB126" s="205">
        <f>AA126/INDEX(Parameters!$B:$B,MATCH("AfschrijftermijnVVE"&amp;12*$C126,Parameters!$A:$A,0))</f>
        <v>27.777777777777779</v>
      </c>
      <c r="AC126" s="204">
        <f>INDEX('Tarieven ZM'!$G:$G,$W126)</f>
        <v>1000</v>
      </c>
      <c r="AD126" s="198">
        <f>IF(E126="Standard Access in ZG BT gebieden",0,-INDEX(Parameters!$B:$B,MATCH(AD$3&amp;$C126,Parameters!$A:$A,0))*$AC126)</f>
        <v>0</v>
      </c>
      <c r="AE126" s="198">
        <f>IF(E126="Standard Access in ZG BT gebieden",0,-INDEX(Parameters!$B:$B,MATCH(AE$3,Parameters!$A:$A,0))*$AC126)</f>
        <v>0</v>
      </c>
      <c r="AF126" s="139">
        <f t="shared" ref="AF126:AF138" si="264">SUM(AC126:AE126)</f>
        <v>1000</v>
      </c>
      <c r="AG126" s="522">
        <f t="shared" ref="AG126:AG138" si="265">SUM(AB126,AF126)</f>
        <v>1027.7777777777778</v>
      </c>
      <c r="AH126" s="175"/>
      <c r="AI126" s="523">
        <f>IF(N126&lt;&gt;"nvt",MATCH($T126,'Tarieven W&amp;O'!$B:$B,0),"nvt")</f>
        <v>11</v>
      </c>
      <c r="AJ126" s="205">
        <f>IF(AI126&lt;&gt;"nvt",IF($D126="EoK",INDEX(Parameters!C:C,MATCH("NLSx EoK",Parameters!A:A,0)),INDEX('Tarieven W&amp;O'!$H:$H,$AI126)),0)*R126</f>
        <v>350</v>
      </c>
      <c r="AK126" s="204">
        <f>IF(AI126&lt;&gt;"nvt",INDEX('Tarieven W&amp;O'!$I:$I,$AI126),0)*R126</f>
        <v>75</v>
      </c>
      <c r="AL126" s="524">
        <f>IF(AI126&lt;&gt;"nvt",-INDEX(Parameters!$B:$B,MATCH(AL$3,Parameters!$A:$A,0))*(AJ126+AK126),0)</f>
        <v>0</v>
      </c>
      <c r="AM126" s="525"/>
      <c r="AN126" s="139">
        <f t="shared" ref="AN126:AN138" si="266">SUM(AJ126:AM126)</f>
        <v>425</v>
      </c>
      <c r="AO126" s="205">
        <f>AN126/INDEX(Parameters!$B:$B,MATCH("AfschrijftermijnVVE"&amp;12*$C126,Parameters!$A:$A,0))</f>
        <v>11.805555555555555</v>
      </c>
      <c r="AP126" s="139">
        <f t="shared" ref="AP126:AP138" si="267">AI126</f>
        <v>11</v>
      </c>
      <c r="AQ126" s="526">
        <f>IF(AP126&lt;&gt;"nvt",R126*INDEX('Tarieven W&amp;O'!$G:$G,$AP126),0)</f>
        <v>83.59</v>
      </c>
      <c r="AR126" s="524">
        <f>-INDEX(Parameters!$B:$B,MATCH(AR$3,Parameters!$A:$A,0))*(AQ126)</f>
        <v>0</v>
      </c>
      <c r="AS126" s="205">
        <f>IF(E126="straal access",'EDC Minus'!$H$192,IF(Q126&lt;&gt;"nvt",Q126*S126*'EDC Minus'!$H$292/590,0))</f>
        <v>0</v>
      </c>
      <c r="AT126" s="139"/>
      <c r="AU126" s="150">
        <f t="shared" ref="AU126:AU138" si="268">SUM(AQ126:AT126)</f>
        <v>83.59</v>
      </c>
      <c r="AV126" s="150">
        <f t="shared" ref="AV126:AV138" si="269">SUM(AO126,AU126)</f>
        <v>95.395555555555561</v>
      </c>
      <c r="AX126" s="526">
        <f>Parameters!$B$6*AV126</f>
        <v>0.95395555555555567</v>
      </c>
      <c r="AY126" s="150">
        <v>0</v>
      </c>
      <c r="AZ126" s="150"/>
      <c r="BA126" s="150">
        <f t="shared" ref="BA126:BA138" si="270">SUM(AX126:AZ126)</f>
        <v>0.95395555555555567</v>
      </c>
      <c r="BC126" s="522">
        <f t="shared" si="236"/>
        <v>96.349511111111113</v>
      </c>
      <c r="BD126" s="175"/>
      <c r="BE126" s="527">
        <f t="shared" si="256"/>
        <v>931.42826666666667</v>
      </c>
      <c r="BF126" s="181">
        <f t="shared" si="257"/>
        <v>0.90625452972972964</v>
      </c>
      <c r="BG126" s="520" t="b">
        <f t="shared" ref="BG126:BG138" si="271">BF126&lt;0</f>
        <v>0</v>
      </c>
      <c r="BI126" s="528" t="s">
        <v>2181</v>
      </c>
      <c r="BK126" s="151">
        <f>VLOOKUP(J126,'Tarieven ZM'!$B$136:$I$235,8,0)</f>
        <v>0</v>
      </c>
      <c r="BL126" s="151" t="str">
        <f>IF(M126="EoK",N126&amp;"AdvancedNLS type 1/2/3",IF(E126&lt;&gt;"Straal Access",INDEX(Mapping!J:J,MATCH(E126&amp;G126,Mapping!B:B,0)),E126))</f>
        <v>Copper Standard Access 10Mbit/sAdvancedNLS type 1/2/3</v>
      </c>
      <c r="BM126" s="184">
        <f>INDEX('inkoop ULL tbv EVPN'!J:J,MATCH($BL126,'inkoop ULL tbv EVPN'!$H:$H,0))</f>
        <v>78.97</v>
      </c>
      <c r="BN126" s="180">
        <f>BM126/INDEX(Parameters!$B:$B,MATCH("AfschrijftermijnVVE"&amp;12*$C126,Parameters!$A:$A,0))</f>
        <v>2.1936111111111112</v>
      </c>
      <c r="BO126" s="184">
        <f>INDEX('inkoop ULL tbv EVPN'!I:I,MATCH($BL126,'inkoop ULL tbv EVPN'!$H:$H,0))</f>
        <v>14.7296035</v>
      </c>
      <c r="BP126" s="184">
        <f t="shared" si="238"/>
        <v>16.92321461111111</v>
      </c>
      <c r="BR126" s="180">
        <f>Parameters!$B$12*AG126</f>
        <v>102.77777777777779</v>
      </c>
      <c r="BS126" s="180">
        <f>SUM(Distributievergoedingen!$F$12,Distributievergoedingen!$I$12,Distributievergoedingen!$L$12,Distributievergoedingen!$O$12)*AF126+SUM(Distributievergoedingen!$O$12*AA126+Distributievergoedingen!$R$12+Distributievergoedingen!$U$12+Distributievergoedingen!$X$12)/(MAX(36,12*C126))</f>
        <v>112.77777777777777</v>
      </c>
      <c r="BT126" s="150"/>
      <c r="BU126" s="150">
        <f t="shared" si="239"/>
        <v>215.55555555555554</v>
      </c>
      <c r="BW126" s="522">
        <f t="shared" si="240"/>
        <v>232.47877016666666</v>
      </c>
      <c r="BY126" s="527">
        <f t="shared" si="241"/>
        <v>795.29900761111116</v>
      </c>
      <c r="BZ126" s="181">
        <f t="shared" si="242"/>
        <v>0.77380443983783787</v>
      </c>
      <c r="CA126" s="520" t="b">
        <f t="shared" si="243"/>
        <v>0</v>
      </c>
    </row>
    <row r="127" spans="1:79" s="151" customFormat="1">
      <c r="A127" s="151" t="str">
        <f t="shared" si="259"/>
        <v>3EoKStandard Access koper 15mbLaagOn-net (NLS1, 2)</v>
      </c>
      <c r="B127" s="151" t="str">
        <f t="shared" si="260"/>
        <v>3EoKStandard Access koper 15mbLaagOn-net (NLS1, 2)</v>
      </c>
      <c r="C127" s="178">
        <v>3</v>
      </c>
      <c r="D127" s="415" t="s">
        <v>303</v>
      </c>
      <c r="E127" s="178" t="s">
        <v>278</v>
      </c>
      <c r="F127" s="107" t="s">
        <v>275</v>
      </c>
      <c r="G127" s="178" t="s">
        <v>281</v>
      </c>
      <c r="I127" s="178"/>
      <c r="J127" s="520" t="str">
        <f t="shared" si="225"/>
        <v>EoKStandard Access koper 15mbLaagOn-net (NLS1, 2)</v>
      </c>
      <c r="L127" s="204">
        <f>INDEX(Mapping!$H:$H,MATCH(C$3&amp;C127,Mapping!$B:$B,0))</f>
        <v>1</v>
      </c>
      <c r="M127" s="204" t="str">
        <f>INDEX(Mapping!$H:$H,MATCH(D$3&amp;D127,Mapping!$B:$B,0))</f>
        <v>EoK</v>
      </c>
      <c r="N127" s="204" t="str">
        <f>INDEX(Mapping!$H:$H,MATCH(E$3&amp;E127,Mapping!$B:$B,0))</f>
        <v>Copper Standard Access 15Mbit/s</v>
      </c>
      <c r="O127" s="204" t="str">
        <f>INDEX(Mapping!$H:$H,MATCH(E127&amp;F127,Mapping!$B:$B,0))</f>
        <v/>
      </c>
      <c r="P127" s="204" t="str">
        <f>INDEX(Mapping!$H:$H,MATCH($E127&amp;$G127,Mapping!$B:$B,0))</f>
        <v>On-net (NLS1, 2)</v>
      </c>
      <c r="Q127" s="204">
        <f>INDEX(Mapping!$H:$H,MATCH($E127&amp;$G127&amp;"graafafstand",Mapping!$B:$B,0))</f>
        <v>0</v>
      </c>
      <c r="R127" s="204">
        <f>INDEX(Mapping!$H:$H,MATCH(R$3&amp;$E127,Mapping!$B:$B,0))</f>
        <v>1</v>
      </c>
      <c r="S127" s="204">
        <f>INDEX(Mapping!$H:$H,MATCH(S$3&amp;$E127,Mapping!$B:$B,0))</f>
        <v>1</v>
      </c>
      <c r="T127" s="139" t="str">
        <f t="shared" si="261"/>
        <v>Copper Standard Access 15Mbit/sOn-net (NLS1, 2)</v>
      </c>
      <c r="U127" s="151" t="str">
        <f t="shared" si="262"/>
        <v>Copper Standard Access 15Mbit/sOn-net (NLS1, 2)</v>
      </c>
      <c r="W127" s="521">
        <f>MATCH($J127,'Tarieven ZM'!$B:$B,0)</f>
        <v>174</v>
      </c>
      <c r="X127" s="204">
        <f>INDEX('Tarieven ZM'!$H:$H,$W127)</f>
        <v>1000</v>
      </c>
      <c r="Y127" s="198">
        <f>IF(E127="Standard Access in ZG BT gebieden",0,-INDEX(Parameters!$B:$B,MATCH(Y$3&amp;$C127,Parameters!$A:$A,0))*$X127)</f>
        <v>0</v>
      </c>
      <c r="Z127" s="198">
        <f>IF(E127="Standard Access in ZG BT gebieden",0,MAX(-INDEX(Parameters!$B:$B,MATCH(Z$3&amp;$C127,Parameters!$A:$A,0))*$X127,-INDEX(Parameters!$B:$B,MATCH("FactorMaxSalesMandaat"&amp;E127,Parameters!$A:$A,0))*INDEX(Parameters!$B:$B,MATCH("MaxSalesMandaatAccessVVE"&amp;$C127,Parameters!$A:$A,0))))</f>
        <v>0</v>
      </c>
      <c r="AA127" s="139">
        <f t="shared" si="263"/>
        <v>1000</v>
      </c>
      <c r="AB127" s="205">
        <f>AA127/INDEX(Parameters!$B:$B,MATCH("AfschrijftermijnVVE"&amp;12*$C127,Parameters!$A:$A,0))</f>
        <v>27.777777777777779</v>
      </c>
      <c r="AC127" s="204">
        <f>INDEX('Tarieven ZM'!$G:$G,$W127)</f>
        <v>1000</v>
      </c>
      <c r="AD127" s="198">
        <f>IF(E127="Standard Access in ZG BT gebieden",0,-INDEX(Parameters!$B:$B,MATCH(AD$3&amp;$C127,Parameters!$A:$A,0))*$AC127)</f>
        <v>0</v>
      </c>
      <c r="AE127" s="198">
        <f>IF(E127="Standard Access in ZG BT gebieden",0,-INDEX(Parameters!$B:$B,MATCH(AE$3,Parameters!$A:$A,0))*$AC127)</f>
        <v>0</v>
      </c>
      <c r="AF127" s="139">
        <f t="shared" si="264"/>
        <v>1000</v>
      </c>
      <c r="AG127" s="522">
        <f t="shared" si="265"/>
        <v>1027.7777777777778</v>
      </c>
      <c r="AH127" s="175"/>
      <c r="AI127" s="523">
        <f>IF(N127&lt;&gt;"nvt",MATCH($T127,'Tarieven W&amp;O'!$B:$B,0),"nvt")</f>
        <v>12</v>
      </c>
      <c r="AJ127" s="205">
        <f>IF(AI127&lt;&gt;"nvt",IF($D127="EoK",INDEX(Parameters!C:C,MATCH("NLSx EoK",Parameters!A:A,0)),INDEX('Tarieven W&amp;O'!$H:$H,$AI127)),0)*R127</f>
        <v>350</v>
      </c>
      <c r="AK127" s="204">
        <f>IF(AI127&lt;&gt;"nvt",INDEX('Tarieven W&amp;O'!$I:$I,$AI127),0)*R127</f>
        <v>75</v>
      </c>
      <c r="AL127" s="524">
        <f>IF(AI127&lt;&gt;"nvt",-INDEX(Parameters!$B:$B,MATCH(AL$3,Parameters!$A:$A,0))*(AJ127+AK127),0)</f>
        <v>0</v>
      </c>
      <c r="AM127" s="525"/>
      <c r="AN127" s="139">
        <f t="shared" si="266"/>
        <v>425</v>
      </c>
      <c r="AO127" s="205">
        <f>AN127/INDEX(Parameters!$B:$B,MATCH("AfschrijftermijnVVE"&amp;12*$C127,Parameters!$A:$A,0))</f>
        <v>11.805555555555555</v>
      </c>
      <c r="AP127" s="139">
        <f t="shared" si="267"/>
        <v>12</v>
      </c>
      <c r="AQ127" s="526">
        <f>IF(AP127&lt;&gt;"nvt",R127*INDEX('Tarieven W&amp;O'!$G:$G,$AP127),0)</f>
        <v>102.44</v>
      </c>
      <c r="AR127" s="524">
        <f>-INDEX(Parameters!$B:$B,MATCH(AR$3,Parameters!$A:$A,0))*(AQ127)</f>
        <v>0</v>
      </c>
      <c r="AS127" s="205">
        <f>IF(E127="straal access",'EDC Minus'!$H$192,IF(Q127&lt;&gt;"nvt",Q127*S127*'EDC Minus'!$H$292/590,0))</f>
        <v>0</v>
      </c>
      <c r="AT127" s="139"/>
      <c r="AU127" s="150">
        <f t="shared" si="268"/>
        <v>102.44</v>
      </c>
      <c r="AV127" s="150">
        <f t="shared" si="269"/>
        <v>114.24555555555555</v>
      </c>
      <c r="AX127" s="526">
        <f>Parameters!$B$6*AV127</f>
        <v>1.1424555555555556</v>
      </c>
      <c r="AY127" s="150">
        <v>0</v>
      </c>
      <c r="AZ127" s="150"/>
      <c r="BA127" s="150">
        <f t="shared" si="270"/>
        <v>1.1424555555555556</v>
      </c>
      <c r="BC127" s="522">
        <f t="shared" si="236"/>
        <v>115.38801111111111</v>
      </c>
      <c r="BD127" s="175"/>
      <c r="BE127" s="527">
        <f t="shared" si="256"/>
        <v>912.38976666666667</v>
      </c>
      <c r="BF127" s="181">
        <f t="shared" si="257"/>
        <v>0.88773058378378378</v>
      </c>
      <c r="BG127" s="520" t="b">
        <f t="shared" si="271"/>
        <v>0</v>
      </c>
      <c r="BI127" s="528" t="s">
        <v>2181</v>
      </c>
      <c r="BK127" s="151">
        <f>VLOOKUP(J127,'Tarieven ZM'!$B$136:$I$235,8,0)</f>
        <v>0</v>
      </c>
      <c r="BL127" s="151" t="str">
        <f>IF(M127="EoK",N127&amp;"AdvancedNLS type 1/2/3",IF(E127&lt;&gt;"Straal Access",INDEX(Mapping!J:J,MATCH(E127&amp;G127,Mapping!B:B,0)),E127))</f>
        <v>Copper Standard Access 15Mbit/sAdvancedNLS type 1/2/3</v>
      </c>
      <c r="BM127" s="184">
        <f>INDEX('inkoop ULL tbv EVPN'!J:J,MATCH($BL127,'inkoop ULL tbv EVPN'!$H:$H,0))</f>
        <v>78.97</v>
      </c>
      <c r="BN127" s="180">
        <f>BM127/INDEX(Parameters!$B:$B,MATCH("AfschrijftermijnVVE"&amp;12*$C127,Parameters!$A:$A,0))</f>
        <v>2.1936111111111112</v>
      </c>
      <c r="BO127" s="184">
        <f>INDEX('inkoop ULL tbv EVPN'!I:I,MATCH($BL127,'inkoop ULL tbv EVPN'!$H:$H,0))</f>
        <v>14.7296035</v>
      </c>
      <c r="BP127" s="184">
        <f t="shared" si="238"/>
        <v>16.92321461111111</v>
      </c>
      <c r="BR127" s="180">
        <f>Parameters!$B$12*AG127</f>
        <v>102.77777777777779</v>
      </c>
      <c r="BS127" s="180">
        <f>SUM(Distributievergoedingen!$F$12,Distributievergoedingen!$I$12,Distributievergoedingen!$L$12,Distributievergoedingen!$O$12)*AF127+SUM(Distributievergoedingen!$O$12*AA127+Distributievergoedingen!$R$12+Distributievergoedingen!$U$12+Distributievergoedingen!$X$12)/(MAX(36,12*C127))</f>
        <v>112.77777777777777</v>
      </c>
      <c r="BT127" s="150"/>
      <c r="BU127" s="150">
        <f t="shared" si="239"/>
        <v>215.55555555555554</v>
      </c>
      <c r="BW127" s="522">
        <f t="shared" si="240"/>
        <v>232.47877016666666</v>
      </c>
      <c r="BY127" s="527">
        <f t="shared" si="241"/>
        <v>795.29900761111116</v>
      </c>
      <c r="BZ127" s="181">
        <f t="shared" si="242"/>
        <v>0.77380443983783787</v>
      </c>
      <c r="CA127" s="520" t="b">
        <f t="shared" si="243"/>
        <v>0</v>
      </c>
    </row>
    <row r="128" spans="1:79" s="151" customFormat="1">
      <c r="A128" s="151" t="str">
        <f t="shared" si="259"/>
        <v>3EoKStandard Access koper 20mbLaagOn-net (NLS1, 2)</v>
      </c>
      <c r="B128" s="151" t="str">
        <f t="shared" si="260"/>
        <v>3EoKStandard Access koper 20mbLaagOn-net (NLS1, 2)</v>
      </c>
      <c r="C128" s="178">
        <v>3</v>
      </c>
      <c r="D128" s="415" t="s">
        <v>303</v>
      </c>
      <c r="E128" s="178" t="s">
        <v>279</v>
      </c>
      <c r="F128" s="107" t="s">
        <v>275</v>
      </c>
      <c r="G128" s="178" t="s">
        <v>281</v>
      </c>
      <c r="I128" s="178"/>
      <c r="J128" s="520" t="str">
        <f t="shared" si="225"/>
        <v>EoKStandard Access koper 20mbLaagOn-net (NLS1, 2)</v>
      </c>
      <c r="L128" s="204">
        <f>INDEX(Mapping!$H:$H,MATCH(C$3&amp;C128,Mapping!$B:$B,0))</f>
        <v>1</v>
      </c>
      <c r="M128" s="204" t="str">
        <f>INDEX(Mapping!$H:$H,MATCH(D$3&amp;D128,Mapping!$B:$B,0))</f>
        <v>EoK</v>
      </c>
      <c r="N128" s="204" t="str">
        <f>INDEX(Mapping!$H:$H,MATCH(E$3&amp;E128,Mapping!$B:$B,0))</f>
        <v>Copper Standard Access 20Mbit/s</v>
      </c>
      <c r="O128" s="204" t="str">
        <f>INDEX(Mapping!$H:$H,MATCH(E128&amp;F128,Mapping!$B:$B,0))</f>
        <v/>
      </c>
      <c r="P128" s="204" t="str">
        <f>INDEX(Mapping!$H:$H,MATCH($E128&amp;$G128,Mapping!$B:$B,0))</f>
        <v>On-net (NLS1, 2)</v>
      </c>
      <c r="Q128" s="204">
        <f>INDEX(Mapping!$H:$H,MATCH($E128&amp;$G128&amp;"graafafstand",Mapping!$B:$B,0))</f>
        <v>0</v>
      </c>
      <c r="R128" s="204">
        <f>INDEX(Mapping!$H:$H,MATCH(R$3&amp;$E128,Mapping!$B:$B,0))</f>
        <v>1</v>
      </c>
      <c r="S128" s="204">
        <f>INDEX(Mapping!$H:$H,MATCH(S$3&amp;$E128,Mapping!$B:$B,0))</f>
        <v>1</v>
      </c>
      <c r="T128" s="139" t="str">
        <f t="shared" si="261"/>
        <v>Copper Standard Access 20Mbit/sOn-net (NLS1, 2)</v>
      </c>
      <c r="U128" s="151" t="str">
        <f t="shared" si="262"/>
        <v>Copper Standard Access 20Mbit/sOn-net (NLS1, 2)</v>
      </c>
      <c r="W128" s="521">
        <f>MATCH($J128,'Tarieven ZM'!$B:$B,0)</f>
        <v>175</v>
      </c>
      <c r="X128" s="204">
        <f>INDEX('Tarieven ZM'!$H:$H,$W128)</f>
        <v>1000</v>
      </c>
      <c r="Y128" s="198">
        <f>IF(E128="Standard Access in ZG BT gebieden",0,-INDEX(Parameters!$B:$B,MATCH(Y$3&amp;$C128,Parameters!$A:$A,0))*$X128)</f>
        <v>0</v>
      </c>
      <c r="Z128" s="198">
        <f>IF(E128="Standard Access in ZG BT gebieden",0,MAX(-INDEX(Parameters!$B:$B,MATCH(Z$3&amp;$C128,Parameters!$A:$A,0))*$X128,-INDEX(Parameters!$B:$B,MATCH("FactorMaxSalesMandaat"&amp;E128,Parameters!$A:$A,0))*INDEX(Parameters!$B:$B,MATCH("MaxSalesMandaatAccessVVE"&amp;$C128,Parameters!$A:$A,0))))</f>
        <v>0</v>
      </c>
      <c r="AA128" s="139">
        <f t="shared" si="263"/>
        <v>1000</v>
      </c>
      <c r="AB128" s="205">
        <f>AA128/INDEX(Parameters!$B:$B,MATCH("AfschrijftermijnVVE"&amp;12*$C128,Parameters!$A:$A,0))</f>
        <v>27.777777777777779</v>
      </c>
      <c r="AC128" s="204">
        <f>INDEX('Tarieven ZM'!$G:$G,$W128)</f>
        <v>1000</v>
      </c>
      <c r="AD128" s="198">
        <f>IF(E128="Standard Access in ZG BT gebieden",0,-INDEX(Parameters!$B:$B,MATCH(AD$3&amp;$C128,Parameters!$A:$A,0))*$AC128)</f>
        <v>0</v>
      </c>
      <c r="AE128" s="198">
        <f>IF(E128="Standard Access in ZG BT gebieden",0,-INDEX(Parameters!$B:$B,MATCH(AE$3,Parameters!$A:$A,0))*$AC128)</f>
        <v>0</v>
      </c>
      <c r="AF128" s="139">
        <f t="shared" si="264"/>
        <v>1000</v>
      </c>
      <c r="AG128" s="522">
        <f t="shared" si="265"/>
        <v>1027.7777777777778</v>
      </c>
      <c r="AH128" s="175"/>
      <c r="AI128" s="523">
        <f>IF(N128&lt;&gt;"nvt",MATCH($T128,'Tarieven W&amp;O'!$B:$B,0),"nvt")</f>
        <v>13</v>
      </c>
      <c r="AJ128" s="205">
        <f>IF(AI128&lt;&gt;"nvt",IF($D128="EoK",INDEX(Parameters!C:C,MATCH("NLSx EoK",Parameters!A:A,0)),INDEX('Tarieven W&amp;O'!$H:$H,$AI128)),0)*R128</f>
        <v>350</v>
      </c>
      <c r="AK128" s="204">
        <f>IF(AI128&lt;&gt;"nvt",INDEX('Tarieven W&amp;O'!$I:$I,$AI128),0)*R128</f>
        <v>75</v>
      </c>
      <c r="AL128" s="524">
        <f>IF(AI128&lt;&gt;"nvt",-INDEX(Parameters!$B:$B,MATCH(AL$3,Parameters!$A:$A,0))*(AJ128+AK128),0)</f>
        <v>0</v>
      </c>
      <c r="AM128" s="525"/>
      <c r="AN128" s="139">
        <f t="shared" si="266"/>
        <v>425</v>
      </c>
      <c r="AO128" s="205">
        <f>AN128/INDEX(Parameters!$B:$B,MATCH("AfschrijftermijnVVE"&amp;12*$C128,Parameters!$A:$A,0))</f>
        <v>11.805555555555555</v>
      </c>
      <c r="AP128" s="139">
        <f t="shared" si="267"/>
        <v>13</v>
      </c>
      <c r="AQ128" s="526">
        <f>IF(AP128&lt;&gt;"nvt",R128*INDEX('Tarieven W&amp;O'!$G:$G,$AP128),0)</f>
        <v>121.28</v>
      </c>
      <c r="AR128" s="524">
        <f>-INDEX(Parameters!$B:$B,MATCH(AR$3,Parameters!$A:$A,0))*(AQ128)</f>
        <v>0</v>
      </c>
      <c r="AS128" s="205">
        <f>IF(E128="straal access",'EDC Minus'!$H$192,IF(Q128&lt;&gt;"nvt",Q128*S128*'EDC Minus'!$H$292/590,0))</f>
        <v>0</v>
      </c>
      <c r="AT128" s="139"/>
      <c r="AU128" s="150">
        <f t="shared" si="268"/>
        <v>121.28</v>
      </c>
      <c r="AV128" s="150">
        <f t="shared" si="269"/>
        <v>133.08555555555554</v>
      </c>
      <c r="AX128" s="526">
        <f>Parameters!$B$6*AV128</f>
        <v>1.3308555555555555</v>
      </c>
      <c r="AY128" s="150">
        <v>0</v>
      </c>
      <c r="AZ128" s="150"/>
      <c r="BA128" s="150">
        <f t="shared" si="270"/>
        <v>1.3308555555555555</v>
      </c>
      <c r="BC128" s="522">
        <f t="shared" si="236"/>
        <v>134.4164111111111</v>
      </c>
      <c r="BD128" s="175"/>
      <c r="BE128" s="527">
        <f t="shared" si="256"/>
        <v>893.36136666666675</v>
      </c>
      <c r="BF128" s="181">
        <f t="shared" si="257"/>
        <v>0.86921646486486492</v>
      </c>
      <c r="BG128" s="520" t="b">
        <f t="shared" si="271"/>
        <v>0</v>
      </c>
      <c r="BI128" s="528" t="s">
        <v>2181</v>
      </c>
      <c r="BK128" s="151">
        <f>VLOOKUP(J128,'Tarieven ZM'!$B$136:$I$235,8,0)</f>
        <v>0</v>
      </c>
      <c r="BL128" s="151" t="str">
        <f>IF(M128="EoK",N128&amp;"AdvancedNLS type 1/2/3",IF(E128&lt;&gt;"Straal Access",INDEX(Mapping!J:J,MATCH(E128&amp;G128,Mapping!B:B,0)),E128))</f>
        <v>Copper Standard Access 20Mbit/sAdvancedNLS type 1/2/3</v>
      </c>
      <c r="BM128" s="184">
        <f>INDEX('inkoop ULL tbv EVPN'!J:J,MATCH($BL128,'inkoop ULL tbv EVPN'!$H:$H,0))</f>
        <v>78.97</v>
      </c>
      <c r="BN128" s="180">
        <f>BM128/INDEX(Parameters!$B:$B,MATCH("AfschrijftermijnVVE"&amp;12*$C128,Parameters!$A:$A,0))</f>
        <v>2.1936111111111112</v>
      </c>
      <c r="BO128" s="184">
        <f>INDEX('inkoop ULL tbv EVPN'!I:I,MATCH($BL128,'inkoop ULL tbv EVPN'!$H:$H,0))</f>
        <v>14.7296035</v>
      </c>
      <c r="BP128" s="184">
        <f t="shared" si="238"/>
        <v>16.92321461111111</v>
      </c>
      <c r="BR128" s="180">
        <f>Parameters!$B$12*AG128</f>
        <v>102.77777777777779</v>
      </c>
      <c r="BS128" s="180">
        <f>SUM(Distributievergoedingen!$F$12,Distributievergoedingen!$I$12,Distributievergoedingen!$L$12,Distributievergoedingen!$O$12)*AF128+SUM(Distributievergoedingen!$O$12*AA128+Distributievergoedingen!$R$12+Distributievergoedingen!$U$12+Distributievergoedingen!$X$12)/(MAX(36,12*C128))</f>
        <v>112.77777777777777</v>
      </c>
      <c r="BT128" s="150"/>
      <c r="BU128" s="150">
        <f t="shared" si="239"/>
        <v>215.55555555555554</v>
      </c>
      <c r="BW128" s="522">
        <f t="shared" si="240"/>
        <v>232.47877016666666</v>
      </c>
      <c r="BY128" s="527">
        <f t="shared" si="241"/>
        <v>795.29900761111116</v>
      </c>
      <c r="BZ128" s="181">
        <f t="shared" si="242"/>
        <v>0.77380443983783787</v>
      </c>
      <c r="CA128" s="520" t="b">
        <f t="shared" si="243"/>
        <v>0</v>
      </c>
    </row>
    <row r="129" spans="1:79" s="151" customFormat="1">
      <c r="A129" s="151" t="str">
        <f t="shared" si="259"/>
        <v>3EoKStandard Access koper 3mbLaagOn-net (NLS3)</v>
      </c>
      <c r="B129" s="151" t="str">
        <f t="shared" si="260"/>
        <v>3EoKStandard Access koper 3mbLaagOn-net (NLS3)</v>
      </c>
      <c r="C129" s="178">
        <v>3</v>
      </c>
      <c r="D129" s="415" t="s">
        <v>303</v>
      </c>
      <c r="E129" s="178" t="s">
        <v>268</v>
      </c>
      <c r="F129" s="107" t="s">
        <v>275</v>
      </c>
      <c r="G129" s="178" t="s">
        <v>3398</v>
      </c>
      <c r="I129" s="178"/>
      <c r="J129" s="520" t="str">
        <f t="shared" si="225"/>
        <v>EoKStandard Access koper 3mbLaagOn-net (NLS3)</v>
      </c>
      <c r="L129" s="204">
        <f>INDEX(Mapping!$H:$H,MATCH(C$3&amp;C129,Mapping!$B:$B,0))</f>
        <v>1</v>
      </c>
      <c r="M129" s="204" t="str">
        <f>INDEX(Mapping!$H:$H,MATCH(D$3&amp;D129,Mapping!$B:$B,0))</f>
        <v>EoK</v>
      </c>
      <c r="N129" s="204" t="str">
        <f>INDEX(Mapping!$H:$H,MATCH(E$3&amp;E129,Mapping!$B:$B,0))</f>
        <v>Copper Standard Access 3Mbit/s</v>
      </c>
      <c r="O129" s="204" t="str">
        <f>INDEX(Mapping!$H:$H,MATCH(E129&amp;F129,Mapping!$B:$B,0))</f>
        <v/>
      </c>
      <c r="P129" s="204" t="str">
        <f>INDEX(Mapping!$H:$H,MATCH($E129&amp;$G129,Mapping!$B:$B,0))</f>
        <v>On-net (NLS3)</v>
      </c>
      <c r="Q129" s="204" t="str">
        <f>INDEX(Mapping!$H:$H,MATCH($E129&amp;$G129&amp;"graafafstand",Mapping!$B:$B,0))</f>
        <v>nvt</v>
      </c>
      <c r="R129" s="204">
        <f>INDEX(Mapping!$H:$H,MATCH(R$3&amp;$E129,Mapping!$B:$B,0))</f>
        <v>1</v>
      </c>
      <c r="S129" s="204">
        <f>INDEX(Mapping!$H:$H,MATCH(S$3&amp;$E129,Mapping!$B:$B,0))</f>
        <v>1</v>
      </c>
      <c r="T129" s="139" t="str">
        <f t="shared" si="261"/>
        <v>Copper Standard Access 3Mbit/sOn-net (NLS3)</v>
      </c>
      <c r="U129" s="151" t="str">
        <f t="shared" si="262"/>
        <v>Copper Standard Access 3Mbit/sOn-net (NLS3)</v>
      </c>
      <c r="W129" s="521">
        <f>MATCH($J129,'Tarieven ZM'!$B:$B,0)</f>
        <v>178</v>
      </c>
      <c r="X129" s="204">
        <f>INDEX('Tarieven ZM'!$H:$H,$W129)</f>
        <v>1000</v>
      </c>
      <c r="Y129" s="198">
        <f>IF(E129="Standard Access in ZG BT gebieden",0,-INDEX(Parameters!$B:$B,MATCH(Y$3&amp;$C129,Parameters!$A:$A,0))*$X129)</f>
        <v>0</v>
      </c>
      <c r="Z129" s="198">
        <f>IF(E129="Standard Access in ZG BT gebieden",0,MAX(-INDEX(Parameters!$B:$B,MATCH(Z$3&amp;$C129,Parameters!$A:$A,0))*$X129,-INDEX(Parameters!$B:$B,MATCH("FactorMaxSalesMandaat"&amp;E129,Parameters!$A:$A,0))*INDEX(Parameters!$B:$B,MATCH("MaxSalesMandaatAccessVVE"&amp;$C129,Parameters!$A:$A,0))))</f>
        <v>0</v>
      </c>
      <c r="AA129" s="139">
        <f t="shared" si="263"/>
        <v>1000</v>
      </c>
      <c r="AB129" s="205">
        <f>AA129/INDEX(Parameters!$B:$B,MATCH("AfschrijftermijnVVE"&amp;12*$C129,Parameters!$A:$A,0))</f>
        <v>27.777777777777779</v>
      </c>
      <c r="AC129" s="204">
        <f>INDEX('Tarieven ZM'!$G:$G,$W129)</f>
        <v>1000</v>
      </c>
      <c r="AD129" s="198">
        <f>IF(E129="Standard Access in ZG BT gebieden",0,-INDEX(Parameters!$B:$B,MATCH(AD$3&amp;$C129,Parameters!$A:$A,0))*$AC129)</f>
        <v>0</v>
      </c>
      <c r="AE129" s="198">
        <f>IF(E129="Standard Access in ZG BT gebieden",0,-INDEX(Parameters!$B:$B,MATCH(AE$3,Parameters!$A:$A,0))*$AC129)</f>
        <v>0</v>
      </c>
      <c r="AF129" s="139">
        <f t="shared" si="264"/>
        <v>1000</v>
      </c>
      <c r="AG129" s="522">
        <f t="shared" si="265"/>
        <v>1027.7777777777778</v>
      </c>
      <c r="AH129" s="175"/>
      <c r="AI129" s="523">
        <f>IF(N129&lt;&gt;"nvt",MATCH($T129,'Tarieven W&amp;O'!$B:$B,0),"nvt")</f>
        <v>16</v>
      </c>
      <c r="AJ129" s="205">
        <f>IF(AI129&lt;&gt;"nvt",IF($D129="EoK",INDEX(Parameters!C:C,MATCH("NLSx EoK",Parameters!A:A,0)),INDEX('Tarieven W&amp;O'!$H:$H,$AI129)),0)*R129</f>
        <v>350</v>
      </c>
      <c r="AK129" s="204">
        <f>IF(AI129&lt;&gt;"nvt",INDEX('Tarieven W&amp;O'!$I:$I,$AI129),0)*R129</f>
        <v>75</v>
      </c>
      <c r="AL129" s="524">
        <f>IF(AI129&lt;&gt;"nvt",-INDEX(Parameters!$B:$B,MATCH(AL$3,Parameters!$A:$A,0))*(AJ129+AK129),0)</f>
        <v>0</v>
      </c>
      <c r="AM129" s="525"/>
      <c r="AN129" s="139">
        <f t="shared" si="266"/>
        <v>425</v>
      </c>
      <c r="AO129" s="205">
        <f>AN129/INDEX(Parameters!$B:$B,MATCH("AfschrijftermijnVVE"&amp;12*$C129,Parameters!$A:$A,0))</f>
        <v>11.805555555555555</v>
      </c>
      <c r="AP129" s="139">
        <f t="shared" si="267"/>
        <v>16</v>
      </c>
      <c r="AQ129" s="526">
        <f>IF(AP129&lt;&gt;"nvt",R129*INDEX('Tarieven W&amp;O'!$G:$G,$AP129),0)</f>
        <v>41.5</v>
      </c>
      <c r="AR129" s="524">
        <f>-INDEX(Parameters!$B:$B,MATCH(AR$3,Parameters!$A:$A,0))*(AQ129)</f>
        <v>0</v>
      </c>
      <c r="AS129" s="205">
        <f>IF(E129="straal access",'EDC Minus'!$H$192,IF(Q129&lt;&gt;"nvt",Q129*S129*'EDC Minus'!$H$292/590,0))</f>
        <v>0</v>
      </c>
      <c r="AT129" s="139"/>
      <c r="AU129" s="150">
        <f t="shared" si="268"/>
        <v>41.5</v>
      </c>
      <c r="AV129" s="150">
        <f t="shared" si="269"/>
        <v>53.305555555555557</v>
      </c>
      <c r="AX129" s="526">
        <f>Parameters!$B$6*AV129</f>
        <v>0.53305555555555562</v>
      </c>
      <c r="AY129" s="150">
        <v>0</v>
      </c>
      <c r="AZ129" s="150"/>
      <c r="BA129" s="150">
        <f t="shared" si="270"/>
        <v>0.53305555555555562</v>
      </c>
      <c r="BC129" s="522">
        <f t="shared" ref="BC129:BC148" si="272">SUM(AV129,BA129)</f>
        <v>53.838611111111113</v>
      </c>
      <c r="BD129" s="175"/>
      <c r="BE129" s="527">
        <f t="shared" si="256"/>
        <v>973.93916666666667</v>
      </c>
      <c r="BF129" s="181">
        <f t="shared" si="257"/>
        <v>0.94761648648648644</v>
      </c>
      <c r="BG129" s="520" t="b">
        <f t="shared" si="271"/>
        <v>0</v>
      </c>
      <c r="BI129" s="528" t="s">
        <v>2181</v>
      </c>
      <c r="BK129" s="151">
        <f>VLOOKUP(J129,'Tarieven ZM'!$B$136:$I$235,8,0)</f>
        <v>0</v>
      </c>
      <c r="BL129" s="151" t="str">
        <f>IF(M129="EoK",N129&amp;"AdvancedNLS type 1/2/3",IF(E129&lt;&gt;"Straal Access",INDEX(Mapping!J:J,MATCH(E129&amp;G129,Mapping!B:B,0)),E129))</f>
        <v>Copper Standard Access 3Mbit/sAdvancedNLS type 1/2/3</v>
      </c>
      <c r="BM129" s="184">
        <f>INDEX('inkoop ULL tbv EVPN'!J:J,MATCH($BL129,'inkoop ULL tbv EVPN'!$H:$H,0))</f>
        <v>78.97</v>
      </c>
      <c r="BN129" s="180">
        <f>BM129/INDEX(Parameters!$B:$B,MATCH("AfschrijftermijnVVE"&amp;12*$C129,Parameters!$A:$A,0))</f>
        <v>2.1936111111111112</v>
      </c>
      <c r="BO129" s="184">
        <f>INDEX('inkoop ULL tbv EVPN'!I:I,MATCH($BL129,'inkoop ULL tbv EVPN'!$H:$H,0))</f>
        <v>14.7296035</v>
      </c>
      <c r="BP129" s="184">
        <f t="shared" ref="BP129:BP148" si="273">BN129+BO129</f>
        <v>16.92321461111111</v>
      </c>
      <c r="BR129" s="180">
        <f>Parameters!$B$12*AG129</f>
        <v>102.77777777777779</v>
      </c>
      <c r="BS129" s="180">
        <f>SUM(Distributievergoedingen!$F$12,Distributievergoedingen!$I$12,Distributievergoedingen!$L$12,Distributievergoedingen!$O$12)*AF129+SUM(Distributievergoedingen!$O$12*AA129+Distributievergoedingen!$R$12+Distributievergoedingen!$U$12+Distributievergoedingen!$X$12)/(MAX(36,12*C129))</f>
        <v>112.77777777777777</v>
      </c>
      <c r="BT129" s="150"/>
      <c r="BU129" s="150">
        <f t="shared" ref="BU129:BU148" si="274">SUM(BR129:BT129)</f>
        <v>215.55555555555554</v>
      </c>
      <c r="BW129" s="522">
        <f t="shared" ref="BW129:BW148" si="275">SUM(BP129,BU129)</f>
        <v>232.47877016666666</v>
      </c>
      <c r="BY129" s="527">
        <f t="shared" ref="BY129:BY148" si="276">AG129-BW129</f>
        <v>795.29900761111116</v>
      </c>
      <c r="BZ129" s="181">
        <f t="shared" ref="BZ129:BZ148" si="277">IF(AG129=0,-999%,BY129/AG129)</f>
        <v>0.77380443983783787</v>
      </c>
      <c r="CA129" s="520" t="b">
        <f t="shared" ref="CA129:CA148" si="278">BZ129&lt;0</f>
        <v>0</v>
      </c>
    </row>
    <row r="130" spans="1:79" s="151" customFormat="1">
      <c r="A130" s="151" t="str">
        <f t="shared" si="259"/>
        <v>3EoKStandard Access koper 5mbLaagOn-net (NLS3)</v>
      </c>
      <c r="B130" s="151" t="str">
        <f t="shared" si="260"/>
        <v>3EoKStandard Access koper 5mbLaagOn-net (NLS3)</v>
      </c>
      <c r="C130" s="178">
        <v>3</v>
      </c>
      <c r="D130" s="415" t="s">
        <v>303</v>
      </c>
      <c r="E130" s="178" t="s">
        <v>276</v>
      </c>
      <c r="F130" s="107" t="s">
        <v>275</v>
      </c>
      <c r="G130" s="178" t="s">
        <v>3398</v>
      </c>
      <c r="I130" s="178"/>
      <c r="J130" s="520" t="str">
        <f t="shared" si="225"/>
        <v>EoKStandard Access koper 5mbLaagOn-net (NLS3)</v>
      </c>
      <c r="L130" s="204">
        <f>INDEX(Mapping!$H:$H,MATCH(C$3&amp;C130,Mapping!$B:$B,0))</f>
        <v>1</v>
      </c>
      <c r="M130" s="204" t="str">
        <f>INDEX(Mapping!$H:$H,MATCH(D$3&amp;D130,Mapping!$B:$B,0))</f>
        <v>EoK</v>
      </c>
      <c r="N130" s="204" t="str">
        <f>INDEX(Mapping!$H:$H,MATCH(E$3&amp;E130,Mapping!$B:$B,0))</f>
        <v>Copper Standard Access 5Mbit/s</v>
      </c>
      <c r="O130" s="204" t="str">
        <f>INDEX(Mapping!$H:$H,MATCH(E130&amp;F130,Mapping!$B:$B,0))</f>
        <v/>
      </c>
      <c r="P130" s="204" t="str">
        <f>INDEX(Mapping!$H:$H,MATCH($E130&amp;$G130,Mapping!$B:$B,0))</f>
        <v>On-net (NLS3)</v>
      </c>
      <c r="Q130" s="204" t="str">
        <f>INDEX(Mapping!$H:$H,MATCH($E130&amp;$G130&amp;"graafafstand",Mapping!$B:$B,0))</f>
        <v>nvt</v>
      </c>
      <c r="R130" s="204">
        <f>INDEX(Mapping!$H:$H,MATCH(R$3&amp;$E130,Mapping!$B:$B,0))</f>
        <v>1</v>
      </c>
      <c r="S130" s="204">
        <f>INDEX(Mapping!$H:$H,MATCH(S$3&amp;$E130,Mapping!$B:$B,0))</f>
        <v>1</v>
      </c>
      <c r="T130" s="139" t="str">
        <f t="shared" si="261"/>
        <v>Copper Standard Access 5Mbit/sOn-net (NLS3)</v>
      </c>
      <c r="U130" s="151" t="str">
        <f t="shared" si="262"/>
        <v>Copper Standard Access 5Mbit/sOn-net (NLS3)</v>
      </c>
      <c r="W130" s="521">
        <f>MATCH($J130,'Tarieven ZM'!$B:$B,0)</f>
        <v>179</v>
      </c>
      <c r="X130" s="204">
        <f>INDEX('Tarieven ZM'!$H:$H,$W130)</f>
        <v>1000</v>
      </c>
      <c r="Y130" s="198">
        <f>IF(E130="Standard Access in ZG BT gebieden",0,-INDEX(Parameters!$B:$B,MATCH(Y$3&amp;$C130,Parameters!$A:$A,0))*$X130)</f>
        <v>0</v>
      </c>
      <c r="Z130" s="198">
        <f>IF(E130="Standard Access in ZG BT gebieden",0,MAX(-INDEX(Parameters!$B:$B,MATCH(Z$3&amp;$C130,Parameters!$A:$A,0))*$X130,-INDEX(Parameters!$B:$B,MATCH("FactorMaxSalesMandaat"&amp;E130,Parameters!$A:$A,0))*INDEX(Parameters!$B:$B,MATCH("MaxSalesMandaatAccessVVE"&amp;$C130,Parameters!$A:$A,0))))</f>
        <v>0</v>
      </c>
      <c r="AA130" s="139">
        <f t="shared" si="263"/>
        <v>1000</v>
      </c>
      <c r="AB130" s="205">
        <f>AA130/INDEX(Parameters!$B:$B,MATCH("AfschrijftermijnVVE"&amp;12*$C130,Parameters!$A:$A,0))</f>
        <v>27.777777777777779</v>
      </c>
      <c r="AC130" s="204">
        <f>INDEX('Tarieven ZM'!$G:$G,$W130)</f>
        <v>1000</v>
      </c>
      <c r="AD130" s="198">
        <f>IF(E130="Standard Access in ZG BT gebieden",0,-INDEX(Parameters!$B:$B,MATCH(AD$3&amp;$C130,Parameters!$A:$A,0))*$AC130)</f>
        <v>0</v>
      </c>
      <c r="AE130" s="198">
        <f>IF(E130="Standard Access in ZG BT gebieden",0,-INDEX(Parameters!$B:$B,MATCH(AE$3,Parameters!$A:$A,0))*$AC130)</f>
        <v>0</v>
      </c>
      <c r="AF130" s="139">
        <f t="shared" si="264"/>
        <v>1000</v>
      </c>
      <c r="AG130" s="522">
        <f t="shared" si="265"/>
        <v>1027.7777777777778</v>
      </c>
      <c r="AH130" s="175"/>
      <c r="AI130" s="523">
        <f>IF(N130&lt;&gt;"nvt",MATCH($T130,'Tarieven W&amp;O'!$B:$B,0),"nvt")</f>
        <v>17</v>
      </c>
      <c r="AJ130" s="205">
        <f>IF(AI130&lt;&gt;"nvt",IF($D130="EoK",INDEX(Parameters!C:C,MATCH("NLSx EoK",Parameters!A:A,0)),INDEX('Tarieven W&amp;O'!$H:$H,$AI130)),0)*R130</f>
        <v>350</v>
      </c>
      <c r="AK130" s="204">
        <f>IF(AI130&lt;&gt;"nvt",INDEX('Tarieven W&amp;O'!$I:$I,$AI130),0)*R130</f>
        <v>75</v>
      </c>
      <c r="AL130" s="524">
        <f>IF(AI130&lt;&gt;"nvt",-INDEX(Parameters!$B:$B,MATCH(AL$3,Parameters!$A:$A,0))*(AJ130+AK130),0)</f>
        <v>0</v>
      </c>
      <c r="AM130" s="525"/>
      <c r="AN130" s="139">
        <f t="shared" si="266"/>
        <v>425</v>
      </c>
      <c r="AO130" s="205">
        <f>AN130/INDEX(Parameters!$B:$B,MATCH("AfschrijftermijnVVE"&amp;12*$C130,Parameters!$A:$A,0))</f>
        <v>11.805555555555555</v>
      </c>
      <c r="AP130" s="139">
        <f t="shared" si="267"/>
        <v>17</v>
      </c>
      <c r="AQ130" s="526">
        <f>IF(AP130&lt;&gt;"nvt",R130*INDEX('Tarieven W&amp;O'!$G:$G,$AP130),0)</f>
        <v>60.97</v>
      </c>
      <c r="AR130" s="524">
        <f>-INDEX(Parameters!$B:$B,MATCH(AR$3,Parameters!$A:$A,0))*(AQ130)</f>
        <v>0</v>
      </c>
      <c r="AS130" s="205">
        <f>IF(E130="straal access",'EDC Minus'!$H$192,IF(Q130&lt;&gt;"nvt",Q130*S130*'EDC Minus'!$H$292/590,0))</f>
        <v>0</v>
      </c>
      <c r="AT130" s="139"/>
      <c r="AU130" s="150">
        <f t="shared" si="268"/>
        <v>60.97</v>
      </c>
      <c r="AV130" s="150">
        <f t="shared" si="269"/>
        <v>72.775555555555556</v>
      </c>
      <c r="AX130" s="526">
        <f>Parameters!$B$6*AV130</f>
        <v>0.7277555555555556</v>
      </c>
      <c r="AY130" s="150">
        <v>0</v>
      </c>
      <c r="AZ130" s="150"/>
      <c r="BA130" s="150">
        <f t="shared" si="270"/>
        <v>0.7277555555555556</v>
      </c>
      <c r="BC130" s="522">
        <f t="shared" si="272"/>
        <v>73.503311111111117</v>
      </c>
      <c r="BD130" s="175"/>
      <c r="BE130" s="527">
        <f t="shared" si="256"/>
        <v>954.27446666666674</v>
      </c>
      <c r="BF130" s="181">
        <f t="shared" si="257"/>
        <v>0.92848326486486488</v>
      </c>
      <c r="BG130" s="520" t="b">
        <f t="shared" si="271"/>
        <v>0</v>
      </c>
      <c r="BI130" s="528" t="s">
        <v>2181</v>
      </c>
      <c r="BK130" s="151">
        <f>VLOOKUP(J130,'Tarieven ZM'!$B$136:$I$235,8,0)</f>
        <v>0</v>
      </c>
      <c r="BL130" s="151" t="str">
        <f>IF(M130="EoK",N130&amp;"AdvancedNLS type 1/2/3",IF(E130&lt;&gt;"Straal Access",INDEX(Mapping!J:J,MATCH(E130&amp;G130,Mapping!B:B,0)),E130))</f>
        <v>Copper Standard Access 5Mbit/sAdvancedNLS type 1/2/3</v>
      </c>
      <c r="BM130" s="184">
        <f>INDEX('inkoop ULL tbv EVPN'!J:J,MATCH($BL130,'inkoop ULL tbv EVPN'!$H:$H,0))</f>
        <v>78.97</v>
      </c>
      <c r="BN130" s="180">
        <f>BM130/INDEX(Parameters!$B:$B,MATCH("AfschrijftermijnVVE"&amp;12*$C130,Parameters!$A:$A,0))</f>
        <v>2.1936111111111112</v>
      </c>
      <c r="BO130" s="184">
        <f>INDEX('inkoop ULL tbv EVPN'!I:I,MATCH($BL130,'inkoop ULL tbv EVPN'!$H:$H,0))</f>
        <v>14.7296035</v>
      </c>
      <c r="BP130" s="184">
        <f t="shared" si="273"/>
        <v>16.92321461111111</v>
      </c>
      <c r="BR130" s="180">
        <f>Parameters!$B$12*AG130</f>
        <v>102.77777777777779</v>
      </c>
      <c r="BS130" s="180">
        <f>SUM(Distributievergoedingen!$F$12,Distributievergoedingen!$I$12,Distributievergoedingen!$L$12,Distributievergoedingen!$O$12)*AF130+SUM(Distributievergoedingen!$O$12*AA130+Distributievergoedingen!$R$12+Distributievergoedingen!$U$12+Distributievergoedingen!$X$12)/(MAX(36,12*C130))</f>
        <v>112.77777777777777</v>
      </c>
      <c r="BT130" s="150"/>
      <c r="BU130" s="150">
        <f t="shared" si="274"/>
        <v>215.55555555555554</v>
      </c>
      <c r="BW130" s="522">
        <f t="shared" si="275"/>
        <v>232.47877016666666</v>
      </c>
      <c r="BY130" s="527">
        <f t="shared" si="276"/>
        <v>795.29900761111116</v>
      </c>
      <c r="BZ130" s="181">
        <f t="shared" si="277"/>
        <v>0.77380443983783787</v>
      </c>
      <c r="CA130" s="520" t="b">
        <f t="shared" si="278"/>
        <v>0</v>
      </c>
    </row>
    <row r="131" spans="1:79" s="151" customFormat="1">
      <c r="A131" s="151" t="str">
        <f t="shared" si="259"/>
        <v>3EoKStandard Access koper 10mbLaagOn-net (NLS3)</v>
      </c>
      <c r="B131" s="151" t="str">
        <f t="shared" si="260"/>
        <v>3EoKStandard Access koper 10mbLaagOn-net (NLS3)</v>
      </c>
      <c r="C131" s="178">
        <v>3</v>
      </c>
      <c r="D131" s="415" t="s">
        <v>303</v>
      </c>
      <c r="E131" s="178" t="s">
        <v>277</v>
      </c>
      <c r="F131" s="107" t="s">
        <v>275</v>
      </c>
      <c r="G131" s="178" t="s">
        <v>3398</v>
      </c>
      <c r="I131" s="178"/>
      <c r="J131" s="520" t="str">
        <f t="shared" si="225"/>
        <v>EoKStandard Access koper 10mbLaagOn-net (NLS3)</v>
      </c>
      <c r="L131" s="204">
        <f>INDEX(Mapping!$H:$H,MATCH(C$3&amp;C131,Mapping!$B:$B,0))</f>
        <v>1</v>
      </c>
      <c r="M131" s="204" t="str">
        <f>INDEX(Mapping!$H:$H,MATCH(D$3&amp;D131,Mapping!$B:$B,0))</f>
        <v>EoK</v>
      </c>
      <c r="N131" s="204" t="str">
        <f>INDEX(Mapping!$H:$H,MATCH(E$3&amp;E131,Mapping!$B:$B,0))</f>
        <v>Copper Standard Access 10Mbit/s</v>
      </c>
      <c r="O131" s="204" t="str">
        <f>INDEX(Mapping!$H:$H,MATCH(E131&amp;F131,Mapping!$B:$B,0))</f>
        <v/>
      </c>
      <c r="P131" s="204" t="str">
        <f>INDEX(Mapping!$H:$H,MATCH($E131&amp;$G131,Mapping!$B:$B,0))</f>
        <v>On-net (NLS3)</v>
      </c>
      <c r="Q131" s="204" t="str">
        <f>INDEX(Mapping!$H:$H,MATCH($E131&amp;$G131&amp;"graafafstand",Mapping!$B:$B,0))</f>
        <v>nvt</v>
      </c>
      <c r="R131" s="204">
        <f>INDEX(Mapping!$H:$H,MATCH(R$3&amp;$E131,Mapping!$B:$B,0))</f>
        <v>1</v>
      </c>
      <c r="S131" s="204">
        <f>INDEX(Mapping!$H:$H,MATCH(S$3&amp;$E131,Mapping!$B:$B,0))</f>
        <v>1</v>
      </c>
      <c r="T131" s="139" t="str">
        <f t="shared" si="261"/>
        <v>Copper Standard Access 10Mbit/sOn-net (NLS3)</v>
      </c>
      <c r="U131" s="151" t="str">
        <f t="shared" si="262"/>
        <v>Copper Standard Access 10Mbit/sOn-net (NLS3)</v>
      </c>
      <c r="W131" s="521">
        <f>MATCH($J131,'Tarieven ZM'!$B:$B,0)</f>
        <v>180</v>
      </c>
      <c r="X131" s="204">
        <f>INDEX('Tarieven ZM'!$H:$H,$W131)</f>
        <v>1000</v>
      </c>
      <c r="Y131" s="198">
        <f>IF(E131="Standard Access in ZG BT gebieden",0,-INDEX(Parameters!$B:$B,MATCH(Y$3&amp;$C131,Parameters!$A:$A,0))*$X131)</f>
        <v>0</v>
      </c>
      <c r="Z131" s="198">
        <f>IF(E131="Standard Access in ZG BT gebieden",0,MAX(-INDEX(Parameters!$B:$B,MATCH(Z$3&amp;$C131,Parameters!$A:$A,0))*$X131,-INDEX(Parameters!$B:$B,MATCH("FactorMaxSalesMandaat"&amp;E131,Parameters!$A:$A,0))*INDEX(Parameters!$B:$B,MATCH("MaxSalesMandaatAccessVVE"&amp;$C131,Parameters!$A:$A,0))))</f>
        <v>0</v>
      </c>
      <c r="AA131" s="139">
        <f t="shared" si="263"/>
        <v>1000</v>
      </c>
      <c r="AB131" s="205">
        <f>AA131/INDEX(Parameters!$B:$B,MATCH("AfschrijftermijnVVE"&amp;12*$C131,Parameters!$A:$A,0))</f>
        <v>27.777777777777779</v>
      </c>
      <c r="AC131" s="204">
        <f>INDEX('Tarieven ZM'!$G:$G,$W131)</f>
        <v>1000</v>
      </c>
      <c r="AD131" s="198">
        <f>IF(E131="Standard Access in ZG BT gebieden",0,-INDEX(Parameters!$B:$B,MATCH(AD$3&amp;$C131,Parameters!$A:$A,0))*$AC131)</f>
        <v>0</v>
      </c>
      <c r="AE131" s="198">
        <f>IF(E131="Standard Access in ZG BT gebieden",0,-INDEX(Parameters!$B:$B,MATCH(AE$3,Parameters!$A:$A,0))*$AC131)</f>
        <v>0</v>
      </c>
      <c r="AF131" s="139">
        <f t="shared" si="264"/>
        <v>1000</v>
      </c>
      <c r="AG131" s="522">
        <f t="shared" si="265"/>
        <v>1027.7777777777778</v>
      </c>
      <c r="AH131" s="175"/>
      <c r="AI131" s="523">
        <f>IF(N131&lt;&gt;"nvt",MATCH($T131,'Tarieven W&amp;O'!$B:$B,0),"nvt")</f>
        <v>18</v>
      </c>
      <c r="AJ131" s="205">
        <f>IF(AI131&lt;&gt;"nvt",IF($D131="EoK",INDEX(Parameters!C:C,MATCH("NLSx EoK",Parameters!A:A,0)),INDEX('Tarieven W&amp;O'!$H:$H,$AI131)),0)*R131</f>
        <v>350</v>
      </c>
      <c r="AK131" s="204">
        <f>IF(AI131&lt;&gt;"nvt",INDEX('Tarieven W&amp;O'!$I:$I,$AI131),0)*R131</f>
        <v>75</v>
      </c>
      <c r="AL131" s="524">
        <f>IF(AI131&lt;&gt;"nvt",-INDEX(Parameters!$B:$B,MATCH(AL$3,Parameters!$A:$A,0))*(AJ131+AK131),0)</f>
        <v>0</v>
      </c>
      <c r="AM131" s="525"/>
      <c r="AN131" s="139">
        <f t="shared" si="266"/>
        <v>425</v>
      </c>
      <c r="AO131" s="205">
        <f>AN131/INDEX(Parameters!$B:$B,MATCH("AfschrijftermijnVVE"&amp;12*$C131,Parameters!$A:$A,0))</f>
        <v>11.805555555555555</v>
      </c>
      <c r="AP131" s="139">
        <f t="shared" si="267"/>
        <v>18</v>
      </c>
      <c r="AQ131" s="526">
        <f>IF(AP131&lt;&gt;"nvt",R131*INDEX('Tarieven W&amp;O'!$G:$G,$AP131),0)</f>
        <v>83.59</v>
      </c>
      <c r="AR131" s="524">
        <f>-INDEX(Parameters!$B:$B,MATCH(AR$3,Parameters!$A:$A,0))*(AQ131)</f>
        <v>0</v>
      </c>
      <c r="AS131" s="205">
        <f>IF(E131="straal access",'EDC Minus'!$H$192,IF(Q131&lt;&gt;"nvt",Q131*S131*'EDC Minus'!$H$292/590,0))</f>
        <v>0</v>
      </c>
      <c r="AT131" s="139"/>
      <c r="AU131" s="150">
        <f t="shared" si="268"/>
        <v>83.59</v>
      </c>
      <c r="AV131" s="150">
        <f t="shared" si="269"/>
        <v>95.395555555555561</v>
      </c>
      <c r="AX131" s="526">
        <f>Parameters!$B$6*AV131</f>
        <v>0.95395555555555567</v>
      </c>
      <c r="AY131" s="150">
        <v>0</v>
      </c>
      <c r="AZ131" s="150"/>
      <c r="BA131" s="150">
        <f t="shared" si="270"/>
        <v>0.95395555555555567</v>
      </c>
      <c r="BC131" s="522">
        <f t="shared" si="272"/>
        <v>96.349511111111113</v>
      </c>
      <c r="BD131" s="175"/>
      <c r="BE131" s="527">
        <f t="shared" si="256"/>
        <v>931.42826666666667</v>
      </c>
      <c r="BF131" s="181">
        <f t="shared" si="257"/>
        <v>0.90625452972972964</v>
      </c>
      <c r="BG131" s="520" t="b">
        <f t="shared" si="271"/>
        <v>0</v>
      </c>
      <c r="BI131" s="528" t="s">
        <v>2181</v>
      </c>
      <c r="BK131" s="151">
        <f>VLOOKUP(J131,'Tarieven ZM'!$B$136:$I$235,8,0)</f>
        <v>0</v>
      </c>
      <c r="BL131" s="151" t="str">
        <f>IF(M131="EoK",N131&amp;"AdvancedNLS type 1/2/3",IF(E131&lt;&gt;"Straal Access",INDEX(Mapping!J:J,MATCH(E131&amp;G131,Mapping!B:B,0)),E131))</f>
        <v>Copper Standard Access 10Mbit/sAdvancedNLS type 1/2/3</v>
      </c>
      <c r="BM131" s="184">
        <f>INDEX('inkoop ULL tbv EVPN'!J:J,MATCH($BL131,'inkoop ULL tbv EVPN'!$H:$H,0))</f>
        <v>78.97</v>
      </c>
      <c r="BN131" s="180">
        <f>BM131/INDEX(Parameters!$B:$B,MATCH("AfschrijftermijnVVE"&amp;12*$C131,Parameters!$A:$A,0))</f>
        <v>2.1936111111111112</v>
      </c>
      <c r="BO131" s="184">
        <f>INDEX('inkoop ULL tbv EVPN'!I:I,MATCH($BL131,'inkoop ULL tbv EVPN'!$H:$H,0))</f>
        <v>14.7296035</v>
      </c>
      <c r="BP131" s="184">
        <f t="shared" si="273"/>
        <v>16.92321461111111</v>
      </c>
      <c r="BR131" s="180">
        <f>Parameters!$B$12*AG131</f>
        <v>102.77777777777779</v>
      </c>
      <c r="BS131" s="180">
        <f>SUM(Distributievergoedingen!$F$12,Distributievergoedingen!$I$12,Distributievergoedingen!$L$12,Distributievergoedingen!$O$12)*AF131+SUM(Distributievergoedingen!$O$12*AA131+Distributievergoedingen!$R$12+Distributievergoedingen!$U$12+Distributievergoedingen!$X$12)/(MAX(36,12*C131))</f>
        <v>112.77777777777777</v>
      </c>
      <c r="BT131" s="150"/>
      <c r="BU131" s="150">
        <f t="shared" si="274"/>
        <v>215.55555555555554</v>
      </c>
      <c r="BW131" s="522">
        <f t="shared" si="275"/>
        <v>232.47877016666666</v>
      </c>
      <c r="BY131" s="527">
        <f t="shared" si="276"/>
        <v>795.29900761111116</v>
      </c>
      <c r="BZ131" s="181">
        <f t="shared" si="277"/>
        <v>0.77380443983783787</v>
      </c>
      <c r="CA131" s="520" t="b">
        <f t="shared" si="278"/>
        <v>0</v>
      </c>
    </row>
    <row r="132" spans="1:79" s="151" customFormat="1">
      <c r="A132" s="151" t="str">
        <f t="shared" si="259"/>
        <v>3EoKStandard Access koper 15mbLaagOn-net (NLS3)</v>
      </c>
      <c r="B132" s="151" t="str">
        <f t="shared" si="260"/>
        <v>3EoKStandard Access koper 15mbLaagOn-net (NLS3)</v>
      </c>
      <c r="C132" s="178">
        <v>3</v>
      </c>
      <c r="D132" s="415" t="s">
        <v>303</v>
      </c>
      <c r="E132" s="178" t="s">
        <v>278</v>
      </c>
      <c r="F132" s="107" t="s">
        <v>275</v>
      </c>
      <c r="G132" s="178" t="s">
        <v>3398</v>
      </c>
      <c r="I132" s="178"/>
      <c r="J132" s="520" t="str">
        <f t="shared" si="225"/>
        <v>EoKStandard Access koper 15mbLaagOn-net (NLS3)</v>
      </c>
      <c r="L132" s="204">
        <f>INDEX(Mapping!$H:$H,MATCH(C$3&amp;C132,Mapping!$B:$B,0))</f>
        <v>1</v>
      </c>
      <c r="M132" s="204" t="str">
        <f>INDEX(Mapping!$H:$H,MATCH(D$3&amp;D132,Mapping!$B:$B,0))</f>
        <v>EoK</v>
      </c>
      <c r="N132" s="204" t="str">
        <f>INDEX(Mapping!$H:$H,MATCH(E$3&amp;E132,Mapping!$B:$B,0))</f>
        <v>Copper Standard Access 15Mbit/s</v>
      </c>
      <c r="O132" s="204" t="str">
        <f>INDEX(Mapping!$H:$H,MATCH(E132&amp;F132,Mapping!$B:$B,0))</f>
        <v/>
      </c>
      <c r="P132" s="204" t="str">
        <f>INDEX(Mapping!$H:$H,MATCH($E132&amp;$G132,Mapping!$B:$B,0))</f>
        <v>On-net (NLS3)</v>
      </c>
      <c r="Q132" s="204" t="str">
        <f>INDEX(Mapping!$H:$H,MATCH($E132&amp;$G132&amp;"graafafstand",Mapping!$B:$B,0))</f>
        <v>nvt</v>
      </c>
      <c r="R132" s="204">
        <f>INDEX(Mapping!$H:$H,MATCH(R$3&amp;$E132,Mapping!$B:$B,0))</f>
        <v>1</v>
      </c>
      <c r="S132" s="204">
        <f>INDEX(Mapping!$H:$H,MATCH(S$3&amp;$E132,Mapping!$B:$B,0))</f>
        <v>1</v>
      </c>
      <c r="T132" s="139" t="str">
        <f t="shared" si="261"/>
        <v>Copper Standard Access 15Mbit/sOn-net (NLS3)</v>
      </c>
      <c r="U132" s="151" t="str">
        <f t="shared" si="262"/>
        <v>Copper Standard Access 15Mbit/sOn-net (NLS3)</v>
      </c>
      <c r="W132" s="521">
        <f>MATCH($J132,'Tarieven ZM'!$B:$B,0)</f>
        <v>181</v>
      </c>
      <c r="X132" s="204">
        <f>INDEX('Tarieven ZM'!$H:$H,$W132)</f>
        <v>1000</v>
      </c>
      <c r="Y132" s="198">
        <f>IF(E132="Standard Access in ZG BT gebieden",0,-INDEX(Parameters!$B:$B,MATCH(Y$3&amp;$C132,Parameters!$A:$A,0))*$X132)</f>
        <v>0</v>
      </c>
      <c r="Z132" s="198">
        <f>IF(E132="Standard Access in ZG BT gebieden",0,MAX(-INDEX(Parameters!$B:$B,MATCH(Z$3&amp;$C132,Parameters!$A:$A,0))*$X132,-INDEX(Parameters!$B:$B,MATCH("FactorMaxSalesMandaat"&amp;E132,Parameters!$A:$A,0))*INDEX(Parameters!$B:$B,MATCH("MaxSalesMandaatAccessVVE"&amp;$C132,Parameters!$A:$A,0))))</f>
        <v>0</v>
      </c>
      <c r="AA132" s="139">
        <f t="shared" si="263"/>
        <v>1000</v>
      </c>
      <c r="AB132" s="205">
        <f>AA132/INDEX(Parameters!$B:$B,MATCH("AfschrijftermijnVVE"&amp;12*$C132,Parameters!$A:$A,0))</f>
        <v>27.777777777777779</v>
      </c>
      <c r="AC132" s="204">
        <f>INDEX('Tarieven ZM'!$G:$G,$W132)</f>
        <v>1000</v>
      </c>
      <c r="AD132" s="198">
        <f>IF(E132="Standard Access in ZG BT gebieden",0,-INDEX(Parameters!$B:$B,MATCH(AD$3&amp;$C132,Parameters!$A:$A,0))*$AC132)</f>
        <v>0</v>
      </c>
      <c r="AE132" s="198">
        <f>IF(E132="Standard Access in ZG BT gebieden",0,-INDEX(Parameters!$B:$B,MATCH(AE$3,Parameters!$A:$A,0))*$AC132)</f>
        <v>0</v>
      </c>
      <c r="AF132" s="139">
        <f t="shared" si="264"/>
        <v>1000</v>
      </c>
      <c r="AG132" s="522">
        <f t="shared" si="265"/>
        <v>1027.7777777777778</v>
      </c>
      <c r="AH132" s="175"/>
      <c r="AI132" s="523">
        <f>IF(N132&lt;&gt;"nvt",MATCH($T132,'Tarieven W&amp;O'!$B:$B,0),"nvt")</f>
        <v>19</v>
      </c>
      <c r="AJ132" s="205">
        <f>IF(AI132&lt;&gt;"nvt",IF($D132="EoK",INDEX(Parameters!C:C,MATCH("NLSx EoK",Parameters!A:A,0)),INDEX('Tarieven W&amp;O'!$H:$H,$AI132)),0)*R132</f>
        <v>350</v>
      </c>
      <c r="AK132" s="204">
        <f>IF(AI132&lt;&gt;"nvt",INDEX('Tarieven W&amp;O'!$I:$I,$AI132),0)*R132</f>
        <v>75</v>
      </c>
      <c r="AL132" s="524">
        <f>IF(AI132&lt;&gt;"nvt",-INDEX(Parameters!$B:$B,MATCH(AL$3,Parameters!$A:$A,0))*(AJ132+AK132),0)</f>
        <v>0</v>
      </c>
      <c r="AM132" s="525"/>
      <c r="AN132" s="139">
        <f t="shared" si="266"/>
        <v>425</v>
      </c>
      <c r="AO132" s="205">
        <f>AN132/INDEX(Parameters!$B:$B,MATCH("AfschrijftermijnVVE"&amp;12*$C132,Parameters!$A:$A,0))</f>
        <v>11.805555555555555</v>
      </c>
      <c r="AP132" s="139">
        <f t="shared" si="267"/>
        <v>19</v>
      </c>
      <c r="AQ132" s="526">
        <f>IF(AP132&lt;&gt;"nvt",R132*INDEX('Tarieven W&amp;O'!$G:$G,$AP132),0)</f>
        <v>102.44</v>
      </c>
      <c r="AR132" s="524">
        <f>-INDEX(Parameters!$B:$B,MATCH(AR$3,Parameters!$A:$A,0))*(AQ132)</f>
        <v>0</v>
      </c>
      <c r="AS132" s="205">
        <f>IF(E132="straal access",'EDC Minus'!$H$192,IF(Q132&lt;&gt;"nvt",Q132*S132*'EDC Minus'!$H$292/590,0))</f>
        <v>0</v>
      </c>
      <c r="AT132" s="139"/>
      <c r="AU132" s="150">
        <f t="shared" si="268"/>
        <v>102.44</v>
      </c>
      <c r="AV132" s="150">
        <f t="shared" si="269"/>
        <v>114.24555555555555</v>
      </c>
      <c r="AX132" s="526">
        <f>Parameters!$B$6*AV132</f>
        <v>1.1424555555555556</v>
      </c>
      <c r="AY132" s="150">
        <v>0</v>
      </c>
      <c r="AZ132" s="150"/>
      <c r="BA132" s="150">
        <f t="shared" si="270"/>
        <v>1.1424555555555556</v>
      </c>
      <c r="BC132" s="522">
        <f t="shared" si="272"/>
        <v>115.38801111111111</v>
      </c>
      <c r="BD132" s="175"/>
      <c r="BE132" s="527">
        <f t="shared" si="256"/>
        <v>912.38976666666667</v>
      </c>
      <c r="BF132" s="181">
        <f t="shared" si="257"/>
        <v>0.88773058378378378</v>
      </c>
      <c r="BG132" s="520" t="b">
        <f t="shared" si="271"/>
        <v>0</v>
      </c>
      <c r="BI132" s="528" t="s">
        <v>2181</v>
      </c>
      <c r="BK132" s="151">
        <f>VLOOKUP(J132,'Tarieven ZM'!$B$136:$I$235,8,0)</f>
        <v>0</v>
      </c>
      <c r="BL132" s="151" t="str">
        <f>IF(M132="EoK",N132&amp;"AdvancedNLS type 1/2/3",IF(E132&lt;&gt;"Straal Access",INDEX(Mapping!J:J,MATCH(E132&amp;G132,Mapping!B:B,0)),E132))</f>
        <v>Copper Standard Access 15Mbit/sAdvancedNLS type 1/2/3</v>
      </c>
      <c r="BM132" s="184">
        <f>INDEX('inkoop ULL tbv EVPN'!J:J,MATCH($BL132,'inkoop ULL tbv EVPN'!$H:$H,0))</f>
        <v>78.97</v>
      </c>
      <c r="BN132" s="180">
        <f>BM132/INDEX(Parameters!$B:$B,MATCH("AfschrijftermijnVVE"&amp;12*$C132,Parameters!$A:$A,0))</f>
        <v>2.1936111111111112</v>
      </c>
      <c r="BO132" s="184">
        <f>INDEX('inkoop ULL tbv EVPN'!I:I,MATCH($BL132,'inkoop ULL tbv EVPN'!$H:$H,0))</f>
        <v>14.7296035</v>
      </c>
      <c r="BP132" s="184">
        <f t="shared" si="273"/>
        <v>16.92321461111111</v>
      </c>
      <c r="BR132" s="180">
        <f>Parameters!$B$12*AG132</f>
        <v>102.77777777777779</v>
      </c>
      <c r="BS132" s="180">
        <f>SUM(Distributievergoedingen!$F$12,Distributievergoedingen!$I$12,Distributievergoedingen!$L$12,Distributievergoedingen!$O$12)*AF132+SUM(Distributievergoedingen!$O$12*AA132+Distributievergoedingen!$R$12+Distributievergoedingen!$U$12+Distributievergoedingen!$X$12)/(MAX(36,12*C132))</f>
        <v>112.77777777777777</v>
      </c>
      <c r="BT132" s="150"/>
      <c r="BU132" s="150">
        <f t="shared" si="274"/>
        <v>215.55555555555554</v>
      </c>
      <c r="BW132" s="522">
        <f t="shared" si="275"/>
        <v>232.47877016666666</v>
      </c>
      <c r="BY132" s="527">
        <f t="shared" si="276"/>
        <v>795.29900761111116</v>
      </c>
      <c r="BZ132" s="181">
        <f t="shared" si="277"/>
        <v>0.77380443983783787</v>
      </c>
      <c r="CA132" s="520" t="b">
        <f t="shared" si="278"/>
        <v>0</v>
      </c>
    </row>
    <row r="133" spans="1:79" s="151" customFormat="1">
      <c r="A133" s="151" t="str">
        <f t="shared" si="259"/>
        <v>3EoKStandard Access koper 20mbLaagOn-net (NLS3)</v>
      </c>
      <c r="B133" s="151" t="str">
        <f t="shared" si="260"/>
        <v>3EoKStandard Access koper 20mbLaagOn-net (NLS3)</v>
      </c>
      <c r="C133" s="178">
        <v>3</v>
      </c>
      <c r="D133" s="415" t="s">
        <v>303</v>
      </c>
      <c r="E133" s="178" t="s">
        <v>279</v>
      </c>
      <c r="F133" s="107" t="s">
        <v>275</v>
      </c>
      <c r="G133" s="178" t="s">
        <v>3398</v>
      </c>
      <c r="I133" s="178"/>
      <c r="J133" s="520" t="str">
        <f t="shared" si="225"/>
        <v>EoKStandard Access koper 20mbLaagOn-net (NLS3)</v>
      </c>
      <c r="L133" s="204">
        <f>INDEX(Mapping!$H:$H,MATCH(C$3&amp;C133,Mapping!$B:$B,0))</f>
        <v>1</v>
      </c>
      <c r="M133" s="204" t="str">
        <f>INDEX(Mapping!$H:$H,MATCH(D$3&amp;D133,Mapping!$B:$B,0))</f>
        <v>EoK</v>
      </c>
      <c r="N133" s="204" t="str">
        <f>INDEX(Mapping!$H:$H,MATCH(E$3&amp;E133,Mapping!$B:$B,0))</f>
        <v>Copper Standard Access 20Mbit/s</v>
      </c>
      <c r="O133" s="204" t="str">
        <f>INDEX(Mapping!$H:$H,MATCH(E133&amp;F133,Mapping!$B:$B,0))</f>
        <v/>
      </c>
      <c r="P133" s="204" t="str">
        <f>INDEX(Mapping!$H:$H,MATCH($E133&amp;$G133,Mapping!$B:$B,0))</f>
        <v>On-net (NLS3)</v>
      </c>
      <c r="Q133" s="204" t="str">
        <f>INDEX(Mapping!$H:$H,MATCH($E133&amp;$G133&amp;"graafafstand",Mapping!$B:$B,0))</f>
        <v>nvt</v>
      </c>
      <c r="R133" s="204">
        <f>INDEX(Mapping!$H:$H,MATCH(R$3&amp;$E133,Mapping!$B:$B,0))</f>
        <v>1</v>
      </c>
      <c r="S133" s="204">
        <f>INDEX(Mapping!$H:$H,MATCH(S$3&amp;$E133,Mapping!$B:$B,0))</f>
        <v>1</v>
      </c>
      <c r="T133" s="139" t="str">
        <f t="shared" si="261"/>
        <v>Copper Standard Access 20Mbit/sOn-net (NLS3)</v>
      </c>
      <c r="U133" s="151" t="str">
        <f t="shared" si="262"/>
        <v>Copper Standard Access 20Mbit/sOn-net (NLS3)</v>
      </c>
      <c r="W133" s="521">
        <f>MATCH($J133,'Tarieven ZM'!$B:$B,0)</f>
        <v>182</v>
      </c>
      <c r="X133" s="204">
        <f>INDEX('Tarieven ZM'!$H:$H,$W133)</f>
        <v>1000</v>
      </c>
      <c r="Y133" s="198">
        <f>IF(E133="Standard Access in ZG BT gebieden",0,-INDEX(Parameters!$B:$B,MATCH(Y$3&amp;$C133,Parameters!$A:$A,0))*$X133)</f>
        <v>0</v>
      </c>
      <c r="Z133" s="198">
        <f>IF(E133="Standard Access in ZG BT gebieden",0,MAX(-INDEX(Parameters!$B:$B,MATCH(Z$3&amp;$C133,Parameters!$A:$A,0))*$X133,-INDEX(Parameters!$B:$B,MATCH("FactorMaxSalesMandaat"&amp;E133,Parameters!$A:$A,0))*INDEX(Parameters!$B:$B,MATCH("MaxSalesMandaatAccessVVE"&amp;$C133,Parameters!$A:$A,0))))</f>
        <v>0</v>
      </c>
      <c r="AA133" s="139">
        <f t="shared" si="263"/>
        <v>1000</v>
      </c>
      <c r="AB133" s="205">
        <f>AA133/INDEX(Parameters!$B:$B,MATCH("AfschrijftermijnVVE"&amp;12*$C133,Parameters!$A:$A,0))</f>
        <v>27.777777777777779</v>
      </c>
      <c r="AC133" s="204">
        <f>INDEX('Tarieven ZM'!$G:$G,$W133)</f>
        <v>1000</v>
      </c>
      <c r="AD133" s="198">
        <f>IF(E133="Standard Access in ZG BT gebieden",0,-INDEX(Parameters!$B:$B,MATCH(AD$3&amp;$C133,Parameters!$A:$A,0))*$AC133)</f>
        <v>0</v>
      </c>
      <c r="AE133" s="198">
        <f>IF(E133="Standard Access in ZG BT gebieden",0,-INDEX(Parameters!$B:$B,MATCH(AE$3,Parameters!$A:$A,0))*$AC133)</f>
        <v>0</v>
      </c>
      <c r="AF133" s="139">
        <f t="shared" si="264"/>
        <v>1000</v>
      </c>
      <c r="AG133" s="522">
        <f t="shared" si="265"/>
        <v>1027.7777777777778</v>
      </c>
      <c r="AH133" s="175"/>
      <c r="AI133" s="523">
        <f>IF(N133&lt;&gt;"nvt",MATCH($T133,'Tarieven W&amp;O'!$B:$B,0),"nvt")</f>
        <v>20</v>
      </c>
      <c r="AJ133" s="205">
        <f>IF(AI133&lt;&gt;"nvt",IF($D133="EoK",INDEX(Parameters!C:C,MATCH("NLSx EoK",Parameters!A:A,0)),INDEX('Tarieven W&amp;O'!$H:$H,$AI133)),0)*R133</f>
        <v>350</v>
      </c>
      <c r="AK133" s="204">
        <f>IF(AI133&lt;&gt;"nvt",INDEX('Tarieven W&amp;O'!$I:$I,$AI133),0)*R133</f>
        <v>75</v>
      </c>
      <c r="AL133" s="524">
        <f>IF(AI133&lt;&gt;"nvt",-INDEX(Parameters!$B:$B,MATCH(AL$3,Parameters!$A:$A,0))*(AJ133+AK133),0)</f>
        <v>0</v>
      </c>
      <c r="AM133" s="525"/>
      <c r="AN133" s="139">
        <f t="shared" si="266"/>
        <v>425</v>
      </c>
      <c r="AO133" s="205">
        <f>AN133/INDEX(Parameters!$B:$B,MATCH("AfschrijftermijnVVE"&amp;12*$C133,Parameters!$A:$A,0))</f>
        <v>11.805555555555555</v>
      </c>
      <c r="AP133" s="139">
        <f t="shared" si="267"/>
        <v>20</v>
      </c>
      <c r="AQ133" s="526">
        <f>IF(AP133&lt;&gt;"nvt",R133*INDEX('Tarieven W&amp;O'!$G:$G,$AP133),0)</f>
        <v>121.28</v>
      </c>
      <c r="AR133" s="524">
        <f>-INDEX(Parameters!$B:$B,MATCH(AR$3,Parameters!$A:$A,0))*(AQ133)</f>
        <v>0</v>
      </c>
      <c r="AS133" s="205">
        <f>IF(E133="straal access",'EDC Minus'!$H$192,IF(Q133&lt;&gt;"nvt",Q133*S133*'EDC Minus'!$H$292/590,0))</f>
        <v>0</v>
      </c>
      <c r="AT133" s="139"/>
      <c r="AU133" s="150">
        <f t="shared" si="268"/>
        <v>121.28</v>
      </c>
      <c r="AV133" s="150">
        <f t="shared" si="269"/>
        <v>133.08555555555554</v>
      </c>
      <c r="AX133" s="526">
        <f>Parameters!$B$6*AV133</f>
        <v>1.3308555555555555</v>
      </c>
      <c r="AY133" s="150">
        <v>0</v>
      </c>
      <c r="AZ133" s="150"/>
      <c r="BA133" s="150">
        <f t="shared" si="270"/>
        <v>1.3308555555555555</v>
      </c>
      <c r="BC133" s="522">
        <f t="shared" si="272"/>
        <v>134.4164111111111</v>
      </c>
      <c r="BD133" s="175"/>
      <c r="BE133" s="527">
        <f t="shared" si="256"/>
        <v>893.36136666666675</v>
      </c>
      <c r="BF133" s="181">
        <f t="shared" si="257"/>
        <v>0.86921646486486492</v>
      </c>
      <c r="BG133" s="520" t="b">
        <f t="shared" si="271"/>
        <v>0</v>
      </c>
      <c r="BI133" s="528" t="s">
        <v>2181</v>
      </c>
      <c r="BK133" s="151">
        <f>VLOOKUP(J133,'Tarieven ZM'!$B$136:$I$235,8,0)</f>
        <v>0</v>
      </c>
      <c r="BL133" s="151" t="str">
        <f>IF(M133="EoK",N133&amp;"AdvancedNLS type 1/2/3",IF(E133&lt;&gt;"Straal Access",INDEX(Mapping!J:J,MATCH(E133&amp;G133,Mapping!B:B,0)),E133))</f>
        <v>Copper Standard Access 20Mbit/sAdvancedNLS type 1/2/3</v>
      </c>
      <c r="BM133" s="184">
        <f>INDEX('inkoop ULL tbv EVPN'!J:J,MATCH($BL133,'inkoop ULL tbv EVPN'!$H:$H,0))</f>
        <v>78.97</v>
      </c>
      <c r="BN133" s="180">
        <f>BM133/INDEX(Parameters!$B:$B,MATCH("AfschrijftermijnVVE"&amp;12*$C133,Parameters!$A:$A,0))</f>
        <v>2.1936111111111112</v>
      </c>
      <c r="BO133" s="184">
        <f>INDEX('inkoop ULL tbv EVPN'!I:I,MATCH($BL133,'inkoop ULL tbv EVPN'!$H:$H,0))</f>
        <v>14.7296035</v>
      </c>
      <c r="BP133" s="184">
        <f t="shared" si="273"/>
        <v>16.92321461111111</v>
      </c>
      <c r="BR133" s="180">
        <f>Parameters!$B$12*AG133</f>
        <v>102.77777777777779</v>
      </c>
      <c r="BS133" s="180">
        <f>SUM(Distributievergoedingen!$F$12,Distributievergoedingen!$I$12,Distributievergoedingen!$L$12,Distributievergoedingen!$O$12)*AF133+SUM(Distributievergoedingen!$O$12*AA133+Distributievergoedingen!$R$12+Distributievergoedingen!$U$12+Distributievergoedingen!$X$12)/(MAX(36,12*C133))</f>
        <v>112.77777777777777</v>
      </c>
      <c r="BT133" s="150"/>
      <c r="BU133" s="150">
        <f t="shared" si="274"/>
        <v>215.55555555555554</v>
      </c>
      <c r="BW133" s="522">
        <f t="shared" si="275"/>
        <v>232.47877016666666</v>
      </c>
      <c r="BY133" s="527">
        <f t="shared" si="276"/>
        <v>795.29900761111116</v>
      </c>
      <c r="BZ133" s="181">
        <f t="shared" si="277"/>
        <v>0.77380443983783787</v>
      </c>
      <c r="CA133" s="520" t="b">
        <f t="shared" si="278"/>
        <v>0</v>
      </c>
    </row>
    <row r="134" spans="1:79" s="151" customFormat="1">
      <c r="A134" s="151" t="str">
        <f t="shared" si="259"/>
        <v>3EoKStandard Access koper 3mbLaag&lt; 250 meter</v>
      </c>
      <c r="B134" s="151" t="str">
        <f t="shared" si="260"/>
        <v>3EoKStandard Access koper 3mbLaag&lt; 250 meter</v>
      </c>
      <c r="C134" s="178">
        <v>3</v>
      </c>
      <c r="D134" s="415" t="s">
        <v>303</v>
      </c>
      <c r="E134" s="178" t="s">
        <v>268</v>
      </c>
      <c r="F134" s="107" t="s">
        <v>275</v>
      </c>
      <c r="G134" s="178" t="s">
        <v>3397</v>
      </c>
      <c r="I134" s="178"/>
      <c r="J134" s="520" t="str">
        <f t="shared" ref="J134:J153" si="279">D134&amp;E134&amp;F134&amp;G134</f>
        <v>EoKStandard Access koper 3mbLaag&lt; 250 meter</v>
      </c>
      <c r="L134" s="204">
        <f>INDEX(Mapping!$H:$H,MATCH(C$3&amp;C134,Mapping!$B:$B,0))</f>
        <v>1</v>
      </c>
      <c r="M134" s="204" t="str">
        <f>INDEX(Mapping!$H:$H,MATCH(D$3&amp;D134,Mapping!$B:$B,0))</f>
        <v>EoK</v>
      </c>
      <c r="N134" s="204" t="str">
        <f>INDEX(Mapping!$H:$H,MATCH(E$3&amp;E134,Mapping!$B:$B,0))</f>
        <v>Copper Standard Access 3Mbit/s</v>
      </c>
      <c r="O134" s="204" t="str">
        <f>INDEX(Mapping!$H:$H,MATCH(E134&amp;F134,Mapping!$B:$B,0))</f>
        <v/>
      </c>
      <c r="P134" s="204" t="str">
        <f>INDEX(Mapping!$H:$H,MATCH($E134&amp;$G134,Mapping!$B:$B,0))</f>
        <v>Nearnet</v>
      </c>
      <c r="Q134" s="204" t="str">
        <f>INDEX(Mapping!$H:$H,MATCH($E134&amp;$G134&amp;"graafafstand",Mapping!$B:$B,0))</f>
        <v>nvt</v>
      </c>
      <c r="R134" s="204">
        <f>INDEX(Mapping!$H:$H,MATCH(R$3&amp;$E134,Mapping!$B:$B,0))</f>
        <v>1</v>
      </c>
      <c r="S134" s="204">
        <f>INDEX(Mapping!$H:$H,MATCH(S$3&amp;$E134,Mapping!$B:$B,0))</f>
        <v>1</v>
      </c>
      <c r="T134" s="139" t="str">
        <f t="shared" si="261"/>
        <v>Copper Standard Access 3Mbit/sNearnet</v>
      </c>
      <c r="U134" s="151" t="str">
        <f t="shared" si="262"/>
        <v>Copper Standard Access 3Mbit/sNearnet</v>
      </c>
      <c r="W134" s="521">
        <f>MATCH($J134,'Tarieven ZM'!$B:$B,0)</f>
        <v>183</v>
      </c>
      <c r="X134" s="204">
        <f>INDEX('Tarieven ZM'!$H:$H,$W134)</f>
        <v>1000</v>
      </c>
      <c r="Y134" s="198">
        <f>IF(E134="Standard Access in ZG BT gebieden",0,-INDEX(Parameters!$B:$B,MATCH(Y$3&amp;$C134,Parameters!$A:$A,0))*$X134)</f>
        <v>0</v>
      </c>
      <c r="Z134" s="198">
        <f>IF(E134="Standard Access in ZG BT gebieden",0,MAX(-INDEX(Parameters!$B:$B,MATCH(Z$3&amp;$C134,Parameters!$A:$A,0))*$X134,-INDEX(Parameters!$B:$B,MATCH("FactorMaxSalesMandaat"&amp;E134,Parameters!$A:$A,0))*INDEX(Parameters!$B:$B,MATCH("MaxSalesMandaatAccessVVE"&amp;$C134,Parameters!$A:$A,0))))</f>
        <v>0</v>
      </c>
      <c r="AA134" s="139">
        <f t="shared" si="263"/>
        <v>1000</v>
      </c>
      <c r="AB134" s="205">
        <f>AA134/INDEX(Parameters!$B:$B,MATCH("AfschrijftermijnVVE"&amp;12*$C134,Parameters!$A:$A,0))</f>
        <v>27.777777777777779</v>
      </c>
      <c r="AC134" s="204">
        <f>INDEX('Tarieven ZM'!$G:$G,$W134)</f>
        <v>1000</v>
      </c>
      <c r="AD134" s="198">
        <f>IF(E134="Standard Access in ZG BT gebieden",0,-INDEX(Parameters!$B:$B,MATCH(AD$3&amp;$C134,Parameters!$A:$A,0))*$AC134)</f>
        <v>0</v>
      </c>
      <c r="AE134" s="198">
        <f>IF(E134="Standard Access in ZG BT gebieden",0,-INDEX(Parameters!$B:$B,MATCH(AE$3,Parameters!$A:$A,0))*$AC134)</f>
        <v>0</v>
      </c>
      <c r="AF134" s="139">
        <f t="shared" si="264"/>
        <v>1000</v>
      </c>
      <c r="AG134" s="522">
        <f t="shared" si="265"/>
        <v>1027.7777777777778</v>
      </c>
      <c r="AH134" s="175"/>
      <c r="AI134" s="523">
        <f>IF(N134&lt;&gt;"nvt",MATCH($T134,'Tarieven W&amp;O'!$B:$B,0),"nvt")</f>
        <v>23</v>
      </c>
      <c r="AJ134" s="205">
        <f>IF(AI134&lt;&gt;"nvt",IF($D134="EoK",INDEX(Parameters!C:C,MATCH("NLSx EoK",Parameters!A:A,0)),INDEX('Tarieven W&amp;O'!$H:$H,$AI134)),0)*R134</f>
        <v>350</v>
      </c>
      <c r="AK134" s="204">
        <f>IF(AI134&lt;&gt;"nvt",INDEX('Tarieven W&amp;O'!$I:$I,$AI134),0)*R134</f>
        <v>75</v>
      </c>
      <c r="AL134" s="524">
        <f>IF(AI134&lt;&gt;"nvt",-INDEX(Parameters!$B:$B,MATCH(AL$3,Parameters!$A:$A,0))*(AJ134+AK134),0)</f>
        <v>0</v>
      </c>
      <c r="AM134" s="525"/>
      <c r="AN134" s="139">
        <f t="shared" si="266"/>
        <v>425</v>
      </c>
      <c r="AO134" s="205">
        <f>AN134/INDEX(Parameters!$B:$B,MATCH("AfschrijftermijnVVE"&amp;12*$C134,Parameters!$A:$A,0))</f>
        <v>11.805555555555555</v>
      </c>
      <c r="AP134" s="139">
        <f t="shared" si="267"/>
        <v>23</v>
      </c>
      <c r="AQ134" s="526">
        <f>IF(AP134&lt;&gt;"nvt",R134*INDEX('Tarieven W&amp;O'!$G:$G,$AP134),0)</f>
        <v>41.5</v>
      </c>
      <c r="AR134" s="524">
        <f>-INDEX(Parameters!$B:$B,MATCH(AR$3,Parameters!$A:$A,0))*(AQ134)</f>
        <v>0</v>
      </c>
      <c r="AS134" s="205">
        <f>IF(E134="straal access",'EDC Minus'!$H$192,IF(Q134&lt;&gt;"nvt",Q134*S134*'EDC Minus'!$H$292/590,0))</f>
        <v>0</v>
      </c>
      <c r="AT134" s="139"/>
      <c r="AU134" s="150">
        <f t="shared" si="268"/>
        <v>41.5</v>
      </c>
      <c r="AV134" s="150">
        <f t="shared" si="269"/>
        <v>53.305555555555557</v>
      </c>
      <c r="AX134" s="526">
        <f>Parameters!$B$6*AV134</f>
        <v>0.53305555555555562</v>
      </c>
      <c r="AY134" s="150">
        <v>0</v>
      </c>
      <c r="AZ134" s="150"/>
      <c r="BA134" s="150">
        <f t="shared" si="270"/>
        <v>0.53305555555555562</v>
      </c>
      <c r="BC134" s="522">
        <f t="shared" si="272"/>
        <v>53.838611111111113</v>
      </c>
      <c r="BD134" s="175"/>
      <c r="BE134" s="527">
        <f t="shared" si="256"/>
        <v>973.93916666666667</v>
      </c>
      <c r="BF134" s="181">
        <f t="shared" si="257"/>
        <v>0.94761648648648644</v>
      </c>
      <c r="BG134" s="520" t="b">
        <f t="shared" si="271"/>
        <v>0</v>
      </c>
      <c r="BI134" s="528" t="s">
        <v>2181</v>
      </c>
      <c r="BK134" s="151">
        <f>VLOOKUP(J134,'Tarieven ZM'!$B$136:$I$235,8,0)</f>
        <v>0</v>
      </c>
      <c r="BL134" s="151" t="str">
        <f>IF(M134="EoK",N134&amp;"AdvancedNLS type 1/2/3",IF(E134&lt;&gt;"Straal Access",INDEX(Mapping!J:J,MATCH(E134&amp;G134,Mapping!B:B,0)),E134))</f>
        <v>Copper Standard Access 3Mbit/sAdvancedNLS type 1/2/3</v>
      </c>
      <c r="BM134" s="184">
        <f>INDEX('inkoop ULL tbv EVPN'!J:J,MATCH($BL134,'inkoop ULL tbv EVPN'!$H:$H,0))</f>
        <v>78.97</v>
      </c>
      <c r="BN134" s="180">
        <f>BM134/INDEX(Parameters!$B:$B,MATCH("AfschrijftermijnVVE"&amp;12*$C134,Parameters!$A:$A,0))</f>
        <v>2.1936111111111112</v>
      </c>
      <c r="BO134" s="184">
        <f>INDEX('inkoop ULL tbv EVPN'!I:I,MATCH($BL134,'inkoop ULL tbv EVPN'!$H:$H,0))</f>
        <v>14.7296035</v>
      </c>
      <c r="BP134" s="184">
        <f t="shared" si="273"/>
        <v>16.92321461111111</v>
      </c>
      <c r="BR134" s="180">
        <f>Parameters!$B$12*AG134</f>
        <v>102.77777777777779</v>
      </c>
      <c r="BS134" s="180">
        <f>SUM(Distributievergoedingen!$F$12,Distributievergoedingen!$I$12,Distributievergoedingen!$L$12,Distributievergoedingen!$O$12)*AF134+SUM(Distributievergoedingen!$O$12*AA134+Distributievergoedingen!$R$12+Distributievergoedingen!$U$12+Distributievergoedingen!$X$12)/(MAX(36,12*C134))</f>
        <v>112.77777777777777</v>
      </c>
      <c r="BT134" s="150"/>
      <c r="BU134" s="150">
        <f t="shared" si="274"/>
        <v>215.55555555555554</v>
      </c>
      <c r="BW134" s="522">
        <f t="shared" si="275"/>
        <v>232.47877016666666</v>
      </c>
      <c r="BY134" s="527">
        <f t="shared" si="276"/>
        <v>795.29900761111116</v>
      </c>
      <c r="BZ134" s="181">
        <f t="shared" si="277"/>
        <v>0.77380443983783787</v>
      </c>
      <c r="CA134" s="520" t="b">
        <f t="shared" si="278"/>
        <v>0</v>
      </c>
    </row>
    <row r="135" spans="1:79" s="151" customFormat="1">
      <c r="A135" s="151" t="str">
        <f t="shared" si="259"/>
        <v>3EoKStandard Access koper 5mbLaag&lt; 250 meter</v>
      </c>
      <c r="B135" s="151" t="str">
        <f t="shared" si="260"/>
        <v>3EoKStandard Access koper 5mbLaag&lt; 250 meter</v>
      </c>
      <c r="C135" s="178">
        <v>3</v>
      </c>
      <c r="D135" s="415" t="s">
        <v>303</v>
      </c>
      <c r="E135" s="178" t="s">
        <v>276</v>
      </c>
      <c r="F135" s="107" t="s">
        <v>275</v>
      </c>
      <c r="G135" s="178" t="s">
        <v>3397</v>
      </c>
      <c r="I135" s="178"/>
      <c r="J135" s="520" t="str">
        <f t="shared" si="279"/>
        <v>EoKStandard Access koper 5mbLaag&lt; 250 meter</v>
      </c>
      <c r="L135" s="204">
        <f>INDEX(Mapping!$H:$H,MATCH(C$3&amp;C135,Mapping!$B:$B,0))</f>
        <v>1</v>
      </c>
      <c r="M135" s="204" t="str">
        <f>INDEX(Mapping!$H:$H,MATCH(D$3&amp;D135,Mapping!$B:$B,0))</f>
        <v>EoK</v>
      </c>
      <c r="N135" s="204" t="str">
        <f>INDEX(Mapping!$H:$H,MATCH(E$3&amp;E135,Mapping!$B:$B,0))</f>
        <v>Copper Standard Access 5Mbit/s</v>
      </c>
      <c r="O135" s="204" t="str">
        <f>INDEX(Mapping!$H:$H,MATCH(E135&amp;F135,Mapping!$B:$B,0))</f>
        <v/>
      </c>
      <c r="P135" s="204" t="str">
        <f>INDEX(Mapping!$H:$H,MATCH($E135&amp;$G135,Mapping!$B:$B,0))</f>
        <v>Nearnet</v>
      </c>
      <c r="Q135" s="204" t="str">
        <f>INDEX(Mapping!$H:$H,MATCH($E135&amp;$G135&amp;"graafafstand",Mapping!$B:$B,0))</f>
        <v>nvt</v>
      </c>
      <c r="R135" s="204">
        <f>INDEX(Mapping!$H:$H,MATCH(R$3&amp;$E135,Mapping!$B:$B,0))</f>
        <v>1</v>
      </c>
      <c r="S135" s="204">
        <f>INDEX(Mapping!$H:$H,MATCH(S$3&amp;$E135,Mapping!$B:$B,0))</f>
        <v>1</v>
      </c>
      <c r="T135" s="139" t="str">
        <f t="shared" si="261"/>
        <v>Copper Standard Access 5Mbit/sNearnet</v>
      </c>
      <c r="U135" s="151" t="str">
        <f t="shared" si="262"/>
        <v>Copper Standard Access 5Mbit/sNearnet</v>
      </c>
      <c r="W135" s="521">
        <f>MATCH($J135,'Tarieven ZM'!$B:$B,0)</f>
        <v>184</v>
      </c>
      <c r="X135" s="204">
        <f>INDEX('Tarieven ZM'!$H:$H,$W135)</f>
        <v>1000</v>
      </c>
      <c r="Y135" s="198">
        <f>IF(E135="Standard Access in ZG BT gebieden",0,-INDEX(Parameters!$B:$B,MATCH(Y$3&amp;$C135,Parameters!$A:$A,0))*$X135)</f>
        <v>0</v>
      </c>
      <c r="Z135" s="198">
        <f>IF(E135="Standard Access in ZG BT gebieden",0,MAX(-INDEX(Parameters!$B:$B,MATCH(Z$3&amp;$C135,Parameters!$A:$A,0))*$X135,-INDEX(Parameters!$B:$B,MATCH("FactorMaxSalesMandaat"&amp;E135,Parameters!$A:$A,0))*INDEX(Parameters!$B:$B,MATCH("MaxSalesMandaatAccessVVE"&amp;$C135,Parameters!$A:$A,0))))</f>
        <v>0</v>
      </c>
      <c r="AA135" s="139">
        <f t="shared" si="263"/>
        <v>1000</v>
      </c>
      <c r="AB135" s="205">
        <f>AA135/INDEX(Parameters!$B:$B,MATCH("AfschrijftermijnVVE"&amp;12*$C135,Parameters!$A:$A,0))</f>
        <v>27.777777777777779</v>
      </c>
      <c r="AC135" s="204">
        <f>INDEX('Tarieven ZM'!$G:$G,$W135)</f>
        <v>1000</v>
      </c>
      <c r="AD135" s="198">
        <f>IF(E135="Standard Access in ZG BT gebieden",0,-INDEX(Parameters!$B:$B,MATCH(AD$3&amp;$C135,Parameters!$A:$A,0))*$AC135)</f>
        <v>0</v>
      </c>
      <c r="AE135" s="198">
        <f>IF(E135="Standard Access in ZG BT gebieden",0,-INDEX(Parameters!$B:$B,MATCH(AE$3,Parameters!$A:$A,0))*$AC135)</f>
        <v>0</v>
      </c>
      <c r="AF135" s="139">
        <f t="shared" si="264"/>
        <v>1000</v>
      </c>
      <c r="AG135" s="522">
        <f t="shared" si="265"/>
        <v>1027.7777777777778</v>
      </c>
      <c r="AH135" s="175"/>
      <c r="AI135" s="523">
        <f>IF(N135&lt;&gt;"nvt",MATCH($T135,'Tarieven W&amp;O'!$B:$B,0),"nvt")</f>
        <v>24</v>
      </c>
      <c r="AJ135" s="205">
        <f>IF(AI135&lt;&gt;"nvt",IF($D135="EoK",INDEX(Parameters!C:C,MATCH("NLSx EoK",Parameters!A:A,0)),INDEX('Tarieven W&amp;O'!$H:$H,$AI135)),0)*R135</f>
        <v>350</v>
      </c>
      <c r="AK135" s="204">
        <f>IF(AI135&lt;&gt;"nvt",INDEX('Tarieven W&amp;O'!$I:$I,$AI135),0)*R135</f>
        <v>75</v>
      </c>
      <c r="AL135" s="524">
        <f>IF(AI135&lt;&gt;"nvt",-INDEX(Parameters!$B:$B,MATCH(AL$3,Parameters!$A:$A,0))*(AJ135+AK135),0)</f>
        <v>0</v>
      </c>
      <c r="AM135" s="525"/>
      <c r="AN135" s="139">
        <f t="shared" si="266"/>
        <v>425</v>
      </c>
      <c r="AO135" s="205">
        <f>AN135/INDEX(Parameters!$B:$B,MATCH("AfschrijftermijnVVE"&amp;12*$C135,Parameters!$A:$A,0))</f>
        <v>11.805555555555555</v>
      </c>
      <c r="AP135" s="139">
        <f t="shared" si="267"/>
        <v>24</v>
      </c>
      <c r="AQ135" s="526">
        <f>IF(AP135&lt;&gt;"nvt",R135*INDEX('Tarieven W&amp;O'!$G:$G,$AP135),0)</f>
        <v>60.97</v>
      </c>
      <c r="AR135" s="524">
        <f>-INDEX(Parameters!$B:$B,MATCH(AR$3,Parameters!$A:$A,0))*(AQ135)</f>
        <v>0</v>
      </c>
      <c r="AS135" s="205">
        <f>IF(E135="straal access",'EDC Minus'!$H$192,IF(Q135&lt;&gt;"nvt",Q135*S135*'EDC Minus'!$H$292/590,0))</f>
        <v>0</v>
      </c>
      <c r="AT135" s="139"/>
      <c r="AU135" s="150">
        <f t="shared" si="268"/>
        <v>60.97</v>
      </c>
      <c r="AV135" s="150">
        <f t="shared" si="269"/>
        <v>72.775555555555556</v>
      </c>
      <c r="AX135" s="526">
        <f>Parameters!$B$6*AV135</f>
        <v>0.7277555555555556</v>
      </c>
      <c r="AY135" s="150">
        <v>0</v>
      </c>
      <c r="AZ135" s="150"/>
      <c r="BA135" s="150">
        <f t="shared" si="270"/>
        <v>0.7277555555555556</v>
      </c>
      <c r="BC135" s="522">
        <f t="shared" si="272"/>
        <v>73.503311111111117</v>
      </c>
      <c r="BD135" s="175"/>
      <c r="BE135" s="527">
        <f t="shared" si="256"/>
        <v>954.27446666666674</v>
      </c>
      <c r="BF135" s="181">
        <f t="shared" si="257"/>
        <v>0.92848326486486488</v>
      </c>
      <c r="BG135" s="520" t="b">
        <f t="shared" si="271"/>
        <v>0</v>
      </c>
      <c r="BI135" s="528" t="s">
        <v>2181</v>
      </c>
      <c r="BK135" s="151">
        <f>VLOOKUP(J135,'Tarieven ZM'!$B$136:$I$235,8,0)</f>
        <v>0</v>
      </c>
      <c r="BL135" s="151" t="str">
        <f>IF(M135="EoK",N135&amp;"AdvancedNLS type 1/2/3",IF(E135&lt;&gt;"Straal Access",INDEX(Mapping!J:J,MATCH(E135&amp;G135,Mapping!B:B,0)),E135))</f>
        <v>Copper Standard Access 5Mbit/sAdvancedNLS type 1/2/3</v>
      </c>
      <c r="BM135" s="184">
        <f>INDEX('inkoop ULL tbv EVPN'!J:J,MATCH($BL135,'inkoop ULL tbv EVPN'!$H:$H,0))</f>
        <v>78.97</v>
      </c>
      <c r="BN135" s="180">
        <f>BM135/INDEX(Parameters!$B:$B,MATCH("AfschrijftermijnVVE"&amp;12*$C135,Parameters!$A:$A,0))</f>
        <v>2.1936111111111112</v>
      </c>
      <c r="BO135" s="184">
        <f>INDEX('inkoop ULL tbv EVPN'!I:I,MATCH($BL135,'inkoop ULL tbv EVPN'!$H:$H,0))</f>
        <v>14.7296035</v>
      </c>
      <c r="BP135" s="184">
        <f t="shared" si="273"/>
        <v>16.92321461111111</v>
      </c>
      <c r="BR135" s="180">
        <f>Parameters!$B$12*AG135</f>
        <v>102.77777777777779</v>
      </c>
      <c r="BS135" s="180">
        <f>SUM(Distributievergoedingen!$F$12,Distributievergoedingen!$I$12,Distributievergoedingen!$L$12,Distributievergoedingen!$O$12)*AF135+SUM(Distributievergoedingen!$O$12*AA135+Distributievergoedingen!$R$12+Distributievergoedingen!$U$12+Distributievergoedingen!$X$12)/(MAX(36,12*C135))</f>
        <v>112.77777777777777</v>
      </c>
      <c r="BT135" s="150"/>
      <c r="BU135" s="150">
        <f t="shared" si="274"/>
        <v>215.55555555555554</v>
      </c>
      <c r="BW135" s="522">
        <f t="shared" si="275"/>
        <v>232.47877016666666</v>
      </c>
      <c r="BY135" s="527">
        <f t="shared" si="276"/>
        <v>795.29900761111116</v>
      </c>
      <c r="BZ135" s="181">
        <f t="shared" si="277"/>
        <v>0.77380443983783787</v>
      </c>
      <c r="CA135" s="520" t="b">
        <f t="shared" si="278"/>
        <v>0</v>
      </c>
    </row>
    <row r="136" spans="1:79" s="151" customFormat="1">
      <c r="A136" s="151" t="str">
        <f t="shared" si="259"/>
        <v>3EoKStandard Access koper 10mbLaag&lt; 250 meter</v>
      </c>
      <c r="B136" s="151" t="str">
        <f t="shared" si="260"/>
        <v>3EoKStandard Access koper 10mbLaag&lt; 250 meter</v>
      </c>
      <c r="C136" s="178">
        <v>3</v>
      </c>
      <c r="D136" s="415" t="s">
        <v>303</v>
      </c>
      <c r="E136" s="178" t="s">
        <v>277</v>
      </c>
      <c r="F136" s="107" t="s">
        <v>275</v>
      </c>
      <c r="G136" s="178" t="s">
        <v>3397</v>
      </c>
      <c r="I136" s="178"/>
      <c r="J136" s="520" t="str">
        <f t="shared" si="279"/>
        <v>EoKStandard Access koper 10mbLaag&lt; 250 meter</v>
      </c>
      <c r="L136" s="204">
        <f>INDEX(Mapping!$H:$H,MATCH(C$3&amp;C136,Mapping!$B:$B,0))</f>
        <v>1</v>
      </c>
      <c r="M136" s="204" t="str">
        <f>INDEX(Mapping!$H:$H,MATCH(D$3&amp;D136,Mapping!$B:$B,0))</f>
        <v>EoK</v>
      </c>
      <c r="N136" s="204" t="str">
        <f>INDEX(Mapping!$H:$H,MATCH(E$3&amp;E136,Mapping!$B:$B,0))</f>
        <v>Copper Standard Access 10Mbit/s</v>
      </c>
      <c r="O136" s="204" t="str">
        <f>INDEX(Mapping!$H:$H,MATCH(E136&amp;F136,Mapping!$B:$B,0))</f>
        <v/>
      </c>
      <c r="P136" s="204" t="str">
        <f>INDEX(Mapping!$H:$H,MATCH($E136&amp;$G136,Mapping!$B:$B,0))</f>
        <v>Nearnet</v>
      </c>
      <c r="Q136" s="204" t="str">
        <f>INDEX(Mapping!$H:$H,MATCH($E136&amp;$G136&amp;"graafafstand",Mapping!$B:$B,0))</f>
        <v>nvt</v>
      </c>
      <c r="R136" s="204">
        <f>INDEX(Mapping!$H:$H,MATCH(R$3&amp;$E136,Mapping!$B:$B,0))</f>
        <v>1</v>
      </c>
      <c r="S136" s="204">
        <f>INDEX(Mapping!$H:$H,MATCH(S$3&amp;$E136,Mapping!$B:$B,0))</f>
        <v>1</v>
      </c>
      <c r="T136" s="139" t="str">
        <f t="shared" si="261"/>
        <v>Copper Standard Access 10Mbit/sNearnet</v>
      </c>
      <c r="U136" s="151" t="str">
        <f t="shared" si="262"/>
        <v>Copper Standard Access 10Mbit/sNearnet</v>
      </c>
      <c r="W136" s="521">
        <f>MATCH($J136,'Tarieven ZM'!$B:$B,0)</f>
        <v>185</v>
      </c>
      <c r="X136" s="204">
        <f>INDEX('Tarieven ZM'!$H:$H,$W136)</f>
        <v>1000</v>
      </c>
      <c r="Y136" s="198">
        <f>IF(E136="Standard Access in ZG BT gebieden",0,-INDEX(Parameters!$B:$B,MATCH(Y$3&amp;$C136,Parameters!$A:$A,0))*$X136)</f>
        <v>0</v>
      </c>
      <c r="Z136" s="198">
        <f>IF(E136="Standard Access in ZG BT gebieden",0,MAX(-INDEX(Parameters!$B:$B,MATCH(Z$3&amp;$C136,Parameters!$A:$A,0))*$X136,-INDEX(Parameters!$B:$B,MATCH("FactorMaxSalesMandaat"&amp;E136,Parameters!$A:$A,0))*INDEX(Parameters!$B:$B,MATCH("MaxSalesMandaatAccessVVE"&amp;$C136,Parameters!$A:$A,0))))</f>
        <v>0</v>
      </c>
      <c r="AA136" s="139">
        <f t="shared" si="263"/>
        <v>1000</v>
      </c>
      <c r="AB136" s="205">
        <f>AA136/INDEX(Parameters!$B:$B,MATCH("AfschrijftermijnVVE"&amp;12*$C136,Parameters!$A:$A,0))</f>
        <v>27.777777777777779</v>
      </c>
      <c r="AC136" s="204">
        <f>INDEX('Tarieven ZM'!$G:$G,$W136)</f>
        <v>1000</v>
      </c>
      <c r="AD136" s="198">
        <f>IF(E136="Standard Access in ZG BT gebieden",0,-INDEX(Parameters!$B:$B,MATCH(AD$3&amp;$C136,Parameters!$A:$A,0))*$AC136)</f>
        <v>0</v>
      </c>
      <c r="AE136" s="198">
        <f>IF(E136="Standard Access in ZG BT gebieden",0,-INDEX(Parameters!$B:$B,MATCH(AE$3,Parameters!$A:$A,0))*$AC136)</f>
        <v>0</v>
      </c>
      <c r="AF136" s="139">
        <f t="shared" si="264"/>
        <v>1000</v>
      </c>
      <c r="AG136" s="522">
        <f t="shared" si="265"/>
        <v>1027.7777777777778</v>
      </c>
      <c r="AH136" s="175"/>
      <c r="AI136" s="523">
        <f>IF(N136&lt;&gt;"nvt",MATCH($T136,'Tarieven W&amp;O'!$B:$B,0),"nvt")</f>
        <v>25</v>
      </c>
      <c r="AJ136" s="205">
        <f>IF(AI136&lt;&gt;"nvt",IF($D136="EoK",INDEX(Parameters!C:C,MATCH("NLSx EoK",Parameters!A:A,0)),INDEX('Tarieven W&amp;O'!$H:$H,$AI136)),0)*R136</f>
        <v>350</v>
      </c>
      <c r="AK136" s="204">
        <f>IF(AI136&lt;&gt;"nvt",INDEX('Tarieven W&amp;O'!$I:$I,$AI136),0)*R136</f>
        <v>75</v>
      </c>
      <c r="AL136" s="524">
        <f>IF(AI136&lt;&gt;"nvt",-INDEX(Parameters!$B:$B,MATCH(AL$3,Parameters!$A:$A,0))*(AJ136+AK136),0)</f>
        <v>0</v>
      </c>
      <c r="AM136" s="525"/>
      <c r="AN136" s="139">
        <f t="shared" si="266"/>
        <v>425</v>
      </c>
      <c r="AO136" s="205">
        <f>AN136/INDEX(Parameters!$B:$B,MATCH("AfschrijftermijnVVE"&amp;12*$C136,Parameters!$A:$A,0))</f>
        <v>11.805555555555555</v>
      </c>
      <c r="AP136" s="139">
        <f t="shared" si="267"/>
        <v>25</v>
      </c>
      <c r="AQ136" s="526">
        <f>IF(AP136&lt;&gt;"nvt",R136*INDEX('Tarieven W&amp;O'!$G:$G,$AP136),0)</f>
        <v>83.59</v>
      </c>
      <c r="AR136" s="524">
        <f>-INDEX(Parameters!$B:$B,MATCH(AR$3,Parameters!$A:$A,0))*(AQ136)</f>
        <v>0</v>
      </c>
      <c r="AS136" s="205">
        <f>IF(E136="straal access",'EDC Minus'!$H$192,IF(Q136&lt;&gt;"nvt",Q136*S136*'EDC Minus'!$H$292/590,0))</f>
        <v>0</v>
      </c>
      <c r="AT136" s="139"/>
      <c r="AU136" s="150">
        <f t="shared" si="268"/>
        <v>83.59</v>
      </c>
      <c r="AV136" s="150">
        <f t="shared" si="269"/>
        <v>95.395555555555561</v>
      </c>
      <c r="AX136" s="526">
        <f>Parameters!$B$6*AV136</f>
        <v>0.95395555555555567</v>
      </c>
      <c r="AY136" s="150">
        <v>0</v>
      </c>
      <c r="AZ136" s="150"/>
      <c r="BA136" s="150">
        <f t="shared" si="270"/>
        <v>0.95395555555555567</v>
      </c>
      <c r="BC136" s="522">
        <f t="shared" si="272"/>
        <v>96.349511111111113</v>
      </c>
      <c r="BD136" s="175"/>
      <c r="BE136" s="527">
        <f t="shared" si="256"/>
        <v>931.42826666666667</v>
      </c>
      <c r="BF136" s="181">
        <f t="shared" si="257"/>
        <v>0.90625452972972964</v>
      </c>
      <c r="BG136" s="520" t="b">
        <f t="shared" si="271"/>
        <v>0</v>
      </c>
      <c r="BI136" s="528" t="s">
        <v>2181</v>
      </c>
      <c r="BK136" s="151">
        <f>VLOOKUP(J136,'Tarieven ZM'!$B$136:$I$235,8,0)</f>
        <v>0</v>
      </c>
      <c r="BL136" s="151" t="str">
        <f>IF(M136="EoK",N136&amp;"AdvancedNLS type 1/2/3",IF(E136&lt;&gt;"Straal Access",INDEX(Mapping!J:J,MATCH(E136&amp;G136,Mapping!B:B,0)),E136))</f>
        <v>Copper Standard Access 10Mbit/sAdvancedNLS type 1/2/3</v>
      </c>
      <c r="BM136" s="184">
        <f>INDEX('inkoop ULL tbv EVPN'!J:J,MATCH($BL136,'inkoop ULL tbv EVPN'!$H:$H,0))</f>
        <v>78.97</v>
      </c>
      <c r="BN136" s="180">
        <f>BM136/INDEX(Parameters!$B:$B,MATCH("AfschrijftermijnVVE"&amp;12*$C136,Parameters!$A:$A,0))</f>
        <v>2.1936111111111112</v>
      </c>
      <c r="BO136" s="184">
        <f>INDEX('inkoop ULL tbv EVPN'!I:I,MATCH($BL136,'inkoop ULL tbv EVPN'!$H:$H,0))</f>
        <v>14.7296035</v>
      </c>
      <c r="BP136" s="184">
        <f t="shared" si="273"/>
        <v>16.92321461111111</v>
      </c>
      <c r="BR136" s="180">
        <f>Parameters!$B$12*AG136</f>
        <v>102.77777777777779</v>
      </c>
      <c r="BS136" s="180">
        <f>SUM(Distributievergoedingen!$F$12,Distributievergoedingen!$I$12,Distributievergoedingen!$L$12,Distributievergoedingen!$O$12)*AF136+SUM(Distributievergoedingen!$O$12*AA136+Distributievergoedingen!$R$12+Distributievergoedingen!$U$12+Distributievergoedingen!$X$12)/(MAX(36,12*C136))</f>
        <v>112.77777777777777</v>
      </c>
      <c r="BT136" s="150"/>
      <c r="BU136" s="150">
        <f t="shared" si="274"/>
        <v>215.55555555555554</v>
      </c>
      <c r="BW136" s="522">
        <f t="shared" si="275"/>
        <v>232.47877016666666</v>
      </c>
      <c r="BY136" s="527">
        <f t="shared" si="276"/>
        <v>795.29900761111116</v>
      </c>
      <c r="BZ136" s="181">
        <f t="shared" si="277"/>
        <v>0.77380443983783787</v>
      </c>
      <c r="CA136" s="520" t="b">
        <f t="shared" si="278"/>
        <v>0</v>
      </c>
    </row>
    <row r="137" spans="1:79" s="151" customFormat="1">
      <c r="A137" s="151" t="str">
        <f t="shared" si="259"/>
        <v>3EoKStandard Access koper 15mbLaag&lt; 250 meter</v>
      </c>
      <c r="B137" s="151" t="str">
        <f t="shared" si="260"/>
        <v>3EoKStandard Access koper 15mbLaag&lt; 250 meter</v>
      </c>
      <c r="C137" s="178">
        <v>3</v>
      </c>
      <c r="D137" s="415" t="s">
        <v>303</v>
      </c>
      <c r="E137" s="178" t="s">
        <v>278</v>
      </c>
      <c r="F137" s="107" t="s">
        <v>275</v>
      </c>
      <c r="G137" s="178" t="s">
        <v>3397</v>
      </c>
      <c r="I137" s="178"/>
      <c r="J137" s="520" t="str">
        <f t="shared" si="279"/>
        <v>EoKStandard Access koper 15mbLaag&lt; 250 meter</v>
      </c>
      <c r="L137" s="204">
        <f>INDEX(Mapping!$H:$H,MATCH(C$3&amp;C137,Mapping!$B:$B,0))</f>
        <v>1</v>
      </c>
      <c r="M137" s="204" t="str">
        <f>INDEX(Mapping!$H:$H,MATCH(D$3&amp;D137,Mapping!$B:$B,0))</f>
        <v>EoK</v>
      </c>
      <c r="N137" s="204" t="str">
        <f>INDEX(Mapping!$H:$H,MATCH(E$3&amp;E137,Mapping!$B:$B,0))</f>
        <v>Copper Standard Access 15Mbit/s</v>
      </c>
      <c r="O137" s="204" t="str">
        <f>INDEX(Mapping!$H:$H,MATCH(E137&amp;F137,Mapping!$B:$B,0))</f>
        <v/>
      </c>
      <c r="P137" s="204" t="str">
        <f>INDEX(Mapping!$H:$H,MATCH($E137&amp;$G137,Mapping!$B:$B,0))</f>
        <v>Nearnet</v>
      </c>
      <c r="Q137" s="204" t="str">
        <f>INDEX(Mapping!$H:$H,MATCH($E137&amp;$G137&amp;"graafafstand",Mapping!$B:$B,0))</f>
        <v>nvt</v>
      </c>
      <c r="R137" s="204">
        <f>INDEX(Mapping!$H:$H,MATCH(R$3&amp;$E137,Mapping!$B:$B,0))</f>
        <v>1</v>
      </c>
      <c r="S137" s="204">
        <f>INDEX(Mapping!$H:$H,MATCH(S$3&amp;$E137,Mapping!$B:$B,0))</f>
        <v>1</v>
      </c>
      <c r="T137" s="139" t="str">
        <f t="shared" si="261"/>
        <v>Copper Standard Access 15Mbit/sNearnet</v>
      </c>
      <c r="U137" s="151" t="str">
        <f t="shared" si="262"/>
        <v>Copper Standard Access 15Mbit/sNearnet</v>
      </c>
      <c r="W137" s="521">
        <f>MATCH($J137,'Tarieven ZM'!$B:$B,0)</f>
        <v>186</v>
      </c>
      <c r="X137" s="204">
        <f>INDEX('Tarieven ZM'!$H:$H,$W137)</f>
        <v>1000</v>
      </c>
      <c r="Y137" s="198">
        <f>IF(E137="Standard Access in ZG BT gebieden",0,-INDEX(Parameters!$B:$B,MATCH(Y$3&amp;$C137,Parameters!$A:$A,0))*$X137)</f>
        <v>0</v>
      </c>
      <c r="Z137" s="198">
        <f>IF(E137="Standard Access in ZG BT gebieden",0,MAX(-INDEX(Parameters!$B:$B,MATCH(Z$3&amp;$C137,Parameters!$A:$A,0))*$X137,-INDEX(Parameters!$B:$B,MATCH("FactorMaxSalesMandaat"&amp;E137,Parameters!$A:$A,0))*INDEX(Parameters!$B:$B,MATCH("MaxSalesMandaatAccessVVE"&amp;$C137,Parameters!$A:$A,0))))</f>
        <v>0</v>
      </c>
      <c r="AA137" s="139">
        <f t="shared" si="263"/>
        <v>1000</v>
      </c>
      <c r="AB137" s="205">
        <f>AA137/INDEX(Parameters!$B:$B,MATCH("AfschrijftermijnVVE"&amp;12*$C137,Parameters!$A:$A,0))</f>
        <v>27.777777777777779</v>
      </c>
      <c r="AC137" s="204">
        <f>INDEX('Tarieven ZM'!$G:$G,$W137)</f>
        <v>1000</v>
      </c>
      <c r="AD137" s="198">
        <f>IF(E137="Standard Access in ZG BT gebieden",0,-INDEX(Parameters!$B:$B,MATCH(AD$3&amp;$C137,Parameters!$A:$A,0))*$AC137)</f>
        <v>0</v>
      </c>
      <c r="AE137" s="198">
        <f>IF(E137="Standard Access in ZG BT gebieden",0,-INDEX(Parameters!$B:$B,MATCH(AE$3,Parameters!$A:$A,0))*$AC137)</f>
        <v>0</v>
      </c>
      <c r="AF137" s="139">
        <f t="shared" si="264"/>
        <v>1000</v>
      </c>
      <c r="AG137" s="522">
        <f t="shared" si="265"/>
        <v>1027.7777777777778</v>
      </c>
      <c r="AH137" s="175"/>
      <c r="AI137" s="523">
        <f>IF(N137&lt;&gt;"nvt",MATCH($T137,'Tarieven W&amp;O'!$B:$B,0),"nvt")</f>
        <v>26</v>
      </c>
      <c r="AJ137" s="205">
        <f>IF(AI137&lt;&gt;"nvt",IF($D137="EoK",INDEX(Parameters!C:C,MATCH("NLSx EoK",Parameters!A:A,0)),INDEX('Tarieven W&amp;O'!$H:$H,$AI137)),0)*R137</f>
        <v>350</v>
      </c>
      <c r="AK137" s="204">
        <f>IF(AI137&lt;&gt;"nvt",INDEX('Tarieven W&amp;O'!$I:$I,$AI137),0)*R137</f>
        <v>75</v>
      </c>
      <c r="AL137" s="524">
        <f>IF(AI137&lt;&gt;"nvt",-INDEX(Parameters!$B:$B,MATCH(AL$3,Parameters!$A:$A,0))*(AJ137+AK137),0)</f>
        <v>0</v>
      </c>
      <c r="AM137" s="525"/>
      <c r="AN137" s="139">
        <f t="shared" si="266"/>
        <v>425</v>
      </c>
      <c r="AO137" s="205">
        <f>AN137/INDEX(Parameters!$B:$B,MATCH("AfschrijftermijnVVE"&amp;12*$C137,Parameters!$A:$A,0))</f>
        <v>11.805555555555555</v>
      </c>
      <c r="AP137" s="139">
        <f t="shared" si="267"/>
        <v>26</v>
      </c>
      <c r="AQ137" s="526">
        <f>IF(AP137&lt;&gt;"nvt",R137*INDEX('Tarieven W&amp;O'!$G:$G,$AP137),0)</f>
        <v>102.44</v>
      </c>
      <c r="AR137" s="524">
        <f>-INDEX(Parameters!$B:$B,MATCH(AR$3,Parameters!$A:$A,0))*(AQ137)</f>
        <v>0</v>
      </c>
      <c r="AS137" s="205">
        <f>IF(E137="straal access",'EDC Minus'!$H$192,IF(Q137&lt;&gt;"nvt",Q137*S137*'EDC Minus'!$H$292/590,0))</f>
        <v>0</v>
      </c>
      <c r="AT137" s="139"/>
      <c r="AU137" s="150">
        <f t="shared" si="268"/>
        <v>102.44</v>
      </c>
      <c r="AV137" s="150">
        <f t="shared" si="269"/>
        <v>114.24555555555555</v>
      </c>
      <c r="AX137" s="526">
        <f>Parameters!$B$6*AV137</f>
        <v>1.1424555555555556</v>
      </c>
      <c r="AY137" s="150">
        <v>0</v>
      </c>
      <c r="AZ137" s="150"/>
      <c r="BA137" s="150">
        <f t="shared" si="270"/>
        <v>1.1424555555555556</v>
      </c>
      <c r="BC137" s="522">
        <f t="shared" si="272"/>
        <v>115.38801111111111</v>
      </c>
      <c r="BD137" s="175"/>
      <c r="BE137" s="527">
        <f t="shared" si="256"/>
        <v>912.38976666666667</v>
      </c>
      <c r="BF137" s="181">
        <f t="shared" si="257"/>
        <v>0.88773058378378378</v>
      </c>
      <c r="BG137" s="520" t="b">
        <f t="shared" si="271"/>
        <v>0</v>
      </c>
      <c r="BI137" s="528" t="s">
        <v>2181</v>
      </c>
      <c r="BK137" s="151">
        <f>VLOOKUP(J137,'Tarieven ZM'!$B$136:$I$235,8,0)</f>
        <v>0</v>
      </c>
      <c r="BL137" s="151" t="str">
        <f>IF(M137="EoK",N137&amp;"AdvancedNLS type 1/2/3",IF(E137&lt;&gt;"Straal Access",INDEX(Mapping!J:J,MATCH(E137&amp;G137,Mapping!B:B,0)),E137))</f>
        <v>Copper Standard Access 15Mbit/sAdvancedNLS type 1/2/3</v>
      </c>
      <c r="BM137" s="184">
        <f>INDEX('inkoop ULL tbv EVPN'!J:J,MATCH($BL137,'inkoop ULL tbv EVPN'!$H:$H,0))</f>
        <v>78.97</v>
      </c>
      <c r="BN137" s="180">
        <f>BM137/INDEX(Parameters!$B:$B,MATCH("AfschrijftermijnVVE"&amp;12*$C137,Parameters!$A:$A,0))</f>
        <v>2.1936111111111112</v>
      </c>
      <c r="BO137" s="184">
        <f>INDEX('inkoop ULL tbv EVPN'!I:I,MATCH($BL137,'inkoop ULL tbv EVPN'!$H:$H,0))</f>
        <v>14.7296035</v>
      </c>
      <c r="BP137" s="184">
        <f t="shared" si="273"/>
        <v>16.92321461111111</v>
      </c>
      <c r="BR137" s="180">
        <f>Parameters!$B$12*AG137</f>
        <v>102.77777777777779</v>
      </c>
      <c r="BS137" s="180">
        <f>SUM(Distributievergoedingen!$F$12,Distributievergoedingen!$I$12,Distributievergoedingen!$L$12,Distributievergoedingen!$O$12)*AF137+SUM(Distributievergoedingen!$O$12*AA137+Distributievergoedingen!$R$12+Distributievergoedingen!$U$12+Distributievergoedingen!$X$12)/(MAX(36,12*C137))</f>
        <v>112.77777777777777</v>
      </c>
      <c r="BT137" s="150"/>
      <c r="BU137" s="150">
        <f t="shared" si="274"/>
        <v>215.55555555555554</v>
      </c>
      <c r="BW137" s="522">
        <f t="shared" si="275"/>
        <v>232.47877016666666</v>
      </c>
      <c r="BY137" s="527">
        <f t="shared" si="276"/>
        <v>795.29900761111116</v>
      </c>
      <c r="BZ137" s="181">
        <f t="shared" si="277"/>
        <v>0.77380443983783787</v>
      </c>
      <c r="CA137" s="520" t="b">
        <f t="shared" si="278"/>
        <v>0</v>
      </c>
    </row>
    <row r="138" spans="1:79" s="151" customFormat="1">
      <c r="A138" s="151" t="str">
        <f t="shared" si="259"/>
        <v>3EoKStandard Access koper 20mbLaag&lt; 250 meter</v>
      </c>
      <c r="B138" s="151" t="str">
        <f t="shared" si="260"/>
        <v>3EoKStandard Access koper 20mbLaag&lt; 250 meter</v>
      </c>
      <c r="C138" s="178">
        <v>3</v>
      </c>
      <c r="D138" s="415" t="s">
        <v>303</v>
      </c>
      <c r="E138" s="178" t="s">
        <v>279</v>
      </c>
      <c r="F138" s="107" t="s">
        <v>275</v>
      </c>
      <c r="G138" s="178" t="s">
        <v>3397</v>
      </c>
      <c r="I138" s="178"/>
      <c r="J138" s="520" t="str">
        <f t="shared" si="279"/>
        <v>EoKStandard Access koper 20mbLaag&lt; 250 meter</v>
      </c>
      <c r="L138" s="204">
        <f>INDEX(Mapping!$H:$H,MATCH(C$3&amp;C138,Mapping!$B:$B,0))</f>
        <v>1</v>
      </c>
      <c r="M138" s="204" t="str">
        <f>INDEX(Mapping!$H:$H,MATCH(D$3&amp;D138,Mapping!$B:$B,0))</f>
        <v>EoK</v>
      </c>
      <c r="N138" s="204" t="str">
        <f>INDEX(Mapping!$H:$H,MATCH(E$3&amp;E138,Mapping!$B:$B,0))</f>
        <v>Copper Standard Access 20Mbit/s</v>
      </c>
      <c r="O138" s="204" t="str">
        <f>INDEX(Mapping!$H:$H,MATCH(E138&amp;F138,Mapping!$B:$B,0))</f>
        <v/>
      </c>
      <c r="P138" s="204" t="str">
        <f>INDEX(Mapping!$H:$H,MATCH($E138&amp;$G138,Mapping!$B:$B,0))</f>
        <v>Nearnet</v>
      </c>
      <c r="Q138" s="204" t="str">
        <f>INDEX(Mapping!$H:$H,MATCH($E138&amp;$G138&amp;"graafafstand",Mapping!$B:$B,0))</f>
        <v>nvt</v>
      </c>
      <c r="R138" s="204">
        <f>INDEX(Mapping!$H:$H,MATCH(R$3&amp;$E138,Mapping!$B:$B,0))</f>
        <v>1</v>
      </c>
      <c r="S138" s="204">
        <f>INDEX(Mapping!$H:$H,MATCH(S$3&amp;$E138,Mapping!$B:$B,0))</f>
        <v>1</v>
      </c>
      <c r="T138" s="139" t="str">
        <f t="shared" si="261"/>
        <v>Copper Standard Access 20Mbit/sNearnet</v>
      </c>
      <c r="U138" s="151" t="str">
        <f t="shared" si="262"/>
        <v>Copper Standard Access 20Mbit/sNearnet</v>
      </c>
      <c r="W138" s="521">
        <f>MATCH($J138,'Tarieven ZM'!$B:$B,0)</f>
        <v>187</v>
      </c>
      <c r="X138" s="204">
        <f>INDEX('Tarieven ZM'!$H:$H,$W138)</f>
        <v>1000</v>
      </c>
      <c r="Y138" s="198">
        <f>IF(E138="Standard Access in ZG BT gebieden",0,-INDEX(Parameters!$B:$B,MATCH(Y$3&amp;$C138,Parameters!$A:$A,0))*$X138)</f>
        <v>0</v>
      </c>
      <c r="Z138" s="198">
        <f>IF(E138="Standard Access in ZG BT gebieden",0,MAX(-INDEX(Parameters!$B:$B,MATCH(Z$3&amp;$C138,Parameters!$A:$A,0))*$X138,-INDEX(Parameters!$B:$B,MATCH("FactorMaxSalesMandaat"&amp;E138,Parameters!$A:$A,0))*INDEX(Parameters!$B:$B,MATCH("MaxSalesMandaatAccessVVE"&amp;$C138,Parameters!$A:$A,0))))</f>
        <v>0</v>
      </c>
      <c r="AA138" s="139">
        <f t="shared" si="263"/>
        <v>1000</v>
      </c>
      <c r="AB138" s="205">
        <f>AA138/INDEX(Parameters!$B:$B,MATCH("AfschrijftermijnVVE"&amp;12*$C138,Parameters!$A:$A,0))</f>
        <v>27.777777777777779</v>
      </c>
      <c r="AC138" s="204">
        <f>INDEX('Tarieven ZM'!$G:$G,$W138)</f>
        <v>1000</v>
      </c>
      <c r="AD138" s="198">
        <f>IF(E138="Standard Access in ZG BT gebieden",0,-INDEX(Parameters!$B:$B,MATCH(AD$3&amp;$C138,Parameters!$A:$A,0))*$AC138)</f>
        <v>0</v>
      </c>
      <c r="AE138" s="198">
        <f>IF(E138="Standard Access in ZG BT gebieden",0,-INDEX(Parameters!$B:$B,MATCH(AE$3,Parameters!$A:$A,0))*$AC138)</f>
        <v>0</v>
      </c>
      <c r="AF138" s="139">
        <f t="shared" si="264"/>
        <v>1000</v>
      </c>
      <c r="AG138" s="522">
        <f t="shared" si="265"/>
        <v>1027.7777777777778</v>
      </c>
      <c r="AH138" s="175"/>
      <c r="AI138" s="523">
        <f>IF(N138&lt;&gt;"nvt",MATCH($T138,'Tarieven W&amp;O'!$B:$B,0),"nvt")</f>
        <v>27</v>
      </c>
      <c r="AJ138" s="205">
        <f>IF(AI138&lt;&gt;"nvt",IF($D138="EoK",INDEX(Parameters!C:C,MATCH("NLSx EoK",Parameters!A:A,0)),INDEX('Tarieven W&amp;O'!$H:$H,$AI138)),0)*R138</f>
        <v>350</v>
      </c>
      <c r="AK138" s="204">
        <f>IF(AI138&lt;&gt;"nvt",INDEX('Tarieven W&amp;O'!$I:$I,$AI138),0)*R138</f>
        <v>75</v>
      </c>
      <c r="AL138" s="524">
        <f>IF(AI138&lt;&gt;"nvt",-INDEX(Parameters!$B:$B,MATCH(AL$3,Parameters!$A:$A,0))*(AJ138+AK138),0)</f>
        <v>0</v>
      </c>
      <c r="AM138" s="525"/>
      <c r="AN138" s="139">
        <f t="shared" si="266"/>
        <v>425</v>
      </c>
      <c r="AO138" s="205">
        <f>AN138/INDEX(Parameters!$B:$B,MATCH("AfschrijftermijnVVE"&amp;12*$C138,Parameters!$A:$A,0))</f>
        <v>11.805555555555555</v>
      </c>
      <c r="AP138" s="139">
        <f t="shared" si="267"/>
        <v>27</v>
      </c>
      <c r="AQ138" s="526">
        <f>IF(AP138&lt;&gt;"nvt",R138*INDEX('Tarieven W&amp;O'!$G:$G,$AP138),0)</f>
        <v>121.28</v>
      </c>
      <c r="AR138" s="524">
        <f>-INDEX(Parameters!$B:$B,MATCH(AR$3,Parameters!$A:$A,0))*(AQ138)</f>
        <v>0</v>
      </c>
      <c r="AS138" s="205">
        <f>IF(E138="straal access",'EDC Minus'!$H$192,IF(Q138&lt;&gt;"nvt",Q138*S138*'EDC Minus'!$H$292/590,0))</f>
        <v>0</v>
      </c>
      <c r="AT138" s="139"/>
      <c r="AU138" s="150">
        <f t="shared" si="268"/>
        <v>121.28</v>
      </c>
      <c r="AV138" s="150">
        <f t="shared" si="269"/>
        <v>133.08555555555554</v>
      </c>
      <c r="AX138" s="526">
        <f>Parameters!$B$6*AV138</f>
        <v>1.3308555555555555</v>
      </c>
      <c r="AY138" s="150">
        <v>0</v>
      </c>
      <c r="AZ138" s="150"/>
      <c r="BA138" s="150">
        <f t="shared" si="270"/>
        <v>1.3308555555555555</v>
      </c>
      <c r="BC138" s="522">
        <f t="shared" si="272"/>
        <v>134.4164111111111</v>
      </c>
      <c r="BD138" s="175"/>
      <c r="BE138" s="527">
        <f t="shared" si="256"/>
        <v>893.36136666666675</v>
      </c>
      <c r="BF138" s="181">
        <f t="shared" si="257"/>
        <v>0.86921646486486492</v>
      </c>
      <c r="BG138" s="520" t="b">
        <f t="shared" si="271"/>
        <v>0</v>
      </c>
      <c r="BI138" s="528" t="s">
        <v>2181</v>
      </c>
      <c r="BK138" s="151">
        <f>VLOOKUP(J138,'Tarieven ZM'!$B$136:$I$235,8,0)</f>
        <v>0</v>
      </c>
      <c r="BL138" s="151" t="str">
        <f>IF(M138="EoK",N138&amp;"AdvancedNLS type 1/2/3",IF(E138&lt;&gt;"Straal Access",INDEX(Mapping!J:J,MATCH(E138&amp;G138,Mapping!B:B,0)),E138))</f>
        <v>Copper Standard Access 20Mbit/sAdvancedNLS type 1/2/3</v>
      </c>
      <c r="BM138" s="184">
        <f>INDEX('inkoop ULL tbv EVPN'!J:J,MATCH($BL138,'inkoop ULL tbv EVPN'!$H:$H,0))</f>
        <v>78.97</v>
      </c>
      <c r="BN138" s="180">
        <f>BM138/INDEX(Parameters!$B:$B,MATCH("AfschrijftermijnVVE"&amp;12*$C138,Parameters!$A:$A,0))</f>
        <v>2.1936111111111112</v>
      </c>
      <c r="BO138" s="184">
        <f>INDEX('inkoop ULL tbv EVPN'!I:I,MATCH($BL138,'inkoop ULL tbv EVPN'!$H:$H,0))</f>
        <v>14.7296035</v>
      </c>
      <c r="BP138" s="184">
        <f t="shared" si="273"/>
        <v>16.92321461111111</v>
      </c>
      <c r="BR138" s="180">
        <f>Parameters!$B$12*AG138</f>
        <v>102.77777777777779</v>
      </c>
      <c r="BS138" s="180">
        <f>SUM(Distributievergoedingen!$F$12,Distributievergoedingen!$I$12,Distributievergoedingen!$L$12,Distributievergoedingen!$O$12)*AF138+SUM(Distributievergoedingen!$O$12*AA138+Distributievergoedingen!$R$12+Distributievergoedingen!$U$12+Distributievergoedingen!$X$12)/(MAX(36,12*C138))</f>
        <v>112.77777777777777</v>
      </c>
      <c r="BT138" s="150"/>
      <c r="BU138" s="150">
        <f t="shared" si="274"/>
        <v>215.55555555555554</v>
      </c>
      <c r="BW138" s="522">
        <f t="shared" si="275"/>
        <v>232.47877016666666</v>
      </c>
      <c r="BY138" s="527">
        <f t="shared" si="276"/>
        <v>795.29900761111116</v>
      </c>
      <c r="BZ138" s="181">
        <f t="shared" si="277"/>
        <v>0.77380443983783787</v>
      </c>
      <c r="CA138" s="520" t="b">
        <f t="shared" si="278"/>
        <v>0</v>
      </c>
    </row>
    <row r="139" spans="1:79" s="151" customFormat="1">
      <c r="A139" s="151" t="str">
        <f t="shared" ref="A139:A143" si="280">C139&amp;D139&amp;E139&amp;F139&amp;G139</f>
        <v>4EoKStandard Access koper 3mbHoogOn-net (NLS1, 2)</v>
      </c>
      <c r="B139" s="151" t="str">
        <f t="shared" ref="B139:B143" si="281">A139</f>
        <v>4EoKStandard Access koper 3mbHoogOn-net (NLS1, 2)</v>
      </c>
      <c r="C139" s="178">
        <v>4</v>
      </c>
      <c r="D139" s="415" t="s">
        <v>303</v>
      </c>
      <c r="E139" s="178" t="s">
        <v>268</v>
      </c>
      <c r="F139" s="107" t="s">
        <v>274</v>
      </c>
      <c r="G139" s="178" t="s">
        <v>281</v>
      </c>
      <c r="I139" s="178"/>
      <c r="J139" s="520" t="str">
        <f t="shared" si="279"/>
        <v>EoKStandard Access koper 3mbHoogOn-net (NLS1, 2)</v>
      </c>
      <c r="L139" s="204">
        <f>INDEX(Mapping!$H:$H,MATCH(C$3&amp;C139,Mapping!$B:$B,0))</f>
        <v>1</v>
      </c>
      <c r="M139" s="204" t="str">
        <f>INDEX(Mapping!$H:$H,MATCH(D$3&amp;D139,Mapping!$B:$B,0))</f>
        <v>EoK</v>
      </c>
      <c r="N139" s="204" t="str">
        <f>INDEX(Mapping!$H:$H,MATCH(E$3&amp;E139,Mapping!$B:$B,0))</f>
        <v>Copper Standard Access 3Mbit/s</v>
      </c>
      <c r="O139" s="204" t="str">
        <f>INDEX(Mapping!$H:$H,MATCH(E139&amp;F139,Mapping!$B:$B,0))</f>
        <v/>
      </c>
      <c r="P139" s="204" t="str">
        <f>INDEX(Mapping!$H:$H,MATCH($E139&amp;$G139,Mapping!$B:$B,0))</f>
        <v>On-net (NLS1, 2)</v>
      </c>
      <c r="Q139" s="204">
        <f>INDEX(Mapping!$H:$H,MATCH($E139&amp;$G139&amp;"graafafstand",Mapping!$B:$B,0))</f>
        <v>0</v>
      </c>
      <c r="R139" s="204">
        <f>INDEX(Mapping!$H:$H,MATCH(R$3&amp;$E139,Mapping!$B:$B,0))</f>
        <v>1</v>
      </c>
      <c r="S139" s="204">
        <f>INDEX(Mapping!$H:$H,MATCH(S$3&amp;$E139,Mapping!$B:$B,0))</f>
        <v>1</v>
      </c>
      <c r="T139" s="139" t="str">
        <f t="shared" ref="T139:T143" si="282">N139&amp;O139&amp;P139</f>
        <v>Copper Standard Access 3Mbit/sOn-net (NLS1, 2)</v>
      </c>
      <c r="U139" s="151" t="str">
        <f t="shared" ref="U139:U143" si="283">T139</f>
        <v>Copper Standard Access 3Mbit/sOn-net (NLS1, 2)</v>
      </c>
      <c r="W139" s="521">
        <f>MATCH($J139,'Tarieven ZM'!$B:$B,0)</f>
        <v>137</v>
      </c>
      <c r="X139" s="204">
        <f>INDEX('Tarieven ZM'!$H:$H,$W139)</f>
        <v>1000</v>
      </c>
      <c r="Y139" s="198">
        <f>IF(E139="Standard Access in ZG BT gebieden",0,-INDEX(Parameters!$B:$B,MATCH(Y$3&amp;$C139,Parameters!$A:$A,0))*$X139)</f>
        <v>0</v>
      </c>
      <c r="Z139" s="198">
        <f>IF(E139="Standard Access in ZG BT gebieden",0,MAX(-INDEX(Parameters!$B:$B,MATCH(Z$3&amp;$C139,Parameters!$A:$A,0))*$X139,-INDEX(Parameters!$B:$B,MATCH("FactorMaxSalesMandaat"&amp;E139,Parameters!$A:$A,0))*INDEX(Parameters!$B:$B,MATCH("MaxSalesMandaatAccessVVE"&amp;$C139,Parameters!$A:$A,0))))</f>
        <v>0</v>
      </c>
      <c r="AA139" s="139">
        <f t="shared" ref="AA139:AA143" si="284">SUM(X139:Z139)</f>
        <v>1000</v>
      </c>
      <c r="AB139" s="205">
        <f>AA139/INDEX(Parameters!$B:$B,MATCH("AfschrijftermijnVVE"&amp;12*$C139,Parameters!$A:$A,0))</f>
        <v>20.833333333333332</v>
      </c>
      <c r="AC139" s="204">
        <f>INDEX('Tarieven ZM'!$G:$G,$W139)</f>
        <v>1000</v>
      </c>
      <c r="AD139" s="198">
        <f>IF(E139="Standard Access in ZG BT gebieden",0,-INDEX(Parameters!$B:$B,MATCH(AD$3&amp;$C139,Parameters!$A:$A,0))*$AC139)</f>
        <v>0</v>
      </c>
      <c r="AE139" s="198">
        <f>IF(E139="Standard Access in ZG BT gebieden",0,-INDEX(Parameters!$B:$B,MATCH(AE$3,Parameters!$A:$A,0))*$AC139)</f>
        <v>0</v>
      </c>
      <c r="AF139" s="139">
        <f t="shared" ref="AF139:AF143" si="285">SUM(AC139:AE139)</f>
        <v>1000</v>
      </c>
      <c r="AG139" s="522">
        <f t="shared" ref="AG139:AG143" si="286">SUM(AB139,AF139)</f>
        <v>1020.8333333333334</v>
      </c>
      <c r="AH139" s="175"/>
      <c r="AI139" s="523">
        <f>IF(N139&lt;&gt;"nvt",MATCH($T139,'Tarieven W&amp;O'!$B:$B,0),"nvt")</f>
        <v>9</v>
      </c>
      <c r="AJ139" s="205">
        <f>IF(AI139&lt;&gt;"nvt",IF($D139="EoK",INDEX(Parameters!C:C,MATCH("NLSx EoK",Parameters!A:A,0)),INDEX('Tarieven W&amp;O'!$H:$H,$AI139)),0)*R139</f>
        <v>350</v>
      </c>
      <c r="AK139" s="204">
        <f>IF(AI139&lt;&gt;"nvt",INDEX('Tarieven W&amp;O'!$I:$I,$AI139),0)*R139</f>
        <v>75</v>
      </c>
      <c r="AL139" s="524">
        <f>IF(AI139&lt;&gt;"nvt",-INDEX(Parameters!$B:$B,MATCH(AL$3,Parameters!$A:$A,0))*(AJ139+AK139),0)</f>
        <v>0</v>
      </c>
      <c r="AM139" s="525"/>
      <c r="AN139" s="139">
        <f t="shared" ref="AN139:AN143" si="287">SUM(AJ139:AM139)</f>
        <v>425</v>
      </c>
      <c r="AO139" s="205">
        <f>AN139/INDEX(Parameters!$B:$B,MATCH("AfschrijftermijnVVE"&amp;12*$C139,Parameters!$A:$A,0))</f>
        <v>8.8541666666666661</v>
      </c>
      <c r="AP139" s="139">
        <f t="shared" ref="AP139:AP143" si="288">AI139</f>
        <v>9</v>
      </c>
      <c r="AQ139" s="526">
        <f>IF(AP139&lt;&gt;"nvt",R139*INDEX('Tarieven W&amp;O'!$G:$G,$AP139),0)</f>
        <v>41.5</v>
      </c>
      <c r="AR139" s="524">
        <f>-INDEX(Parameters!$B:$B,MATCH(AR$3,Parameters!$A:$A,0))*(AQ139)</f>
        <v>0</v>
      </c>
      <c r="AS139" s="205">
        <f>IF(E139="straal access",'EDC Minus'!$H$192,IF(Q139&lt;&gt;"nvt",Q139*S139*'EDC Minus'!$H$292/590,0))</f>
        <v>0</v>
      </c>
      <c r="AT139" s="139"/>
      <c r="AU139" s="150">
        <f t="shared" ref="AU139:AU143" si="289">SUM(AQ139:AT139)</f>
        <v>41.5</v>
      </c>
      <c r="AV139" s="150">
        <f t="shared" ref="AV139:AV143" si="290">SUM(AO139,AU139)</f>
        <v>50.354166666666664</v>
      </c>
      <c r="AX139" s="526">
        <f>Parameters!$B$6*AV139</f>
        <v>0.50354166666666667</v>
      </c>
      <c r="AY139" s="150">
        <v>0</v>
      </c>
      <c r="AZ139" s="150"/>
      <c r="BA139" s="150">
        <f t="shared" ref="BA139:BA143" si="291">SUM(AX139:AZ139)</f>
        <v>0.50354166666666667</v>
      </c>
      <c r="BC139" s="522">
        <f t="shared" si="272"/>
        <v>50.857708333333328</v>
      </c>
      <c r="BD139" s="175"/>
      <c r="BE139" s="527">
        <f t="shared" si="256"/>
        <v>969.97562500000004</v>
      </c>
      <c r="BF139" s="181">
        <f t="shared" si="257"/>
        <v>0.95018020408163262</v>
      </c>
      <c r="BG139" s="520" t="b">
        <f t="shared" ref="BG139:BG143" si="292">BF139&lt;0</f>
        <v>0</v>
      </c>
      <c r="BI139" s="528" t="s">
        <v>2181</v>
      </c>
      <c r="BK139" s="151">
        <f>VLOOKUP(J139,'Tarieven ZM'!$B$136:$I$235,8,0)</f>
        <v>0</v>
      </c>
      <c r="BL139" s="151" t="str">
        <f>IF(M139="EoK",N139&amp;"AdvancedNLS type 1/2/3",IF(E139&lt;&gt;"Straal Access",INDEX(Mapping!J:J,MATCH(E139&amp;G139,Mapping!B:B,0)),E139))</f>
        <v>Copper Standard Access 3Mbit/sAdvancedNLS type 1/2/3</v>
      </c>
      <c r="BM139" s="184">
        <f>INDEX('inkoop ULL tbv EVPN'!J:J,MATCH($BL139,'inkoop ULL tbv EVPN'!$H:$H,0))</f>
        <v>78.97</v>
      </c>
      <c r="BN139" s="180">
        <f>BM139/INDEX(Parameters!$B:$B,MATCH("AfschrijftermijnVVE"&amp;12*$C139,Parameters!$A:$A,0))</f>
        <v>1.6452083333333334</v>
      </c>
      <c r="BO139" s="184">
        <f>INDEX('inkoop ULL tbv EVPN'!I:I,MATCH($BL139,'inkoop ULL tbv EVPN'!$H:$H,0))</f>
        <v>14.7296035</v>
      </c>
      <c r="BP139" s="184">
        <f t="shared" si="273"/>
        <v>16.374811833333332</v>
      </c>
      <c r="BR139" s="180">
        <f>Parameters!$B$12*AG139</f>
        <v>102.08333333333334</v>
      </c>
      <c r="BS139" s="180">
        <f>SUM(Distributievergoedingen!$F$12,Distributievergoedingen!$I$12,Distributievergoedingen!$L$12,Distributievergoedingen!$O$12)*AF139+SUM(Distributievergoedingen!$O$12*AA139+Distributievergoedingen!$R$12+Distributievergoedingen!$U$12+Distributievergoedingen!$X$12)/(MAX(36,12*C139))</f>
        <v>112.08333333333333</v>
      </c>
      <c r="BT139" s="150"/>
      <c r="BU139" s="150">
        <f t="shared" si="274"/>
        <v>214.16666666666669</v>
      </c>
      <c r="BW139" s="522">
        <f t="shared" si="275"/>
        <v>230.54147850000001</v>
      </c>
      <c r="BY139" s="527">
        <f t="shared" si="276"/>
        <v>790.29185483333333</v>
      </c>
      <c r="BZ139" s="181">
        <f t="shared" si="277"/>
        <v>0.77416344963265304</v>
      </c>
      <c r="CA139" s="520" t="b">
        <f t="shared" si="278"/>
        <v>0</v>
      </c>
    </row>
    <row r="140" spans="1:79" s="151" customFormat="1">
      <c r="A140" s="151" t="str">
        <f t="shared" si="280"/>
        <v>4EoKStandard Access koper 5mbHoogOn-net (NLS1, 2)</v>
      </c>
      <c r="B140" s="151" t="str">
        <f t="shared" si="281"/>
        <v>4EoKStandard Access koper 5mbHoogOn-net (NLS1, 2)</v>
      </c>
      <c r="C140" s="178">
        <v>4</v>
      </c>
      <c r="D140" s="415" t="s">
        <v>303</v>
      </c>
      <c r="E140" s="178" t="s">
        <v>276</v>
      </c>
      <c r="F140" s="107" t="s">
        <v>274</v>
      </c>
      <c r="G140" s="178" t="s">
        <v>281</v>
      </c>
      <c r="I140" s="178"/>
      <c r="J140" s="520" t="str">
        <f t="shared" si="279"/>
        <v>EoKStandard Access koper 5mbHoogOn-net (NLS1, 2)</v>
      </c>
      <c r="L140" s="204">
        <f>INDEX(Mapping!$H:$H,MATCH(C$3&amp;C140,Mapping!$B:$B,0))</f>
        <v>1</v>
      </c>
      <c r="M140" s="204" t="str">
        <f>INDEX(Mapping!$H:$H,MATCH(D$3&amp;D140,Mapping!$B:$B,0))</f>
        <v>EoK</v>
      </c>
      <c r="N140" s="204" t="str">
        <f>INDEX(Mapping!$H:$H,MATCH(E$3&amp;E140,Mapping!$B:$B,0))</f>
        <v>Copper Standard Access 5Mbit/s</v>
      </c>
      <c r="O140" s="204" t="str">
        <f>INDEX(Mapping!$H:$H,MATCH(E140&amp;F140,Mapping!$B:$B,0))</f>
        <v/>
      </c>
      <c r="P140" s="204" t="str">
        <f>INDEX(Mapping!$H:$H,MATCH($E140&amp;$G140,Mapping!$B:$B,0))</f>
        <v>On-net (NLS1, 2)</v>
      </c>
      <c r="Q140" s="204">
        <f>INDEX(Mapping!$H:$H,MATCH($E140&amp;$G140&amp;"graafafstand",Mapping!$B:$B,0))</f>
        <v>0</v>
      </c>
      <c r="R140" s="204">
        <f>INDEX(Mapping!$H:$H,MATCH(R$3&amp;$E140,Mapping!$B:$B,0))</f>
        <v>1</v>
      </c>
      <c r="S140" s="204">
        <f>INDEX(Mapping!$H:$H,MATCH(S$3&amp;$E140,Mapping!$B:$B,0))</f>
        <v>1</v>
      </c>
      <c r="T140" s="139" t="str">
        <f t="shared" si="282"/>
        <v>Copper Standard Access 5Mbit/sOn-net (NLS1, 2)</v>
      </c>
      <c r="U140" s="151" t="str">
        <f t="shared" si="283"/>
        <v>Copper Standard Access 5Mbit/sOn-net (NLS1, 2)</v>
      </c>
      <c r="W140" s="521">
        <f>MATCH($J140,'Tarieven ZM'!$B:$B,0)</f>
        <v>138</v>
      </c>
      <c r="X140" s="204">
        <f>INDEX('Tarieven ZM'!$H:$H,$W140)</f>
        <v>1000</v>
      </c>
      <c r="Y140" s="198">
        <f>IF(E140="Standard Access in ZG BT gebieden",0,-INDEX(Parameters!$B:$B,MATCH(Y$3&amp;$C140,Parameters!$A:$A,0))*$X140)</f>
        <v>0</v>
      </c>
      <c r="Z140" s="198">
        <f>IF(E140="Standard Access in ZG BT gebieden",0,MAX(-INDEX(Parameters!$B:$B,MATCH(Z$3&amp;$C140,Parameters!$A:$A,0))*$X140,-INDEX(Parameters!$B:$B,MATCH("FactorMaxSalesMandaat"&amp;E140,Parameters!$A:$A,0))*INDEX(Parameters!$B:$B,MATCH("MaxSalesMandaatAccessVVE"&amp;$C140,Parameters!$A:$A,0))))</f>
        <v>0</v>
      </c>
      <c r="AA140" s="139">
        <f t="shared" si="284"/>
        <v>1000</v>
      </c>
      <c r="AB140" s="205">
        <f>AA140/INDEX(Parameters!$B:$B,MATCH("AfschrijftermijnVVE"&amp;12*$C140,Parameters!$A:$A,0))</f>
        <v>20.833333333333332</v>
      </c>
      <c r="AC140" s="204">
        <f>INDEX('Tarieven ZM'!$G:$G,$W140)</f>
        <v>1000</v>
      </c>
      <c r="AD140" s="198">
        <f>IF(E140="Standard Access in ZG BT gebieden",0,-INDEX(Parameters!$B:$B,MATCH(AD$3&amp;$C140,Parameters!$A:$A,0))*$AC140)</f>
        <v>0</v>
      </c>
      <c r="AE140" s="198">
        <f>IF(E140="Standard Access in ZG BT gebieden",0,-INDEX(Parameters!$B:$B,MATCH(AE$3,Parameters!$A:$A,0))*$AC140)</f>
        <v>0</v>
      </c>
      <c r="AF140" s="139">
        <f t="shared" si="285"/>
        <v>1000</v>
      </c>
      <c r="AG140" s="522">
        <f t="shared" si="286"/>
        <v>1020.8333333333334</v>
      </c>
      <c r="AH140" s="175"/>
      <c r="AI140" s="523">
        <f>IF(N140&lt;&gt;"nvt",MATCH($T140,'Tarieven W&amp;O'!$B:$B,0),"nvt")</f>
        <v>10</v>
      </c>
      <c r="AJ140" s="205">
        <f>IF(AI140&lt;&gt;"nvt",IF($D140="EoK",INDEX(Parameters!C:C,MATCH("NLSx EoK",Parameters!A:A,0)),INDEX('Tarieven W&amp;O'!$H:$H,$AI140)),0)*R140</f>
        <v>350</v>
      </c>
      <c r="AK140" s="204">
        <f>IF(AI140&lt;&gt;"nvt",INDEX('Tarieven W&amp;O'!$I:$I,$AI140),0)*R140</f>
        <v>75</v>
      </c>
      <c r="AL140" s="524">
        <f>IF(AI140&lt;&gt;"nvt",-INDEX(Parameters!$B:$B,MATCH(AL$3,Parameters!$A:$A,0))*(AJ140+AK140),0)</f>
        <v>0</v>
      </c>
      <c r="AM140" s="525"/>
      <c r="AN140" s="139">
        <f t="shared" si="287"/>
        <v>425</v>
      </c>
      <c r="AO140" s="205">
        <f>AN140/INDEX(Parameters!$B:$B,MATCH("AfschrijftermijnVVE"&amp;12*$C140,Parameters!$A:$A,0))</f>
        <v>8.8541666666666661</v>
      </c>
      <c r="AP140" s="139">
        <f t="shared" si="288"/>
        <v>10</v>
      </c>
      <c r="AQ140" s="526">
        <f>IF(AP140&lt;&gt;"nvt",R140*INDEX('Tarieven W&amp;O'!$G:$G,$AP140),0)</f>
        <v>60.97</v>
      </c>
      <c r="AR140" s="524">
        <f>-INDEX(Parameters!$B:$B,MATCH(AR$3,Parameters!$A:$A,0))*(AQ140)</f>
        <v>0</v>
      </c>
      <c r="AS140" s="205">
        <f>IF(E140="straal access",'EDC Minus'!$H$192,IF(Q140&lt;&gt;"nvt",Q140*S140*'EDC Minus'!$H$292/590,0))</f>
        <v>0</v>
      </c>
      <c r="AT140" s="139"/>
      <c r="AU140" s="150">
        <f t="shared" si="289"/>
        <v>60.97</v>
      </c>
      <c r="AV140" s="150">
        <f t="shared" si="290"/>
        <v>69.82416666666667</v>
      </c>
      <c r="AX140" s="526">
        <f>Parameters!$B$6*AV140</f>
        <v>0.69824166666666676</v>
      </c>
      <c r="AY140" s="150">
        <v>0</v>
      </c>
      <c r="AZ140" s="150"/>
      <c r="BA140" s="150">
        <f t="shared" si="291"/>
        <v>0.69824166666666676</v>
      </c>
      <c r="BC140" s="522">
        <f t="shared" si="272"/>
        <v>70.522408333333331</v>
      </c>
      <c r="BD140" s="175"/>
      <c r="BE140" s="527">
        <f t="shared" ref="BE140:BE158" si="293">AG140-BC140</f>
        <v>950.310925</v>
      </c>
      <c r="BF140" s="181">
        <f t="shared" ref="BF140:BF158" si="294">IF(AG140=0,-999%,BE140/AG140)</f>
        <v>0.93091682448979585</v>
      </c>
      <c r="BG140" s="520" t="b">
        <f t="shared" si="292"/>
        <v>0</v>
      </c>
      <c r="BI140" s="528" t="s">
        <v>2181</v>
      </c>
      <c r="BK140" s="151">
        <f>VLOOKUP(J140,'Tarieven ZM'!$B$136:$I$235,8,0)</f>
        <v>0</v>
      </c>
      <c r="BL140" s="151" t="str">
        <f>IF(M140="EoK",N140&amp;"AdvancedNLS type 1/2/3",IF(E140&lt;&gt;"Straal Access",INDEX(Mapping!J:J,MATCH(E140&amp;G140,Mapping!B:B,0)),E140))</f>
        <v>Copper Standard Access 5Mbit/sAdvancedNLS type 1/2/3</v>
      </c>
      <c r="BM140" s="184">
        <f>INDEX('inkoop ULL tbv EVPN'!J:J,MATCH($BL140,'inkoop ULL tbv EVPN'!$H:$H,0))</f>
        <v>78.97</v>
      </c>
      <c r="BN140" s="180">
        <f>BM140/INDEX(Parameters!$B:$B,MATCH("AfschrijftermijnVVE"&amp;12*$C140,Parameters!$A:$A,0))</f>
        <v>1.6452083333333334</v>
      </c>
      <c r="BO140" s="184">
        <f>INDEX('inkoop ULL tbv EVPN'!I:I,MATCH($BL140,'inkoop ULL tbv EVPN'!$H:$H,0))</f>
        <v>14.7296035</v>
      </c>
      <c r="BP140" s="184">
        <f t="shared" si="273"/>
        <v>16.374811833333332</v>
      </c>
      <c r="BR140" s="180">
        <f>Parameters!$B$12*AG140</f>
        <v>102.08333333333334</v>
      </c>
      <c r="BS140" s="180">
        <f>SUM(Distributievergoedingen!$F$12,Distributievergoedingen!$I$12,Distributievergoedingen!$L$12,Distributievergoedingen!$O$12)*AF140+SUM(Distributievergoedingen!$O$12*AA140+Distributievergoedingen!$R$12+Distributievergoedingen!$U$12+Distributievergoedingen!$X$12)/(MAX(36,12*C140))</f>
        <v>112.08333333333333</v>
      </c>
      <c r="BT140" s="150"/>
      <c r="BU140" s="150">
        <f t="shared" si="274"/>
        <v>214.16666666666669</v>
      </c>
      <c r="BW140" s="522">
        <f t="shared" si="275"/>
        <v>230.54147850000001</v>
      </c>
      <c r="BY140" s="527">
        <f t="shared" si="276"/>
        <v>790.29185483333333</v>
      </c>
      <c r="BZ140" s="181">
        <f t="shared" si="277"/>
        <v>0.77416344963265304</v>
      </c>
      <c r="CA140" s="520" t="b">
        <f t="shared" si="278"/>
        <v>0</v>
      </c>
    </row>
    <row r="141" spans="1:79" s="151" customFormat="1">
      <c r="A141" s="151" t="str">
        <f t="shared" si="280"/>
        <v>4EoKStandard Access koper 10mbHoogOn-net (NLS1, 2)</v>
      </c>
      <c r="B141" s="151" t="str">
        <f t="shared" si="281"/>
        <v>4EoKStandard Access koper 10mbHoogOn-net (NLS1, 2)</v>
      </c>
      <c r="C141" s="178">
        <v>4</v>
      </c>
      <c r="D141" s="415" t="s">
        <v>303</v>
      </c>
      <c r="E141" s="178" t="s">
        <v>277</v>
      </c>
      <c r="F141" s="107" t="s">
        <v>274</v>
      </c>
      <c r="G141" s="178" t="s">
        <v>281</v>
      </c>
      <c r="I141" s="178"/>
      <c r="J141" s="520" t="str">
        <f t="shared" si="279"/>
        <v>EoKStandard Access koper 10mbHoogOn-net (NLS1, 2)</v>
      </c>
      <c r="L141" s="204">
        <f>INDEX(Mapping!$H:$H,MATCH(C$3&amp;C141,Mapping!$B:$B,0))</f>
        <v>1</v>
      </c>
      <c r="M141" s="204" t="str">
        <f>INDEX(Mapping!$H:$H,MATCH(D$3&amp;D141,Mapping!$B:$B,0))</f>
        <v>EoK</v>
      </c>
      <c r="N141" s="204" t="str">
        <f>INDEX(Mapping!$H:$H,MATCH(E$3&amp;E141,Mapping!$B:$B,0))</f>
        <v>Copper Standard Access 10Mbit/s</v>
      </c>
      <c r="O141" s="204" t="str">
        <f>INDEX(Mapping!$H:$H,MATCH(E141&amp;F141,Mapping!$B:$B,0))</f>
        <v/>
      </c>
      <c r="P141" s="204" t="str">
        <f>INDEX(Mapping!$H:$H,MATCH($E141&amp;$G141,Mapping!$B:$B,0))</f>
        <v>On-net (NLS1, 2)</v>
      </c>
      <c r="Q141" s="204">
        <f>INDEX(Mapping!$H:$H,MATCH($E141&amp;$G141&amp;"graafafstand",Mapping!$B:$B,0))</f>
        <v>0</v>
      </c>
      <c r="R141" s="204">
        <f>INDEX(Mapping!$H:$H,MATCH(R$3&amp;$E141,Mapping!$B:$B,0))</f>
        <v>1</v>
      </c>
      <c r="S141" s="204">
        <f>INDEX(Mapping!$H:$H,MATCH(S$3&amp;$E141,Mapping!$B:$B,0))</f>
        <v>1</v>
      </c>
      <c r="T141" s="139" t="str">
        <f t="shared" si="282"/>
        <v>Copper Standard Access 10Mbit/sOn-net (NLS1, 2)</v>
      </c>
      <c r="U141" s="151" t="str">
        <f t="shared" si="283"/>
        <v>Copper Standard Access 10Mbit/sOn-net (NLS1, 2)</v>
      </c>
      <c r="W141" s="521">
        <f>MATCH($J141,'Tarieven ZM'!$B:$B,0)</f>
        <v>139</v>
      </c>
      <c r="X141" s="204">
        <f>INDEX('Tarieven ZM'!$H:$H,$W141)</f>
        <v>1000</v>
      </c>
      <c r="Y141" s="198">
        <f>IF(E141="Standard Access in ZG BT gebieden",0,-INDEX(Parameters!$B:$B,MATCH(Y$3&amp;$C141,Parameters!$A:$A,0))*$X141)</f>
        <v>0</v>
      </c>
      <c r="Z141" s="198">
        <f>IF(E141="Standard Access in ZG BT gebieden",0,MAX(-INDEX(Parameters!$B:$B,MATCH(Z$3&amp;$C141,Parameters!$A:$A,0))*$X141,-INDEX(Parameters!$B:$B,MATCH("FactorMaxSalesMandaat"&amp;E141,Parameters!$A:$A,0))*INDEX(Parameters!$B:$B,MATCH("MaxSalesMandaatAccessVVE"&amp;$C141,Parameters!$A:$A,0))))</f>
        <v>0</v>
      </c>
      <c r="AA141" s="139">
        <f t="shared" si="284"/>
        <v>1000</v>
      </c>
      <c r="AB141" s="205">
        <f>AA141/INDEX(Parameters!$B:$B,MATCH("AfschrijftermijnVVE"&amp;12*$C141,Parameters!$A:$A,0))</f>
        <v>20.833333333333332</v>
      </c>
      <c r="AC141" s="204">
        <f>INDEX('Tarieven ZM'!$G:$G,$W141)</f>
        <v>1000</v>
      </c>
      <c r="AD141" s="198">
        <f>IF(E141="Standard Access in ZG BT gebieden",0,-INDEX(Parameters!$B:$B,MATCH(AD$3&amp;$C141,Parameters!$A:$A,0))*$AC141)</f>
        <v>0</v>
      </c>
      <c r="AE141" s="198">
        <f>IF(E141="Standard Access in ZG BT gebieden",0,-INDEX(Parameters!$B:$B,MATCH(AE$3,Parameters!$A:$A,0))*$AC141)</f>
        <v>0</v>
      </c>
      <c r="AF141" s="139">
        <f t="shared" si="285"/>
        <v>1000</v>
      </c>
      <c r="AG141" s="522">
        <f t="shared" si="286"/>
        <v>1020.8333333333334</v>
      </c>
      <c r="AH141" s="175"/>
      <c r="AI141" s="523">
        <f>IF(N141&lt;&gt;"nvt",MATCH($T141,'Tarieven W&amp;O'!$B:$B,0),"nvt")</f>
        <v>11</v>
      </c>
      <c r="AJ141" s="205">
        <f>IF(AI141&lt;&gt;"nvt",IF($D141="EoK",INDEX(Parameters!C:C,MATCH("NLSx EoK",Parameters!A:A,0)),INDEX('Tarieven W&amp;O'!$H:$H,$AI141)),0)*R141</f>
        <v>350</v>
      </c>
      <c r="AK141" s="204">
        <f>IF(AI141&lt;&gt;"nvt",INDEX('Tarieven W&amp;O'!$I:$I,$AI141),0)*R141</f>
        <v>75</v>
      </c>
      <c r="AL141" s="524">
        <f>IF(AI141&lt;&gt;"nvt",-INDEX(Parameters!$B:$B,MATCH(AL$3,Parameters!$A:$A,0))*(AJ141+AK141),0)</f>
        <v>0</v>
      </c>
      <c r="AM141" s="525"/>
      <c r="AN141" s="139">
        <f t="shared" si="287"/>
        <v>425</v>
      </c>
      <c r="AO141" s="205">
        <f>AN141/INDEX(Parameters!$B:$B,MATCH("AfschrijftermijnVVE"&amp;12*$C141,Parameters!$A:$A,0))</f>
        <v>8.8541666666666661</v>
      </c>
      <c r="AP141" s="139">
        <f t="shared" si="288"/>
        <v>11</v>
      </c>
      <c r="AQ141" s="526">
        <f>IF(AP141&lt;&gt;"nvt",R141*INDEX('Tarieven W&amp;O'!$G:$G,$AP141),0)</f>
        <v>83.59</v>
      </c>
      <c r="AR141" s="524">
        <f>-INDEX(Parameters!$B:$B,MATCH(AR$3,Parameters!$A:$A,0))*(AQ141)</f>
        <v>0</v>
      </c>
      <c r="AS141" s="205">
        <f>IF(E141="straal access",'EDC Minus'!$H$192,IF(Q141&lt;&gt;"nvt",Q141*S141*'EDC Minus'!$H$292/590,0))</f>
        <v>0</v>
      </c>
      <c r="AT141" s="139"/>
      <c r="AU141" s="150">
        <f t="shared" si="289"/>
        <v>83.59</v>
      </c>
      <c r="AV141" s="150">
        <f t="shared" si="290"/>
        <v>92.444166666666675</v>
      </c>
      <c r="AX141" s="526">
        <f>Parameters!$B$6*AV141</f>
        <v>0.92444166666666672</v>
      </c>
      <c r="AY141" s="150">
        <v>0</v>
      </c>
      <c r="AZ141" s="150"/>
      <c r="BA141" s="150">
        <f t="shared" si="291"/>
        <v>0.92444166666666672</v>
      </c>
      <c r="BC141" s="522">
        <f t="shared" si="272"/>
        <v>93.368608333333341</v>
      </c>
      <c r="BD141" s="175"/>
      <c r="BE141" s="527">
        <f t="shared" si="293"/>
        <v>927.46472500000004</v>
      </c>
      <c r="BF141" s="181">
        <f t="shared" si="294"/>
        <v>0.90853687346938772</v>
      </c>
      <c r="BG141" s="520" t="b">
        <f t="shared" si="292"/>
        <v>0</v>
      </c>
      <c r="BI141" s="528" t="s">
        <v>2181</v>
      </c>
      <c r="BK141" s="151">
        <f>VLOOKUP(J141,'Tarieven ZM'!$B$136:$I$235,8,0)</f>
        <v>0</v>
      </c>
      <c r="BL141" s="151" t="str">
        <f>IF(M141="EoK",N141&amp;"AdvancedNLS type 1/2/3",IF(E141&lt;&gt;"Straal Access",INDEX(Mapping!J:J,MATCH(E141&amp;G141,Mapping!B:B,0)),E141))</f>
        <v>Copper Standard Access 10Mbit/sAdvancedNLS type 1/2/3</v>
      </c>
      <c r="BM141" s="184">
        <f>INDEX('inkoop ULL tbv EVPN'!J:J,MATCH($BL141,'inkoop ULL tbv EVPN'!$H:$H,0))</f>
        <v>78.97</v>
      </c>
      <c r="BN141" s="180">
        <f>BM141/INDEX(Parameters!$B:$B,MATCH("AfschrijftermijnVVE"&amp;12*$C141,Parameters!$A:$A,0))</f>
        <v>1.6452083333333334</v>
      </c>
      <c r="BO141" s="184">
        <f>INDEX('inkoop ULL tbv EVPN'!I:I,MATCH($BL141,'inkoop ULL tbv EVPN'!$H:$H,0))</f>
        <v>14.7296035</v>
      </c>
      <c r="BP141" s="184">
        <f t="shared" si="273"/>
        <v>16.374811833333332</v>
      </c>
      <c r="BR141" s="180">
        <f>Parameters!$B$12*AG141</f>
        <v>102.08333333333334</v>
      </c>
      <c r="BS141" s="180">
        <f>SUM(Distributievergoedingen!$F$12,Distributievergoedingen!$I$12,Distributievergoedingen!$L$12,Distributievergoedingen!$O$12)*AF141+SUM(Distributievergoedingen!$O$12*AA141+Distributievergoedingen!$R$12+Distributievergoedingen!$U$12+Distributievergoedingen!$X$12)/(MAX(36,12*C141))</f>
        <v>112.08333333333333</v>
      </c>
      <c r="BT141" s="150"/>
      <c r="BU141" s="150">
        <f t="shared" si="274"/>
        <v>214.16666666666669</v>
      </c>
      <c r="BW141" s="522">
        <f t="shared" si="275"/>
        <v>230.54147850000001</v>
      </c>
      <c r="BY141" s="527">
        <f t="shared" si="276"/>
        <v>790.29185483333333</v>
      </c>
      <c r="BZ141" s="181">
        <f t="shared" si="277"/>
        <v>0.77416344963265304</v>
      </c>
      <c r="CA141" s="520" t="b">
        <f t="shared" si="278"/>
        <v>0</v>
      </c>
    </row>
    <row r="142" spans="1:79" s="151" customFormat="1">
      <c r="A142" s="151" t="str">
        <f t="shared" si="280"/>
        <v>4EoKStandard Access koper 15mbHoogOn-net (NLS1, 2)</v>
      </c>
      <c r="B142" s="151" t="str">
        <f t="shared" si="281"/>
        <v>4EoKStandard Access koper 15mbHoogOn-net (NLS1, 2)</v>
      </c>
      <c r="C142" s="178">
        <v>4</v>
      </c>
      <c r="D142" s="415" t="s">
        <v>303</v>
      </c>
      <c r="E142" s="178" t="s">
        <v>278</v>
      </c>
      <c r="F142" s="107" t="s">
        <v>274</v>
      </c>
      <c r="G142" s="178" t="s">
        <v>281</v>
      </c>
      <c r="I142" s="178"/>
      <c r="J142" s="520" t="str">
        <f t="shared" si="279"/>
        <v>EoKStandard Access koper 15mbHoogOn-net (NLS1, 2)</v>
      </c>
      <c r="L142" s="204">
        <f>INDEX(Mapping!$H:$H,MATCH(C$3&amp;C142,Mapping!$B:$B,0))</f>
        <v>1</v>
      </c>
      <c r="M142" s="204" t="str">
        <f>INDEX(Mapping!$H:$H,MATCH(D$3&amp;D142,Mapping!$B:$B,0))</f>
        <v>EoK</v>
      </c>
      <c r="N142" s="204" t="str">
        <f>INDEX(Mapping!$H:$H,MATCH(E$3&amp;E142,Mapping!$B:$B,0))</f>
        <v>Copper Standard Access 15Mbit/s</v>
      </c>
      <c r="O142" s="204" t="str">
        <f>INDEX(Mapping!$H:$H,MATCH(E142&amp;F142,Mapping!$B:$B,0))</f>
        <v/>
      </c>
      <c r="P142" s="204" t="str">
        <f>INDEX(Mapping!$H:$H,MATCH($E142&amp;$G142,Mapping!$B:$B,0))</f>
        <v>On-net (NLS1, 2)</v>
      </c>
      <c r="Q142" s="204">
        <f>INDEX(Mapping!$H:$H,MATCH($E142&amp;$G142&amp;"graafafstand",Mapping!$B:$B,0))</f>
        <v>0</v>
      </c>
      <c r="R142" s="204">
        <f>INDEX(Mapping!$H:$H,MATCH(R$3&amp;$E142,Mapping!$B:$B,0))</f>
        <v>1</v>
      </c>
      <c r="S142" s="204">
        <f>INDEX(Mapping!$H:$H,MATCH(S$3&amp;$E142,Mapping!$B:$B,0))</f>
        <v>1</v>
      </c>
      <c r="T142" s="139" t="str">
        <f t="shared" si="282"/>
        <v>Copper Standard Access 15Mbit/sOn-net (NLS1, 2)</v>
      </c>
      <c r="U142" s="151" t="str">
        <f t="shared" si="283"/>
        <v>Copper Standard Access 15Mbit/sOn-net (NLS1, 2)</v>
      </c>
      <c r="W142" s="521">
        <f>MATCH($J142,'Tarieven ZM'!$B:$B,0)</f>
        <v>140</v>
      </c>
      <c r="X142" s="204">
        <f>INDEX('Tarieven ZM'!$H:$H,$W142)</f>
        <v>1000</v>
      </c>
      <c r="Y142" s="198">
        <f>IF(E142="Standard Access in ZG BT gebieden",0,-INDEX(Parameters!$B:$B,MATCH(Y$3&amp;$C142,Parameters!$A:$A,0))*$X142)</f>
        <v>0</v>
      </c>
      <c r="Z142" s="198">
        <f>IF(E142="Standard Access in ZG BT gebieden",0,MAX(-INDEX(Parameters!$B:$B,MATCH(Z$3&amp;$C142,Parameters!$A:$A,0))*$X142,-INDEX(Parameters!$B:$B,MATCH("FactorMaxSalesMandaat"&amp;E142,Parameters!$A:$A,0))*INDEX(Parameters!$B:$B,MATCH("MaxSalesMandaatAccessVVE"&amp;$C142,Parameters!$A:$A,0))))</f>
        <v>0</v>
      </c>
      <c r="AA142" s="139">
        <f t="shared" si="284"/>
        <v>1000</v>
      </c>
      <c r="AB142" s="205">
        <f>AA142/INDEX(Parameters!$B:$B,MATCH("AfschrijftermijnVVE"&amp;12*$C142,Parameters!$A:$A,0))</f>
        <v>20.833333333333332</v>
      </c>
      <c r="AC142" s="204">
        <f>INDEX('Tarieven ZM'!$G:$G,$W142)</f>
        <v>1000</v>
      </c>
      <c r="AD142" s="198">
        <f>IF(E142="Standard Access in ZG BT gebieden",0,-INDEX(Parameters!$B:$B,MATCH(AD$3&amp;$C142,Parameters!$A:$A,0))*$AC142)</f>
        <v>0</v>
      </c>
      <c r="AE142" s="198">
        <f>IF(E142="Standard Access in ZG BT gebieden",0,-INDEX(Parameters!$B:$B,MATCH(AE$3,Parameters!$A:$A,0))*$AC142)</f>
        <v>0</v>
      </c>
      <c r="AF142" s="139">
        <f t="shared" si="285"/>
        <v>1000</v>
      </c>
      <c r="AG142" s="522">
        <f t="shared" si="286"/>
        <v>1020.8333333333334</v>
      </c>
      <c r="AH142" s="175"/>
      <c r="AI142" s="523">
        <f>IF(N142&lt;&gt;"nvt",MATCH($T142,'Tarieven W&amp;O'!$B:$B,0),"nvt")</f>
        <v>12</v>
      </c>
      <c r="AJ142" s="205">
        <f>IF(AI142&lt;&gt;"nvt",IF($D142="EoK",INDEX(Parameters!C:C,MATCH("NLSx EoK",Parameters!A:A,0)),INDEX('Tarieven W&amp;O'!$H:$H,$AI142)),0)*R142</f>
        <v>350</v>
      </c>
      <c r="AK142" s="204">
        <f>IF(AI142&lt;&gt;"nvt",INDEX('Tarieven W&amp;O'!$I:$I,$AI142),0)*R142</f>
        <v>75</v>
      </c>
      <c r="AL142" s="524">
        <f>IF(AI142&lt;&gt;"nvt",-INDEX(Parameters!$B:$B,MATCH(AL$3,Parameters!$A:$A,0))*(AJ142+AK142),0)</f>
        <v>0</v>
      </c>
      <c r="AM142" s="525"/>
      <c r="AN142" s="139">
        <f t="shared" si="287"/>
        <v>425</v>
      </c>
      <c r="AO142" s="205">
        <f>AN142/INDEX(Parameters!$B:$B,MATCH("AfschrijftermijnVVE"&amp;12*$C142,Parameters!$A:$A,0))</f>
        <v>8.8541666666666661</v>
      </c>
      <c r="AP142" s="139">
        <f t="shared" si="288"/>
        <v>12</v>
      </c>
      <c r="AQ142" s="526">
        <f>IF(AP142&lt;&gt;"nvt",R142*INDEX('Tarieven W&amp;O'!$G:$G,$AP142),0)</f>
        <v>102.44</v>
      </c>
      <c r="AR142" s="524">
        <f>-INDEX(Parameters!$B:$B,MATCH(AR$3,Parameters!$A:$A,0))*(AQ142)</f>
        <v>0</v>
      </c>
      <c r="AS142" s="205">
        <f>IF(E142="straal access",'EDC Minus'!$H$192,IF(Q142&lt;&gt;"nvt",Q142*S142*'EDC Minus'!$H$292/590,0))</f>
        <v>0</v>
      </c>
      <c r="AT142" s="139"/>
      <c r="AU142" s="150">
        <f t="shared" si="289"/>
        <v>102.44</v>
      </c>
      <c r="AV142" s="150">
        <f t="shared" si="290"/>
        <v>111.29416666666667</v>
      </c>
      <c r="AX142" s="526">
        <f>Parameters!$B$6*AV142</f>
        <v>1.1129416666666667</v>
      </c>
      <c r="AY142" s="150">
        <v>0</v>
      </c>
      <c r="AZ142" s="150"/>
      <c r="BA142" s="150">
        <f t="shared" si="291"/>
        <v>1.1129416666666667</v>
      </c>
      <c r="BC142" s="522">
        <f t="shared" si="272"/>
        <v>112.40710833333334</v>
      </c>
      <c r="BD142" s="175"/>
      <c r="BE142" s="527">
        <f t="shared" si="293"/>
        <v>908.42622500000004</v>
      </c>
      <c r="BF142" s="181">
        <f t="shared" si="294"/>
        <v>0.88988691428571431</v>
      </c>
      <c r="BG142" s="520" t="b">
        <f t="shared" si="292"/>
        <v>0</v>
      </c>
      <c r="BI142" s="528" t="s">
        <v>2181</v>
      </c>
      <c r="BK142" s="151">
        <f>VLOOKUP(J142,'Tarieven ZM'!$B$136:$I$235,8,0)</f>
        <v>0</v>
      </c>
      <c r="BL142" s="151" t="str">
        <f>IF(M142="EoK",N142&amp;"AdvancedNLS type 1/2/3",IF(E142&lt;&gt;"Straal Access",INDEX(Mapping!J:J,MATCH(E142&amp;G142,Mapping!B:B,0)),E142))</f>
        <v>Copper Standard Access 15Mbit/sAdvancedNLS type 1/2/3</v>
      </c>
      <c r="BM142" s="184">
        <f>INDEX('inkoop ULL tbv EVPN'!J:J,MATCH($BL142,'inkoop ULL tbv EVPN'!$H:$H,0))</f>
        <v>78.97</v>
      </c>
      <c r="BN142" s="180">
        <f>BM142/INDEX(Parameters!$B:$B,MATCH("AfschrijftermijnVVE"&amp;12*$C142,Parameters!$A:$A,0))</f>
        <v>1.6452083333333334</v>
      </c>
      <c r="BO142" s="184">
        <f>INDEX('inkoop ULL tbv EVPN'!I:I,MATCH($BL142,'inkoop ULL tbv EVPN'!$H:$H,0))</f>
        <v>14.7296035</v>
      </c>
      <c r="BP142" s="184">
        <f t="shared" si="273"/>
        <v>16.374811833333332</v>
      </c>
      <c r="BR142" s="180">
        <f>Parameters!$B$12*AG142</f>
        <v>102.08333333333334</v>
      </c>
      <c r="BS142" s="180">
        <f>SUM(Distributievergoedingen!$F$12,Distributievergoedingen!$I$12,Distributievergoedingen!$L$12,Distributievergoedingen!$O$12)*AF142+SUM(Distributievergoedingen!$O$12*AA142+Distributievergoedingen!$R$12+Distributievergoedingen!$U$12+Distributievergoedingen!$X$12)/(MAX(36,12*C142))</f>
        <v>112.08333333333333</v>
      </c>
      <c r="BT142" s="150"/>
      <c r="BU142" s="150">
        <f t="shared" si="274"/>
        <v>214.16666666666669</v>
      </c>
      <c r="BW142" s="522">
        <f t="shared" si="275"/>
        <v>230.54147850000001</v>
      </c>
      <c r="BY142" s="527">
        <f t="shared" si="276"/>
        <v>790.29185483333333</v>
      </c>
      <c r="BZ142" s="181">
        <f t="shared" si="277"/>
        <v>0.77416344963265304</v>
      </c>
      <c r="CA142" s="520" t="b">
        <f t="shared" si="278"/>
        <v>0</v>
      </c>
    </row>
    <row r="143" spans="1:79" s="151" customFormat="1">
      <c r="A143" s="151" t="str">
        <f t="shared" si="280"/>
        <v>4EoKStandard Access koper 20mbHoogOn-net (NLS1, 2)</v>
      </c>
      <c r="B143" s="151" t="str">
        <f t="shared" si="281"/>
        <v>4EoKStandard Access koper 20mbHoogOn-net (NLS1, 2)</v>
      </c>
      <c r="C143" s="178">
        <v>4</v>
      </c>
      <c r="D143" s="415" t="s">
        <v>303</v>
      </c>
      <c r="E143" s="178" t="s">
        <v>279</v>
      </c>
      <c r="F143" s="107" t="s">
        <v>274</v>
      </c>
      <c r="G143" s="178" t="s">
        <v>281</v>
      </c>
      <c r="I143" s="178"/>
      <c r="J143" s="520" t="str">
        <f t="shared" si="279"/>
        <v>EoKStandard Access koper 20mbHoogOn-net (NLS1, 2)</v>
      </c>
      <c r="L143" s="204">
        <f>INDEX(Mapping!$H:$H,MATCH(C$3&amp;C143,Mapping!$B:$B,0))</f>
        <v>1</v>
      </c>
      <c r="M143" s="204" t="str">
        <f>INDEX(Mapping!$H:$H,MATCH(D$3&amp;D143,Mapping!$B:$B,0))</f>
        <v>EoK</v>
      </c>
      <c r="N143" s="204" t="str">
        <f>INDEX(Mapping!$H:$H,MATCH(E$3&amp;E143,Mapping!$B:$B,0))</f>
        <v>Copper Standard Access 20Mbit/s</v>
      </c>
      <c r="O143" s="204" t="str">
        <f>INDEX(Mapping!$H:$H,MATCH(E143&amp;F143,Mapping!$B:$B,0))</f>
        <v/>
      </c>
      <c r="P143" s="204" t="str">
        <f>INDEX(Mapping!$H:$H,MATCH($E143&amp;$G143,Mapping!$B:$B,0))</f>
        <v>On-net (NLS1, 2)</v>
      </c>
      <c r="Q143" s="204">
        <f>INDEX(Mapping!$H:$H,MATCH($E143&amp;$G143&amp;"graafafstand",Mapping!$B:$B,0))</f>
        <v>0</v>
      </c>
      <c r="R143" s="204">
        <f>INDEX(Mapping!$H:$H,MATCH(R$3&amp;$E143,Mapping!$B:$B,0))</f>
        <v>1</v>
      </c>
      <c r="S143" s="204">
        <f>INDEX(Mapping!$H:$H,MATCH(S$3&amp;$E143,Mapping!$B:$B,0))</f>
        <v>1</v>
      </c>
      <c r="T143" s="139" t="str">
        <f t="shared" si="282"/>
        <v>Copper Standard Access 20Mbit/sOn-net (NLS1, 2)</v>
      </c>
      <c r="U143" s="151" t="str">
        <f t="shared" si="283"/>
        <v>Copper Standard Access 20Mbit/sOn-net (NLS1, 2)</v>
      </c>
      <c r="W143" s="521">
        <f>MATCH($J143,'Tarieven ZM'!$B:$B,0)</f>
        <v>141</v>
      </c>
      <c r="X143" s="204">
        <f>INDEX('Tarieven ZM'!$H:$H,$W143)</f>
        <v>1000</v>
      </c>
      <c r="Y143" s="198">
        <f>IF(E143="Standard Access in ZG BT gebieden",0,-INDEX(Parameters!$B:$B,MATCH(Y$3&amp;$C143,Parameters!$A:$A,0))*$X143)</f>
        <v>0</v>
      </c>
      <c r="Z143" s="198">
        <f>IF(E143="Standard Access in ZG BT gebieden",0,MAX(-INDEX(Parameters!$B:$B,MATCH(Z$3&amp;$C143,Parameters!$A:$A,0))*$X143,-INDEX(Parameters!$B:$B,MATCH("FactorMaxSalesMandaat"&amp;E143,Parameters!$A:$A,0))*INDEX(Parameters!$B:$B,MATCH("MaxSalesMandaatAccessVVE"&amp;$C143,Parameters!$A:$A,0))))</f>
        <v>0</v>
      </c>
      <c r="AA143" s="139">
        <f t="shared" si="284"/>
        <v>1000</v>
      </c>
      <c r="AB143" s="205">
        <f>AA143/INDEX(Parameters!$B:$B,MATCH("AfschrijftermijnVVE"&amp;12*$C143,Parameters!$A:$A,0))</f>
        <v>20.833333333333332</v>
      </c>
      <c r="AC143" s="204">
        <f>INDEX('Tarieven ZM'!$G:$G,$W143)</f>
        <v>1000</v>
      </c>
      <c r="AD143" s="198">
        <f>IF(E143="Standard Access in ZG BT gebieden",0,-INDEX(Parameters!$B:$B,MATCH(AD$3&amp;$C143,Parameters!$A:$A,0))*$AC143)</f>
        <v>0</v>
      </c>
      <c r="AE143" s="198">
        <f>IF(E143="Standard Access in ZG BT gebieden",0,-INDEX(Parameters!$B:$B,MATCH(AE$3,Parameters!$A:$A,0))*$AC143)</f>
        <v>0</v>
      </c>
      <c r="AF143" s="139">
        <f t="shared" si="285"/>
        <v>1000</v>
      </c>
      <c r="AG143" s="522">
        <f t="shared" si="286"/>
        <v>1020.8333333333334</v>
      </c>
      <c r="AH143" s="175"/>
      <c r="AI143" s="523">
        <f>IF(N143&lt;&gt;"nvt",MATCH($T143,'Tarieven W&amp;O'!$B:$B,0),"nvt")</f>
        <v>13</v>
      </c>
      <c r="AJ143" s="205">
        <f>IF(AI143&lt;&gt;"nvt",IF($D143="EoK",INDEX(Parameters!C:C,MATCH("NLSx EoK",Parameters!A:A,0)),INDEX('Tarieven W&amp;O'!$H:$H,$AI143)),0)*R143</f>
        <v>350</v>
      </c>
      <c r="AK143" s="204">
        <f>IF(AI143&lt;&gt;"nvt",INDEX('Tarieven W&amp;O'!$I:$I,$AI143),0)*R143</f>
        <v>75</v>
      </c>
      <c r="AL143" s="524">
        <f>IF(AI143&lt;&gt;"nvt",-INDEX(Parameters!$B:$B,MATCH(AL$3,Parameters!$A:$A,0))*(AJ143+AK143),0)</f>
        <v>0</v>
      </c>
      <c r="AM143" s="525"/>
      <c r="AN143" s="139">
        <f t="shared" si="287"/>
        <v>425</v>
      </c>
      <c r="AO143" s="205">
        <f>AN143/INDEX(Parameters!$B:$B,MATCH("AfschrijftermijnVVE"&amp;12*$C143,Parameters!$A:$A,0))</f>
        <v>8.8541666666666661</v>
      </c>
      <c r="AP143" s="139">
        <f t="shared" si="288"/>
        <v>13</v>
      </c>
      <c r="AQ143" s="526">
        <f>IF(AP143&lt;&gt;"nvt",R143*INDEX('Tarieven W&amp;O'!$G:$G,$AP143),0)</f>
        <v>121.28</v>
      </c>
      <c r="AR143" s="524">
        <f>-INDEX(Parameters!$B:$B,MATCH(AR$3,Parameters!$A:$A,0))*(AQ143)</f>
        <v>0</v>
      </c>
      <c r="AS143" s="205">
        <f>IF(E143="straal access",'EDC Minus'!$H$192,IF(Q143&lt;&gt;"nvt",Q143*S143*'EDC Minus'!$H$292/590,0))</f>
        <v>0</v>
      </c>
      <c r="AT143" s="139"/>
      <c r="AU143" s="150">
        <f t="shared" si="289"/>
        <v>121.28</v>
      </c>
      <c r="AV143" s="150">
        <f t="shared" si="290"/>
        <v>130.13416666666666</v>
      </c>
      <c r="AX143" s="526">
        <f>Parameters!$B$6*AV143</f>
        <v>1.3013416666666666</v>
      </c>
      <c r="AY143" s="150">
        <v>0</v>
      </c>
      <c r="AZ143" s="150"/>
      <c r="BA143" s="150">
        <f t="shared" si="291"/>
        <v>1.3013416666666666</v>
      </c>
      <c r="BC143" s="522">
        <f t="shared" si="272"/>
        <v>131.43550833333333</v>
      </c>
      <c r="BD143" s="175"/>
      <c r="BE143" s="527">
        <f t="shared" si="293"/>
        <v>889.39782500000001</v>
      </c>
      <c r="BF143" s="181">
        <f t="shared" si="294"/>
        <v>0.87124684897959181</v>
      </c>
      <c r="BG143" s="520" t="b">
        <f t="shared" si="292"/>
        <v>0</v>
      </c>
      <c r="BI143" s="528" t="s">
        <v>2181</v>
      </c>
      <c r="BK143" s="151">
        <f>VLOOKUP(J143,'Tarieven ZM'!$B$136:$I$235,8,0)</f>
        <v>0</v>
      </c>
      <c r="BL143" s="151" t="str">
        <f>IF(M143="EoK",N143&amp;"AdvancedNLS type 1/2/3",IF(E143&lt;&gt;"Straal Access",INDEX(Mapping!J:J,MATCH(E143&amp;G143,Mapping!B:B,0)),E143))</f>
        <v>Copper Standard Access 20Mbit/sAdvancedNLS type 1/2/3</v>
      </c>
      <c r="BM143" s="184">
        <f>INDEX('inkoop ULL tbv EVPN'!J:J,MATCH($BL143,'inkoop ULL tbv EVPN'!$H:$H,0))</f>
        <v>78.97</v>
      </c>
      <c r="BN143" s="180">
        <f>BM143/INDEX(Parameters!$B:$B,MATCH("AfschrijftermijnVVE"&amp;12*$C143,Parameters!$A:$A,0))</f>
        <v>1.6452083333333334</v>
      </c>
      <c r="BO143" s="184">
        <f>INDEX('inkoop ULL tbv EVPN'!I:I,MATCH($BL143,'inkoop ULL tbv EVPN'!$H:$H,0))</f>
        <v>14.7296035</v>
      </c>
      <c r="BP143" s="184">
        <f t="shared" si="273"/>
        <v>16.374811833333332</v>
      </c>
      <c r="BR143" s="180">
        <f>Parameters!$B$12*AG143</f>
        <v>102.08333333333334</v>
      </c>
      <c r="BS143" s="180">
        <f>SUM(Distributievergoedingen!$F$12,Distributievergoedingen!$I$12,Distributievergoedingen!$L$12,Distributievergoedingen!$O$12)*AF143+SUM(Distributievergoedingen!$O$12*AA143+Distributievergoedingen!$R$12+Distributievergoedingen!$U$12+Distributievergoedingen!$X$12)/(MAX(36,12*C143))</f>
        <v>112.08333333333333</v>
      </c>
      <c r="BT143" s="150"/>
      <c r="BU143" s="150">
        <f t="shared" si="274"/>
        <v>214.16666666666669</v>
      </c>
      <c r="BW143" s="522">
        <f t="shared" si="275"/>
        <v>230.54147850000001</v>
      </c>
      <c r="BY143" s="527">
        <f t="shared" si="276"/>
        <v>790.29185483333333</v>
      </c>
      <c r="BZ143" s="181">
        <f t="shared" si="277"/>
        <v>0.77416344963265304</v>
      </c>
      <c r="CA143" s="520" t="b">
        <f t="shared" si="278"/>
        <v>0</v>
      </c>
    </row>
    <row r="144" spans="1:79" s="151" customFormat="1">
      <c r="A144" s="151" t="str">
        <f t="shared" ref="A144:A148" si="295">C144&amp;D144&amp;E144&amp;F144&amp;G144</f>
        <v>4EoKStandard Access koper 3mbHoogOn-net (NLS3)</v>
      </c>
      <c r="B144" s="151" t="str">
        <f t="shared" ref="B144:B148" si="296">A144</f>
        <v>4EoKStandard Access koper 3mbHoogOn-net (NLS3)</v>
      </c>
      <c r="C144" s="178">
        <v>4</v>
      </c>
      <c r="D144" s="415" t="s">
        <v>303</v>
      </c>
      <c r="E144" s="178" t="s">
        <v>268</v>
      </c>
      <c r="F144" s="107" t="s">
        <v>274</v>
      </c>
      <c r="G144" s="178" t="s">
        <v>3398</v>
      </c>
      <c r="I144" s="178"/>
      <c r="J144" s="520" t="str">
        <f t="shared" si="279"/>
        <v>EoKStandard Access koper 3mbHoogOn-net (NLS3)</v>
      </c>
      <c r="L144" s="204">
        <f>INDEX(Mapping!$H:$H,MATCH(C$3&amp;C144,Mapping!$B:$B,0))</f>
        <v>1</v>
      </c>
      <c r="M144" s="204" t="str">
        <f>INDEX(Mapping!$H:$H,MATCH(D$3&amp;D144,Mapping!$B:$B,0))</f>
        <v>EoK</v>
      </c>
      <c r="N144" s="204" t="str">
        <f>INDEX(Mapping!$H:$H,MATCH(E$3&amp;E144,Mapping!$B:$B,0))</f>
        <v>Copper Standard Access 3Mbit/s</v>
      </c>
      <c r="O144" s="204" t="str">
        <f>INDEX(Mapping!$H:$H,MATCH(E144&amp;F144,Mapping!$B:$B,0))</f>
        <v/>
      </c>
      <c r="P144" s="204" t="str">
        <f>INDEX(Mapping!$H:$H,MATCH($E144&amp;$G144,Mapping!$B:$B,0))</f>
        <v>On-net (NLS3)</v>
      </c>
      <c r="Q144" s="204" t="str">
        <f>INDEX(Mapping!$H:$H,MATCH($E144&amp;$G144&amp;"graafafstand",Mapping!$B:$B,0))</f>
        <v>nvt</v>
      </c>
      <c r="R144" s="204">
        <f>INDEX(Mapping!$H:$H,MATCH(R$3&amp;$E144,Mapping!$B:$B,0))</f>
        <v>1</v>
      </c>
      <c r="S144" s="204">
        <f>INDEX(Mapping!$H:$H,MATCH(S$3&amp;$E144,Mapping!$B:$B,0))</f>
        <v>1</v>
      </c>
      <c r="T144" s="139" t="str">
        <f t="shared" ref="T144:T148" si="297">N144&amp;O144&amp;P144</f>
        <v>Copper Standard Access 3Mbit/sOn-net (NLS3)</v>
      </c>
      <c r="U144" s="151" t="str">
        <f t="shared" ref="U144:U148" si="298">T144</f>
        <v>Copper Standard Access 3Mbit/sOn-net (NLS3)</v>
      </c>
      <c r="W144" s="521">
        <f>MATCH($J144,'Tarieven ZM'!$B:$B,0)</f>
        <v>144</v>
      </c>
      <c r="X144" s="204">
        <f>INDEX('Tarieven ZM'!$H:$H,$W144)</f>
        <v>1000</v>
      </c>
      <c r="Y144" s="198">
        <f>IF(E144="Standard Access in ZG BT gebieden",0,-INDEX(Parameters!$B:$B,MATCH(Y$3&amp;$C144,Parameters!$A:$A,0))*$X144)</f>
        <v>0</v>
      </c>
      <c r="Z144" s="198">
        <f>IF(E144="Standard Access in ZG BT gebieden",0,MAX(-INDEX(Parameters!$B:$B,MATCH(Z$3&amp;$C144,Parameters!$A:$A,0))*$X144,-INDEX(Parameters!$B:$B,MATCH("FactorMaxSalesMandaat"&amp;E144,Parameters!$A:$A,0))*INDEX(Parameters!$B:$B,MATCH("MaxSalesMandaatAccessVVE"&amp;$C144,Parameters!$A:$A,0))))</f>
        <v>0</v>
      </c>
      <c r="AA144" s="139">
        <f t="shared" ref="AA144:AA148" si="299">SUM(X144:Z144)</f>
        <v>1000</v>
      </c>
      <c r="AB144" s="205">
        <f>AA144/INDEX(Parameters!$B:$B,MATCH("AfschrijftermijnVVE"&amp;12*$C144,Parameters!$A:$A,0))</f>
        <v>20.833333333333332</v>
      </c>
      <c r="AC144" s="204">
        <f>INDEX('Tarieven ZM'!$G:$G,$W144)</f>
        <v>1000</v>
      </c>
      <c r="AD144" s="198">
        <f>IF(E144="Standard Access in ZG BT gebieden",0,-INDEX(Parameters!$B:$B,MATCH(AD$3&amp;$C144,Parameters!$A:$A,0))*$AC144)</f>
        <v>0</v>
      </c>
      <c r="AE144" s="198">
        <f>IF(E144="Standard Access in ZG BT gebieden",0,-INDEX(Parameters!$B:$B,MATCH(AE$3,Parameters!$A:$A,0))*$AC144)</f>
        <v>0</v>
      </c>
      <c r="AF144" s="139">
        <f t="shared" ref="AF144:AF148" si="300">SUM(AC144:AE144)</f>
        <v>1000</v>
      </c>
      <c r="AG144" s="522">
        <f t="shared" ref="AG144:AG148" si="301">SUM(AB144,AF144)</f>
        <v>1020.8333333333334</v>
      </c>
      <c r="AH144" s="175"/>
      <c r="AI144" s="523">
        <f>IF(N144&lt;&gt;"nvt",MATCH($T144,'Tarieven W&amp;O'!$B:$B,0),"nvt")</f>
        <v>16</v>
      </c>
      <c r="AJ144" s="205">
        <f>IF(AI144&lt;&gt;"nvt",IF($D144="EoK",INDEX(Parameters!C:C,MATCH("NLSx EoK",Parameters!A:A,0)),INDEX('Tarieven W&amp;O'!$H:$H,$AI144)),0)*R144</f>
        <v>350</v>
      </c>
      <c r="AK144" s="204">
        <f>IF(AI144&lt;&gt;"nvt",INDEX('Tarieven W&amp;O'!$I:$I,$AI144),0)*R144</f>
        <v>75</v>
      </c>
      <c r="AL144" s="524">
        <f>IF(AI144&lt;&gt;"nvt",-INDEX(Parameters!$B:$B,MATCH(AL$3,Parameters!$A:$A,0))*(AJ144+AK144),0)</f>
        <v>0</v>
      </c>
      <c r="AM144" s="525"/>
      <c r="AN144" s="139">
        <f t="shared" ref="AN144:AN148" si="302">SUM(AJ144:AM144)</f>
        <v>425</v>
      </c>
      <c r="AO144" s="205">
        <f>AN144/INDEX(Parameters!$B:$B,MATCH("AfschrijftermijnVVE"&amp;12*$C144,Parameters!$A:$A,0))</f>
        <v>8.8541666666666661</v>
      </c>
      <c r="AP144" s="139">
        <f t="shared" ref="AP144:AP148" si="303">AI144</f>
        <v>16</v>
      </c>
      <c r="AQ144" s="526">
        <f>IF(AP144&lt;&gt;"nvt",R144*INDEX('Tarieven W&amp;O'!$G:$G,$AP144),0)</f>
        <v>41.5</v>
      </c>
      <c r="AR144" s="524">
        <f>-INDEX(Parameters!$B:$B,MATCH(AR$3,Parameters!$A:$A,0))*(AQ144)</f>
        <v>0</v>
      </c>
      <c r="AS144" s="205">
        <f>IF(E144="straal access",'EDC Minus'!$H$192,IF(Q144&lt;&gt;"nvt",Q144*S144*'EDC Minus'!$H$292/590,0))</f>
        <v>0</v>
      </c>
      <c r="AT144" s="139"/>
      <c r="AU144" s="150">
        <f t="shared" ref="AU144:AU148" si="304">SUM(AQ144:AT144)</f>
        <v>41.5</v>
      </c>
      <c r="AV144" s="150">
        <f t="shared" ref="AV144:AV148" si="305">SUM(AO144,AU144)</f>
        <v>50.354166666666664</v>
      </c>
      <c r="AX144" s="526">
        <f>Parameters!$B$6*AV144</f>
        <v>0.50354166666666667</v>
      </c>
      <c r="AY144" s="150">
        <v>0</v>
      </c>
      <c r="AZ144" s="150"/>
      <c r="BA144" s="150">
        <f t="shared" ref="BA144:BA148" si="306">SUM(AX144:AZ144)</f>
        <v>0.50354166666666667</v>
      </c>
      <c r="BC144" s="522">
        <f t="shared" si="272"/>
        <v>50.857708333333328</v>
      </c>
      <c r="BD144" s="175"/>
      <c r="BE144" s="527">
        <f t="shared" si="293"/>
        <v>969.97562500000004</v>
      </c>
      <c r="BF144" s="181">
        <f t="shared" si="294"/>
        <v>0.95018020408163262</v>
      </c>
      <c r="BG144" s="520" t="b">
        <f t="shared" ref="BG144:BG148" si="307">BF144&lt;0</f>
        <v>0</v>
      </c>
      <c r="BI144" s="528" t="s">
        <v>2181</v>
      </c>
      <c r="BK144" s="151">
        <f>VLOOKUP(J144,'Tarieven ZM'!$B$136:$I$235,8,0)</f>
        <v>0</v>
      </c>
      <c r="BL144" s="151" t="str">
        <f>IF(M144="EoK",N144&amp;"AdvancedNLS type 1/2/3",IF(E144&lt;&gt;"Straal Access",INDEX(Mapping!J:J,MATCH(E144&amp;G144,Mapping!B:B,0)),E144))</f>
        <v>Copper Standard Access 3Mbit/sAdvancedNLS type 1/2/3</v>
      </c>
      <c r="BM144" s="184">
        <f>INDEX('inkoop ULL tbv EVPN'!J:J,MATCH($BL144,'inkoop ULL tbv EVPN'!$H:$H,0))</f>
        <v>78.97</v>
      </c>
      <c r="BN144" s="180">
        <f>BM144/INDEX(Parameters!$B:$B,MATCH("AfschrijftermijnVVE"&amp;12*$C144,Parameters!$A:$A,0))</f>
        <v>1.6452083333333334</v>
      </c>
      <c r="BO144" s="184">
        <f>INDEX('inkoop ULL tbv EVPN'!I:I,MATCH($BL144,'inkoop ULL tbv EVPN'!$H:$H,0))</f>
        <v>14.7296035</v>
      </c>
      <c r="BP144" s="184">
        <f t="shared" si="273"/>
        <v>16.374811833333332</v>
      </c>
      <c r="BR144" s="180">
        <f>Parameters!$B$12*AG144</f>
        <v>102.08333333333334</v>
      </c>
      <c r="BS144" s="180">
        <f>SUM(Distributievergoedingen!$F$12,Distributievergoedingen!$I$12,Distributievergoedingen!$L$12,Distributievergoedingen!$O$12)*AF144+SUM(Distributievergoedingen!$O$12*AA144+Distributievergoedingen!$R$12+Distributievergoedingen!$U$12+Distributievergoedingen!$X$12)/(MAX(36,12*C144))</f>
        <v>112.08333333333333</v>
      </c>
      <c r="BT144" s="150"/>
      <c r="BU144" s="150">
        <f t="shared" si="274"/>
        <v>214.16666666666669</v>
      </c>
      <c r="BW144" s="522">
        <f t="shared" si="275"/>
        <v>230.54147850000001</v>
      </c>
      <c r="BY144" s="527">
        <f t="shared" si="276"/>
        <v>790.29185483333333</v>
      </c>
      <c r="BZ144" s="181">
        <f t="shared" si="277"/>
        <v>0.77416344963265304</v>
      </c>
      <c r="CA144" s="520" t="b">
        <f t="shared" si="278"/>
        <v>0</v>
      </c>
    </row>
    <row r="145" spans="1:79" s="151" customFormat="1">
      <c r="A145" s="151" t="str">
        <f t="shared" si="295"/>
        <v>4EoKStandard Access koper 5mbHoogOn-net (NLS3)</v>
      </c>
      <c r="B145" s="151" t="str">
        <f t="shared" si="296"/>
        <v>4EoKStandard Access koper 5mbHoogOn-net (NLS3)</v>
      </c>
      <c r="C145" s="178">
        <v>4</v>
      </c>
      <c r="D145" s="415" t="s">
        <v>303</v>
      </c>
      <c r="E145" s="178" t="s">
        <v>276</v>
      </c>
      <c r="F145" s="107" t="s">
        <v>274</v>
      </c>
      <c r="G145" s="178" t="s">
        <v>3398</v>
      </c>
      <c r="I145" s="178"/>
      <c r="J145" s="520" t="str">
        <f t="shared" si="279"/>
        <v>EoKStandard Access koper 5mbHoogOn-net (NLS3)</v>
      </c>
      <c r="L145" s="204">
        <f>INDEX(Mapping!$H:$H,MATCH(C$3&amp;C145,Mapping!$B:$B,0))</f>
        <v>1</v>
      </c>
      <c r="M145" s="204" t="str">
        <f>INDEX(Mapping!$H:$H,MATCH(D$3&amp;D145,Mapping!$B:$B,0))</f>
        <v>EoK</v>
      </c>
      <c r="N145" s="204" t="str">
        <f>INDEX(Mapping!$H:$H,MATCH(E$3&amp;E145,Mapping!$B:$B,0))</f>
        <v>Copper Standard Access 5Mbit/s</v>
      </c>
      <c r="O145" s="204" t="str">
        <f>INDEX(Mapping!$H:$H,MATCH(E145&amp;F145,Mapping!$B:$B,0))</f>
        <v/>
      </c>
      <c r="P145" s="204" t="str">
        <f>INDEX(Mapping!$H:$H,MATCH($E145&amp;$G145,Mapping!$B:$B,0))</f>
        <v>On-net (NLS3)</v>
      </c>
      <c r="Q145" s="204" t="str">
        <f>INDEX(Mapping!$H:$H,MATCH($E145&amp;$G145&amp;"graafafstand",Mapping!$B:$B,0))</f>
        <v>nvt</v>
      </c>
      <c r="R145" s="204">
        <f>INDEX(Mapping!$H:$H,MATCH(R$3&amp;$E145,Mapping!$B:$B,0))</f>
        <v>1</v>
      </c>
      <c r="S145" s="204">
        <f>INDEX(Mapping!$H:$H,MATCH(S$3&amp;$E145,Mapping!$B:$B,0))</f>
        <v>1</v>
      </c>
      <c r="T145" s="139" t="str">
        <f t="shared" si="297"/>
        <v>Copper Standard Access 5Mbit/sOn-net (NLS3)</v>
      </c>
      <c r="U145" s="151" t="str">
        <f t="shared" si="298"/>
        <v>Copper Standard Access 5Mbit/sOn-net (NLS3)</v>
      </c>
      <c r="W145" s="521">
        <f>MATCH($J145,'Tarieven ZM'!$B:$B,0)</f>
        <v>145</v>
      </c>
      <c r="X145" s="204">
        <f>INDEX('Tarieven ZM'!$H:$H,$W145)</f>
        <v>1000</v>
      </c>
      <c r="Y145" s="198">
        <f>IF(E145="Standard Access in ZG BT gebieden",0,-INDEX(Parameters!$B:$B,MATCH(Y$3&amp;$C145,Parameters!$A:$A,0))*$X145)</f>
        <v>0</v>
      </c>
      <c r="Z145" s="198">
        <f>IF(E145="Standard Access in ZG BT gebieden",0,MAX(-INDEX(Parameters!$B:$B,MATCH(Z$3&amp;$C145,Parameters!$A:$A,0))*$X145,-INDEX(Parameters!$B:$B,MATCH("FactorMaxSalesMandaat"&amp;E145,Parameters!$A:$A,0))*INDEX(Parameters!$B:$B,MATCH("MaxSalesMandaatAccessVVE"&amp;$C145,Parameters!$A:$A,0))))</f>
        <v>0</v>
      </c>
      <c r="AA145" s="139">
        <f t="shared" si="299"/>
        <v>1000</v>
      </c>
      <c r="AB145" s="205">
        <f>AA145/INDEX(Parameters!$B:$B,MATCH("AfschrijftermijnVVE"&amp;12*$C145,Parameters!$A:$A,0))</f>
        <v>20.833333333333332</v>
      </c>
      <c r="AC145" s="204">
        <f>INDEX('Tarieven ZM'!$G:$G,$W145)</f>
        <v>1000</v>
      </c>
      <c r="AD145" s="198">
        <f>IF(E145="Standard Access in ZG BT gebieden",0,-INDEX(Parameters!$B:$B,MATCH(AD$3&amp;$C145,Parameters!$A:$A,0))*$AC145)</f>
        <v>0</v>
      </c>
      <c r="AE145" s="198">
        <f>IF(E145="Standard Access in ZG BT gebieden",0,-INDEX(Parameters!$B:$B,MATCH(AE$3,Parameters!$A:$A,0))*$AC145)</f>
        <v>0</v>
      </c>
      <c r="AF145" s="139">
        <f t="shared" si="300"/>
        <v>1000</v>
      </c>
      <c r="AG145" s="522">
        <f t="shared" si="301"/>
        <v>1020.8333333333334</v>
      </c>
      <c r="AH145" s="175"/>
      <c r="AI145" s="523">
        <f>IF(N145&lt;&gt;"nvt",MATCH($T145,'Tarieven W&amp;O'!$B:$B,0),"nvt")</f>
        <v>17</v>
      </c>
      <c r="AJ145" s="205">
        <f>IF(AI145&lt;&gt;"nvt",IF($D145="EoK",INDEX(Parameters!C:C,MATCH("NLSx EoK",Parameters!A:A,0)),INDEX('Tarieven W&amp;O'!$H:$H,$AI145)),0)*R145</f>
        <v>350</v>
      </c>
      <c r="AK145" s="204">
        <f>IF(AI145&lt;&gt;"nvt",INDEX('Tarieven W&amp;O'!$I:$I,$AI145),0)*R145</f>
        <v>75</v>
      </c>
      <c r="AL145" s="524">
        <f>IF(AI145&lt;&gt;"nvt",-INDEX(Parameters!$B:$B,MATCH(AL$3,Parameters!$A:$A,0))*(AJ145+AK145),0)</f>
        <v>0</v>
      </c>
      <c r="AM145" s="525"/>
      <c r="AN145" s="139">
        <f t="shared" si="302"/>
        <v>425</v>
      </c>
      <c r="AO145" s="205">
        <f>AN145/INDEX(Parameters!$B:$B,MATCH("AfschrijftermijnVVE"&amp;12*$C145,Parameters!$A:$A,0))</f>
        <v>8.8541666666666661</v>
      </c>
      <c r="AP145" s="139">
        <f t="shared" si="303"/>
        <v>17</v>
      </c>
      <c r="AQ145" s="526">
        <f>IF(AP145&lt;&gt;"nvt",R145*INDEX('Tarieven W&amp;O'!$G:$G,$AP145),0)</f>
        <v>60.97</v>
      </c>
      <c r="AR145" s="524">
        <f>-INDEX(Parameters!$B:$B,MATCH(AR$3,Parameters!$A:$A,0))*(AQ145)</f>
        <v>0</v>
      </c>
      <c r="AS145" s="205">
        <f>IF(E145="straal access",'EDC Minus'!$H$192,IF(Q145&lt;&gt;"nvt",Q145*S145*'EDC Minus'!$H$292/590,0))</f>
        <v>0</v>
      </c>
      <c r="AT145" s="139"/>
      <c r="AU145" s="150">
        <f t="shared" si="304"/>
        <v>60.97</v>
      </c>
      <c r="AV145" s="150">
        <f t="shared" si="305"/>
        <v>69.82416666666667</v>
      </c>
      <c r="AX145" s="526">
        <f>Parameters!$B$6*AV145</f>
        <v>0.69824166666666676</v>
      </c>
      <c r="AY145" s="150">
        <v>0</v>
      </c>
      <c r="AZ145" s="150"/>
      <c r="BA145" s="150">
        <f t="shared" si="306"/>
        <v>0.69824166666666676</v>
      </c>
      <c r="BC145" s="522">
        <f t="shared" si="272"/>
        <v>70.522408333333331</v>
      </c>
      <c r="BD145" s="175"/>
      <c r="BE145" s="527">
        <f t="shared" si="293"/>
        <v>950.310925</v>
      </c>
      <c r="BF145" s="181">
        <f t="shared" si="294"/>
        <v>0.93091682448979585</v>
      </c>
      <c r="BG145" s="520" t="b">
        <f t="shared" si="307"/>
        <v>0</v>
      </c>
      <c r="BI145" s="528" t="s">
        <v>2181</v>
      </c>
      <c r="BK145" s="151">
        <f>VLOOKUP(J145,'Tarieven ZM'!$B$136:$I$235,8,0)</f>
        <v>0</v>
      </c>
      <c r="BL145" s="151" t="str">
        <f>IF(M145="EoK",N145&amp;"AdvancedNLS type 1/2/3",IF(E145&lt;&gt;"Straal Access",INDEX(Mapping!J:J,MATCH(E145&amp;G145,Mapping!B:B,0)),E145))</f>
        <v>Copper Standard Access 5Mbit/sAdvancedNLS type 1/2/3</v>
      </c>
      <c r="BM145" s="184">
        <f>INDEX('inkoop ULL tbv EVPN'!J:J,MATCH($BL145,'inkoop ULL tbv EVPN'!$H:$H,0))</f>
        <v>78.97</v>
      </c>
      <c r="BN145" s="180">
        <f>BM145/INDEX(Parameters!$B:$B,MATCH("AfschrijftermijnVVE"&amp;12*$C145,Parameters!$A:$A,0))</f>
        <v>1.6452083333333334</v>
      </c>
      <c r="BO145" s="184">
        <f>INDEX('inkoop ULL tbv EVPN'!I:I,MATCH($BL145,'inkoop ULL tbv EVPN'!$H:$H,0))</f>
        <v>14.7296035</v>
      </c>
      <c r="BP145" s="184">
        <f t="shared" si="273"/>
        <v>16.374811833333332</v>
      </c>
      <c r="BR145" s="180">
        <f>Parameters!$B$12*AG145</f>
        <v>102.08333333333334</v>
      </c>
      <c r="BS145" s="180">
        <f>SUM(Distributievergoedingen!$F$12,Distributievergoedingen!$I$12,Distributievergoedingen!$L$12,Distributievergoedingen!$O$12)*AF145+SUM(Distributievergoedingen!$O$12*AA145+Distributievergoedingen!$R$12+Distributievergoedingen!$U$12+Distributievergoedingen!$X$12)/(MAX(36,12*C145))</f>
        <v>112.08333333333333</v>
      </c>
      <c r="BT145" s="150"/>
      <c r="BU145" s="150">
        <f t="shared" si="274"/>
        <v>214.16666666666669</v>
      </c>
      <c r="BW145" s="522">
        <f t="shared" si="275"/>
        <v>230.54147850000001</v>
      </c>
      <c r="BY145" s="527">
        <f t="shared" si="276"/>
        <v>790.29185483333333</v>
      </c>
      <c r="BZ145" s="181">
        <f t="shared" si="277"/>
        <v>0.77416344963265304</v>
      </c>
      <c r="CA145" s="520" t="b">
        <f t="shared" si="278"/>
        <v>0</v>
      </c>
    </row>
    <row r="146" spans="1:79" s="151" customFormat="1">
      <c r="A146" s="151" t="str">
        <f t="shared" si="295"/>
        <v>4EoKStandard Access koper 10mbHoogOn-net (NLS3)</v>
      </c>
      <c r="B146" s="151" t="str">
        <f t="shared" si="296"/>
        <v>4EoKStandard Access koper 10mbHoogOn-net (NLS3)</v>
      </c>
      <c r="C146" s="178">
        <v>4</v>
      </c>
      <c r="D146" s="415" t="s">
        <v>303</v>
      </c>
      <c r="E146" s="178" t="s">
        <v>277</v>
      </c>
      <c r="F146" s="107" t="s">
        <v>274</v>
      </c>
      <c r="G146" s="178" t="s">
        <v>3398</v>
      </c>
      <c r="I146" s="178"/>
      <c r="J146" s="520" t="str">
        <f t="shared" si="279"/>
        <v>EoKStandard Access koper 10mbHoogOn-net (NLS3)</v>
      </c>
      <c r="L146" s="204">
        <f>INDEX(Mapping!$H:$H,MATCH(C$3&amp;C146,Mapping!$B:$B,0))</f>
        <v>1</v>
      </c>
      <c r="M146" s="204" t="str">
        <f>INDEX(Mapping!$H:$H,MATCH(D$3&amp;D146,Mapping!$B:$B,0))</f>
        <v>EoK</v>
      </c>
      <c r="N146" s="204" t="str">
        <f>INDEX(Mapping!$H:$H,MATCH(E$3&amp;E146,Mapping!$B:$B,0))</f>
        <v>Copper Standard Access 10Mbit/s</v>
      </c>
      <c r="O146" s="204" t="str">
        <f>INDEX(Mapping!$H:$H,MATCH(E146&amp;F146,Mapping!$B:$B,0))</f>
        <v/>
      </c>
      <c r="P146" s="204" t="str">
        <f>INDEX(Mapping!$H:$H,MATCH($E146&amp;$G146,Mapping!$B:$B,0))</f>
        <v>On-net (NLS3)</v>
      </c>
      <c r="Q146" s="204" t="str">
        <f>INDEX(Mapping!$H:$H,MATCH($E146&amp;$G146&amp;"graafafstand",Mapping!$B:$B,0))</f>
        <v>nvt</v>
      </c>
      <c r="R146" s="204">
        <f>INDEX(Mapping!$H:$H,MATCH(R$3&amp;$E146,Mapping!$B:$B,0))</f>
        <v>1</v>
      </c>
      <c r="S146" s="204">
        <f>INDEX(Mapping!$H:$H,MATCH(S$3&amp;$E146,Mapping!$B:$B,0))</f>
        <v>1</v>
      </c>
      <c r="T146" s="139" t="str">
        <f t="shared" si="297"/>
        <v>Copper Standard Access 10Mbit/sOn-net (NLS3)</v>
      </c>
      <c r="U146" s="151" t="str">
        <f t="shared" si="298"/>
        <v>Copper Standard Access 10Mbit/sOn-net (NLS3)</v>
      </c>
      <c r="W146" s="521">
        <f>MATCH($J146,'Tarieven ZM'!$B:$B,0)</f>
        <v>146</v>
      </c>
      <c r="X146" s="204">
        <f>INDEX('Tarieven ZM'!$H:$H,$W146)</f>
        <v>1000</v>
      </c>
      <c r="Y146" s="198">
        <f>IF(E146="Standard Access in ZG BT gebieden",0,-INDEX(Parameters!$B:$B,MATCH(Y$3&amp;$C146,Parameters!$A:$A,0))*$X146)</f>
        <v>0</v>
      </c>
      <c r="Z146" s="198">
        <f>IF(E146="Standard Access in ZG BT gebieden",0,MAX(-INDEX(Parameters!$B:$B,MATCH(Z$3&amp;$C146,Parameters!$A:$A,0))*$X146,-INDEX(Parameters!$B:$B,MATCH("FactorMaxSalesMandaat"&amp;E146,Parameters!$A:$A,0))*INDEX(Parameters!$B:$B,MATCH("MaxSalesMandaatAccessVVE"&amp;$C146,Parameters!$A:$A,0))))</f>
        <v>0</v>
      </c>
      <c r="AA146" s="139">
        <f t="shared" si="299"/>
        <v>1000</v>
      </c>
      <c r="AB146" s="205">
        <f>AA146/INDEX(Parameters!$B:$B,MATCH("AfschrijftermijnVVE"&amp;12*$C146,Parameters!$A:$A,0))</f>
        <v>20.833333333333332</v>
      </c>
      <c r="AC146" s="204">
        <f>INDEX('Tarieven ZM'!$G:$G,$W146)</f>
        <v>1000</v>
      </c>
      <c r="AD146" s="198">
        <f>IF(E146="Standard Access in ZG BT gebieden",0,-INDEX(Parameters!$B:$B,MATCH(AD$3&amp;$C146,Parameters!$A:$A,0))*$AC146)</f>
        <v>0</v>
      </c>
      <c r="AE146" s="198">
        <f>IF(E146="Standard Access in ZG BT gebieden",0,-INDEX(Parameters!$B:$B,MATCH(AE$3,Parameters!$A:$A,0))*$AC146)</f>
        <v>0</v>
      </c>
      <c r="AF146" s="139">
        <f t="shared" si="300"/>
        <v>1000</v>
      </c>
      <c r="AG146" s="522">
        <f t="shared" si="301"/>
        <v>1020.8333333333334</v>
      </c>
      <c r="AH146" s="175"/>
      <c r="AI146" s="523">
        <f>IF(N146&lt;&gt;"nvt",MATCH($T146,'Tarieven W&amp;O'!$B:$B,0),"nvt")</f>
        <v>18</v>
      </c>
      <c r="AJ146" s="205">
        <f>IF(AI146&lt;&gt;"nvt",IF($D146="EoK",INDEX(Parameters!C:C,MATCH("NLSx EoK",Parameters!A:A,0)),INDEX('Tarieven W&amp;O'!$H:$H,$AI146)),0)*R146</f>
        <v>350</v>
      </c>
      <c r="AK146" s="204">
        <f>IF(AI146&lt;&gt;"nvt",INDEX('Tarieven W&amp;O'!$I:$I,$AI146),0)*R146</f>
        <v>75</v>
      </c>
      <c r="AL146" s="524">
        <f>IF(AI146&lt;&gt;"nvt",-INDEX(Parameters!$B:$B,MATCH(AL$3,Parameters!$A:$A,0))*(AJ146+AK146),0)</f>
        <v>0</v>
      </c>
      <c r="AM146" s="525"/>
      <c r="AN146" s="139">
        <f t="shared" si="302"/>
        <v>425</v>
      </c>
      <c r="AO146" s="205">
        <f>AN146/INDEX(Parameters!$B:$B,MATCH("AfschrijftermijnVVE"&amp;12*$C146,Parameters!$A:$A,0))</f>
        <v>8.8541666666666661</v>
      </c>
      <c r="AP146" s="139">
        <f t="shared" si="303"/>
        <v>18</v>
      </c>
      <c r="AQ146" s="526">
        <f>IF(AP146&lt;&gt;"nvt",R146*INDEX('Tarieven W&amp;O'!$G:$G,$AP146),0)</f>
        <v>83.59</v>
      </c>
      <c r="AR146" s="524">
        <f>-INDEX(Parameters!$B:$B,MATCH(AR$3,Parameters!$A:$A,0))*(AQ146)</f>
        <v>0</v>
      </c>
      <c r="AS146" s="205">
        <f>IF(E146="straal access",'EDC Minus'!$H$192,IF(Q146&lt;&gt;"nvt",Q146*S146*'EDC Minus'!$H$292/590,0))</f>
        <v>0</v>
      </c>
      <c r="AT146" s="139"/>
      <c r="AU146" s="150">
        <f t="shared" si="304"/>
        <v>83.59</v>
      </c>
      <c r="AV146" s="150">
        <f t="shared" si="305"/>
        <v>92.444166666666675</v>
      </c>
      <c r="AX146" s="526">
        <f>Parameters!$B$6*AV146</f>
        <v>0.92444166666666672</v>
      </c>
      <c r="AY146" s="150">
        <v>0</v>
      </c>
      <c r="AZ146" s="150"/>
      <c r="BA146" s="150">
        <f t="shared" si="306"/>
        <v>0.92444166666666672</v>
      </c>
      <c r="BC146" s="522">
        <f t="shared" si="272"/>
        <v>93.368608333333341</v>
      </c>
      <c r="BD146" s="175"/>
      <c r="BE146" s="527">
        <f t="shared" si="293"/>
        <v>927.46472500000004</v>
      </c>
      <c r="BF146" s="181">
        <f t="shared" si="294"/>
        <v>0.90853687346938772</v>
      </c>
      <c r="BG146" s="520" t="b">
        <f t="shared" si="307"/>
        <v>0</v>
      </c>
      <c r="BI146" s="528" t="s">
        <v>2181</v>
      </c>
      <c r="BK146" s="151">
        <f>VLOOKUP(J146,'Tarieven ZM'!$B$136:$I$235,8,0)</f>
        <v>0</v>
      </c>
      <c r="BL146" s="151" t="str">
        <f>IF(M146="EoK",N146&amp;"AdvancedNLS type 1/2/3",IF(E146&lt;&gt;"Straal Access",INDEX(Mapping!J:J,MATCH(E146&amp;G146,Mapping!B:B,0)),E146))</f>
        <v>Copper Standard Access 10Mbit/sAdvancedNLS type 1/2/3</v>
      </c>
      <c r="BM146" s="184">
        <f>INDEX('inkoop ULL tbv EVPN'!J:J,MATCH($BL146,'inkoop ULL tbv EVPN'!$H:$H,0))</f>
        <v>78.97</v>
      </c>
      <c r="BN146" s="180">
        <f>BM146/INDEX(Parameters!$B:$B,MATCH("AfschrijftermijnVVE"&amp;12*$C146,Parameters!$A:$A,0))</f>
        <v>1.6452083333333334</v>
      </c>
      <c r="BO146" s="184">
        <f>INDEX('inkoop ULL tbv EVPN'!I:I,MATCH($BL146,'inkoop ULL tbv EVPN'!$H:$H,0))</f>
        <v>14.7296035</v>
      </c>
      <c r="BP146" s="184">
        <f t="shared" si="273"/>
        <v>16.374811833333332</v>
      </c>
      <c r="BR146" s="180">
        <f>Parameters!$B$12*AG146</f>
        <v>102.08333333333334</v>
      </c>
      <c r="BS146" s="180">
        <f>SUM(Distributievergoedingen!$F$12,Distributievergoedingen!$I$12,Distributievergoedingen!$L$12,Distributievergoedingen!$O$12)*AF146+SUM(Distributievergoedingen!$O$12*AA146+Distributievergoedingen!$R$12+Distributievergoedingen!$U$12+Distributievergoedingen!$X$12)/(MAX(36,12*C146))</f>
        <v>112.08333333333333</v>
      </c>
      <c r="BT146" s="150"/>
      <c r="BU146" s="150">
        <f t="shared" si="274"/>
        <v>214.16666666666669</v>
      </c>
      <c r="BW146" s="522">
        <f t="shared" si="275"/>
        <v>230.54147850000001</v>
      </c>
      <c r="BY146" s="527">
        <f t="shared" si="276"/>
        <v>790.29185483333333</v>
      </c>
      <c r="BZ146" s="181">
        <f t="shared" si="277"/>
        <v>0.77416344963265304</v>
      </c>
      <c r="CA146" s="520" t="b">
        <f t="shared" si="278"/>
        <v>0</v>
      </c>
    </row>
    <row r="147" spans="1:79" s="151" customFormat="1">
      <c r="A147" s="151" t="str">
        <f t="shared" si="295"/>
        <v>4EoKStandard Access koper 15mbHoogOn-net (NLS3)</v>
      </c>
      <c r="B147" s="151" t="str">
        <f t="shared" si="296"/>
        <v>4EoKStandard Access koper 15mbHoogOn-net (NLS3)</v>
      </c>
      <c r="C147" s="178">
        <v>4</v>
      </c>
      <c r="D147" s="415" t="s">
        <v>303</v>
      </c>
      <c r="E147" s="178" t="s">
        <v>278</v>
      </c>
      <c r="F147" s="107" t="s">
        <v>274</v>
      </c>
      <c r="G147" s="178" t="s">
        <v>3398</v>
      </c>
      <c r="I147" s="178"/>
      <c r="J147" s="520" t="str">
        <f t="shared" si="279"/>
        <v>EoKStandard Access koper 15mbHoogOn-net (NLS3)</v>
      </c>
      <c r="L147" s="204">
        <f>INDEX(Mapping!$H:$H,MATCH(C$3&amp;C147,Mapping!$B:$B,0))</f>
        <v>1</v>
      </c>
      <c r="M147" s="204" t="str">
        <f>INDEX(Mapping!$H:$H,MATCH(D$3&amp;D147,Mapping!$B:$B,0))</f>
        <v>EoK</v>
      </c>
      <c r="N147" s="204" t="str">
        <f>INDEX(Mapping!$H:$H,MATCH(E$3&amp;E147,Mapping!$B:$B,0))</f>
        <v>Copper Standard Access 15Mbit/s</v>
      </c>
      <c r="O147" s="204" t="str">
        <f>INDEX(Mapping!$H:$H,MATCH(E147&amp;F147,Mapping!$B:$B,0))</f>
        <v/>
      </c>
      <c r="P147" s="204" t="str">
        <f>INDEX(Mapping!$H:$H,MATCH($E147&amp;$G147,Mapping!$B:$B,0))</f>
        <v>On-net (NLS3)</v>
      </c>
      <c r="Q147" s="204" t="str">
        <f>INDEX(Mapping!$H:$H,MATCH($E147&amp;$G147&amp;"graafafstand",Mapping!$B:$B,0))</f>
        <v>nvt</v>
      </c>
      <c r="R147" s="204">
        <f>INDEX(Mapping!$H:$H,MATCH(R$3&amp;$E147,Mapping!$B:$B,0))</f>
        <v>1</v>
      </c>
      <c r="S147" s="204">
        <f>INDEX(Mapping!$H:$H,MATCH(S$3&amp;$E147,Mapping!$B:$B,0))</f>
        <v>1</v>
      </c>
      <c r="T147" s="139" t="str">
        <f t="shared" si="297"/>
        <v>Copper Standard Access 15Mbit/sOn-net (NLS3)</v>
      </c>
      <c r="U147" s="151" t="str">
        <f t="shared" si="298"/>
        <v>Copper Standard Access 15Mbit/sOn-net (NLS3)</v>
      </c>
      <c r="W147" s="521">
        <f>MATCH($J147,'Tarieven ZM'!$B:$B,0)</f>
        <v>147</v>
      </c>
      <c r="X147" s="204">
        <f>INDEX('Tarieven ZM'!$H:$H,$W147)</f>
        <v>1000</v>
      </c>
      <c r="Y147" s="198">
        <f>IF(E147="Standard Access in ZG BT gebieden",0,-INDEX(Parameters!$B:$B,MATCH(Y$3&amp;$C147,Parameters!$A:$A,0))*$X147)</f>
        <v>0</v>
      </c>
      <c r="Z147" s="198">
        <f>IF(E147="Standard Access in ZG BT gebieden",0,MAX(-INDEX(Parameters!$B:$B,MATCH(Z$3&amp;$C147,Parameters!$A:$A,0))*$X147,-INDEX(Parameters!$B:$B,MATCH("FactorMaxSalesMandaat"&amp;E147,Parameters!$A:$A,0))*INDEX(Parameters!$B:$B,MATCH("MaxSalesMandaatAccessVVE"&amp;$C147,Parameters!$A:$A,0))))</f>
        <v>0</v>
      </c>
      <c r="AA147" s="139">
        <f t="shared" si="299"/>
        <v>1000</v>
      </c>
      <c r="AB147" s="205">
        <f>AA147/INDEX(Parameters!$B:$B,MATCH("AfschrijftermijnVVE"&amp;12*$C147,Parameters!$A:$A,0))</f>
        <v>20.833333333333332</v>
      </c>
      <c r="AC147" s="204">
        <f>INDEX('Tarieven ZM'!$G:$G,$W147)</f>
        <v>1000</v>
      </c>
      <c r="AD147" s="198">
        <f>IF(E147="Standard Access in ZG BT gebieden",0,-INDEX(Parameters!$B:$B,MATCH(AD$3&amp;$C147,Parameters!$A:$A,0))*$AC147)</f>
        <v>0</v>
      </c>
      <c r="AE147" s="198">
        <f>IF(E147="Standard Access in ZG BT gebieden",0,-INDEX(Parameters!$B:$B,MATCH(AE$3,Parameters!$A:$A,0))*$AC147)</f>
        <v>0</v>
      </c>
      <c r="AF147" s="139">
        <f t="shared" si="300"/>
        <v>1000</v>
      </c>
      <c r="AG147" s="522">
        <f t="shared" si="301"/>
        <v>1020.8333333333334</v>
      </c>
      <c r="AH147" s="175"/>
      <c r="AI147" s="523">
        <f>IF(N147&lt;&gt;"nvt",MATCH($T147,'Tarieven W&amp;O'!$B:$B,0),"nvt")</f>
        <v>19</v>
      </c>
      <c r="AJ147" s="205">
        <f>IF(AI147&lt;&gt;"nvt",IF($D147="EoK",INDEX(Parameters!C:C,MATCH("NLSx EoK",Parameters!A:A,0)),INDEX('Tarieven W&amp;O'!$H:$H,$AI147)),0)*R147</f>
        <v>350</v>
      </c>
      <c r="AK147" s="204">
        <f>IF(AI147&lt;&gt;"nvt",INDEX('Tarieven W&amp;O'!$I:$I,$AI147),0)*R147</f>
        <v>75</v>
      </c>
      <c r="AL147" s="524">
        <f>IF(AI147&lt;&gt;"nvt",-INDEX(Parameters!$B:$B,MATCH(AL$3,Parameters!$A:$A,0))*(AJ147+AK147),0)</f>
        <v>0</v>
      </c>
      <c r="AM147" s="525"/>
      <c r="AN147" s="139">
        <f t="shared" si="302"/>
        <v>425</v>
      </c>
      <c r="AO147" s="205">
        <f>AN147/INDEX(Parameters!$B:$B,MATCH("AfschrijftermijnVVE"&amp;12*$C147,Parameters!$A:$A,0))</f>
        <v>8.8541666666666661</v>
      </c>
      <c r="AP147" s="139">
        <f t="shared" si="303"/>
        <v>19</v>
      </c>
      <c r="AQ147" s="526">
        <f>IF(AP147&lt;&gt;"nvt",R147*INDEX('Tarieven W&amp;O'!$G:$G,$AP147),0)</f>
        <v>102.44</v>
      </c>
      <c r="AR147" s="524">
        <f>-INDEX(Parameters!$B:$B,MATCH(AR$3,Parameters!$A:$A,0))*(AQ147)</f>
        <v>0</v>
      </c>
      <c r="AS147" s="205">
        <f>IF(E147="straal access",'EDC Minus'!$H$192,IF(Q147&lt;&gt;"nvt",Q147*S147*'EDC Minus'!$H$292/590,0))</f>
        <v>0</v>
      </c>
      <c r="AT147" s="139"/>
      <c r="AU147" s="150">
        <f t="shared" si="304"/>
        <v>102.44</v>
      </c>
      <c r="AV147" s="150">
        <f t="shared" si="305"/>
        <v>111.29416666666667</v>
      </c>
      <c r="AX147" s="526">
        <f>Parameters!$B$6*AV147</f>
        <v>1.1129416666666667</v>
      </c>
      <c r="AY147" s="150">
        <v>0</v>
      </c>
      <c r="AZ147" s="150"/>
      <c r="BA147" s="150">
        <f t="shared" si="306"/>
        <v>1.1129416666666667</v>
      </c>
      <c r="BC147" s="522">
        <f t="shared" si="272"/>
        <v>112.40710833333334</v>
      </c>
      <c r="BD147" s="175"/>
      <c r="BE147" s="527">
        <f t="shared" si="293"/>
        <v>908.42622500000004</v>
      </c>
      <c r="BF147" s="181">
        <f t="shared" si="294"/>
        <v>0.88988691428571431</v>
      </c>
      <c r="BG147" s="520" t="b">
        <f t="shared" si="307"/>
        <v>0</v>
      </c>
      <c r="BI147" s="528" t="s">
        <v>2181</v>
      </c>
      <c r="BK147" s="151">
        <f>VLOOKUP(J147,'Tarieven ZM'!$B$136:$I$235,8,0)</f>
        <v>0</v>
      </c>
      <c r="BL147" s="151" t="str">
        <f>IF(M147="EoK",N147&amp;"AdvancedNLS type 1/2/3",IF(E147&lt;&gt;"Straal Access",INDEX(Mapping!J:J,MATCH(E147&amp;G147,Mapping!B:B,0)),E147))</f>
        <v>Copper Standard Access 15Mbit/sAdvancedNLS type 1/2/3</v>
      </c>
      <c r="BM147" s="184">
        <f>INDEX('inkoop ULL tbv EVPN'!J:J,MATCH($BL147,'inkoop ULL tbv EVPN'!$H:$H,0))</f>
        <v>78.97</v>
      </c>
      <c r="BN147" s="180">
        <f>BM147/INDEX(Parameters!$B:$B,MATCH("AfschrijftermijnVVE"&amp;12*$C147,Parameters!$A:$A,0))</f>
        <v>1.6452083333333334</v>
      </c>
      <c r="BO147" s="184">
        <f>INDEX('inkoop ULL tbv EVPN'!I:I,MATCH($BL147,'inkoop ULL tbv EVPN'!$H:$H,0))</f>
        <v>14.7296035</v>
      </c>
      <c r="BP147" s="184">
        <f t="shared" si="273"/>
        <v>16.374811833333332</v>
      </c>
      <c r="BR147" s="180">
        <f>Parameters!$B$12*AG147</f>
        <v>102.08333333333334</v>
      </c>
      <c r="BS147" s="180">
        <f>SUM(Distributievergoedingen!$F$12,Distributievergoedingen!$I$12,Distributievergoedingen!$L$12,Distributievergoedingen!$O$12)*AF147+SUM(Distributievergoedingen!$O$12*AA147+Distributievergoedingen!$R$12+Distributievergoedingen!$U$12+Distributievergoedingen!$X$12)/(MAX(36,12*C147))</f>
        <v>112.08333333333333</v>
      </c>
      <c r="BT147" s="150"/>
      <c r="BU147" s="150">
        <f t="shared" si="274"/>
        <v>214.16666666666669</v>
      </c>
      <c r="BW147" s="522">
        <f t="shared" si="275"/>
        <v>230.54147850000001</v>
      </c>
      <c r="BY147" s="527">
        <f t="shared" si="276"/>
        <v>790.29185483333333</v>
      </c>
      <c r="BZ147" s="181">
        <f t="shared" si="277"/>
        <v>0.77416344963265304</v>
      </c>
      <c r="CA147" s="520" t="b">
        <f t="shared" si="278"/>
        <v>0</v>
      </c>
    </row>
    <row r="148" spans="1:79" s="151" customFormat="1">
      <c r="A148" s="151" t="str">
        <f t="shared" si="295"/>
        <v>4EoKStandard Access koper 20mbHoogOn-net (NLS3)</v>
      </c>
      <c r="B148" s="151" t="str">
        <f t="shared" si="296"/>
        <v>4EoKStandard Access koper 20mbHoogOn-net (NLS3)</v>
      </c>
      <c r="C148" s="178">
        <v>4</v>
      </c>
      <c r="D148" s="415" t="s">
        <v>303</v>
      </c>
      <c r="E148" s="178" t="s">
        <v>279</v>
      </c>
      <c r="F148" s="107" t="s">
        <v>274</v>
      </c>
      <c r="G148" s="178" t="s">
        <v>3398</v>
      </c>
      <c r="I148" s="178"/>
      <c r="J148" s="520" t="str">
        <f t="shared" si="279"/>
        <v>EoKStandard Access koper 20mbHoogOn-net (NLS3)</v>
      </c>
      <c r="L148" s="204">
        <f>INDEX(Mapping!$H:$H,MATCH(C$3&amp;C148,Mapping!$B:$B,0))</f>
        <v>1</v>
      </c>
      <c r="M148" s="204" t="str">
        <f>INDEX(Mapping!$H:$H,MATCH(D$3&amp;D148,Mapping!$B:$B,0))</f>
        <v>EoK</v>
      </c>
      <c r="N148" s="204" t="str">
        <f>INDEX(Mapping!$H:$H,MATCH(E$3&amp;E148,Mapping!$B:$B,0))</f>
        <v>Copper Standard Access 20Mbit/s</v>
      </c>
      <c r="O148" s="204" t="str">
        <f>INDEX(Mapping!$H:$H,MATCH(E148&amp;F148,Mapping!$B:$B,0))</f>
        <v/>
      </c>
      <c r="P148" s="204" t="str">
        <f>INDEX(Mapping!$H:$H,MATCH($E148&amp;$G148,Mapping!$B:$B,0))</f>
        <v>On-net (NLS3)</v>
      </c>
      <c r="Q148" s="204" t="str">
        <f>INDEX(Mapping!$H:$H,MATCH($E148&amp;$G148&amp;"graafafstand",Mapping!$B:$B,0))</f>
        <v>nvt</v>
      </c>
      <c r="R148" s="204">
        <f>INDEX(Mapping!$H:$H,MATCH(R$3&amp;$E148,Mapping!$B:$B,0))</f>
        <v>1</v>
      </c>
      <c r="S148" s="204">
        <f>INDEX(Mapping!$H:$H,MATCH(S$3&amp;$E148,Mapping!$B:$B,0))</f>
        <v>1</v>
      </c>
      <c r="T148" s="139" t="str">
        <f t="shared" si="297"/>
        <v>Copper Standard Access 20Mbit/sOn-net (NLS3)</v>
      </c>
      <c r="U148" s="151" t="str">
        <f t="shared" si="298"/>
        <v>Copper Standard Access 20Mbit/sOn-net (NLS3)</v>
      </c>
      <c r="W148" s="521">
        <f>MATCH($J148,'Tarieven ZM'!$B:$B,0)</f>
        <v>148</v>
      </c>
      <c r="X148" s="204">
        <f>INDEX('Tarieven ZM'!$H:$H,$W148)</f>
        <v>1000</v>
      </c>
      <c r="Y148" s="198">
        <f>IF(E148="Standard Access in ZG BT gebieden",0,-INDEX(Parameters!$B:$B,MATCH(Y$3&amp;$C148,Parameters!$A:$A,0))*$X148)</f>
        <v>0</v>
      </c>
      <c r="Z148" s="198">
        <f>IF(E148="Standard Access in ZG BT gebieden",0,MAX(-INDEX(Parameters!$B:$B,MATCH(Z$3&amp;$C148,Parameters!$A:$A,0))*$X148,-INDEX(Parameters!$B:$B,MATCH("FactorMaxSalesMandaat"&amp;E148,Parameters!$A:$A,0))*INDEX(Parameters!$B:$B,MATCH("MaxSalesMandaatAccessVVE"&amp;$C148,Parameters!$A:$A,0))))</f>
        <v>0</v>
      </c>
      <c r="AA148" s="139">
        <f t="shared" si="299"/>
        <v>1000</v>
      </c>
      <c r="AB148" s="205">
        <f>AA148/INDEX(Parameters!$B:$B,MATCH("AfschrijftermijnVVE"&amp;12*$C148,Parameters!$A:$A,0))</f>
        <v>20.833333333333332</v>
      </c>
      <c r="AC148" s="204">
        <f>INDEX('Tarieven ZM'!$G:$G,$W148)</f>
        <v>1000</v>
      </c>
      <c r="AD148" s="198">
        <f>IF(E148="Standard Access in ZG BT gebieden",0,-INDEX(Parameters!$B:$B,MATCH(AD$3&amp;$C148,Parameters!$A:$A,0))*$AC148)</f>
        <v>0</v>
      </c>
      <c r="AE148" s="198">
        <f>IF(E148="Standard Access in ZG BT gebieden",0,-INDEX(Parameters!$B:$B,MATCH(AE$3,Parameters!$A:$A,0))*$AC148)</f>
        <v>0</v>
      </c>
      <c r="AF148" s="139">
        <f t="shared" si="300"/>
        <v>1000</v>
      </c>
      <c r="AG148" s="522">
        <f t="shared" si="301"/>
        <v>1020.8333333333334</v>
      </c>
      <c r="AH148" s="175"/>
      <c r="AI148" s="523">
        <f>IF(N148&lt;&gt;"nvt",MATCH($T148,'Tarieven W&amp;O'!$B:$B,0),"nvt")</f>
        <v>20</v>
      </c>
      <c r="AJ148" s="205">
        <f>IF(AI148&lt;&gt;"nvt",IF($D148="EoK",INDEX(Parameters!C:C,MATCH("NLSx EoK",Parameters!A:A,0)),INDEX('Tarieven W&amp;O'!$H:$H,$AI148)),0)*R148</f>
        <v>350</v>
      </c>
      <c r="AK148" s="204">
        <f>IF(AI148&lt;&gt;"nvt",INDEX('Tarieven W&amp;O'!$I:$I,$AI148),0)*R148</f>
        <v>75</v>
      </c>
      <c r="AL148" s="524">
        <f>IF(AI148&lt;&gt;"nvt",-INDEX(Parameters!$B:$B,MATCH(AL$3,Parameters!$A:$A,0))*(AJ148+AK148),0)</f>
        <v>0</v>
      </c>
      <c r="AM148" s="525"/>
      <c r="AN148" s="139">
        <f t="shared" si="302"/>
        <v>425</v>
      </c>
      <c r="AO148" s="205">
        <f>AN148/INDEX(Parameters!$B:$B,MATCH("AfschrijftermijnVVE"&amp;12*$C148,Parameters!$A:$A,0))</f>
        <v>8.8541666666666661</v>
      </c>
      <c r="AP148" s="139">
        <f t="shared" si="303"/>
        <v>20</v>
      </c>
      <c r="AQ148" s="526">
        <f>IF(AP148&lt;&gt;"nvt",R148*INDEX('Tarieven W&amp;O'!$G:$G,$AP148),0)</f>
        <v>121.28</v>
      </c>
      <c r="AR148" s="524">
        <f>-INDEX(Parameters!$B:$B,MATCH(AR$3,Parameters!$A:$A,0))*(AQ148)</f>
        <v>0</v>
      </c>
      <c r="AS148" s="205">
        <f>IF(E148="straal access",'EDC Minus'!$H$192,IF(Q148&lt;&gt;"nvt",Q148*S148*'EDC Minus'!$H$292/590,0))</f>
        <v>0</v>
      </c>
      <c r="AT148" s="139"/>
      <c r="AU148" s="150">
        <f t="shared" si="304"/>
        <v>121.28</v>
      </c>
      <c r="AV148" s="150">
        <f t="shared" si="305"/>
        <v>130.13416666666666</v>
      </c>
      <c r="AX148" s="526">
        <f>Parameters!$B$6*AV148</f>
        <v>1.3013416666666666</v>
      </c>
      <c r="AY148" s="150">
        <v>0</v>
      </c>
      <c r="AZ148" s="150"/>
      <c r="BA148" s="150">
        <f t="shared" si="306"/>
        <v>1.3013416666666666</v>
      </c>
      <c r="BC148" s="522">
        <f t="shared" si="272"/>
        <v>131.43550833333333</v>
      </c>
      <c r="BD148" s="175"/>
      <c r="BE148" s="527">
        <f t="shared" si="293"/>
        <v>889.39782500000001</v>
      </c>
      <c r="BF148" s="181">
        <f t="shared" si="294"/>
        <v>0.87124684897959181</v>
      </c>
      <c r="BG148" s="520" t="b">
        <f t="shared" si="307"/>
        <v>0</v>
      </c>
      <c r="BI148" s="528" t="s">
        <v>2181</v>
      </c>
      <c r="BK148" s="151">
        <f>VLOOKUP(J148,'Tarieven ZM'!$B$136:$I$235,8,0)</f>
        <v>0</v>
      </c>
      <c r="BL148" s="151" t="str">
        <f>IF(M148="EoK",N148&amp;"AdvancedNLS type 1/2/3",IF(E148&lt;&gt;"Straal Access",INDEX(Mapping!J:J,MATCH(E148&amp;G148,Mapping!B:B,0)),E148))</f>
        <v>Copper Standard Access 20Mbit/sAdvancedNLS type 1/2/3</v>
      </c>
      <c r="BM148" s="184">
        <f>INDEX('inkoop ULL tbv EVPN'!J:J,MATCH($BL148,'inkoop ULL tbv EVPN'!$H:$H,0))</f>
        <v>78.97</v>
      </c>
      <c r="BN148" s="180">
        <f>BM148/INDEX(Parameters!$B:$B,MATCH("AfschrijftermijnVVE"&amp;12*$C148,Parameters!$A:$A,0))</f>
        <v>1.6452083333333334</v>
      </c>
      <c r="BO148" s="184">
        <f>INDEX('inkoop ULL tbv EVPN'!I:I,MATCH($BL148,'inkoop ULL tbv EVPN'!$H:$H,0))</f>
        <v>14.7296035</v>
      </c>
      <c r="BP148" s="184">
        <f t="shared" si="273"/>
        <v>16.374811833333332</v>
      </c>
      <c r="BR148" s="180">
        <f>Parameters!$B$12*AG148</f>
        <v>102.08333333333334</v>
      </c>
      <c r="BS148" s="180">
        <f>SUM(Distributievergoedingen!$F$12,Distributievergoedingen!$I$12,Distributievergoedingen!$L$12,Distributievergoedingen!$O$12)*AF148+SUM(Distributievergoedingen!$O$12*AA148+Distributievergoedingen!$R$12+Distributievergoedingen!$U$12+Distributievergoedingen!$X$12)/(MAX(36,12*C148))</f>
        <v>112.08333333333333</v>
      </c>
      <c r="BT148" s="150"/>
      <c r="BU148" s="150">
        <f t="shared" si="274"/>
        <v>214.16666666666669</v>
      </c>
      <c r="BW148" s="522">
        <f t="shared" si="275"/>
        <v>230.54147850000001</v>
      </c>
      <c r="BY148" s="527">
        <f t="shared" si="276"/>
        <v>790.29185483333333</v>
      </c>
      <c r="BZ148" s="181">
        <f t="shared" si="277"/>
        <v>0.77416344963265304</v>
      </c>
      <c r="CA148" s="520" t="b">
        <f t="shared" si="278"/>
        <v>0</v>
      </c>
    </row>
    <row r="149" spans="1:79" s="151" customFormat="1">
      <c r="A149" s="151" t="str">
        <f>C149&amp;D149&amp;E149&amp;F149&amp;G149</f>
        <v>4EoKStandard Access koper 3mbHoog&lt; 250 meter</v>
      </c>
      <c r="B149" s="151" t="str">
        <f>A149</f>
        <v>4EoKStandard Access koper 3mbHoog&lt; 250 meter</v>
      </c>
      <c r="C149" s="178">
        <v>4</v>
      </c>
      <c r="D149" s="415" t="s">
        <v>303</v>
      </c>
      <c r="E149" s="178" t="s">
        <v>268</v>
      </c>
      <c r="F149" s="107" t="s">
        <v>274</v>
      </c>
      <c r="G149" s="178" t="s">
        <v>3397</v>
      </c>
      <c r="I149" s="178"/>
      <c r="J149" s="520" t="str">
        <f t="shared" si="279"/>
        <v>EoKStandard Access koper 3mbHoog&lt; 250 meter</v>
      </c>
      <c r="L149" s="204">
        <f>INDEX(Mapping!$H:$H,MATCH(C$3&amp;C149,Mapping!$B:$B,0))</f>
        <v>1</v>
      </c>
      <c r="M149" s="204" t="str">
        <f>INDEX(Mapping!$H:$H,MATCH(D$3&amp;D149,Mapping!$B:$B,0))</f>
        <v>EoK</v>
      </c>
      <c r="N149" s="204" t="str">
        <f>INDEX(Mapping!$H:$H,MATCH(E$3&amp;E149,Mapping!$B:$B,0))</f>
        <v>Copper Standard Access 3Mbit/s</v>
      </c>
      <c r="O149" s="204" t="str">
        <f>INDEX(Mapping!$H:$H,MATCH(E149&amp;F149,Mapping!$B:$B,0))</f>
        <v/>
      </c>
      <c r="P149" s="204" t="str">
        <f>INDEX(Mapping!$H:$H,MATCH($E149&amp;$G149,Mapping!$B:$B,0))</f>
        <v>Nearnet</v>
      </c>
      <c r="Q149" s="204" t="str">
        <f>INDEX(Mapping!$H:$H,MATCH($E149&amp;$G149&amp;"graafafstand",Mapping!$B:$B,0))</f>
        <v>nvt</v>
      </c>
      <c r="R149" s="204">
        <f>INDEX(Mapping!$H:$H,MATCH(R$3&amp;$E149,Mapping!$B:$B,0))</f>
        <v>1</v>
      </c>
      <c r="S149" s="204">
        <f>INDEX(Mapping!$H:$H,MATCH(S$3&amp;$E149,Mapping!$B:$B,0))</f>
        <v>1</v>
      </c>
      <c r="T149" s="139" t="str">
        <f>N149&amp;O149&amp;P149</f>
        <v>Copper Standard Access 3Mbit/sNearnet</v>
      </c>
      <c r="U149" s="151" t="str">
        <f>T149</f>
        <v>Copper Standard Access 3Mbit/sNearnet</v>
      </c>
      <c r="W149" s="521">
        <f>MATCH($J149,'Tarieven ZM'!$B:$B,0)</f>
        <v>149</v>
      </c>
      <c r="X149" s="204">
        <f>INDEX('Tarieven ZM'!$H:$H,$W149)</f>
        <v>1000</v>
      </c>
      <c r="Y149" s="198">
        <f>IF(E149="Standard Access in ZG BT gebieden",0,-INDEX(Parameters!$B:$B,MATCH(Y$3&amp;$C149,Parameters!$A:$A,0))*$X149)</f>
        <v>0</v>
      </c>
      <c r="Z149" s="198">
        <f>IF(E149="Standard Access in ZG BT gebieden",0,MAX(-INDEX(Parameters!$B:$B,MATCH(Z$3&amp;$C149,Parameters!$A:$A,0))*$X149,-INDEX(Parameters!$B:$B,MATCH("FactorMaxSalesMandaat"&amp;E149,Parameters!$A:$A,0))*INDEX(Parameters!$B:$B,MATCH("MaxSalesMandaatAccessVVE"&amp;$C149,Parameters!$A:$A,0))))</f>
        <v>0</v>
      </c>
      <c r="AA149" s="139">
        <f>SUM(X149:Z149)</f>
        <v>1000</v>
      </c>
      <c r="AB149" s="205">
        <f>AA149/INDEX(Parameters!$B:$B,MATCH("AfschrijftermijnVVE"&amp;12*$C149,Parameters!$A:$A,0))</f>
        <v>20.833333333333332</v>
      </c>
      <c r="AC149" s="204">
        <f>INDEX('Tarieven ZM'!$G:$G,$W149)</f>
        <v>1000</v>
      </c>
      <c r="AD149" s="198">
        <f>IF(E149="Standard Access in ZG BT gebieden",0,-INDEX(Parameters!$B:$B,MATCH(AD$3&amp;$C149,Parameters!$A:$A,0))*$AC149)</f>
        <v>0</v>
      </c>
      <c r="AE149" s="198">
        <f>IF(E149="Standard Access in ZG BT gebieden",0,-INDEX(Parameters!$B:$B,MATCH(AE$3,Parameters!$A:$A,0))*$AC149)</f>
        <v>0</v>
      </c>
      <c r="AF149" s="139">
        <f>SUM(AC149:AE149)</f>
        <v>1000</v>
      </c>
      <c r="AG149" s="522">
        <f>SUM(AB149,AF149)</f>
        <v>1020.8333333333334</v>
      </c>
      <c r="AH149" s="175"/>
      <c r="AI149" s="523">
        <f>IF(N149&lt;&gt;"nvt",MATCH($T149,'Tarieven W&amp;O'!$B:$B,0),"nvt")</f>
        <v>23</v>
      </c>
      <c r="AJ149" s="205">
        <f>IF(AI149&lt;&gt;"nvt",IF($D149="EoK",INDEX(Parameters!C:C,MATCH("NLSx EoK",Parameters!A:A,0)),INDEX('Tarieven W&amp;O'!$H:$H,$AI149)),0)*R149</f>
        <v>350</v>
      </c>
      <c r="AK149" s="204">
        <f>IF(AI149&lt;&gt;"nvt",INDEX('Tarieven W&amp;O'!$I:$I,$AI149),0)*R149</f>
        <v>75</v>
      </c>
      <c r="AL149" s="524">
        <f>IF(AI149&lt;&gt;"nvt",-INDEX(Parameters!$B:$B,MATCH(AL$3,Parameters!$A:$A,0))*(AJ149+AK149),0)</f>
        <v>0</v>
      </c>
      <c r="AM149" s="525"/>
      <c r="AN149" s="139">
        <f>SUM(AJ149:AM149)</f>
        <v>425</v>
      </c>
      <c r="AO149" s="205">
        <f>AN149/INDEX(Parameters!$B:$B,MATCH("AfschrijftermijnVVE"&amp;12*$C149,Parameters!$A:$A,0))</f>
        <v>8.8541666666666661</v>
      </c>
      <c r="AP149" s="139">
        <f>AI149</f>
        <v>23</v>
      </c>
      <c r="AQ149" s="526">
        <f>IF(AP149&lt;&gt;"nvt",R149*INDEX('Tarieven W&amp;O'!$G:$G,$AP149),0)</f>
        <v>41.5</v>
      </c>
      <c r="AR149" s="524">
        <f>-INDEX(Parameters!$B:$B,MATCH(AR$3,Parameters!$A:$A,0))*(AQ149)</f>
        <v>0</v>
      </c>
      <c r="AS149" s="205">
        <f>IF(E149="straal access",'EDC Minus'!$H$192,IF(Q149&lt;&gt;"nvt",Q149*S149*'EDC Minus'!$H$292/590,0))</f>
        <v>0</v>
      </c>
      <c r="AT149" s="139"/>
      <c r="AU149" s="150">
        <f>SUM(AQ149:AT149)</f>
        <v>41.5</v>
      </c>
      <c r="AV149" s="150">
        <f>SUM(AO149,AU149)</f>
        <v>50.354166666666664</v>
      </c>
      <c r="AX149" s="526">
        <f>Parameters!$B$6*AV149</f>
        <v>0.50354166666666667</v>
      </c>
      <c r="AY149" s="150">
        <v>0</v>
      </c>
      <c r="AZ149" s="150"/>
      <c r="BA149" s="150">
        <f>SUM(AX149:AZ149)</f>
        <v>0.50354166666666667</v>
      </c>
      <c r="BC149" s="522">
        <f t="shared" ref="BC149:BC166" si="308">SUM(AV149,BA149)</f>
        <v>50.857708333333328</v>
      </c>
      <c r="BD149" s="175"/>
      <c r="BE149" s="527">
        <f t="shared" si="293"/>
        <v>969.97562500000004</v>
      </c>
      <c r="BF149" s="181">
        <f t="shared" si="294"/>
        <v>0.95018020408163262</v>
      </c>
      <c r="BG149" s="520" t="b">
        <f>BF149&lt;0</f>
        <v>0</v>
      </c>
      <c r="BI149" s="528" t="s">
        <v>2181</v>
      </c>
      <c r="BK149" s="151">
        <f>VLOOKUP(J149,'Tarieven ZM'!$B$136:$I$235,8,0)</f>
        <v>0</v>
      </c>
      <c r="BL149" s="151" t="str">
        <f>IF(M149="EoK",N149&amp;"AdvancedNLS type 1/2/3",IF(E149&lt;&gt;"Straal Access",INDEX(Mapping!J:J,MATCH(E149&amp;G149,Mapping!B:B,0)),E149))</f>
        <v>Copper Standard Access 3Mbit/sAdvancedNLS type 1/2/3</v>
      </c>
      <c r="BM149" s="184">
        <f>INDEX('inkoop ULL tbv EVPN'!J:J,MATCH($BL149,'inkoop ULL tbv EVPN'!$H:$H,0))</f>
        <v>78.97</v>
      </c>
      <c r="BN149" s="180">
        <f>BM149/INDEX(Parameters!$B:$B,MATCH("AfschrijftermijnVVE"&amp;12*$C149,Parameters!$A:$A,0))</f>
        <v>1.6452083333333334</v>
      </c>
      <c r="BO149" s="184">
        <f>INDEX('inkoop ULL tbv EVPN'!I:I,MATCH($BL149,'inkoop ULL tbv EVPN'!$H:$H,0))</f>
        <v>14.7296035</v>
      </c>
      <c r="BP149" s="184">
        <f t="shared" ref="BP149:BP166" si="309">BN149+BO149</f>
        <v>16.374811833333332</v>
      </c>
      <c r="BR149" s="180">
        <f>Parameters!$B$12*AG149</f>
        <v>102.08333333333334</v>
      </c>
      <c r="BS149" s="180">
        <f>SUM(Distributievergoedingen!$F$12,Distributievergoedingen!$I$12,Distributievergoedingen!$L$12,Distributievergoedingen!$O$12)*AF149+SUM(Distributievergoedingen!$O$12*AA149+Distributievergoedingen!$R$12+Distributievergoedingen!$U$12+Distributievergoedingen!$X$12)/(MAX(36,12*C149))</f>
        <v>112.08333333333333</v>
      </c>
      <c r="BT149" s="150"/>
      <c r="BU149" s="150">
        <f t="shared" ref="BU149:BU166" si="310">SUM(BR149:BT149)</f>
        <v>214.16666666666669</v>
      </c>
      <c r="BW149" s="522">
        <f t="shared" ref="BW149:BW166" si="311">SUM(BP149,BU149)</f>
        <v>230.54147850000001</v>
      </c>
      <c r="BY149" s="527">
        <f t="shared" ref="BY149:BY166" si="312">AG149-BW149</f>
        <v>790.29185483333333</v>
      </c>
      <c r="BZ149" s="181">
        <f t="shared" ref="BZ149:BZ166" si="313">IF(AG149=0,-999%,BY149/AG149)</f>
        <v>0.77416344963265304</v>
      </c>
      <c r="CA149" s="520" t="b">
        <f t="shared" ref="CA149:CA166" si="314">BZ149&lt;0</f>
        <v>0</v>
      </c>
    </row>
    <row r="150" spans="1:79" s="151" customFormat="1">
      <c r="A150" s="151" t="str">
        <f t="shared" ref="A150:A158" si="315">C150&amp;D150&amp;E150&amp;F150&amp;G150</f>
        <v>4EoKStandard Access koper 5mbHoog&lt; 250 meter</v>
      </c>
      <c r="B150" s="151" t="str">
        <f t="shared" ref="B150:B158" si="316">A150</f>
        <v>4EoKStandard Access koper 5mbHoog&lt; 250 meter</v>
      </c>
      <c r="C150" s="178">
        <v>4</v>
      </c>
      <c r="D150" s="415" t="s">
        <v>303</v>
      </c>
      <c r="E150" s="178" t="s">
        <v>276</v>
      </c>
      <c r="F150" s="107" t="s">
        <v>274</v>
      </c>
      <c r="G150" s="178" t="s">
        <v>3397</v>
      </c>
      <c r="I150" s="178"/>
      <c r="J150" s="520" t="str">
        <f t="shared" si="279"/>
        <v>EoKStandard Access koper 5mbHoog&lt; 250 meter</v>
      </c>
      <c r="L150" s="204">
        <f>INDEX(Mapping!$H:$H,MATCH(C$3&amp;C150,Mapping!$B:$B,0))</f>
        <v>1</v>
      </c>
      <c r="M150" s="204" t="str">
        <f>INDEX(Mapping!$H:$H,MATCH(D$3&amp;D150,Mapping!$B:$B,0))</f>
        <v>EoK</v>
      </c>
      <c r="N150" s="204" t="str">
        <f>INDEX(Mapping!$H:$H,MATCH(E$3&amp;E150,Mapping!$B:$B,0))</f>
        <v>Copper Standard Access 5Mbit/s</v>
      </c>
      <c r="O150" s="204" t="str">
        <f>INDEX(Mapping!$H:$H,MATCH(E150&amp;F150,Mapping!$B:$B,0))</f>
        <v/>
      </c>
      <c r="P150" s="204" t="str">
        <f>INDEX(Mapping!$H:$H,MATCH($E150&amp;$G150,Mapping!$B:$B,0))</f>
        <v>Nearnet</v>
      </c>
      <c r="Q150" s="204" t="str">
        <f>INDEX(Mapping!$H:$H,MATCH($E150&amp;$G150&amp;"graafafstand",Mapping!$B:$B,0))</f>
        <v>nvt</v>
      </c>
      <c r="R150" s="204">
        <f>INDEX(Mapping!$H:$H,MATCH(R$3&amp;$E150,Mapping!$B:$B,0))</f>
        <v>1</v>
      </c>
      <c r="S150" s="204">
        <f>INDEX(Mapping!$H:$H,MATCH(S$3&amp;$E150,Mapping!$B:$B,0))</f>
        <v>1</v>
      </c>
      <c r="T150" s="139" t="str">
        <f t="shared" ref="T150:T158" si="317">N150&amp;O150&amp;P150</f>
        <v>Copper Standard Access 5Mbit/sNearnet</v>
      </c>
      <c r="U150" s="151" t="str">
        <f t="shared" ref="U150:U158" si="318">T150</f>
        <v>Copper Standard Access 5Mbit/sNearnet</v>
      </c>
      <c r="W150" s="521">
        <f>MATCH($J150,'Tarieven ZM'!$B:$B,0)</f>
        <v>150</v>
      </c>
      <c r="X150" s="204">
        <f>INDEX('Tarieven ZM'!$H:$H,$W150)</f>
        <v>1000</v>
      </c>
      <c r="Y150" s="198">
        <f>IF(E150="Standard Access in ZG BT gebieden",0,-INDEX(Parameters!$B:$B,MATCH(Y$3&amp;$C150,Parameters!$A:$A,0))*$X150)</f>
        <v>0</v>
      </c>
      <c r="Z150" s="198">
        <f>IF(E150="Standard Access in ZG BT gebieden",0,MAX(-INDEX(Parameters!$B:$B,MATCH(Z$3&amp;$C150,Parameters!$A:$A,0))*$X150,-INDEX(Parameters!$B:$B,MATCH("FactorMaxSalesMandaat"&amp;E150,Parameters!$A:$A,0))*INDEX(Parameters!$B:$B,MATCH("MaxSalesMandaatAccessVVE"&amp;$C150,Parameters!$A:$A,0))))</f>
        <v>0</v>
      </c>
      <c r="AA150" s="139">
        <f t="shared" ref="AA150:AA158" si="319">SUM(X150:Z150)</f>
        <v>1000</v>
      </c>
      <c r="AB150" s="205">
        <f>AA150/INDEX(Parameters!$B:$B,MATCH("AfschrijftermijnVVE"&amp;12*$C150,Parameters!$A:$A,0))</f>
        <v>20.833333333333332</v>
      </c>
      <c r="AC150" s="204">
        <f>INDEX('Tarieven ZM'!$G:$G,$W150)</f>
        <v>1000</v>
      </c>
      <c r="AD150" s="198">
        <f>IF(E150="Standard Access in ZG BT gebieden",0,-INDEX(Parameters!$B:$B,MATCH(AD$3&amp;$C150,Parameters!$A:$A,0))*$AC150)</f>
        <v>0</v>
      </c>
      <c r="AE150" s="198">
        <f>IF(E150="Standard Access in ZG BT gebieden",0,-INDEX(Parameters!$B:$B,MATCH(AE$3,Parameters!$A:$A,0))*$AC150)</f>
        <v>0</v>
      </c>
      <c r="AF150" s="139">
        <f t="shared" ref="AF150:AF158" si="320">SUM(AC150:AE150)</f>
        <v>1000</v>
      </c>
      <c r="AG150" s="522">
        <f t="shared" ref="AG150:AG158" si="321">SUM(AB150,AF150)</f>
        <v>1020.8333333333334</v>
      </c>
      <c r="AH150" s="175"/>
      <c r="AI150" s="523">
        <f>IF(N150&lt;&gt;"nvt",MATCH($T150,'Tarieven W&amp;O'!$B:$B,0),"nvt")</f>
        <v>24</v>
      </c>
      <c r="AJ150" s="205">
        <f>IF(AI150&lt;&gt;"nvt",IF($D150="EoK",INDEX(Parameters!C:C,MATCH("NLSx EoK",Parameters!A:A,0)),INDEX('Tarieven W&amp;O'!$H:$H,$AI150)),0)*R150</f>
        <v>350</v>
      </c>
      <c r="AK150" s="204">
        <f>IF(AI150&lt;&gt;"nvt",INDEX('Tarieven W&amp;O'!$I:$I,$AI150),0)*R150</f>
        <v>75</v>
      </c>
      <c r="AL150" s="524">
        <f>IF(AI150&lt;&gt;"nvt",-INDEX(Parameters!$B:$B,MATCH(AL$3,Parameters!$A:$A,0))*(AJ150+AK150),0)</f>
        <v>0</v>
      </c>
      <c r="AM150" s="525"/>
      <c r="AN150" s="139">
        <f t="shared" ref="AN150:AN158" si="322">SUM(AJ150:AM150)</f>
        <v>425</v>
      </c>
      <c r="AO150" s="205">
        <f>AN150/INDEX(Parameters!$B:$B,MATCH("AfschrijftermijnVVE"&amp;12*$C150,Parameters!$A:$A,0))</f>
        <v>8.8541666666666661</v>
      </c>
      <c r="AP150" s="139">
        <f t="shared" ref="AP150:AP158" si="323">AI150</f>
        <v>24</v>
      </c>
      <c r="AQ150" s="526">
        <f>IF(AP150&lt;&gt;"nvt",R150*INDEX('Tarieven W&amp;O'!$G:$G,$AP150),0)</f>
        <v>60.97</v>
      </c>
      <c r="AR150" s="524">
        <f>-INDEX(Parameters!$B:$B,MATCH(AR$3,Parameters!$A:$A,0))*(AQ150)</f>
        <v>0</v>
      </c>
      <c r="AS150" s="205">
        <f>IF(E150="straal access",'EDC Minus'!$H$192,IF(Q150&lt;&gt;"nvt",Q150*S150*'EDC Minus'!$H$292/590,0))</f>
        <v>0</v>
      </c>
      <c r="AT150" s="139"/>
      <c r="AU150" s="150">
        <f t="shared" ref="AU150:AU158" si="324">SUM(AQ150:AT150)</f>
        <v>60.97</v>
      </c>
      <c r="AV150" s="150">
        <f t="shared" ref="AV150:AV158" si="325">SUM(AO150,AU150)</f>
        <v>69.82416666666667</v>
      </c>
      <c r="AX150" s="526">
        <f>Parameters!$B$6*AV150</f>
        <v>0.69824166666666676</v>
      </c>
      <c r="AY150" s="150">
        <v>0</v>
      </c>
      <c r="AZ150" s="150"/>
      <c r="BA150" s="150">
        <f t="shared" ref="BA150:BA158" si="326">SUM(AX150:AZ150)</f>
        <v>0.69824166666666676</v>
      </c>
      <c r="BC150" s="522">
        <f t="shared" si="308"/>
        <v>70.522408333333331</v>
      </c>
      <c r="BD150" s="175"/>
      <c r="BE150" s="527">
        <f t="shared" si="293"/>
        <v>950.310925</v>
      </c>
      <c r="BF150" s="181">
        <f t="shared" si="294"/>
        <v>0.93091682448979585</v>
      </c>
      <c r="BG150" s="520" t="b">
        <f t="shared" ref="BG150:BG158" si="327">BF150&lt;0</f>
        <v>0</v>
      </c>
      <c r="BI150" s="528" t="s">
        <v>2181</v>
      </c>
      <c r="BK150" s="151">
        <f>VLOOKUP(J150,'Tarieven ZM'!$B$136:$I$235,8,0)</f>
        <v>0</v>
      </c>
      <c r="BL150" s="151" t="str">
        <f>IF(M150="EoK",N150&amp;"AdvancedNLS type 1/2/3",IF(E150&lt;&gt;"Straal Access",INDEX(Mapping!J:J,MATCH(E150&amp;G150,Mapping!B:B,0)),E150))</f>
        <v>Copper Standard Access 5Mbit/sAdvancedNLS type 1/2/3</v>
      </c>
      <c r="BM150" s="184">
        <f>INDEX('inkoop ULL tbv EVPN'!J:J,MATCH($BL150,'inkoop ULL tbv EVPN'!$H:$H,0))</f>
        <v>78.97</v>
      </c>
      <c r="BN150" s="180">
        <f>BM150/INDEX(Parameters!$B:$B,MATCH("AfschrijftermijnVVE"&amp;12*$C150,Parameters!$A:$A,0))</f>
        <v>1.6452083333333334</v>
      </c>
      <c r="BO150" s="184">
        <f>INDEX('inkoop ULL tbv EVPN'!I:I,MATCH($BL150,'inkoop ULL tbv EVPN'!$H:$H,0))</f>
        <v>14.7296035</v>
      </c>
      <c r="BP150" s="184">
        <f t="shared" si="309"/>
        <v>16.374811833333332</v>
      </c>
      <c r="BR150" s="180">
        <f>Parameters!$B$12*AG150</f>
        <v>102.08333333333334</v>
      </c>
      <c r="BS150" s="180">
        <f>SUM(Distributievergoedingen!$F$12,Distributievergoedingen!$I$12,Distributievergoedingen!$L$12,Distributievergoedingen!$O$12)*AF150+SUM(Distributievergoedingen!$O$12*AA150+Distributievergoedingen!$R$12+Distributievergoedingen!$U$12+Distributievergoedingen!$X$12)/(MAX(36,12*C150))</f>
        <v>112.08333333333333</v>
      </c>
      <c r="BT150" s="150"/>
      <c r="BU150" s="150">
        <f t="shared" si="310"/>
        <v>214.16666666666669</v>
      </c>
      <c r="BW150" s="522">
        <f t="shared" si="311"/>
        <v>230.54147850000001</v>
      </c>
      <c r="BY150" s="527">
        <f t="shared" si="312"/>
        <v>790.29185483333333</v>
      </c>
      <c r="BZ150" s="181">
        <f t="shared" si="313"/>
        <v>0.77416344963265304</v>
      </c>
      <c r="CA150" s="520" t="b">
        <f t="shared" si="314"/>
        <v>0</v>
      </c>
    </row>
    <row r="151" spans="1:79" s="151" customFormat="1">
      <c r="A151" s="151" t="str">
        <f t="shared" si="315"/>
        <v>4EoKStandard Access koper 10mbHoog&lt; 250 meter</v>
      </c>
      <c r="B151" s="151" t="str">
        <f t="shared" si="316"/>
        <v>4EoKStandard Access koper 10mbHoog&lt; 250 meter</v>
      </c>
      <c r="C151" s="178">
        <v>4</v>
      </c>
      <c r="D151" s="415" t="s">
        <v>303</v>
      </c>
      <c r="E151" s="178" t="s">
        <v>277</v>
      </c>
      <c r="F151" s="107" t="s">
        <v>274</v>
      </c>
      <c r="G151" s="178" t="s">
        <v>3397</v>
      </c>
      <c r="I151" s="178"/>
      <c r="J151" s="520" t="str">
        <f t="shared" si="279"/>
        <v>EoKStandard Access koper 10mbHoog&lt; 250 meter</v>
      </c>
      <c r="L151" s="204">
        <f>INDEX(Mapping!$H:$H,MATCH(C$3&amp;C151,Mapping!$B:$B,0))</f>
        <v>1</v>
      </c>
      <c r="M151" s="204" t="str">
        <f>INDEX(Mapping!$H:$H,MATCH(D$3&amp;D151,Mapping!$B:$B,0))</f>
        <v>EoK</v>
      </c>
      <c r="N151" s="204" t="str">
        <f>INDEX(Mapping!$H:$H,MATCH(E$3&amp;E151,Mapping!$B:$B,0))</f>
        <v>Copper Standard Access 10Mbit/s</v>
      </c>
      <c r="O151" s="204" t="str">
        <f>INDEX(Mapping!$H:$H,MATCH(E151&amp;F151,Mapping!$B:$B,0))</f>
        <v/>
      </c>
      <c r="P151" s="204" t="str">
        <f>INDEX(Mapping!$H:$H,MATCH($E151&amp;$G151,Mapping!$B:$B,0))</f>
        <v>Nearnet</v>
      </c>
      <c r="Q151" s="204" t="str">
        <f>INDEX(Mapping!$H:$H,MATCH($E151&amp;$G151&amp;"graafafstand",Mapping!$B:$B,0))</f>
        <v>nvt</v>
      </c>
      <c r="R151" s="204">
        <f>INDEX(Mapping!$H:$H,MATCH(R$3&amp;$E151,Mapping!$B:$B,0))</f>
        <v>1</v>
      </c>
      <c r="S151" s="204">
        <f>INDEX(Mapping!$H:$H,MATCH(S$3&amp;$E151,Mapping!$B:$B,0))</f>
        <v>1</v>
      </c>
      <c r="T151" s="139" t="str">
        <f t="shared" si="317"/>
        <v>Copper Standard Access 10Mbit/sNearnet</v>
      </c>
      <c r="U151" s="151" t="str">
        <f t="shared" si="318"/>
        <v>Copper Standard Access 10Mbit/sNearnet</v>
      </c>
      <c r="W151" s="521">
        <f>MATCH($J151,'Tarieven ZM'!$B:$B,0)</f>
        <v>151</v>
      </c>
      <c r="X151" s="204">
        <f>INDEX('Tarieven ZM'!$H:$H,$W151)</f>
        <v>1000</v>
      </c>
      <c r="Y151" s="198">
        <f>IF(E151="Standard Access in ZG BT gebieden",0,-INDEX(Parameters!$B:$B,MATCH(Y$3&amp;$C151,Parameters!$A:$A,0))*$X151)</f>
        <v>0</v>
      </c>
      <c r="Z151" s="198">
        <f>IF(E151="Standard Access in ZG BT gebieden",0,MAX(-INDEX(Parameters!$B:$B,MATCH(Z$3&amp;$C151,Parameters!$A:$A,0))*$X151,-INDEX(Parameters!$B:$B,MATCH("FactorMaxSalesMandaat"&amp;E151,Parameters!$A:$A,0))*INDEX(Parameters!$B:$B,MATCH("MaxSalesMandaatAccessVVE"&amp;$C151,Parameters!$A:$A,0))))</f>
        <v>0</v>
      </c>
      <c r="AA151" s="139">
        <f t="shared" si="319"/>
        <v>1000</v>
      </c>
      <c r="AB151" s="205">
        <f>AA151/INDEX(Parameters!$B:$B,MATCH("AfschrijftermijnVVE"&amp;12*$C151,Parameters!$A:$A,0))</f>
        <v>20.833333333333332</v>
      </c>
      <c r="AC151" s="204">
        <f>INDEX('Tarieven ZM'!$G:$G,$W151)</f>
        <v>1000</v>
      </c>
      <c r="AD151" s="198">
        <f>IF(E151="Standard Access in ZG BT gebieden",0,-INDEX(Parameters!$B:$B,MATCH(AD$3&amp;$C151,Parameters!$A:$A,0))*$AC151)</f>
        <v>0</v>
      </c>
      <c r="AE151" s="198">
        <f>IF(E151="Standard Access in ZG BT gebieden",0,-INDEX(Parameters!$B:$B,MATCH(AE$3,Parameters!$A:$A,0))*$AC151)</f>
        <v>0</v>
      </c>
      <c r="AF151" s="139">
        <f t="shared" si="320"/>
        <v>1000</v>
      </c>
      <c r="AG151" s="522">
        <f t="shared" si="321"/>
        <v>1020.8333333333334</v>
      </c>
      <c r="AH151" s="175"/>
      <c r="AI151" s="523">
        <f>IF(N151&lt;&gt;"nvt",MATCH($T151,'Tarieven W&amp;O'!$B:$B,0),"nvt")</f>
        <v>25</v>
      </c>
      <c r="AJ151" s="205">
        <f>IF(AI151&lt;&gt;"nvt",IF($D151="EoK",INDEX(Parameters!C:C,MATCH("NLSx EoK",Parameters!A:A,0)),INDEX('Tarieven W&amp;O'!$H:$H,$AI151)),0)*R151</f>
        <v>350</v>
      </c>
      <c r="AK151" s="204">
        <f>IF(AI151&lt;&gt;"nvt",INDEX('Tarieven W&amp;O'!$I:$I,$AI151),0)*R151</f>
        <v>75</v>
      </c>
      <c r="AL151" s="524">
        <f>IF(AI151&lt;&gt;"nvt",-INDEX(Parameters!$B:$B,MATCH(AL$3,Parameters!$A:$A,0))*(AJ151+AK151),0)</f>
        <v>0</v>
      </c>
      <c r="AM151" s="525"/>
      <c r="AN151" s="139">
        <f t="shared" si="322"/>
        <v>425</v>
      </c>
      <c r="AO151" s="205">
        <f>AN151/INDEX(Parameters!$B:$B,MATCH("AfschrijftermijnVVE"&amp;12*$C151,Parameters!$A:$A,0))</f>
        <v>8.8541666666666661</v>
      </c>
      <c r="AP151" s="139">
        <f t="shared" si="323"/>
        <v>25</v>
      </c>
      <c r="AQ151" s="526">
        <f>IF(AP151&lt;&gt;"nvt",R151*INDEX('Tarieven W&amp;O'!$G:$G,$AP151),0)</f>
        <v>83.59</v>
      </c>
      <c r="AR151" s="524">
        <f>-INDEX(Parameters!$B:$B,MATCH(AR$3,Parameters!$A:$A,0))*(AQ151)</f>
        <v>0</v>
      </c>
      <c r="AS151" s="205">
        <f>IF(E151="straal access",'EDC Minus'!$H$192,IF(Q151&lt;&gt;"nvt",Q151*S151*'EDC Minus'!$H$292/590,0))</f>
        <v>0</v>
      </c>
      <c r="AT151" s="139"/>
      <c r="AU151" s="150">
        <f t="shared" si="324"/>
        <v>83.59</v>
      </c>
      <c r="AV151" s="150">
        <f t="shared" si="325"/>
        <v>92.444166666666675</v>
      </c>
      <c r="AX151" s="526">
        <f>Parameters!$B$6*AV151</f>
        <v>0.92444166666666672</v>
      </c>
      <c r="AY151" s="150">
        <v>0</v>
      </c>
      <c r="AZ151" s="150"/>
      <c r="BA151" s="150">
        <f t="shared" si="326"/>
        <v>0.92444166666666672</v>
      </c>
      <c r="BC151" s="522">
        <f t="shared" si="308"/>
        <v>93.368608333333341</v>
      </c>
      <c r="BD151" s="175"/>
      <c r="BE151" s="527">
        <f t="shared" si="293"/>
        <v>927.46472500000004</v>
      </c>
      <c r="BF151" s="181">
        <f t="shared" si="294"/>
        <v>0.90853687346938772</v>
      </c>
      <c r="BG151" s="520" t="b">
        <f t="shared" si="327"/>
        <v>0</v>
      </c>
      <c r="BI151" s="528" t="s">
        <v>2181</v>
      </c>
      <c r="BK151" s="151">
        <f>VLOOKUP(J151,'Tarieven ZM'!$B$136:$I$235,8,0)</f>
        <v>0</v>
      </c>
      <c r="BL151" s="151" t="str">
        <f>IF(M151="EoK",N151&amp;"AdvancedNLS type 1/2/3",IF(E151&lt;&gt;"Straal Access",INDEX(Mapping!J:J,MATCH(E151&amp;G151,Mapping!B:B,0)),E151))</f>
        <v>Copper Standard Access 10Mbit/sAdvancedNLS type 1/2/3</v>
      </c>
      <c r="BM151" s="184">
        <f>INDEX('inkoop ULL tbv EVPN'!J:J,MATCH($BL151,'inkoop ULL tbv EVPN'!$H:$H,0))</f>
        <v>78.97</v>
      </c>
      <c r="BN151" s="180">
        <f>BM151/INDEX(Parameters!$B:$B,MATCH("AfschrijftermijnVVE"&amp;12*$C151,Parameters!$A:$A,0))</f>
        <v>1.6452083333333334</v>
      </c>
      <c r="BO151" s="184">
        <f>INDEX('inkoop ULL tbv EVPN'!I:I,MATCH($BL151,'inkoop ULL tbv EVPN'!$H:$H,0))</f>
        <v>14.7296035</v>
      </c>
      <c r="BP151" s="184">
        <f t="shared" si="309"/>
        <v>16.374811833333332</v>
      </c>
      <c r="BR151" s="180">
        <f>Parameters!$B$12*AG151</f>
        <v>102.08333333333334</v>
      </c>
      <c r="BS151" s="180">
        <f>SUM(Distributievergoedingen!$F$12,Distributievergoedingen!$I$12,Distributievergoedingen!$L$12,Distributievergoedingen!$O$12)*AF151+SUM(Distributievergoedingen!$O$12*AA151+Distributievergoedingen!$R$12+Distributievergoedingen!$U$12+Distributievergoedingen!$X$12)/(MAX(36,12*C151))</f>
        <v>112.08333333333333</v>
      </c>
      <c r="BT151" s="150"/>
      <c r="BU151" s="150">
        <f t="shared" si="310"/>
        <v>214.16666666666669</v>
      </c>
      <c r="BW151" s="522">
        <f t="shared" si="311"/>
        <v>230.54147850000001</v>
      </c>
      <c r="BY151" s="527">
        <f t="shared" si="312"/>
        <v>790.29185483333333</v>
      </c>
      <c r="BZ151" s="181">
        <f t="shared" si="313"/>
        <v>0.77416344963265304</v>
      </c>
      <c r="CA151" s="520" t="b">
        <f t="shared" si="314"/>
        <v>0</v>
      </c>
    </row>
    <row r="152" spans="1:79" s="151" customFormat="1">
      <c r="A152" s="151" t="str">
        <f t="shared" si="315"/>
        <v>4EoKStandard Access koper 15mbHoog&lt; 250 meter</v>
      </c>
      <c r="B152" s="151" t="str">
        <f t="shared" si="316"/>
        <v>4EoKStandard Access koper 15mbHoog&lt; 250 meter</v>
      </c>
      <c r="C152" s="178">
        <v>4</v>
      </c>
      <c r="D152" s="415" t="s">
        <v>303</v>
      </c>
      <c r="E152" s="178" t="s">
        <v>278</v>
      </c>
      <c r="F152" s="107" t="s">
        <v>274</v>
      </c>
      <c r="G152" s="178" t="s">
        <v>3397</v>
      </c>
      <c r="I152" s="178"/>
      <c r="J152" s="520" t="str">
        <f t="shared" si="279"/>
        <v>EoKStandard Access koper 15mbHoog&lt; 250 meter</v>
      </c>
      <c r="L152" s="204">
        <f>INDEX(Mapping!$H:$H,MATCH(C$3&amp;C152,Mapping!$B:$B,0))</f>
        <v>1</v>
      </c>
      <c r="M152" s="204" t="str">
        <f>INDEX(Mapping!$H:$H,MATCH(D$3&amp;D152,Mapping!$B:$B,0))</f>
        <v>EoK</v>
      </c>
      <c r="N152" s="204" t="str">
        <f>INDEX(Mapping!$H:$H,MATCH(E$3&amp;E152,Mapping!$B:$B,0))</f>
        <v>Copper Standard Access 15Mbit/s</v>
      </c>
      <c r="O152" s="204" t="str">
        <f>INDEX(Mapping!$H:$H,MATCH(E152&amp;F152,Mapping!$B:$B,0))</f>
        <v/>
      </c>
      <c r="P152" s="204" t="str">
        <f>INDEX(Mapping!$H:$H,MATCH($E152&amp;$G152,Mapping!$B:$B,0))</f>
        <v>Nearnet</v>
      </c>
      <c r="Q152" s="204" t="str">
        <f>INDEX(Mapping!$H:$H,MATCH($E152&amp;$G152&amp;"graafafstand",Mapping!$B:$B,0))</f>
        <v>nvt</v>
      </c>
      <c r="R152" s="204">
        <f>INDEX(Mapping!$H:$H,MATCH(R$3&amp;$E152,Mapping!$B:$B,0))</f>
        <v>1</v>
      </c>
      <c r="S152" s="204">
        <f>INDEX(Mapping!$H:$H,MATCH(S$3&amp;$E152,Mapping!$B:$B,0))</f>
        <v>1</v>
      </c>
      <c r="T152" s="139" t="str">
        <f t="shared" si="317"/>
        <v>Copper Standard Access 15Mbit/sNearnet</v>
      </c>
      <c r="U152" s="151" t="str">
        <f t="shared" si="318"/>
        <v>Copper Standard Access 15Mbit/sNearnet</v>
      </c>
      <c r="W152" s="521">
        <f>MATCH($J152,'Tarieven ZM'!$B:$B,0)</f>
        <v>152</v>
      </c>
      <c r="X152" s="204">
        <f>INDEX('Tarieven ZM'!$H:$H,$W152)</f>
        <v>1000</v>
      </c>
      <c r="Y152" s="198">
        <f>IF(E152="Standard Access in ZG BT gebieden",0,-INDEX(Parameters!$B:$B,MATCH(Y$3&amp;$C152,Parameters!$A:$A,0))*$X152)</f>
        <v>0</v>
      </c>
      <c r="Z152" s="198">
        <f>IF(E152="Standard Access in ZG BT gebieden",0,MAX(-INDEX(Parameters!$B:$B,MATCH(Z$3&amp;$C152,Parameters!$A:$A,0))*$X152,-INDEX(Parameters!$B:$B,MATCH("FactorMaxSalesMandaat"&amp;E152,Parameters!$A:$A,0))*INDEX(Parameters!$B:$B,MATCH("MaxSalesMandaatAccessVVE"&amp;$C152,Parameters!$A:$A,0))))</f>
        <v>0</v>
      </c>
      <c r="AA152" s="139">
        <f t="shared" si="319"/>
        <v>1000</v>
      </c>
      <c r="AB152" s="205">
        <f>AA152/INDEX(Parameters!$B:$B,MATCH("AfschrijftermijnVVE"&amp;12*$C152,Parameters!$A:$A,0))</f>
        <v>20.833333333333332</v>
      </c>
      <c r="AC152" s="204">
        <f>INDEX('Tarieven ZM'!$G:$G,$W152)</f>
        <v>1000</v>
      </c>
      <c r="AD152" s="198">
        <f>IF(E152="Standard Access in ZG BT gebieden",0,-INDEX(Parameters!$B:$B,MATCH(AD$3&amp;$C152,Parameters!$A:$A,0))*$AC152)</f>
        <v>0</v>
      </c>
      <c r="AE152" s="198">
        <f>IF(E152="Standard Access in ZG BT gebieden",0,-INDEX(Parameters!$B:$B,MATCH(AE$3,Parameters!$A:$A,0))*$AC152)</f>
        <v>0</v>
      </c>
      <c r="AF152" s="139">
        <f t="shared" si="320"/>
        <v>1000</v>
      </c>
      <c r="AG152" s="522">
        <f t="shared" si="321"/>
        <v>1020.8333333333334</v>
      </c>
      <c r="AH152" s="175"/>
      <c r="AI152" s="523">
        <f>IF(N152&lt;&gt;"nvt",MATCH($T152,'Tarieven W&amp;O'!$B:$B,0),"nvt")</f>
        <v>26</v>
      </c>
      <c r="AJ152" s="205">
        <f>IF(AI152&lt;&gt;"nvt",IF($D152="EoK",INDEX(Parameters!C:C,MATCH("NLSx EoK",Parameters!A:A,0)),INDEX('Tarieven W&amp;O'!$H:$H,$AI152)),0)*R152</f>
        <v>350</v>
      </c>
      <c r="AK152" s="204">
        <f>IF(AI152&lt;&gt;"nvt",INDEX('Tarieven W&amp;O'!$I:$I,$AI152),0)*R152</f>
        <v>75</v>
      </c>
      <c r="AL152" s="524">
        <f>IF(AI152&lt;&gt;"nvt",-INDEX(Parameters!$B:$B,MATCH(AL$3,Parameters!$A:$A,0))*(AJ152+AK152),0)</f>
        <v>0</v>
      </c>
      <c r="AM152" s="525"/>
      <c r="AN152" s="139">
        <f t="shared" si="322"/>
        <v>425</v>
      </c>
      <c r="AO152" s="205">
        <f>AN152/INDEX(Parameters!$B:$B,MATCH("AfschrijftermijnVVE"&amp;12*$C152,Parameters!$A:$A,0))</f>
        <v>8.8541666666666661</v>
      </c>
      <c r="AP152" s="139">
        <f t="shared" si="323"/>
        <v>26</v>
      </c>
      <c r="AQ152" s="526">
        <f>IF(AP152&lt;&gt;"nvt",R152*INDEX('Tarieven W&amp;O'!$G:$G,$AP152),0)</f>
        <v>102.44</v>
      </c>
      <c r="AR152" s="524">
        <f>-INDEX(Parameters!$B:$B,MATCH(AR$3,Parameters!$A:$A,0))*(AQ152)</f>
        <v>0</v>
      </c>
      <c r="AS152" s="205">
        <f>IF(E152="straal access",'EDC Minus'!$H$192,IF(Q152&lt;&gt;"nvt",Q152*S152*'EDC Minus'!$H$292/590,0))</f>
        <v>0</v>
      </c>
      <c r="AT152" s="139"/>
      <c r="AU152" s="150">
        <f t="shared" si="324"/>
        <v>102.44</v>
      </c>
      <c r="AV152" s="150">
        <f t="shared" si="325"/>
        <v>111.29416666666667</v>
      </c>
      <c r="AX152" s="526">
        <f>Parameters!$B$6*AV152</f>
        <v>1.1129416666666667</v>
      </c>
      <c r="AY152" s="150">
        <v>0</v>
      </c>
      <c r="AZ152" s="150"/>
      <c r="BA152" s="150">
        <f t="shared" si="326"/>
        <v>1.1129416666666667</v>
      </c>
      <c r="BC152" s="522">
        <f t="shared" si="308"/>
        <v>112.40710833333334</v>
      </c>
      <c r="BD152" s="175"/>
      <c r="BE152" s="527">
        <f t="shared" si="293"/>
        <v>908.42622500000004</v>
      </c>
      <c r="BF152" s="181">
        <f t="shared" si="294"/>
        <v>0.88988691428571431</v>
      </c>
      <c r="BG152" s="520" t="b">
        <f t="shared" si="327"/>
        <v>0</v>
      </c>
      <c r="BI152" s="528" t="s">
        <v>2181</v>
      </c>
      <c r="BK152" s="151">
        <f>VLOOKUP(J152,'Tarieven ZM'!$B$136:$I$235,8,0)</f>
        <v>0</v>
      </c>
      <c r="BL152" s="151" t="str">
        <f>IF(M152="EoK",N152&amp;"AdvancedNLS type 1/2/3",IF(E152&lt;&gt;"Straal Access",INDEX(Mapping!J:J,MATCH(E152&amp;G152,Mapping!B:B,0)),E152))</f>
        <v>Copper Standard Access 15Mbit/sAdvancedNLS type 1/2/3</v>
      </c>
      <c r="BM152" s="184">
        <f>INDEX('inkoop ULL tbv EVPN'!J:J,MATCH($BL152,'inkoop ULL tbv EVPN'!$H:$H,0))</f>
        <v>78.97</v>
      </c>
      <c r="BN152" s="180">
        <f>BM152/INDEX(Parameters!$B:$B,MATCH("AfschrijftermijnVVE"&amp;12*$C152,Parameters!$A:$A,0))</f>
        <v>1.6452083333333334</v>
      </c>
      <c r="BO152" s="184">
        <f>INDEX('inkoop ULL tbv EVPN'!I:I,MATCH($BL152,'inkoop ULL tbv EVPN'!$H:$H,0))</f>
        <v>14.7296035</v>
      </c>
      <c r="BP152" s="184">
        <f t="shared" si="309"/>
        <v>16.374811833333332</v>
      </c>
      <c r="BR152" s="180">
        <f>Parameters!$B$12*AG152</f>
        <v>102.08333333333334</v>
      </c>
      <c r="BS152" s="180">
        <f>SUM(Distributievergoedingen!$F$12,Distributievergoedingen!$I$12,Distributievergoedingen!$L$12,Distributievergoedingen!$O$12)*AF152+SUM(Distributievergoedingen!$O$12*AA152+Distributievergoedingen!$R$12+Distributievergoedingen!$U$12+Distributievergoedingen!$X$12)/(MAX(36,12*C152))</f>
        <v>112.08333333333333</v>
      </c>
      <c r="BT152" s="150"/>
      <c r="BU152" s="150">
        <f t="shared" si="310"/>
        <v>214.16666666666669</v>
      </c>
      <c r="BW152" s="522">
        <f t="shared" si="311"/>
        <v>230.54147850000001</v>
      </c>
      <c r="BY152" s="527">
        <f t="shared" si="312"/>
        <v>790.29185483333333</v>
      </c>
      <c r="BZ152" s="181">
        <f t="shared" si="313"/>
        <v>0.77416344963265304</v>
      </c>
      <c r="CA152" s="520" t="b">
        <f t="shared" si="314"/>
        <v>0</v>
      </c>
    </row>
    <row r="153" spans="1:79" s="151" customFormat="1">
      <c r="A153" s="151" t="str">
        <f t="shared" si="315"/>
        <v>4EoKStandard Access koper 20mbHoog&lt; 250 meter</v>
      </c>
      <c r="B153" s="151" t="str">
        <f t="shared" si="316"/>
        <v>4EoKStandard Access koper 20mbHoog&lt; 250 meter</v>
      </c>
      <c r="C153" s="178">
        <v>4</v>
      </c>
      <c r="D153" s="415" t="s">
        <v>303</v>
      </c>
      <c r="E153" s="178" t="s">
        <v>279</v>
      </c>
      <c r="F153" s="107" t="s">
        <v>274</v>
      </c>
      <c r="G153" s="178" t="s">
        <v>3397</v>
      </c>
      <c r="I153" s="178"/>
      <c r="J153" s="520" t="str">
        <f t="shared" si="279"/>
        <v>EoKStandard Access koper 20mbHoog&lt; 250 meter</v>
      </c>
      <c r="L153" s="204">
        <f>INDEX(Mapping!$H:$H,MATCH(C$3&amp;C153,Mapping!$B:$B,0))</f>
        <v>1</v>
      </c>
      <c r="M153" s="204" t="str">
        <f>INDEX(Mapping!$H:$H,MATCH(D$3&amp;D153,Mapping!$B:$B,0))</f>
        <v>EoK</v>
      </c>
      <c r="N153" s="204" t="str">
        <f>INDEX(Mapping!$H:$H,MATCH(E$3&amp;E153,Mapping!$B:$B,0))</f>
        <v>Copper Standard Access 20Mbit/s</v>
      </c>
      <c r="O153" s="204" t="str">
        <f>INDEX(Mapping!$H:$H,MATCH(E153&amp;F153,Mapping!$B:$B,0))</f>
        <v/>
      </c>
      <c r="P153" s="204" t="str">
        <f>INDEX(Mapping!$H:$H,MATCH($E153&amp;$G153,Mapping!$B:$B,0))</f>
        <v>Nearnet</v>
      </c>
      <c r="Q153" s="204" t="str">
        <f>INDEX(Mapping!$H:$H,MATCH($E153&amp;$G153&amp;"graafafstand",Mapping!$B:$B,0))</f>
        <v>nvt</v>
      </c>
      <c r="R153" s="204">
        <f>INDEX(Mapping!$H:$H,MATCH(R$3&amp;$E153,Mapping!$B:$B,0))</f>
        <v>1</v>
      </c>
      <c r="S153" s="204">
        <f>INDEX(Mapping!$H:$H,MATCH(S$3&amp;$E153,Mapping!$B:$B,0))</f>
        <v>1</v>
      </c>
      <c r="T153" s="139" t="str">
        <f t="shared" si="317"/>
        <v>Copper Standard Access 20Mbit/sNearnet</v>
      </c>
      <c r="U153" s="151" t="str">
        <f t="shared" si="318"/>
        <v>Copper Standard Access 20Mbit/sNearnet</v>
      </c>
      <c r="W153" s="521">
        <f>MATCH($J153,'Tarieven ZM'!$B:$B,0)</f>
        <v>153</v>
      </c>
      <c r="X153" s="204">
        <f>INDEX('Tarieven ZM'!$H:$H,$W153)</f>
        <v>1000</v>
      </c>
      <c r="Y153" s="198">
        <f>IF(E153="Standard Access in ZG BT gebieden",0,-INDEX(Parameters!$B:$B,MATCH(Y$3&amp;$C153,Parameters!$A:$A,0))*$X153)</f>
        <v>0</v>
      </c>
      <c r="Z153" s="198">
        <f>IF(E153="Standard Access in ZG BT gebieden",0,MAX(-INDEX(Parameters!$B:$B,MATCH(Z$3&amp;$C153,Parameters!$A:$A,0))*$X153,-INDEX(Parameters!$B:$B,MATCH("FactorMaxSalesMandaat"&amp;E153,Parameters!$A:$A,0))*INDEX(Parameters!$B:$B,MATCH("MaxSalesMandaatAccessVVE"&amp;$C153,Parameters!$A:$A,0))))</f>
        <v>0</v>
      </c>
      <c r="AA153" s="139">
        <f t="shared" si="319"/>
        <v>1000</v>
      </c>
      <c r="AB153" s="205">
        <f>AA153/INDEX(Parameters!$B:$B,MATCH("AfschrijftermijnVVE"&amp;12*$C153,Parameters!$A:$A,0))</f>
        <v>20.833333333333332</v>
      </c>
      <c r="AC153" s="204">
        <f>INDEX('Tarieven ZM'!$G:$G,$W153)</f>
        <v>1000</v>
      </c>
      <c r="AD153" s="198">
        <f>IF(E153="Standard Access in ZG BT gebieden",0,-INDEX(Parameters!$B:$B,MATCH(AD$3&amp;$C153,Parameters!$A:$A,0))*$AC153)</f>
        <v>0</v>
      </c>
      <c r="AE153" s="198">
        <f>IF(E153="Standard Access in ZG BT gebieden",0,-INDEX(Parameters!$B:$B,MATCH(AE$3,Parameters!$A:$A,0))*$AC153)</f>
        <v>0</v>
      </c>
      <c r="AF153" s="139">
        <f t="shared" si="320"/>
        <v>1000</v>
      </c>
      <c r="AG153" s="522">
        <f t="shared" si="321"/>
        <v>1020.8333333333334</v>
      </c>
      <c r="AH153" s="175"/>
      <c r="AI153" s="523">
        <f>IF(N153&lt;&gt;"nvt",MATCH($T153,'Tarieven W&amp;O'!$B:$B,0),"nvt")</f>
        <v>27</v>
      </c>
      <c r="AJ153" s="205">
        <f>IF(AI153&lt;&gt;"nvt",IF($D153="EoK",INDEX(Parameters!C:C,MATCH("NLSx EoK",Parameters!A:A,0)),INDEX('Tarieven W&amp;O'!$H:$H,$AI153)),0)*R153</f>
        <v>350</v>
      </c>
      <c r="AK153" s="204">
        <f>IF(AI153&lt;&gt;"nvt",INDEX('Tarieven W&amp;O'!$I:$I,$AI153),0)*R153</f>
        <v>75</v>
      </c>
      <c r="AL153" s="524">
        <f>IF(AI153&lt;&gt;"nvt",-INDEX(Parameters!$B:$B,MATCH(AL$3,Parameters!$A:$A,0))*(AJ153+AK153),0)</f>
        <v>0</v>
      </c>
      <c r="AM153" s="525"/>
      <c r="AN153" s="139">
        <f t="shared" si="322"/>
        <v>425</v>
      </c>
      <c r="AO153" s="205">
        <f>AN153/INDEX(Parameters!$B:$B,MATCH("AfschrijftermijnVVE"&amp;12*$C153,Parameters!$A:$A,0))</f>
        <v>8.8541666666666661</v>
      </c>
      <c r="AP153" s="139">
        <f t="shared" si="323"/>
        <v>27</v>
      </c>
      <c r="AQ153" s="526">
        <f>IF(AP153&lt;&gt;"nvt",R153*INDEX('Tarieven W&amp;O'!$G:$G,$AP153),0)</f>
        <v>121.28</v>
      </c>
      <c r="AR153" s="524">
        <f>-INDEX(Parameters!$B:$B,MATCH(AR$3,Parameters!$A:$A,0))*(AQ153)</f>
        <v>0</v>
      </c>
      <c r="AS153" s="205">
        <f>IF(E153="straal access",'EDC Minus'!$H$192,IF(Q153&lt;&gt;"nvt",Q153*S153*'EDC Minus'!$H$292/590,0))</f>
        <v>0</v>
      </c>
      <c r="AT153" s="139"/>
      <c r="AU153" s="150">
        <f t="shared" si="324"/>
        <v>121.28</v>
      </c>
      <c r="AV153" s="150">
        <f t="shared" si="325"/>
        <v>130.13416666666666</v>
      </c>
      <c r="AX153" s="526">
        <f>Parameters!$B$6*AV153</f>
        <v>1.3013416666666666</v>
      </c>
      <c r="AY153" s="150">
        <v>0</v>
      </c>
      <c r="AZ153" s="150"/>
      <c r="BA153" s="150">
        <f t="shared" si="326"/>
        <v>1.3013416666666666</v>
      </c>
      <c r="BC153" s="522">
        <f t="shared" si="308"/>
        <v>131.43550833333333</v>
      </c>
      <c r="BD153" s="175"/>
      <c r="BE153" s="527">
        <f t="shared" si="293"/>
        <v>889.39782500000001</v>
      </c>
      <c r="BF153" s="181">
        <f t="shared" si="294"/>
        <v>0.87124684897959181</v>
      </c>
      <c r="BG153" s="520" t="b">
        <f t="shared" si="327"/>
        <v>0</v>
      </c>
      <c r="BI153" s="528" t="s">
        <v>2181</v>
      </c>
      <c r="BK153" s="151">
        <f>VLOOKUP(J153,'Tarieven ZM'!$B$136:$I$235,8,0)</f>
        <v>0</v>
      </c>
      <c r="BL153" s="151" t="str">
        <f>IF(M153="EoK",N153&amp;"AdvancedNLS type 1/2/3",IF(E153&lt;&gt;"Straal Access",INDEX(Mapping!J:J,MATCH(E153&amp;G153,Mapping!B:B,0)),E153))</f>
        <v>Copper Standard Access 20Mbit/sAdvancedNLS type 1/2/3</v>
      </c>
      <c r="BM153" s="184">
        <f>INDEX('inkoop ULL tbv EVPN'!J:J,MATCH($BL153,'inkoop ULL tbv EVPN'!$H:$H,0))</f>
        <v>78.97</v>
      </c>
      <c r="BN153" s="180">
        <f>BM153/INDEX(Parameters!$B:$B,MATCH("AfschrijftermijnVVE"&amp;12*$C153,Parameters!$A:$A,0))</f>
        <v>1.6452083333333334</v>
      </c>
      <c r="BO153" s="184">
        <f>INDEX('inkoop ULL tbv EVPN'!I:I,MATCH($BL153,'inkoop ULL tbv EVPN'!$H:$H,0))</f>
        <v>14.7296035</v>
      </c>
      <c r="BP153" s="184">
        <f t="shared" si="309"/>
        <v>16.374811833333332</v>
      </c>
      <c r="BR153" s="180">
        <f>Parameters!$B$12*AG153</f>
        <v>102.08333333333334</v>
      </c>
      <c r="BS153" s="180">
        <f>SUM(Distributievergoedingen!$F$12,Distributievergoedingen!$I$12,Distributievergoedingen!$L$12,Distributievergoedingen!$O$12)*AF153+SUM(Distributievergoedingen!$O$12*AA153+Distributievergoedingen!$R$12+Distributievergoedingen!$U$12+Distributievergoedingen!$X$12)/(MAX(36,12*C153))</f>
        <v>112.08333333333333</v>
      </c>
      <c r="BT153" s="150"/>
      <c r="BU153" s="150">
        <f t="shared" si="310"/>
        <v>214.16666666666669</v>
      </c>
      <c r="BW153" s="522">
        <f t="shared" si="311"/>
        <v>230.54147850000001</v>
      </c>
      <c r="BY153" s="527">
        <f t="shared" si="312"/>
        <v>790.29185483333333</v>
      </c>
      <c r="BZ153" s="181">
        <f t="shared" si="313"/>
        <v>0.77416344963265304</v>
      </c>
      <c r="CA153" s="520" t="b">
        <f t="shared" si="314"/>
        <v>0</v>
      </c>
    </row>
    <row r="154" spans="1:79" s="151" customFormat="1">
      <c r="A154" s="151" t="str">
        <f t="shared" si="315"/>
        <v>4EoKStandard Access koper 3mbMiddelOn-net (NLS1, 2)</v>
      </c>
      <c r="B154" s="151" t="str">
        <f t="shared" si="316"/>
        <v>4EoKStandard Access koper 3mbMiddelOn-net (NLS1, 2)</v>
      </c>
      <c r="C154" s="178">
        <v>4</v>
      </c>
      <c r="D154" s="415" t="s">
        <v>303</v>
      </c>
      <c r="E154" s="178" t="s">
        <v>268</v>
      </c>
      <c r="F154" s="107" t="s">
        <v>280</v>
      </c>
      <c r="G154" s="178" t="s">
        <v>281</v>
      </c>
      <c r="I154" s="178"/>
      <c r="J154" s="520" t="str">
        <f t="shared" ref="J154:J168" si="328">D154&amp;E154&amp;F154&amp;G154</f>
        <v>EoKStandard Access koper 3mbMiddelOn-net (NLS1, 2)</v>
      </c>
      <c r="L154" s="204">
        <f>INDEX(Mapping!$H:$H,MATCH(C$3&amp;C154,Mapping!$B:$B,0))</f>
        <v>1</v>
      </c>
      <c r="M154" s="204" t="str">
        <f>INDEX(Mapping!$H:$H,MATCH(D$3&amp;D154,Mapping!$B:$B,0))</f>
        <v>EoK</v>
      </c>
      <c r="N154" s="204" t="str">
        <f>INDEX(Mapping!$H:$H,MATCH(E$3&amp;E154,Mapping!$B:$B,0))</f>
        <v>Copper Standard Access 3Mbit/s</v>
      </c>
      <c r="O154" s="204" t="str">
        <f>INDEX(Mapping!$H:$H,MATCH(E154&amp;F154,Mapping!$B:$B,0))</f>
        <v/>
      </c>
      <c r="P154" s="204" t="str">
        <f>INDEX(Mapping!$H:$H,MATCH($E154&amp;$G154,Mapping!$B:$B,0))</f>
        <v>On-net (NLS1, 2)</v>
      </c>
      <c r="Q154" s="204">
        <f>INDEX(Mapping!$H:$H,MATCH($E154&amp;$G154&amp;"graafafstand",Mapping!$B:$B,0))</f>
        <v>0</v>
      </c>
      <c r="R154" s="204">
        <f>INDEX(Mapping!$H:$H,MATCH(R$3&amp;$E154,Mapping!$B:$B,0))</f>
        <v>1</v>
      </c>
      <c r="S154" s="204">
        <f>INDEX(Mapping!$H:$H,MATCH(S$3&amp;$E154,Mapping!$B:$B,0))</f>
        <v>1</v>
      </c>
      <c r="T154" s="139" t="str">
        <f t="shared" si="317"/>
        <v>Copper Standard Access 3Mbit/sOn-net (NLS1, 2)</v>
      </c>
      <c r="U154" s="151" t="str">
        <f t="shared" si="318"/>
        <v>Copper Standard Access 3Mbit/sOn-net (NLS1, 2)</v>
      </c>
      <c r="W154" s="521">
        <f>MATCH($J154,'Tarieven ZM'!$B:$B,0)</f>
        <v>154</v>
      </c>
      <c r="X154" s="204">
        <f>INDEX('Tarieven ZM'!$H:$H,$W154)</f>
        <v>1000</v>
      </c>
      <c r="Y154" s="198">
        <f>IF(E154="Standard Access in ZG BT gebieden",0,-INDEX(Parameters!$B:$B,MATCH(Y$3&amp;$C154,Parameters!$A:$A,0))*$X154)</f>
        <v>0</v>
      </c>
      <c r="Z154" s="198">
        <f>IF(E154="Standard Access in ZG BT gebieden",0,MAX(-INDEX(Parameters!$B:$B,MATCH(Z$3&amp;$C154,Parameters!$A:$A,0))*$X154,-INDEX(Parameters!$B:$B,MATCH("FactorMaxSalesMandaat"&amp;E154,Parameters!$A:$A,0))*INDEX(Parameters!$B:$B,MATCH("MaxSalesMandaatAccessVVE"&amp;$C154,Parameters!$A:$A,0))))</f>
        <v>0</v>
      </c>
      <c r="AA154" s="139">
        <f t="shared" si="319"/>
        <v>1000</v>
      </c>
      <c r="AB154" s="205">
        <f>AA154/INDEX(Parameters!$B:$B,MATCH("AfschrijftermijnVVE"&amp;12*$C154,Parameters!$A:$A,0))</f>
        <v>20.833333333333332</v>
      </c>
      <c r="AC154" s="204">
        <f>INDEX('Tarieven ZM'!$G:$G,$W154)</f>
        <v>1000</v>
      </c>
      <c r="AD154" s="198">
        <f>IF(E154="Standard Access in ZG BT gebieden",0,-INDEX(Parameters!$B:$B,MATCH(AD$3&amp;$C154,Parameters!$A:$A,0))*$AC154)</f>
        <v>0</v>
      </c>
      <c r="AE154" s="198">
        <f>IF(E154="Standard Access in ZG BT gebieden",0,-INDEX(Parameters!$B:$B,MATCH(AE$3,Parameters!$A:$A,0))*$AC154)</f>
        <v>0</v>
      </c>
      <c r="AF154" s="139">
        <f t="shared" si="320"/>
        <v>1000</v>
      </c>
      <c r="AG154" s="522">
        <f t="shared" si="321"/>
        <v>1020.8333333333334</v>
      </c>
      <c r="AH154" s="175"/>
      <c r="AI154" s="523">
        <f>IF(N154&lt;&gt;"nvt",MATCH($T154,'Tarieven W&amp;O'!$B:$B,0),"nvt")</f>
        <v>9</v>
      </c>
      <c r="AJ154" s="205">
        <f>IF(AI154&lt;&gt;"nvt",IF($D154="EoK",INDEX(Parameters!C:C,MATCH("NLSx EoK",Parameters!A:A,0)),INDEX('Tarieven W&amp;O'!$H:$H,$AI154)),0)*R154</f>
        <v>350</v>
      </c>
      <c r="AK154" s="204">
        <f>IF(AI154&lt;&gt;"nvt",INDEX('Tarieven W&amp;O'!$I:$I,$AI154),0)*R154</f>
        <v>75</v>
      </c>
      <c r="AL154" s="524">
        <f>IF(AI154&lt;&gt;"nvt",-INDEX(Parameters!$B:$B,MATCH(AL$3,Parameters!$A:$A,0))*(AJ154+AK154),0)</f>
        <v>0</v>
      </c>
      <c r="AM154" s="525"/>
      <c r="AN154" s="139">
        <f t="shared" si="322"/>
        <v>425</v>
      </c>
      <c r="AO154" s="205">
        <f>AN154/INDEX(Parameters!$B:$B,MATCH("AfschrijftermijnVVE"&amp;12*$C154,Parameters!$A:$A,0))</f>
        <v>8.8541666666666661</v>
      </c>
      <c r="AP154" s="139">
        <f t="shared" si="323"/>
        <v>9</v>
      </c>
      <c r="AQ154" s="526">
        <f>IF(AP154&lt;&gt;"nvt",R154*INDEX('Tarieven W&amp;O'!$G:$G,$AP154),0)</f>
        <v>41.5</v>
      </c>
      <c r="AR154" s="524">
        <f>-INDEX(Parameters!$B:$B,MATCH(AR$3,Parameters!$A:$A,0))*(AQ154)</f>
        <v>0</v>
      </c>
      <c r="AS154" s="205">
        <f>IF(E154="straal access",'EDC Minus'!$H$192,IF(Q154&lt;&gt;"nvt",Q154*S154*'EDC Minus'!$H$292/590,0))</f>
        <v>0</v>
      </c>
      <c r="AT154" s="139"/>
      <c r="AU154" s="150">
        <f t="shared" si="324"/>
        <v>41.5</v>
      </c>
      <c r="AV154" s="150">
        <f t="shared" si="325"/>
        <v>50.354166666666664</v>
      </c>
      <c r="AX154" s="526">
        <f>Parameters!$B$6*AV154</f>
        <v>0.50354166666666667</v>
      </c>
      <c r="AY154" s="150">
        <v>0</v>
      </c>
      <c r="AZ154" s="150"/>
      <c r="BA154" s="150">
        <f t="shared" si="326"/>
        <v>0.50354166666666667</v>
      </c>
      <c r="BC154" s="522">
        <f t="shared" si="308"/>
        <v>50.857708333333328</v>
      </c>
      <c r="BD154" s="175"/>
      <c r="BE154" s="527">
        <f t="shared" si="293"/>
        <v>969.97562500000004</v>
      </c>
      <c r="BF154" s="181">
        <f t="shared" si="294"/>
        <v>0.95018020408163262</v>
      </c>
      <c r="BG154" s="520" t="b">
        <f t="shared" si="327"/>
        <v>0</v>
      </c>
      <c r="BI154" s="528" t="s">
        <v>2181</v>
      </c>
      <c r="BK154" s="151">
        <f>VLOOKUP(J154,'Tarieven ZM'!$B$136:$I$235,8,0)</f>
        <v>0</v>
      </c>
      <c r="BL154" s="151" t="str">
        <f>IF(M154="EoK",N154&amp;"AdvancedNLS type 1/2/3",IF(E154&lt;&gt;"Straal Access",INDEX(Mapping!J:J,MATCH(E154&amp;G154,Mapping!B:B,0)),E154))</f>
        <v>Copper Standard Access 3Mbit/sAdvancedNLS type 1/2/3</v>
      </c>
      <c r="BM154" s="184">
        <f>INDEX('inkoop ULL tbv EVPN'!J:J,MATCH($BL154,'inkoop ULL tbv EVPN'!$H:$H,0))</f>
        <v>78.97</v>
      </c>
      <c r="BN154" s="180">
        <f>BM154/INDEX(Parameters!$B:$B,MATCH("AfschrijftermijnVVE"&amp;12*$C154,Parameters!$A:$A,0))</f>
        <v>1.6452083333333334</v>
      </c>
      <c r="BO154" s="184">
        <f>INDEX('inkoop ULL tbv EVPN'!I:I,MATCH($BL154,'inkoop ULL tbv EVPN'!$H:$H,0))</f>
        <v>14.7296035</v>
      </c>
      <c r="BP154" s="184">
        <f t="shared" si="309"/>
        <v>16.374811833333332</v>
      </c>
      <c r="BR154" s="180">
        <f>Parameters!$B$12*AG154</f>
        <v>102.08333333333334</v>
      </c>
      <c r="BS154" s="180">
        <f>SUM(Distributievergoedingen!$F$12,Distributievergoedingen!$I$12,Distributievergoedingen!$L$12,Distributievergoedingen!$O$12)*AF154+SUM(Distributievergoedingen!$O$12*AA154+Distributievergoedingen!$R$12+Distributievergoedingen!$U$12+Distributievergoedingen!$X$12)/(MAX(36,12*C154))</f>
        <v>112.08333333333333</v>
      </c>
      <c r="BT154" s="150"/>
      <c r="BU154" s="150">
        <f t="shared" si="310"/>
        <v>214.16666666666669</v>
      </c>
      <c r="BW154" s="522">
        <f t="shared" si="311"/>
        <v>230.54147850000001</v>
      </c>
      <c r="BY154" s="527">
        <f t="shared" si="312"/>
        <v>790.29185483333333</v>
      </c>
      <c r="BZ154" s="181">
        <f t="shared" si="313"/>
        <v>0.77416344963265304</v>
      </c>
      <c r="CA154" s="520" t="b">
        <f t="shared" si="314"/>
        <v>0</v>
      </c>
    </row>
    <row r="155" spans="1:79" s="151" customFormat="1">
      <c r="A155" s="151" t="str">
        <f t="shared" si="315"/>
        <v>4EoKStandard Access koper 5mbMiddelOn-net (NLS1, 2)</v>
      </c>
      <c r="B155" s="151" t="str">
        <f t="shared" si="316"/>
        <v>4EoKStandard Access koper 5mbMiddelOn-net (NLS1, 2)</v>
      </c>
      <c r="C155" s="178">
        <v>4</v>
      </c>
      <c r="D155" s="415" t="s">
        <v>303</v>
      </c>
      <c r="E155" s="178" t="s">
        <v>276</v>
      </c>
      <c r="F155" s="107" t="s">
        <v>280</v>
      </c>
      <c r="G155" s="178" t="s">
        <v>281</v>
      </c>
      <c r="I155" s="178"/>
      <c r="J155" s="520" t="str">
        <f t="shared" si="328"/>
        <v>EoKStandard Access koper 5mbMiddelOn-net (NLS1, 2)</v>
      </c>
      <c r="L155" s="204">
        <f>INDEX(Mapping!$H:$H,MATCH(C$3&amp;C155,Mapping!$B:$B,0))</f>
        <v>1</v>
      </c>
      <c r="M155" s="204" t="str">
        <f>INDEX(Mapping!$H:$H,MATCH(D$3&amp;D155,Mapping!$B:$B,0))</f>
        <v>EoK</v>
      </c>
      <c r="N155" s="204" t="str">
        <f>INDEX(Mapping!$H:$H,MATCH(E$3&amp;E155,Mapping!$B:$B,0))</f>
        <v>Copper Standard Access 5Mbit/s</v>
      </c>
      <c r="O155" s="204" t="str">
        <f>INDEX(Mapping!$H:$H,MATCH(E155&amp;F155,Mapping!$B:$B,0))</f>
        <v/>
      </c>
      <c r="P155" s="204" t="str">
        <f>INDEX(Mapping!$H:$H,MATCH($E155&amp;$G155,Mapping!$B:$B,0))</f>
        <v>On-net (NLS1, 2)</v>
      </c>
      <c r="Q155" s="204">
        <f>INDEX(Mapping!$H:$H,MATCH($E155&amp;$G155&amp;"graafafstand",Mapping!$B:$B,0))</f>
        <v>0</v>
      </c>
      <c r="R155" s="204">
        <f>INDEX(Mapping!$H:$H,MATCH(R$3&amp;$E155,Mapping!$B:$B,0))</f>
        <v>1</v>
      </c>
      <c r="S155" s="204">
        <f>INDEX(Mapping!$H:$H,MATCH(S$3&amp;$E155,Mapping!$B:$B,0))</f>
        <v>1</v>
      </c>
      <c r="T155" s="139" t="str">
        <f t="shared" si="317"/>
        <v>Copper Standard Access 5Mbit/sOn-net (NLS1, 2)</v>
      </c>
      <c r="U155" s="151" t="str">
        <f t="shared" si="318"/>
        <v>Copper Standard Access 5Mbit/sOn-net (NLS1, 2)</v>
      </c>
      <c r="W155" s="521">
        <f>MATCH($J155,'Tarieven ZM'!$B:$B,0)</f>
        <v>155</v>
      </c>
      <c r="X155" s="204">
        <f>INDEX('Tarieven ZM'!$H:$H,$W155)</f>
        <v>1000</v>
      </c>
      <c r="Y155" s="198">
        <f>IF(E155="Standard Access in ZG BT gebieden",0,-INDEX(Parameters!$B:$B,MATCH(Y$3&amp;$C155,Parameters!$A:$A,0))*$X155)</f>
        <v>0</v>
      </c>
      <c r="Z155" s="198">
        <f>IF(E155="Standard Access in ZG BT gebieden",0,MAX(-INDEX(Parameters!$B:$B,MATCH(Z$3&amp;$C155,Parameters!$A:$A,0))*$X155,-INDEX(Parameters!$B:$B,MATCH("FactorMaxSalesMandaat"&amp;E155,Parameters!$A:$A,0))*INDEX(Parameters!$B:$B,MATCH("MaxSalesMandaatAccessVVE"&amp;$C155,Parameters!$A:$A,0))))</f>
        <v>0</v>
      </c>
      <c r="AA155" s="139">
        <f t="shared" si="319"/>
        <v>1000</v>
      </c>
      <c r="AB155" s="205">
        <f>AA155/INDEX(Parameters!$B:$B,MATCH("AfschrijftermijnVVE"&amp;12*$C155,Parameters!$A:$A,0))</f>
        <v>20.833333333333332</v>
      </c>
      <c r="AC155" s="204">
        <f>INDEX('Tarieven ZM'!$G:$G,$W155)</f>
        <v>1000</v>
      </c>
      <c r="AD155" s="198">
        <f>IF(E155="Standard Access in ZG BT gebieden",0,-INDEX(Parameters!$B:$B,MATCH(AD$3&amp;$C155,Parameters!$A:$A,0))*$AC155)</f>
        <v>0</v>
      </c>
      <c r="AE155" s="198">
        <f>IF(E155="Standard Access in ZG BT gebieden",0,-INDEX(Parameters!$B:$B,MATCH(AE$3,Parameters!$A:$A,0))*$AC155)</f>
        <v>0</v>
      </c>
      <c r="AF155" s="139">
        <f t="shared" si="320"/>
        <v>1000</v>
      </c>
      <c r="AG155" s="522">
        <f t="shared" si="321"/>
        <v>1020.8333333333334</v>
      </c>
      <c r="AH155" s="175"/>
      <c r="AI155" s="523">
        <f>IF(N155&lt;&gt;"nvt",MATCH($T155,'Tarieven W&amp;O'!$B:$B,0),"nvt")</f>
        <v>10</v>
      </c>
      <c r="AJ155" s="205">
        <f>IF(AI155&lt;&gt;"nvt",IF($D155="EoK",INDEX(Parameters!C:C,MATCH("NLSx EoK",Parameters!A:A,0)),INDEX('Tarieven W&amp;O'!$H:$H,$AI155)),0)*R155</f>
        <v>350</v>
      </c>
      <c r="AK155" s="204">
        <f>IF(AI155&lt;&gt;"nvt",INDEX('Tarieven W&amp;O'!$I:$I,$AI155),0)*R155</f>
        <v>75</v>
      </c>
      <c r="AL155" s="524">
        <f>IF(AI155&lt;&gt;"nvt",-INDEX(Parameters!$B:$B,MATCH(AL$3,Parameters!$A:$A,0))*(AJ155+AK155),0)</f>
        <v>0</v>
      </c>
      <c r="AM155" s="525"/>
      <c r="AN155" s="139">
        <f t="shared" si="322"/>
        <v>425</v>
      </c>
      <c r="AO155" s="205">
        <f>AN155/INDEX(Parameters!$B:$B,MATCH("AfschrijftermijnVVE"&amp;12*$C155,Parameters!$A:$A,0))</f>
        <v>8.8541666666666661</v>
      </c>
      <c r="AP155" s="139">
        <f t="shared" si="323"/>
        <v>10</v>
      </c>
      <c r="AQ155" s="526">
        <f>IF(AP155&lt;&gt;"nvt",R155*INDEX('Tarieven W&amp;O'!$G:$G,$AP155),0)</f>
        <v>60.97</v>
      </c>
      <c r="AR155" s="524">
        <f>-INDEX(Parameters!$B:$B,MATCH(AR$3,Parameters!$A:$A,0))*(AQ155)</f>
        <v>0</v>
      </c>
      <c r="AS155" s="205">
        <f>IF(E155="straal access",'EDC Minus'!$H$192,IF(Q155&lt;&gt;"nvt",Q155*S155*'EDC Minus'!$H$292/590,0))</f>
        <v>0</v>
      </c>
      <c r="AT155" s="139"/>
      <c r="AU155" s="150">
        <f t="shared" si="324"/>
        <v>60.97</v>
      </c>
      <c r="AV155" s="150">
        <f t="shared" si="325"/>
        <v>69.82416666666667</v>
      </c>
      <c r="AX155" s="526">
        <f>Parameters!$B$6*AV155</f>
        <v>0.69824166666666676</v>
      </c>
      <c r="AY155" s="150">
        <v>0</v>
      </c>
      <c r="AZ155" s="150"/>
      <c r="BA155" s="150">
        <f t="shared" si="326"/>
        <v>0.69824166666666676</v>
      </c>
      <c r="BC155" s="522">
        <f t="shared" si="308"/>
        <v>70.522408333333331</v>
      </c>
      <c r="BD155" s="175"/>
      <c r="BE155" s="527">
        <f t="shared" si="293"/>
        <v>950.310925</v>
      </c>
      <c r="BF155" s="181">
        <f t="shared" si="294"/>
        <v>0.93091682448979585</v>
      </c>
      <c r="BG155" s="520" t="b">
        <f t="shared" si="327"/>
        <v>0</v>
      </c>
      <c r="BI155" s="528" t="s">
        <v>2181</v>
      </c>
      <c r="BK155" s="151">
        <f>VLOOKUP(J155,'Tarieven ZM'!$B$136:$I$235,8,0)</f>
        <v>0</v>
      </c>
      <c r="BL155" s="151" t="str">
        <f>IF(M155="EoK",N155&amp;"AdvancedNLS type 1/2/3",IF(E155&lt;&gt;"Straal Access",INDEX(Mapping!J:J,MATCH(E155&amp;G155,Mapping!B:B,0)),E155))</f>
        <v>Copper Standard Access 5Mbit/sAdvancedNLS type 1/2/3</v>
      </c>
      <c r="BM155" s="184">
        <f>INDEX('inkoop ULL tbv EVPN'!J:J,MATCH($BL155,'inkoop ULL tbv EVPN'!$H:$H,0))</f>
        <v>78.97</v>
      </c>
      <c r="BN155" s="180">
        <f>BM155/INDEX(Parameters!$B:$B,MATCH("AfschrijftermijnVVE"&amp;12*$C155,Parameters!$A:$A,0))</f>
        <v>1.6452083333333334</v>
      </c>
      <c r="BO155" s="184">
        <f>INDEX('inkoop ULL tbv EVPN'!I:I,MATCH($BL155,'inkoop ULL tbv EVPN'!$H:$H,0))</f>
        <v>14.7296035</v>
      </c>
      <c r="BP155" s="184">
        <f t="shared" si="309"/>
        <v>16.374811833333332</v>
      </c>
      <c r="BR155" s="180">
        <f>Parameters!$B$12*AG155</f>
        <v>102.08333333333334</v>
      </c>
      <c r="BS155" s="180">
        <f>SUM(Distributievergoedingen!$F$12,Distributievergoedingen!$I$12,Distributievergoedingen!$L$12,Distributievergoedingen!$O$12)*AF155+SUM(Distributievergoedingen!$O$12*AA155+Distributievergoedingen!$R$12+Distributievergoedingen!$U$12+Distributievergoedingen!$X$12)/(MAX(36,12*C155))</f>
        <v>112.08333333333333</v>
      </c>
      <c r="BT155" s="150"/>
      <c r="BU155" s="150">
        <f t="shared" si="310"/>
        <v>214.16666666666669</v>
      </c>
      <c r="BW155" s="522">
        <f t="shared" si="311"/>
        <v>230.54147850000001</v>
      </c>
      <c r="BY155" s="527">
        <f t="shared" si="312"/>
        <v>790.29185483333333</v>
      </c>
      <c r="BZ155" s="181">
        <f t="shared" si="313"/>
        <v>0.77416344963265304</v>
      </c>
      <c r="CA155" s="520" t="b">
        <f t="shared" si="314"/>
        <v>0</v>
      </c>
    </row>
    <row r="156" spans="1:79" s="151" customFormat="1">
      <c r="A156" s="151" t="str">
        <f t="shared" si="315"/>
        <v>4EoKStandard Access koper 10mbMiddelOn-net (NLS1, 2)</v>
      </c>
      <c r="B156" s="151" t="str">
        <f t="shared" si="316"/>
        <v>4EoKStandard Access koper 10mbMiddelOn-net (NLS1, 2)</v>
      </c>
      <c r="C156" s="178">
        <v>4</v>
      </c>
      <c r="D156" s="415" t="s">
        <v>303</v>
      </c>
      <c r="E156" s="178" t="s">
        <v>277</v>
      </c>
      <c r="F156" s="107" t="s">
        <v>280</v>
      </c>
      <c r="G156" s="178" t="s">
        <v>281</v>
      </c>
      <c r="I156" s="178"/>
      <c r="J156" s="520" t="str">
        <f t="shared" si="328"/>
        <v>EoKStandard Access koper 10mbMiddelOn-net (NLS1, 2)</v>
      </c>
      <c r="L156" s="204">
        <f>INDEX(Mapping!$H:$H,MATCH(C$3&amp;C156,Mapping!$B:$B,0))</f>
        <v>1</v>
      </c>
      <c r="M156" s="204" t="str">
        <f>INDEX(Mapping!$H:$H,MATCH(D$3&amp;D156,Mapping!$B:$B,0))</f>
        <v>EoK</v>
      </c>
      <c r="N156" s="204" t="str">
        <f>INDEX(Mapping!$H:$H,MATCH(E$3&amp;E156,Mapping!$B:$B,0))</f>
        <v>Copper Standard Access 10Mbit/s</v>
      </c>
      <c r="O156" s="204" t="str">
        <f>INDEX(Mapping!$H:$H,MATCH(E156&amp;F156,Mapping!$B:$B,0))</f>
        <v/>
      </c>
      <c r="P156" s="204" t="str">
        <f>INDEX(Mapping!$H:$H,MATCH($E156&amp;$G156,Mapping!$B:$B,0))</f>
        <v>On-net (NLS1, 2)</v>
      </c>
      <c r="Q156" s="204">
        <f>INDEX(Mapping!$H:$H,MATCH($E156&amp;$G156&amp;"graafafstand",Mapping!$B:$B,0))</f>
        <v>0</v>
      </c>
      <c r="R156" s="204">
        <f>INDEX(Mapping!$H:$H,MATCH(R$3&amp;$E156,Mapping!$B:$B,0))</f>
        <v>1</v>
      </c>
      <c r="S156" s="204">
        <f>INDEX(Mapping!$H:$H,MATCH(S$3&amp;$E156,Mapping!$B:$B,0))</f>
        <v>1</v>
      </c>
      <c r="T156" s="139" t="str">
        <f t="shared" si="317"/>
        <v>Copper Standard Access 10Mbit/sOn-net (NLS1, 2)</v>
      </c>
      <c r="U156" s="151" t="str">
        <f t="shared" si="318"/>
        <v>Copper Standard Access 10Mbit/sOn-net (NLS1, 2)</v>
      </c>
      <c r="W156" s="521">
        <f>MATCH($J156,'Tarieven ZM'!$B:$B,0)</f>
        <v>156</v>
      </c>
      <c r="X156" s="204">
        <f>INDEX('Tarieven ZM'!$H:$H,$W156)</f>
        <v>1000</v>
      </c>
      <c r="Y156" s="198">
        <f>IF(E156="Standard Access in ZG BT gebieden",0,-INDEX(Parameters!$B:$B,MATCH(Y$3&amp;$C156,Parameters!$A:$A,0))*$X156)</f>
        <v>0</v>
      </c>
      <c r="Z156" s="198">
        <f>IF(E156="Standard Access in ZG BT gebieden",0,MAX(-INDEX(Parameters!$B:$B,MATCH(Z$3&amp;$C156,Parameters!$A:$A,0))*$X156,-INDEX(Parameters!$B:$B,MATCH("FactorMaxSalesMandaat"&amp;E156,Parameters!$A:$A,0))*INDEX(Parameters!$B:$B,MATCH("MaxSalesMandaatAccessVVE"&amp;$C156,Parameters!$A:$A,0))))</f>
        <v>0</v>
      </c>
      <c r="AA156" s="139">
        <f t="shared" si="319"/>
        <v>1000</v>
      </c>
      <c r="AB156" s="205">
        <f>AA156/INDEX(Parameters!$B:$B,MATCH("AfschrijftermijnVVE"&amp;12*$C156,Parameters!$A:$A,0))</f>
        <v>20.833333333333332</v>
      </c>
      <c r="AC156" s="204">
        <f>INDEX('Tarieven ZM'!$G:$G,$W156)</f>
        <v>1000</v>
      </c>
      <c r="AD156" s="198">
        <f>IF(E156="Standard Access in ZG BT gebieden",0,-INDEX(Parameters!$B:$B,MATCH(AD$3&amp;$C156,Parameters!$A:$A,0))*$AC156)</f>
        <v>0</v>
      </c>
      <c r="AE156" s="198">
        <f>IF(E156="Standard Access in ZG BT gebieden",0,-INDEX(Parameters!$B:$B,MATCH(AE$3,Parameters!$A:$A,0))*$AC156)</f>
        <v>0</v>
      </c>
      <c r="AF156" s="139">
        <f t="shared" si="320"/>
        <v>1000</v>
      </c>
      <c r="AG156" s="522">
        <f t="shared" si="321"/>
        <v>1020.8333333333334</v>
      </c>
      <c r="AH156" s="175"/>
      <c r="AI156" s="523">
        <f>IF(N156&lt;&gt;"nvt",MATCH($T156,'Tarieven W&amp;O'!$B:$B,0),"nvt")</f>
        <v>11</v>
      </c>
      <c r="AJ156" s="205">
        <f>IF(AI156&lt;&gt;"nvt",IF($D156="EoK",INDEX(Parameters!C:C,MATCH("NLSx EoK",Parameters!A:A,0)),INDEX('Tarieven W&amp;O'!$H:$H,$AI156)),0)*R156</f>
        <v>350</v>
      </c>
      <c r="AK156" s="204">
        <f>IF(AI156&lt;&gt;"nvt",INDEX('Tarieven W&amp;O'!$I:$I,$AI156),0)*R156</f>
        <v>75</v>
      </c>
      <c r="AL156" s="524">
        <f>IF(AI156&lt;&gt;"nvt",-INDEX(Parameters!$B:$B,MATCH(AL$3,Parameters!$A:$A,0))*(AJ156+AK156),0)</f>
        <v>0</v>
      </c>
      <c r="AM156" s="525"/>
      <c r="AN156" s="139">
        <f t="shared" si="322"/>
        <v>425</v>
      </c>
      <c r="AO156" s="205">
        <f>AN156/INDEX(Parameters!$B:$B,MATCH("AfschrijftermijnVVE"&amp;12*$C156,Parameters!$A:$A,0))</f>
        <v>8.8541666666666661</v>
      </c>
      <c r="AP156" s="139">
        <f t="shared" si="323"/>
        <v>11</v>
      </c>
      <c r="AQ156" s="526">
        <f>IF(AP156&lt;&gt;"nvt",R156*INDEX('Tarieven W&amp;O'!$G:$G,$AP156),0)</f>
        <v>83.59</v>
      </c>
      <c r="AR156" s="524">
        <f>-INDEX(Parameters!$B:$B,MATCH(AR$3,Parameters!$A:$A,0))*(AQ156)</f>
        <v>0</v>
      </c>
      <c r="AS156" s="205">
        <f>IF(E156="straal access",'EDC Minus'!$H$192,IF(Q156&lt;&gt;"nvt",Q156*S156*'EDC Minus'!$H$292/590,0))</f>
        <v>0</v>
      </c>
      <c r="AT156" s="139"/>
      <c r="AU156" s="150">
        <f t="shared" si="324"/>
        <v>83.59</v>
      </c>
      <c r="AV156" s="150">
        <f t="shared" si="325"/>
        <v>92.444166666666675</v>
      </c>
      <c r="AX156" s="526">
        <f>Parameters!$B$6*AV156</f>
        <v>0.92444166666666672</v>
      </c>
      <c r="AY156" s="150">
        <v>0</v>
      </c>
      <c r="AZ156" s="150"/>
      <c r="BA156" s="150">
        <f t="shared" si="326"/>
        <v>0.92444166666666672</v>
      </c>
      <c r="BC156" s="522">
        <f t="shared" si="308"/>
        <v>93.368608333333341</v>
      </c>
      <c r="BD156" s="175"/>
      <c r="BE156" s="527">
        <f t="shared" si="293"/>
        <v>927.46472500000004</v>
      </c>
      <c r="BF156" s="181">
        <f t="shared" si="294"/>
        <v>0.90853687346938772</v>
      </c>
      <c r="BG156" s="520" t="b">
        <f t="shared" si="327"/>
        <v>0</v>
      </c>
      <c r="BI156" s="528" t="s">
        <v>2181</v>
      </c>
      <c r="BK156" s="151">
        <f>VLOOKUP(J156,'Tarieven ZM'!$B$136:$I$235,8,0)</f>
        <v>0</v>
      </c>
      <c r="BL156" s="151" t="str">
        <f>IF(M156="EoK",N156&amp;"AdvancedNLS type 1/2/3",IF(E156&lt;&gt;"Straal Access",INDEX(Mapping!J:J,MATCH(E156&amp;G156,Mapping!B:B,0)),E156))</f>
        <v>Copper Standard Access 10Mbit/sAdvancedNLS type 1/2/3</v>
      </c>
      <c r="BM156" s="184">
        <f>INDEX('inkoop ULL tbv EVPN'!J:J,MATCH($BL156,'inkoop ULL tbv EVPN'!$H:$H,0))</f>
        <v>78.97</v>
      </c>
      <c r="BN156" s="180">
        <f>BM156/INDEX(Parameters!$B:$B,MATCH("AfschrijftermijnVVE"&amp;12*$C156,Parameters!$A:$A,0))</f>
        <v>1.6452083333333334</v>
      </c>
      <c r="BO156" s="184">
        <f>INDEX('inkoop ULL tbv EVPN'!I:I,MATCH($BL156,'inkoop ULL tbv EVPN'!$H:$H,0))</f>
        <v>14.7296035</v>
      </c>
      <c r="BP156" s="184">
        <f t="shared" si="309"/>
        <v>16.374811833333332</v>
      </c>
      <c r="BR156" s="180">
        <f>Parameters!$B$12*AG156</f>
        <v>102.08333333333334</v>
      </c>
      <c r="BS156" s="180">
        <f>SUM(Distributievergoedingen!$F$12,Distributievergoedingen!$I$12,Distributievergoedingen!$L$12,Distributievergoedingen!$O$12)*AF156+SUM(Distributievergoedingen!$O$12*AA156+Distributievergoedingen!$R$12+Distributievergoedingen!$U$12+Distributievergoedingen!$X$12)/(MAX(36,12*C156))</f>
        <v>112.08333333333333</v>
      </c>
      <c r="BT156" s="150"/>
      <c r="BU156" s="150">
        <f t="shared" si="310"/>
        <v>214.16666666666669</v>
      </c>
      <c r="BW156" s="522">
        <f t="shared" si="311"/>
        <v>230.54147850000001</v>
      </c>
      <c r="BY156" s="527">
        <f t="shared" si="312"/>
        <v>790.29185483333333</v>
      </c>
      <c r="BZ156" s="181">
        <f t="shared" si="313"/>
        <v>0.77416344963265304</v>
      </c>
      <c r="CA156" s="520" t="b">
        <f t="shared" si="314"/>
        <v>0</v>
      </c>
    </row>
    <row r="157" spans="1:79" s="151" customFormat="1">
      <c r="A157" s="151" t="str">
        <f t="shared" si="315"/>
        <v>4EoKStandard Access koper 15mbMiddelOn-net (NLS1, 2)</v>
      </c>
      <c r="B157" s="151" t="str">
        <f t="shared" si="316"/>
        <v>4EoKStandard Access koper 15mbMiddelOn-net (NLS1, 2)</v>
      </c>
      <c r="C157" s="178">
        <v>4</v>
      </c>
      <c r="D157" s="415" t="s">
        <v>303</v>
      </c>
      <c r="E157" s="178" t="s">
        <v>278</v>
      </c>
      <c r="F157" s="107" t="s">
        <v>280</v>
      </c>
      <c r="G157" s="178" t="s">
        <v>281</v>
      </c>
      <c r="I157" s="178"/>
      <c r="J157" s="520" t="str">
        <f t="shared" si="328"/>
        <v>EoKStandard Access koper 15mbMiddelOn-net (NLS1, 2)</v>
      </c>
      <c r="L157" s="204">
        <f>INDEX(Mapping!$H:$H,MATCH(C$3&amp;C157,Mapping!$B:$B,0))</f>
        <v>1</v>
      </c>
      <c r="M157" s="204" t="str">
        <f>INDEX(Mapping!$H:$H,MATCH(D$3&amp;D157,Mapping!$B:$B,0))</f>
        <v>EoK</v>
      </c>
      <c r="N157" s="204" t="str">
        <f>INDEX(Mapping!$H:$H,MATCH(E$3&amp;E157,Mapping!$B:$B,0))</f>
        <v>Copper Standard Access 15Mbit/s</v>
      </c>
      <c r="O157" s="204" t="str">
        <f>INDEX(Mapping!$H:$H,MATCH(E157&amp;F157,Mapping!$B:$B,0))</f>
        <v/>
      </c>
      <c r="P157" s="204" t="str">
        <f>INDEX(Mapping!$H:$H,MATCH($E157&amp;$G157,Mapping!$B:$B,0))</f>
        <v>On-net (NLS1, 2)</v>
      </c>
      <c r="Q157" s="204">
        <f>INDEX(Mapping!$H:$H,MATCH($E157&amp;$G157&amp;"graafafstand",Mapping!$B:$B,0))</f>
        <v>0</v>
      </c>
      <c r="R157" s="204">
        <f>INDEX(Mapping!$H:$H,MATCH(R$3&amp;$E157,Mapping!$B:$B,0))</f>
        <v>1</v>
      </c>
      <c r="S157" s="204">
        <f>INDEX(Mapping!$H:$H,MATCH(S$3&amp;$E157,Mapping!$B:$B,0))</f>
        <v>1</v>
      </c>
      <c r="T157" s="139" t="str">
        <f t="shared" si="317"/>
        <v>Copper Standard Access 15Mbit/sOn-net (NLS1, 2)</v>
      </c>
      <c r="U157" s="151" t="str">
        <f t="shared" si="318"/>
        <v>Copper Standard Access 15Mbit/sOn-net (NLS1, 2)</v>
      </c>
      <c r="W157" s="521">
        <f>MATCH($J157,'Tarieven ZM'!$B:$B,0)</f>
        <v>157</v>
      </c>
      <c r="X157" s="204">
        <f>INDEX('Tarieven ZM'!$H:$H,$W157)</f>
        <v>1000</v>
      </c>
      <c r="Y157" s="198">
        <f>IF(E157="Standard Access in ZG BT gebieden",0,-INDEX(Parameters!$B:$B,MATCH(Y$3&amp;$C157,Parameters!$A:$A,0))*$X157)</f>
        <v>0</v>
      </c>
      <c r="Z157" s="198">
        <f>IF(E157="Standard Access in ZG BT gebieden",0,MAX(-INDEX(Parameters!$B:$B,MATCH(Z$3&amp;$C157,Parameters!$A:$A,0))*$X157,-INDEX(Parameters!$B:$B,MATCH("FactorMaxSalesMandaat"&amp;E157,Parameters!$A:$A,0))*INDEX(Parameters!$B:$B,MATCH("MaxSalesMandaatAccessVVE"&amp;$C157,Parameters!$A:$A,0))))</f>
        <v>0</v>
      </c>
      <c r="AA157" s="139">
        <f t="shared" si="319"/>
        <v>1000</v>
      </c>
      <c r="AB157" s="205">
        <f>AA157/INDEX(Parameters!$B:$B,MATCH("AfschrijftermijnVVE"&amp;12*$C157,Parameters!$A:$A,0))</f>
        <v>20.833333333333332</v>
      </c>
      <c r="AC157" s="204">
        <f>INDEX('Tarieven ZM'!$G:$G,$W157)</f>
        <v>1000</v>
      </c>
      <c r="AD157" s="198">
        <f>IF(E157="Standard Access in ZG BT gebieden",0,-INDEX(Parameters!$B:$B,MATCH(AD$3&amp;$C157,Parameters!$A:$A,0))*$AC157)</f>
        <v>0</v>
      </c>
      <c r="AE157" s="198">
        <f>IF(E157="Standard Access in ZG BT gebieden",0,-INDEX(Parameters!$B:$B,MATCH(AE$3,Parameters!$A:$A,0))*$AC157)</f>
        <v>0</v>
      </c>
      <c r="AF157" s="139">
        <f t="shared" si="320"/>
        <v>1000</v>
      </c>
      <c r="AG157" s="522">
        <f t="shared" si="321"/>
        <v>1020.8333333333334</v>
      </c>
      <c r="AH157" s="175"/>
      <c r="AI157" s="523">
        <f>IF(N157&lt;&gt;"nvt",MATCH($T157,'Tarieven W&amp;O'!$B:$B,0),"nvt")</f>
        <v>12</v>
      </c>
      <c r="AJ157" s="205">
        <f>IF(AI157&lt;&gt;"nvt",IF($D157="EoK",INDEX(Parameters!C:C,MATCH("NLSx EoK",Parameters!A:A,0)),INDEX('Tarieven W&amp;O'!$H:$H,$AI157)),0)*R157</f>
        <v>350</v>
      </c>
      <c r="AK157" s="204">
        <f>IF(AI157&lt;&gt;"nvt",INDEX('Tarieven W&amp;O'!$I:$I,$AI157),0)*R157</f>
        <v>75</v>
      </c>
      <c r="AL157" s="524">
        <f>IF(AI157&lt;&gt;"nvt",-INDEX(Parameters!$B:$B,MATCH(AL$3,Parameters!$A:$A,0))*(AJ157+AK157),0)</f>
        <v>0</v>
      </c>
      <c r="AM157" s="525"/>
      <c r="AN157" s="139">
        <f t="shared" si="322"/>
        <v>425</v>
      </c>
      <c r="AO157" s="205">
        <f>AN157/INDEX(Parameters!$B:$B,MATCH("AfschrijftermijnVVE"&amp;12*$C157,Parameters!$A:$A,0))</f>
        <v>8.8541666666666661</v>
      </c>
      <c r="AP157" s="139">
        <f t="shared" si="323"/>
        <v>12</v>
      </c>
      <c r="AQ157" s="526">
        <f>IF(AP157&lt;&gt;"nvt",R157*INDEX('Tarieven W&amp;O'!$G:$G,$AP157),0)</f>
        <v>102.44</v>
      </c>
      <c r="AR157" s="524">
        <f>-INDEX(Parameters!$B:$B,MATCH(AR$3,Parameters!$A:$A,0))*(AQ157)</f>
        <v>0</v>
      </c>
      <c r="AS157" s="205">
        <f>IF(E157="straal access",'EDC Minus'!$H$192,IF(Q157&lt;&gt;"nvt",Q157*S157*'EDC Minus'!$H$292/590,0))</f>
        <v>0</v>
      </c>
      <c r="AT157" s="139"/>
      <c r="AU157" s="150">
        <f t="shared" si="324"/>
        <v>102.44</v>
      </c>
      <c r="AV157" s="150">
        <f t="shared" si="325"/>
        <v>111.29416666666667</v>
      </c>
      <c r="AX157" s="526">
        <f>Parameters!$B$6*AV157</f>
        <v>1.1129416666666667</v>
      </c>
      <c r="AY157" s="150">
        <v>0</v>
      </c>
      <c r="AZ157" s="150"/>
      <c r="BA157" s="150">
        <f t="shared" si="326"/>
        <v>1.1129416666666667</v>
      </c>
      <c r="BC157" s="522">
        <f t="shared" si="308"/>
        <v>112.40710833333334</v>
      </c>
      <c r="BD157" s="175"/>
      <c r="BE157" s="527">
        <f t="shared" si="293"/>
        <v>908.42622500000004</v>
      </c>
      <c r="BF157" s="181">
        <f t="shared" si="294"/>
        <v>0.88988691428571431</v>
      </c>
      <c r="BG157" s="520" t="b">
        <f t="shared" si="327"/>
        <v>0</v>
      </c>
      <c r="BI157" s="528" t="s">
        <v>2181</v>
      </c>
      <c r="BK157" s="151">
        <f>VLOOKUP(J157,'Tarieven ZM'!$B$136:$I$235,8,0)</f>
        <v>0</v>
      </c>
      <c r="BL157" s="151" t="str">
        <f>IF(M157="EoK",N157&amp;"AdvancedNLS type 1/2/3",IF(E157&lt;&gt;"Straal Access",INDEX(Mapping!J:J,MATCH(E157&amp;G157,Mapping!B:B,0)),E157))</f>
        <v>Copper Standard Access 15Mbit/sAdvancedNLS type 1/2/3</v>
      </c>
      <c r="BM157" s="184">
        <f>INDEX('inkoop ULL tbv EVPN'!J:J,MATCH($BL157,'inkoop ULL tbv EVPN'!$H:$H,0))</f>
        <v>78.97</v>
      </c>
      <c r="BN157" s="180">
        <f>BM157/INDEX(Parameters!$B:$B,MATCH("AfschrijftermijnVVE"&amp;12*$C157,Parameters!$A:$A,0))</f>
        <v>1.6452083333333334</v>
      </c>
      <c r="BO157" s="184">
        <f>INDEX('inkoop ULL tbv EVPN'!I:I,MATCH($BL157,'inkoop ULL tbv EVPN'!$H:$H,0))</f>
        <v>14.7296035</v>
      </c>
      <c r="BP157" s="184">
        <f t="shared" si="309"/>
        <v>16.374811833333332</v>
      </c>
      <c r="BR157" s="180">
        <f>Parameters!$B$12*AG157</f>
        <v>102.08333333333334</v>
      </c>
      <c r="BS157" s="180">
        <f>SUM(Distributievergoedingen!$F$12,Distributievergoedingen!$I$12,Distributievergoedingen!$L$12,Distributievergoedingen!$O$12)*AF157+SUM(Distributievergoedingen!$O$12*AA157+Distributievergoedingen!$R$12+Distributievergoedingen!$U$12+Distributievergoedingen!$X$12)/(MAX(36,12*C157))</f>
        <v>112.08333333333333</v>
      </c>
      <c r="BT157" s="150"/>
      <c r="BU157" s="150">
        <f t="shared" si="310"/>
        <v>214.16666666666669</v>
      </c>
      <c r="BW157" s="522">
        <f t="shared" si="311"/>
        <v>230.54147850000001</v>
      </c>
      <c r="BY157" s="527">
        <f t="shared" si="312"/>
        <v>790.29185483333333</v>
      </c>
      <c r="BZ157" s="181">
        <f t="shared" si="313"/>
        <v>0.77416344963265304</v>
      </c>
      <c r="CA157" s="520" t="b">
        <f t="shared" si="314"/>
        <v>0</v>
      </c>
    </row>
    <row r="158" spans="1:79" s="151" customFormat="1">
      <c r="A158" s="151" t="str">
        <f t="shared" si="315"/>
        <v>4EoKStandard Access koper 20mbMiddelOn-net (NLS1, 2)</v>
      </c>
      <c r="B158" s="151" t="str">
        <f t="shared" si="316"/>
        <v>4EoKStandard Access koper 20mbMiddelOn-net (NLS1, 2)</v>
      </c>
      <c r="C158" s="178">
        <v>4</v>
      </c>
      <c r="D158" s="415" t="s">
        <v>303</v>
      </c>
      <c r="E158" s="178" t="s">
        <v>279</v>
      </c>
      <c r="F158" s="107" t="s">
        <v>280</v>
      </c>
      <c r="G158" s="178" t="s">
        <v>281</v>
      </c>
      <c r="I158" s="178"/>
      <c r="J158" s="520" t="str">
        <f t="shared" si="328"/>
        <v>EoKStandard Access koper 20mbMiddelOn-net (NLS1, 2)</v>
      </c>
      <c r="L158" s="204">
        <f>INDEX(Mapping!$H:$H,MATCH(C$3&amp;C158,Mapping!$B:$B,0))</f>
        <v>1</v>
      </c>
      <c r="M158" s="204" t="str">
        <f>INDEX(Mapping!$H:$H,MATCH(D$3&amp;D158,Mapping!$B:$B,0))</f>
        <v>EoK</v>
      </c>
      <c r="N158" s="204" t="str">
        <f>INDEX(Mapping!$H:$H,MATCH(E$3&amp;E158,Mapping!$B:$B,0))</f>
        <v>Copper Standard Access 20Mbit/s</v>
      </c>
      <c r="O158" s="204" t="str">
        <f>INDEX(Mapping!$H:$H,MATCH(E158&amp;F158,Mapping!$B:$B,0))</f>
        <v/>
      </c>
      <c r="P158" s="204" t="str">
        <f>INDEX(Mapping!$H:$H,MATCH($E158&amp;$G158,Mapping!$B:$B,0))</f>
        <v>On-net (NLS1, 2)</v>
      </c>
      <c r="Q158" s="204">
        <f>INDEX(Mapping!$H:$H,MATCH($E158&amp;$G158&amp;"graafafstand",Mapping!$B:$B,0))</f>
        <v>0</v>
      </c>
      <c r="R158" s="204">
        <f>INDEX(Mapping!$H:$H,MATCH(R$3&amp;$E158,Mapping!$B:$B,0))</f>
        <v>1</v>
      </c>
      <c r="S158" s="204">
        <f>INDEX(Mapping!$H:$H,MATCH(S$3&amp;$E158,Mapping!$B:$B,0))</f>
        <v>1</v>
      </c>
      <c r="T158" s="139" t="str">
        <f t="shared" si="317"/>
        <v>Copper Standard Access 20Mbit/sOn-net (NLS1, 2)</v>
      </c>
      <c r="U158" s="151" t="str">
        <f t="shared" si="318"/>
        <v>Copper Standard Access 20Mbit/sOn-net (NLS1, 2)</v>
      </c>
      <c r="W158" s="521">
        <f>MATCH($J158,'Tarieven ZM'!$B:$B,0)</f>
        <v>158</v>
      </c>
      <c r="X158" s="204">
        <f>INDEX('Tarieven ZM'!$H:$H,$W158)</f>
        <v>1000</v>
      </c>
      <c r="Y158" s="198">
        <f>IF(E158="Standard Access in ZG BT gebieden",0,-INDEX(Parameters!$B:$B,MATCH(Y$3&amp;$C158,Parameters!$A:$A,0))*$X158)</f>
        <v>0</v>
      </c>
      <c r="Z158" s="198">
        <f>IF(E158="Standard Access in ZG BT gebieden",0,MAX(-INDEX(Parameters!$B:$B,MATCH(Z$3&amp;$C158,Parameters!$A:$A,0))*$X158,-INDEX(Parameters!$B:$B,MATCH("FactorMaxSalesMandaat"&amp;E158,Parameters!$A:$A,0))*INDEX(Parameters!$B:$B,MATCH("MaxSalesMandaatAccessVVE"&amp;$C158,Parameters!$A:$A,0))))</f>
        <v>0</v>
      </c>
      <c r="AA158" s="139">
        <f t="shared" si="319"/>
        <v>1000</v>
      </c>
      <c r="AB158" s="205">
        <f>AA158/INDEX(Parameters!$B:$B,MATCH("AfschrijftermijnVVE"&amp;12*$C158,Parameters!$A:$A,0))</f>
        <v>20.833333333333332</v>
      </c>
      <c r="AC158" s="204">
        <f>INDEX('Tarieven ZM'!$G:$G,$W158)</f>
        <v>1000</v>
      </c>
      <c r="AD158" s="198">
        <f>IF(E158="Standard Access in ZG BT gebieden",0,-INDEX(Parameters!$B:$B,MATCH(AD$3&amp;$C158,Parameters!$A:$A,0))*$AC158)</f>
        <v>0</v>
      </c>
      <c r="AE158" s="198">
        <f>IF(E158="Standard Access in ZG BT gebieden",0,-INDEX(Parameters!$B:$B,MATCH(AE$3,Parameters!$A:$A,0))*$AC158)</f>
        <v>0</v>
      </c>
      <c r="AF158" s="139">
        <f t="shared" si="320"/>
        <v>1000</v>
      </c>
      <c r="AG158" s="522">
        <f t="shared" si="321"/>
        <v>1020.8333333333334</v>
      </c>
      <c r="AH158" s="175"/>
      <c r="AI158" s="523">
        <f>IF(N158&lt;&gt;"nvt",MATCH($T158,'Tarieven W&amp;O'!$B:$B,0),"nvt")</f>
        <v>13</v>
      </c>
      <c r="AJ158" s="205">
        <f>IF(AI158&lt;&gt;"nvt",IF($D158="EoK",INDEX(Parameters!C:C,MATCH("NLSx EoK",Parameters!A:A,0)),INDEX('Tarieven W&amp;O'!$H:$H,$AI158)),0)*R158</f>
        <v>350</v>
      </c>
      <c r="AK158" s="204">
        <f>IF(AI158&lt;&gt;"nvt",INDEX('Tarieven W&amp;O'!$I:$I,$AI158),0)*R158</f>
        <v>75</v>
      </c>
      <c r="AL158" s="524">
        <f>IF(AI158&lt;&gt;"nvt",-INDEX(Parameters!$B:$B,MATCH(AL$3,Parameters!$A:$A,0))*(AJ158+AK158),0)</f>
        <v>0</v>
      </c>
      <c r="AM158" s="525"/>
      <c r="AN158" s="139">
        <f t="shared" si="322"/>
        <v>425</v>
      </c>
      <c r="AO158" s="205">
        <f>AN158/INDEX(Parameters!$B:$B,MATCH("AfschrijftermijnVVE"&amp;12*$C158,Parameters!$A:$A,0))</f>
        <v>8.8541666666666661</v>
      </c>
      <c r="AP158" s="139">
        <f t="shared" si="323"/>
        <v>13</v>
      </c>
      <c r="AQ158" s="526">
        <f>IF(AP158&lt;&gt;"nvt",R158*INDEX('Tarieven W&amp;O'!$G:$G,$AP158),0)</f>
        <v>121.28</v>
      </c>
      <c r="AR158" s="524">
        <f>-INDEX(Parameters!$B:$B,MATCH(AR$3,Parameters!$A:$A,0))*(AQ158)</f>
        <v>0</v>
      </c>
      <c r="AS158" s="205">
        <f>IF(E158="straal access",'EDC Minus'!$H$192,IF(Q158&lt;&gt;"nvt",Q158*S158*'EDC Minus'!$H$292/590,0))</f>
        <v>0</v>
      </c>
      <c r="AT158" s="139"/>
      <c r="AU158" s="150">
        <f t="shared" si="324"/>
        <v>121.28</v>
      </c>
      <c r="AV158" s="150">
        <f t="shared" si="325"/>
        <v>130.13416666666666</v>
      </c>
      <c r="AX158" s="526">
        <f>Parameters!$B$6*AV158</f>
        <v>1.3013416666666666</v>
      </c>
      <c r="AY158" s="150">
        <v>0</v>
      </c>
      <c r="AZ158" s="150"/>
      <c r="BA158" s="150">
        <f t="shared" si="326"/>
        <v>1.3013416666666666</v>
      </c>
      <c r="BC158" s="522">
        <f t="shared" si="308"/>
        <v>131.43550833333333</v>
      </c>
      <c r="BD158" s="175"/>
      <c r="BE158" s="527">
        <f t="shared" si="293"/>
        <v>889.39782500000001</v>
      </c>
      <c r="BF158" s="181">
        <f t="shared" si="294"/>
        <v>0.87124684897959181</v>
      </c>
      <c r="BG158" s="520" t="b">
        <f t="shared" si="327"/>
        <v>0</v>
      </c>
      <c r="BI158" s="528" t="s">
        <v>2181</v>
      </c>
      <c r="BK158" s="151">
        <f>VLOOKUP(J158,'Tarieven ZM'!$B$136:$I$235,8,0)</f>
        <v>0</v>
      </c>
      <c r="BL158" s="151" t="str">
        <f>IF(M158="EoK",N158&amp;"AdvancedNLS type 1/2/3",IF(E158&lt;&gt;"Straal Access",INDEX(Mapping!J:J,MATCH(E158&amp;G158,Mapping!B:B,0)),E158))</f>
        <v>Copper Standard Access 20Mbit/sAdvancedNLS type 1/2/3</v>
      </c>
      <c r="BM158" s="184">
        <f>INDEX('inkoop ULL tbv EVPN'!J:J,MATCH($BL158,'inkoop ULL tbv EVPN'!$H:$H,0))</f>
        <v>78.97</v>
      </c>
      <c r="BN158" s="180">
        <f>BM158/INDEX(Parameters!$B:$B,MATCH("AfschrijftermijnVVE"&amp;12*$C158,Parameters!$A:$A,0))</f>
        <v>1.6452083333333334</v>
      </c>
      <c r="BO158" s="184">
        <f>INDEX('inkoop ULL tbv EVPN'!I:I,MATCH($BL158,'inkoop ULL tbv EVPN'!$H:$H,0))</f>
        <v>14.7296035</v>
      </c>
      <c r="BP158" s="184">
        <f t="shared" si="309"/>
        <v>16.374811833333332</v>
      </c>
      <c r="BR158" s="180">
        <f>Parameters!$B$12*AG158</f>
        <v>102.08333333333334</v>
      </c>
      <c r="BS158" s="180">
        <f>SUM(Distributievergoedingen!$F$12,Distributievergoedingen!$I$12,Distributievergoedingen!$L$12,Distributievergoedingen!$O$12)*AF158+SUM(Distributievergoedingen!$O$12*AA158+Distributievergoedingen!$R$12+Distributievergoedingen!$U$12+Distributievergoedingen!$X$12)/(MAX(36,12*C158))</f>
        <v>112.08333333333333</v>
      </c>
      <c r="BT158" s="150"/>
      <c r="BU158" s="150">
        <f t="shared" si="310"/>
        <v>214.16666666666669</v>
      </c>
      <c r="BW158" s="522">
        <f t="shared" si="311"/>
        <v>230.54147850000001</v>
      </c>
      <c r="BY158" s="527">
        <f t="shared" si="312"/>
        <v>790.29185483333333</v>
      </c>
      <c r="BZ158" s="181">
        <f t="shared" si="313"/>
        <v>0.77416344963265304</v>
      </c>
      <c r="CA158" s="520" t="b">
        <f t="shared" si="314"/>
        <v>0</v>
      </c>
    </row>
    <row r="159" spans="1:79" s="151" customFormat="1">
      <c r="A159" s="151" t="str">
        <f>C159&amp;D159&amp;E159&amp;F159&amp;G159</f>
        <v>4EoKStandard Access koper 3mbMiddelOn-net (NLS3)</v>
      </c>
      <c r="B159" s="151" t="str">
        <f>A159</f>
        <v>4EoKStandard Access koper 3mbMiddelOn-net (NLS3)</v>
      </c>
      <c r="C159" s="178">
        <v>4</v>
      </c>
      <c r="D159" s="415" t="s">
        <v>303</v>
      </c>
      <c r="E159" s="178" t="s">
        <v>268</v>
      </c>
      <c r="F159" s="107" t="s">
        <v>280</v>
      </c>
      <c r="G159" s="178" t="s">
        <v>3398</v>
      </c>
      <c r="I159" s="178"/>
      <c r="J159" s="520" t="str">
        <f t="shared" si="328"/>
        <v>EoKStandard Access koper 3mbMiddelOn-net (NLS3)</v>
      </c>
      <c r="L159" s="204">
        <f>INDEX(Mapping!$H:$H,MATCH(C$3&amp;C159,Mapping!$B:$B,0))</f>
        <v>1</v>
      </c>
      <c r="M159" s="204" t="str">
        <f>INDEX(Mapping!$H:$H,MATCH(D$3&amp;D159,Mapping!$B:$B,0))</f>
        <v>EoK</v>
      </c>
      <c r="N159" s="204" t="str">
        <f>INDEX(Mapping!$H:$H,MATCH(E$3&amp;E159,Mapping!$B:$B,0))</f>
        <v>Copper Standard Access 3Mbit/s</v>
      </c>
      <c r="O159" s="204" t="str">
        <f>INDEX(Mapping!$H:$H,MATCH(E159&amp;F159,Mapping!$B:$B,0))</f>
        <v/>
      </c>
      <c r="P159" s="204" t="str">
        <f>INDEX(Mapping!$H:$H,MATCH($E159&amp;$G159,Mapping!$B:$B,0))</f>
        <v>On-net (NLS3)</v>
      </c>
      <c r="Q159" s="204" t="str">
        <f>INDEX(Mapping!$H:$H,MATCH($E159&amp;$G159&amp;"graafafstand",Mapping!$B:$B,0))</f>
        <v>nvt</v>
      </c>
      <c r="R159" s="204">
        <f>INDEX(Mapping!$H:$H,MATCH(R$3&amp;$E159,Mapping!$B:$B,0))</f>
        <v>1</v>
      </c>
      <c r="S159" s="204">
        <f>INDEX(Mapping!$H:$H,MATCH(S$3&amp;$E159,Mapping!$B:$B,0))</f>
        <v>1</v>
      </c>
      <c r="T159" s="139" t="str">
        <f>N159&amp;O159&amp;P159</f>
        <v>Copper Standard Access 3Mbit/sOn-net (NLS3)</v>
      </c>
      <c r="U159" s="151" t="str">
        <f>T159</f>
        <v>Copper Standard Access 3Mbit/sOn-net (NLS3)</v>
      </c>
      <c r="W159" s="521">
        <f>MATCH($J159,'Tarieven ZM'!$B:$B,0)</f>
        <v>161</v>
      </c>
      <c r="X159" s="204">
        <f>INDEX('Tarieven ZM'!$H:$H,$W159)</f>
        <v>1000</v>
      </c>
      <c r="Y159" s="198">
        <f>IF(E159="Standard Access in ZG BT gebieden",0,-INDEX(Parameters!$B:$B,MATCH(Y$3&amp;$C159,Parameters!$A:$A,0))*$X159)</f>
        <v>0</v>
      </c>
      <c r="Z159" s="198">
        <f>IF(E159="Standard Access in ZG BT gebieden",0,MAX(-INDEX(Parameters!$B:$B,MATCH(Z$3&amp;$C159,Parameters!$A:$A,0))*$X159,-INDEX(Parameters!$B:$B,MATCH("FactorMaxSalesMandaat"&amp;E159,Parameters!$A:$A,0))*INDEX(Parameters!$B:$B,MATCH("MaxSalesMandaatAccessVVE"&amp;$C159,Parameters!$A:$A,0))))</f>
        <v>0</v>
      </c>
      <c r="AA159" s="139">
        <f>SUM(X159:Z159)</f>
        <v>1000</v>
      </c>
      <c r="AB159" s="205">
        <f>AA159/INDEX(Parameters!$B:$B,MATCH("AfschrijftermijnVVE"&amp;12*$C159,Parameters!$A:$A,0))</f>
        <v>20.833333333333332</v>
      </c>
      <c r="AC159" s="204">
        <f>INDEX('Tarieven ZM'!$G:$G,$W159)</f>
        <v>1000</v>
      </c>
      <c r="AD159" s="198">
        <f>IF(E159="Standard Access in ZG BT gebieden",0,-INDEX(Parameters!$B:$B,MATCH(AD$3&amp;$C159,Parameters!$A:$A,0))*$AC159)</f>
        <v>0</v>
      </c>
      <c r="AE159" s="198">
        <f>IF(E159="Standard Access in ZG BT gebieden",0,-INDEX(Parameters!$B:$B,MATCH(AE$3,Parameters!$A:$A,0))*$AC159)</f>
        <v>0</v>
      </c>
      <c r="AF159" s="139">
        <f>SUM(AC159:AE159)</f>
        <v>1000</v>
      </c>
      <c r="AG159" s="522">
        <f>SUM(AB159,AF159)</f>
        <v>1020.8333333333334</v>
      </c>
      <c r="AH159" s="175"/>
      <c r="AI159" s="523">
        <f>IF(N159&lt;&gt;"nvt",MATCH($T159,'Tarieven W&amp;O'!$B:$B,0),"nvt")</f>
        <v>16</v>
      </c>
      <c r="AJ159" s="205">
        <f>IF(AI159&lt;&gt;"nvt",IF($D159="EoK",INDEX(Parameters!C:C,MATCH("NLSx EoK",Parameters!A:A,0)),INDEX('Tarieven W&amp;O'!$H:$H,$AI159)),0)*R159</f>
        <v>350</v>
      </c>
      <c r="AK159" s="204">
        <f>IF(AI159&lt;&gt;"nvt",INDEX('Tarieven W&amp;O'!$I:$I,$AI159),0)*R159</f>
        <v>75</v>
      </c>
      <c r="AL159" s="524">
        <f>IF(AI159&lt;&gt;"nvt",-INDEX(Parameters!$B:$B,MATCH(AL$3,Parameters!$A:$A,0))*(AJ159+AK159),0)</f>
        <v>0</v>
      </c>
      <c r="AM159" s="525"/>
      <c r="AN159" s="139">
        <f>SUM(AJ159:AM159)</f>
        <v>425</v>
      </c>
      <c r="AO159" s="205">
        <f>AN159/INDEX(Parameters!$B:$B,MATCH("AfschrijftermijnVVE"&amp;12*$C159,Parameters!$A:$A,0))</f>
        <v>8.8541666666666661</v>
      </c>
      <c r="AP159" s="139">
        <f>AI159</f>
        <v>16</v>
      </c>
      <c r="AQ159" s="526">
        <f>IF(AP159&lt;&gt;"nvt",R159*INDEX('Tarieven W&amp;O'!$G:$G,$AP159),0)</f>
        <v>41.5</v>
      </c>
      <c r="AR159" s="524">
        <f>-INDEX(Parameters!$B:$B,MATCH(AR$3,Parameters!$A:$A,0))*(AQ159)</f>
        <v>0</v>
      </c>
      <c r="AS159" s="205">
        <f>IF(E159="straal access",'EDC Minus'!$H$192,IF(Q159&lt;&gt;"nvt",Q159*S159*'EDC Minus'!$H$292/590,0))</f>
        <v>0</v>
      </c>
      <c r="AT159" s="139"/>
      <c r="AU159" s="150">
        <f>SUM(AQ159:AT159)</f>
        <v>41.5</v>
      </c>
      <c r="AV159" s="150">
        <f>SUM(AO159,AU159)</f>
        <v>50.354166666666664</v>
      </c>
      <c r="AX159" s="526">
        <f>Parameters!$B$6*AV159</f>
        <v>0.50354166666666667</v>
      </c>
      <c r="AY159" s="150">
        <v>0</v>
      </c>
      <c r="AZ159" s="150"/>
      <c r="BA159" s="150">
        <f>SUM(AX159:AZ159)</f>
        <v>0.50354166666666667</v>
      </c>
      <c r="BC159" s="522">
        <f t="shared" si="308"/>
        <v>50.857708333333328</v>
      </c>
      <c r="BD159" s="175"/>
      <c r="BE159" s="527">
        <f t="shared" ref="BE159:BE178" si="329">AG159-BC159</f>
        <v>969.97562500000004</v>
      </c>
      <c r="BF159" s="181">
        <f t="shared" ref="BF159:BF178" si="330">IF(AG159=0,-999%,BE159/AG159)</f>
        <v>0.95018020408163262</v>
      </c>
      <c r="BG159" s="520" t="b">
        <f>BF159&lt;0</f>
        <v>0</v>
      </c>
      <c r="BI159" s="528" t="s">
        <v>2181</v>
      </c>
      <c r="BK159" s="151">
        <f>VLOOKUP(J159,'Tarieven ZM'!$B$136:$I$235,8,0)</f>
        <v>0</v>
      </c>
      <c r="BL159" s="151" t="str">
        <f>IF(M159="EoK",N159&amp;"AdvancedNLS type 1/2/3",IF(E159&lt;&gt;"Straal Access",INDEX(Mapping!J:J,MATCH(E159&amp;G159,Mapping!B:B,0)),E159))</f>
        <v>Copper Standard Access 3Mbit/sAdvancedNLS type 1/2/3</v>
      </c>
      <c r="BM159" s="184">
        <f>INDEX('inkoop ULL tbv EVPN'!J:J,MATCH($BL159,'inkoop ULL tbv EVPN'!$H:$H,0))</f>
        <v>78.97</v>
      </c>
      <c r="BN159" s="180">
        <f>BM159/INDEX(Parameters!$B:$B,MATCH("AfschrijftermijnVVE"&amp;12*$C159,Parameters!$A:$A,0))</f>
        <v>1.6452083333333334</v>
      </c>
      <c r="BO159" s="184">
        <f>INDEX('inkoop ULL tbv EVPN'!I:I,MATCH($BL159,'inkoop ULL tbv EVPN'!$H:$H,0))</f>
        <v>14.7296035</v>
      </c>
      <c r="BP159" s="184">
        <f t="shared" si="309"/>
        <v>16.374811833333332</v>
      </c>
      <c r="BR159" s="180">
        <f>Parameters!$B$12*AG159</f>
        <v>102.08333333333334</v>
      </c>
      <c r="BS159" s="180">
        <f>SUM(Distributievergoedingen!$F$12,Distributievergoedingen!$I$12,Distributievergoedingen!$L$12,Distributievergoedingen!$O$12)*AF159+SUM(Distributievergoedingen!$O$12*AA159+Distributievergoedingen!$R$12+Distributievergoedingen!$U$12+Distributievergoedingen!$X$12)/(MAX(36,12*C159))</f>
        <v>112.08333333333333</v>
      </c>
      <c r="BT159" s="150"/>
      <c r="BU159" s="150">
        <f t="shared" si="310"/>
        <v>214.16666666666669</v>
      </c>
      <c r="BW159" s="522">
        <f t="shared" si="311"/>
        <v>230.54147850000001</v>
      </c>
      <c r="BY159" s="527">
        <f t="shared" si="312"/>
        <v>790.29185483333333</v>
      </c>
      <c r="BZ159" s="181">
        <f t="shared" si="313"/>
        <v>0.77416344963265304</v>
      </c>
      <c r="CA159" s="520" t="b">
        <f t="shared" si="314"/>
        <v>0</v>
      </c>
    </row>
    <row r="160" spans="1:79" s="151" customFormat="1">
      <c r="A160" s="151" t="str">
        <f t="shared" ref="A160:A170" si="331">C160&amp;D160&amp;E160&amp;F160&amp;G160</f>
        <v>4EoKStandard Access koper 5mbMiddelOn-net (NLS3)</v>
      </c>
      <c r="B160" s="151" t="str">
        <f t="shared" ref="B160:B170" si="332">A160</f>
        <v>4EoKStandard Access koper 5mbMiddelOn-net (NLS3)</v>
      </c>
      <c r="C160" s="178">
        <v>4</v>
      </c>
      <c r="D160" s="415" t="s">
        <v>303</v>
      </c>
      <c r="E160" s="178" t="s">
        <v>276</v>
      </c>
      <c r="F160" s="107" t="s">
        <v>280</v>
      </c>
      <c r="G160" s="178" t="s">
        <v>3398</v>
      </c>
      <c r="I160" s="178"/>
      <c r="J160" s="520" t="str">
        <f t="shared" si="328"/>
        <v>EoKStandard Access koper 5mbMiddelOn-net (NLS3)</v>
      </c>
      <c r="L160" s="204">
        <f>INDEX(Mapping!$H:$H,MATCH(C$3&amp;C160,Mapping!$B:$B,0))</f>
        <v>1</v>
      </c>
      <c r="M160" s="204" t="str">
        <f>INDEX(Mapping!$H:$H,MATCH(D$3&amp;D160,Mapping!$B:$B,0))</f>
        <v>EoK</v>
      </c>
      <c r="N160" s="204" t="str">
        <f>INDEX(Mapping!$H:$H,MATCH(E$3&amp;E160,Mapping!$B:$B,0))</f>
        <v>Copper Standard Access 5Mbit/s</v>
      </c>
      <c r="O160" s="204" t="str">
        <f>INDEX(Mapping!$H:$H,MATCH(E160&amp;F160,Mapping!$B:$B,0))</f>
        <v/>
      </c>
      <c r="P160" s="204" t="str">
        <f>INDEX(Mapping!$H:$H,MATCH($E160&amp;$G160,Mapping!$B:$B,0))</f>
        <v>On-net (NLS3)</v>
      </c>
      <c r="Q160" s="204" t="str">
        <f>INDEX(Mapping!$H:$H,MATCH($E160&amp;$G160&amp;"graafafstand",Mapping!$B:$B,0))</f>
        <v>nvt</v>
      </c>
      <c r="R160" s="204">
        <f>INDEX(Mapping!$H:$H,MATCH(R$3&amp;$E160,Mapping!$B:$B,0))</f>
        <v>1</v>
      </c>
      <c r="S160" s="204">
        <f>INDEX(Mapping!$H:$H,MATCH(S$3&amp;$E160,Mapping!$B:$B,0))</f>
        <v>1</v>
      </c>
      <c r="T160" s="139" t="str">
        <f t="shared" ref="T160:T170" si="333">N160&amp;O160&amp;P160</f>
        <v>Copper Standard Access 5Mbit/sOn-net (NLS3)</v>
      </c>
      <c r="U160" s="151" t="str">
        <f t="shared" ref="U160:U170" si="334">T160</f>
        <v>Copper Standard Access 5Mbit/sOn-net (NLS3)</v>
      </c>
      <c r="W160" s="521">
        <f>MATCH($J160,'Tarieven ZM'!$B:$B,0)</f>
        <v>162</v>
      </c>
      <c r="X160" s="204">
        <f>INDEX('Tarieven ZM'!$H:$H,$W160)</f>
        <v>1000</v>
      </c>
      <c r="Y160" s="198">
        <f>IF(E160="Standard Access in ZG BT gebieden",0,-INDEX(Parameters!$B:$B,MATCH(Y$3&amp;$C160,Parameters!$A:$A,0))*$X160)</f>
        <v>0</v>
      </c>
      <c r="Z160" s="198">
        <f>IF(E160="Standard Access in ZG BT gebieden",0,MAX(-INDEX(Parameters!$B:$B,MATCH(Z$3&amp;$C160,Parameters!$A:$A,0))*$X160,-INDEX(Parameters!$B:$B,MATCH("FactorMaxSalesMandaat"&amp;E160,Parameters!$A:$A,0))*INDEX(Parameters!$B:$B,MATCH("MaxSalesMandaatAccessVVE"&amp;$C160,Parameters!$A:$A,0))))</f>
        <v>0</v>
      </c>
      <c r="AA160" s="139">
        <f t="shared" ref="AA160:AA170" si="335">SUM(X160:Z160)</f>
        <v>1000</v>
      </c>
      <c r="AB160" s="205">
        <f>AA160/INDEX(Parameters!$B:$B,MATCH("AfschrijftermijnVVE"&amp;12*$C160,Parameters!$A:$A,0))</f>
        <v>20.833333333333332</v>
      </c>
      <c r="AC160" s="204">
        <f>INDEX('Tarieven ZM'!$G:$G,$W160)</f>
        <v>1000</v>
      </c>
      <c r="AD160" s="198">
        <f>IF(E160="Standard Access in ZG BT gebieden",0,-INDEX(Parameters!$B:$B,MATCH(AD$3&amp;$C160,Parameters!$A:$A,0))*$AC160)</f>
        <v>0</v>
      </c>
      <c r="AE160" s="198">
        <f>IF(E160="Standard Access in ZG BT gebieden",0,-INDEX(Parameters!$B:$B,MATCH(AE$3,Parameters!$A:$A,0))*$AC160)</f>
        <v>0</v>
      </c>
      <c r="AF160" s="139">
        <f t="shared" ref="AF160:AF170" si="336">SUM(AC160:AE160)</f>
        <v>1000</v>
      </c>
      <c r="AG160" s="522">
        <f t="shared" ref="AG160:AG170" si="337">SUM(AB160,AF160)</f>
        <v>1020.8333333333334</v>
      </c>
      <c r="AH160" s="175"/>
      <c r="AI160" s="523">
        <f>IF(N160&lt;&gt;"nvt",MATCH($T160,'Tarieven W&amp;O'!$B:$B,0),"nvt")</f>
        <v>17</v>
      </c>
      <c r="AJ160" s="205">
        <f>IF(AI160&lt;&gt;"nvt",IF($D160="EoK",INDEX(Parameters!C:C,MATCH("NLSx EoK",Parameters!A:A,0)),INDEX('Tarieven W&amp;O'!$H:$H,$AI160)),0)*R160</f>
        <v>350</v>
      </c>
      <c r="AK160" s="204">
        <f>IF(AI160&lt;&gt;"nvt",INDEX('Tarieven W&amp;O'!$I:$I,$AI160),0)*R160</f>
        <v>75</v>
      </c>
      <c r="AL160" s="524">
        <f>IF(AI160&lt;&gt;"nvt",-INDEX(Parameters!$B:$B,MATCH(AL$3,Parameters!$A:$A,0))*(AJ160+AK160),0)</f>
        <v>0</v>
      </c>
      <c r="AM160" s="525"/>
      <c r="AN160" s="139">
        <f t="shared" ref="AN160:AN170" si="338">SUM(AJ160:AM160)</f>
        <v>425</v>
      </c>
      <c r="AO160" s="205">
        <f>AN160/INDEX(Parameters!$B:$B,MATCH("AfschrijftermijnVVE"&amp;12*$C160,Parameters!$A:$A,0))</f>
        <v>8.8541666666666661</v>
      </c>
      <c r="AP160" s="139">
        <f t="shared" ref="AP160:AP170" si="339">AI160</f>
        <v>17</v>
      </c>
      <c r="AQ160" s="526">
        <f>IF(AP160&lt;&gt;"nvt",R160*INDEX('Tarieven W&amp;O'!$G:$G,$AP160),0)</f>
        <v>60.97</v>
      </c>
      <c r="AR160" s="524">
        <f>-INDEX(Parameters!$B:$B,MATCH(AR$3,Parameters!$A:$A,0))*(AQ160)</f>
        <v>0</v>
      </c>
      <c r="AS160" s="205">
        <f>IF(E160="straal access",'EDC Minus'!$H$192,IF(Q160&lt;&gt;"nvt",Q160*S160*'EDC Minus'!$H$292/590,0))</f>
        <v>0</v>
      </c>
      <c r="AT160" s="139"/>
      <c r="AU160" s="150">
        <f t="shared" ref="AU160:AU170" si="340">SUM(AQ160:AT160)</f>
        <v>60.97</v>
      </c>
      <c r="AV160" s="150">
        <f t="shared" ref="AV160:AV170" si="341">SUM(AO160,AU160)</f>
        <v>69.82416666666667</v>
      </c>
      <c r="AX160" s="526">
        <f>Parameters!$B$6*AV160</f>
        <v>0.69824166666666676</v>
      </c>
      <c r="AY160" s="150">
        <v>0</v>
      </c>
      <c r="AZ160" s="150"/>
      <c r="BA160" s="150">
        <f t="shared" ref="BA160:BA170" si="342">SUM(AX160:AZ160)</f>
        <v>0.69824166666666676</v>
      </c>
      <c r="BC160" s="522">
        <f t="shared" si="308"/>
        <v>70.522408333333331</v>
      </c>
      <c r="BD160" s="175"/>
      <c r="BE160" s="527">
        <f t="shared" si="329"/>
        <v>950.310925</v>
      </c>
      <c r="BF160" s="181">
        <f t="shared" si="330"/>
        <v>0.93091682448979585</v>
      </c>
      <c r="BG160" s="520" t="b">
        <f t="shared" ref="BG160:BG170" si="343">BF160&lt;0</f>
        <v>0</v>
      </c>
      <c r="BI160" s="528" t="s">
        <v>2181</v>
      </c>
      <c r="BK160" s="151">
        <f>VLOOKUP(J160,'Tarieven ZM'!$B$136:$I$235,8,0)</f>
        <v>0</v>
      </c>
      <c r="BL160" s="151" t="str">
        <f>IF(M160="EoK",N160&amp;"AdvancedNLS type 1/2/3",IF(E160&lt;&gt;"Straal Access",INDEX(Mapping!J:J,MATCH(E160&amp;G160,Mapping!B:B,0)),E160))</f>
        <v>Copper Standard Access 5Mbit/sAdvancedNLS type 1/2/3</v>
      </c>
      <c r="BM160" s="184">
        <f>INDEX('inkoop ULL tbv EVPN'!J:J,MATCH($BL160,'inkoop ULL tbv EVPN'!$H:$H,0))</f>
        <v>78.97</v>
      </c>
      <c r="BN160" s="180">
        <f>BM160/INDEX(Parameters!$B:$B,MATCH("AfschrijftermijnVVE"&amp;12*$C160,Parameters!$A:$A,0))</f>
        <v>1.6452083333333334</v>
      </c>
      <c r="BO160" s="184">
        <f>INDEX('inkoop ULL tbv EVPN'!I:I,MATCH($BL160,'inkoop ULL tbv EVPN'!$H:$H,0))</f>
        <v>14.7296035</v>
      </c>
      <c r="BP160" s="184">
        <f t="shared" si="309"/>
        <v>16.374811833333332</v>
      </c>
      <c r="BR160" s="180">
        <f>Parameters!$B$12*AG160</f>
        <v>102.08333333333334</v>
      </c>
      <c r="BS160" s="180">
        <f>SUM(Distributievergoedingen!$F$12,Distributievergoedingen!$I$12,Distributievergoedingen!$L$12,Distributievergoedingen!$O$12)*AF160+SUM(Distributievergoedingen!$O$12*AA160+Distributievergoedingen!$R$12+Distributievergoedingen!$U$12+Distributievergoedingen!$X$12)/(MAX(36,12*C160))</f>
        <v>112.08333333333333</v>
      </c>
      <c r="BT160" s="150"/>
      <c r="BU160" s="150">
        <f t="shared" si="310"/>
        <v>214.16666666666669</v>
      </c>
      <c r="BW160" s="522">
        <f t="shared" si="311"/>
        <v>230.54147850000001</v>
      </c>
      <c r="BY160" s="527">
        <f t="shared" si="312"/>
        <v>790.29185483333333</v>
      </c>
      <c r="BZ160" s="181">
        <f t="shared" si="313"/>
        <v>0.77416344963265304</v>
      </c>
      <c r="CA160" s="520" t="b">
        <f t="shared" si="314"/>
        <v>0</v>
      </c>
    </row>
    <row r="161" spans="1:79" s="151" customFormat="1">
      <c r="A161" s="151" t="str">
        <f t="shared" si="331"/>
        <v>4EoKStandard Access koper 10mbMiddelOn-net (NLS3)</v>
      </c>
      <c r="B161" s="151" t="str">
        <f t="shared" si="332"/>
        <v>4EoKStandard Access koper 10mbMiddelOn-net (NLS3)</v>
      </c>
      <c r="C161" s="178">
        <v>4</v>
      </c>
      <c r="D161" s="415" t="s">
        <v>303</v>
      </c>
      <c r="E161" s="178" t="s">
        <v>277</v>
      </c>
      <c r="F161" s="107" t="s">
        <v>280</v>
      </c>
      <c r="G161" s="178" t="s">
        <v>3398</v>
      </c>
      <c r="I161" s="178"/>
      <c r="J161" s="520" t="str">
        <f t="shared" si="328"/>
        <v>EoKStandard Access koper 10mbMiddelOn-net (NLS3)</v>
      </c>
      <c r="L161" s="204">
        <f>INDEX(Mapping!$H:$H,MATCH(C$3&amp;C161,Mapping!$B:$B,0))</f>
        <v>1</v>
      </c>
      <c r="M161" s="204" t="str">
        <f>INDEX(Mapping!$H:$H,MATCH(D$3&amp;D161,Mapping!$B:$B,0))</f>
        <v>EoK</v>
      </c>
      <c r="N161" s="204" t="str">
        <f>INDEX(Mapping!$H:$H,MATCH(E$3&amp;E161,Mapping!$B:$B,0))</f>
        <v>Copper Standard Access 10Mbit/s</v>
      </c>
      <c r="O161" s="204" t="str">
        <f>INDEX(Mapping!$H:$H,MATCH(E161&amp;F161,Mapping!$B:$B,0))</f>
        <v/>
      </c>
      <c r="P161" s="204" t="str">
        <f>INDEX(Mapping!$H:$H,MATCH($E161&amp;$G161,Mapping!$B:$B,0))</f>
        <v>On-net (NLS3)</v>
      </c>
      <c r="Q161" s="204" t="str">
        <f>INDEX(Mapping!$H:$H,MATCH($E161&amp;$G161&amp;"graafafstand",Mapping!$B:$B,0))</f>
        <v>nvt</v>
      </c>
      <c r="R161" s="204">
        <f>INDEX(Mapping!$H:$H,MATCH(R$3&amp;$E161,Mapping!$B:$B,0))</f>
        <v>1</v>
      </c>
      <c r="S161" s="204">
        <f>INDEX(Mapping!$H:$H,MATCH(S$3&amp;$E161,Mapping!$B:$B,0))</f>
        <v>1</v>
      </c>
      <c r="T161" s="139" t="str">
        <f t="shared" si="333"/>
        <v>Copper Standard Access 10Mbit/sOn-net (NLS3)</v>
      </c>
      <c r="U161" s="151" t="str">
        <f t="shared" si="334"/>
        <v>Copper Standard Access 10Mbit/sOn-net (NLS3)</v>
      </c>
      <c r="W161" s="521">
        <f>MATCH($J161,'Tarieven ZM'!$B:$B,0)</f>
        <v>163</v>
      </c>
      <c r="X161" s="204">
        <f>INDEX('Tarieven ZM'!$H:$H,$W161)</f>
        <v>1000</v>
      </c>
      <c r="Y161" s="198">
        <f>IF(E161="Standard Access in ZG BT gebieden",0,-INDEX(Parameters!$B:$B,MATCH(Y$3&amp;$C161,Parameters!$A:$A,0))*$X161)</f>
        <v>0</v>
      </c>
      <c r="Z161" s="198">
        <f>IF(E161="Standard Access in ZG BT gebieden",0,MAX(-INDEX(Parameters!$B:$B,MATCH(Z$3&amp;$C161,Parameters!$A:$A,0))*$X161,-INDEX(Parameters!$B:$B,MATCH("FactorMaxSalesMandaat"&amp;E161,Parameters!$A:$A,0))*INDEX(Parameters!$B:$B,MATCH("MaxSalesMandaatAccessVVE"&amp;$C161,Parameters!$A:$A,0))))</f>
        <v>0</v>
      </c>
      <c r="AA161" s="139">
        <f t="shared" si="335"/>
        <v>1000</v>
      </c>
      <c r="AB161" s="205">
        <f>AA161/INDEX(Parameters!$B:$B,MATCH("AfschrijftermijnVVE"&amp;12*$C161,Parameters!$A:$A,0))</f>
        <v>20.833333333333332</v>
      </c>
      <c r="AC161" s="204">
        <f>INDEX('Tarieven ZM'!$G:$G,$W161)</f>
        <v>1000</v>
      </c>
      <c r="AD161" s="198">
        <f>IF(E161="Standard Access in ZG BT gebieden",0,-INDEX(Parameters!$B:$B,MATCH(AD$3&amp;$C161,Parameters!$A:$A,0))*$AC161)</f>
        <v>0</v>
      </c>
      <c r="AE161" s="198">
        <f>IF(E161="Standard Access in ZG BT gebieden",0,-INDEX(Parameters!$B:$B,MATCH(AE$3,Parameters!$A:$A,0))*$AC161)</f>
        <v>0</v>
      </c>
      <c r="AF161" s="139">
        <f t="shared" si="336"/>
        <v>1000</v>
      </c>
      <c r="AG161" s="522">
        <f t="shared" si="337"/>
        <v>1020.8333333333334</v>
      </c>
      <c r="AH161" s="175"/>
      <c r="AI161" s="523">
        <f>IF(N161&lt;&gt;"nvt",MATCH($T161,'Tarieven W&amp;O'!$B:$B,0),"nvt")</f>
        <v>18</v>
      </c>
      <c r="AJ161" s="205">
        <f>IF(AI161&lt;&gt;"nvt",IF($D161="EoK",INDEX(Parameters!C:C,MATCH("NLSx EoK",Parameters!A:A,0)),INDEX('Tarieven W&amp;O'!$H:$H,$AI161)),0)*R161</f>
        <v>350</v>
      </c>
      <c r="AK161" s="204">
        <f>IF(AI161&lt;&gt;"nvt",INDEX('Tarieven W&amp;O'!$I:$I,$AI161),0)*R161</f>
        <v>75</v>
      </c>
      <c r="AL161" s="524">
        <f>IF(AI161&lt;&gt;"nvt",-INDEX(Parameters!$B:$B,MATCH(AL$3,Parameters!$A:$A,0))*(AJ161+AK161),0)</f>
        <v>0</v>
      </c>
      <c r="AM161" s="525"/>
      <c r="AN161" s="139">
        <f t="shared" si="338"/>
        <v>425</v>
      </c>
      <c r="AO161" s="205">
        <f>AN161/INDEX(Parameters!$B:$B,MATCH("AfschrijftermijnVVE"&amp;12*$C161,Parameters!$A:$A,0))</f>
        <v>8.8541666666666661</v>
      </c>
      <c r="AP161" s="139">
        <f t="shared" si="339"/>
        <v>18</v>
      </c>
      <c r="AQ161" s="526">
        <f>IF(AP161&lt;&gt;"nvt",R161*INDEX('Tarieven W&amp;O'!$G:$G,$AP161),0)</f>
        <v>83.59</v>
      </c>
      <c r="AR161" s="524">
        <f>-INDEX(Parameters!$B:$B,MATCH(AR$3,Parameters!$A:$A,0))*(AQ161)</f>
        <v>0</v>
      </c>
      <c r="AS161" s="205">
        <f>IF(E161="straal access",'EDC Minus'!$H$192,IF(Q161&lt;&gt;"nvt",Q161*S161*'EDC Minus'!$H$292/590,0))</f>
        <v>0</v>
      </c>
      <c r="AT161" s="139"/>
      <c r="AU161" s="150">
        <f t="shared" si="340"/>
        <v>83.59</v>
      </c>
      <c r="AV161" s="150">
        <f t="shared" si="341"/>
        <v>92.444166666666675</v>
      </c>
      <c r="AX161" s="526">
        <f>Parameters!$B$6*AV161</f>
        <v>0.92444166666666672</v>
      </c>
      <c r="AY161" s="150">
        <v>0</v>
      </c>
      <c r="AZ161" s="150"/>
      <c r="BA161" s="150">
        <f t="shared" si="342"/>
        <v>0.92444166666666672</v>
      </c>
      <c r="BC161" s="522">
        <f t="shared" si="308"/>
        <v>93.368608333333341</v>
      </c>
      <c r="BD161" s="175"/>
      <c r="BE161" s="527">
        <f t="shared" si="329"/>
        <v>927.46472500000004</v>
      </c>
      <c r="BF161" s="181">
        <f t="shared" si="330"/>
        <v>0.90853687346938772</v>
      </c>
      <c r="BG161" s="520" t="b">
        <f t="shared" si="343"/>
        <v>0</v>
      </c>
      <c r="BI161" s="528" t="s">
        <v>2181</v>
      </c>
      <c r="BK161" s="151">
        <f>VLOOKUP(J161,'Tarieven ZM'!$B$136:$I$235,8,0)</f>
        <v>0</v>
      </c>
      <c r="BL161" s="151" t="str">
        <f>IF(M161="EoK",N161&amp;"AdvancedNLS type 1/2/3",IF(E161&lt;&gt;"Straal Access",INDEX(Mapping!J:J,MATCH(E161&amp;G161,Mapping!B:B,0)),E161))</f>
        <v>Copper Standard Access 10Mbit/sAdvancedNLS type 1/2/3</v>
      </c>
      <c r="BM161" s="184">
        <f>INDEX('inkoop ULL tbv EVPN'!J:J,MATCH($BL161,'inkoop ULL tbv EVPN'!$H:$H,0))</f>
        <v>78.97</v>
      </c>
      <c r="BN161" s="180">
        <f>BM161/INDEX(Parameters!$B:$B,MATCH("AfschrijftermijnVVE"&amp;12*$C161,Parameters!$A:$A,0))</f>
        <v>1.6452083333333334</v>
      </c>
      <c r="BO161" s="184">
        <f>INDEX('inkoop ULL tbv EVPN'!I:I,MATCH($BL161,'inkoop ULL tbv EVPN'!$H:$H,0))</f>
        <v>14.7296035</v>
      </c>
      <c r="BP161" s="184">
        <f t="shared" si="309"/>
        <v>16.374811833333332</v>
      </c>
      <c r="BR161" s="180">
        <f>Parameters!$B$12*AG161</f>
        <v>102.08333333333334</v>
      </c>
      <c r="BS161" s="180">
        <f>SUM(Distributievergoedingen!$F$12,Distributievergoedingen!$I$12,Distributievergoedingen!$L$12,Distributievergoedingen!$O$12)*AF161+SUM(Distributievergoedingen!$O$12*AA161+Distributievergoedingen!$R$12+Distributievergoedingen!$U$12+Distributievergoedingen!$X$12)/(MAX(36,12*C161))</f>
        <v>112.08333333333333</v>
      </c>
      <c r="BT161" s="150"/>
      <c r="BU161" s="150">
        <f t="shared" si="310"/>
        <v>214.16666666666669</v>
      </c>
      <c r="BW161" s="522">
        <f t="shared" si="311"/>
        <v>230.54147850000001</v>
      </c>
      <c r="BY161" s="527">
        <f t="shared" si="312"/>
        <v>790.29185483333333</v>
      </c>
      <c r="BZ161" s="181">
        <f t="shared" si="313"/>
        <v>0.77416344963265304</v>
      </c>
      <c r="CA161" s="520" t="b">
        <f t="shared" si="314"/>
        <v>0</v>
      </c>
    </row>
    <row r="162" spans="1:79" s="151" customFormat="1">
      <c r="A162" s="151" t="str">
        <f t="shared" si="331"/>
        <v>4EoKStandard Access koper 15mbMiddelOn-net (NLS3)</v>
      </c>
      <c r="B162" s="151" t="str">
        <f t="shared" si="332"/>
        <v>4EoKStandard Access koper 15mbMiddelOn-net (NLS3)</v>
      </c>
      <c r="C162" s="178">
        <v>4</v>
      </c>
      <c r="D162" s="415" t="s">
        <v>303</v>
      </c>
      <c r="E162" s="178" t="s">
        <v>278</v>
      </c>
      <c r="F162" s="107" t="s">
        <v>280</v>
      </c>
      <c r="G162" s="178" t="s">
        <v>3398</v>
      </c>
      <c r="I162" s="178"/>
      <c r="J162" s="520" t="str">
        <f t="shared" si="328"/>
        <v>EoKStandard Access koper 15mbMiddelOn-net (NLS3)</v>
      </c>
      <c r="L162" s="204">
        <f>INDEX(Mapping!$H:$H,MATCH(C$3&amp;C162,Mapping!$B:$B,0))</f>
        <v>1</v>
      </c>
      <c r="M162" s="204" t="str">
        <f>INDEX(Mapping!$H:$H,MATCH(D$3&amp;D162,Mapping!$B:$B,0))</f>
        <v>EoK</v>
      </c>
      <c r="N162" s="204" t="str">
        <f>INDEX(Mapping!$H:$H,MATCH(E$3&amp;E162,Mapping!$B:$B,0))</f>
        <v>Copper Standard Access 15Mbit/s</v>
      </c>
      <c r="O162" s="204" t="str">
        <f>INDEX(Mapping!$H:$H,MATCH(E162&amp;F162,Mapping!$B:$B,0))</f>
        <v/>
      </c>
      <c r="P162" s="204" t="str">
        <f>INDEX(Mapping!$H:$H,MATCH($E162&amp;$G162,Mapping!$B:$B,0))</f>
        <v>On-net (NLS3)</v>
      </c>
      <c r="Q162" s="204" t="str">
        <f>INDEX(Mapping!$H:$H,MATCH($E162&amp;$G162&amp;"graafafstand",Mapping!$B:$B,0))</f>
        <v>nvt</v>
      </c>
      <c r="R162" s="204">
        <f>INDEX(Mapping!$H:$H,MATCH(R$3&amp;$E162,Mapping!$B:$B,0))</f>
        <v>1</v>
      </c>
      <c r="S162" s="204">
        <f>INDEX(Mapping!$H:$H,MATCH(S$3&amp;$E162,Mapping!$B:$B,0))</f>
        <v>1</v>
      </c>
      <c r="T162" s="139" t="str">
        <f t="shared" si="333"/>
        <v>Copper Standard Access 15Mbit/sOn-net (NLS3)</v>
      </c>
      <c r="U162" s="151" t="str">
        <f t="shared" si="334"/>
        <v>Copper Standard Access 15Mbit/sOn-net (NLS3)</v>
      </c>
      <c r="W162" s="521">
        <f>MATCH($J162,'Tarieven ZM'!$B:$B,0)</f>
        <v>164</v>
      </c>
      <c r="X162" s="204">
        <f>INDEX('Tarieven ZM'!$H:$H,$W162)</f>
        <v>1000</v>
      </c>
      <c r="Y162" s="198">
        <f>IF(E162="Standard Access in ZG BT gebieden",0,-INDEX(Parameters!$B:$B,MATCH(Y$3&amp;$C162,Parameters!$A:$A,0))*$X162)</f>
        <v>0</v>
      </c>
      <c r="Z162" s="198">
        <f>IF(E162="Standard Access in ZG BT gebieden",0,MAX(-INDEX(Parameters!$B:$B,MATCH(Z$3&amp;$C162,Parameters!$A:$A,0))*$X162,-INDEX(Parameters!$B:$B,MATCH("FactorMaxSalesMandaat"&amp;E162,Parameters!$A:$A,0))*INDEX(Parameters!$B:$B,MATCH("MaxSalesMandaatAccessVVE"&amp;$C162,Parameters!$A:$A,0))))</f>
        <v>0</v>
      </c>
      <c r="AA162" s="139">
        <f t="shared" si="335"/>
        <v>1000</v>
      </c>
      <c r="AB162" s="205">
        <f>AA162/INDEX(Parameters!$B:$B,MATCH("AfschrijftermijnVVE"&amp;12*$C162,Parameters!$A:$A,0))</f>
        <v>20.833333333333332</v>
      </c>
      <c r="AC162" s="204">
        <f>INDEX('Tarieven ZM'!$G:$G,$W162)</f>
        <v>1000</v>
      </c>
      <c r="AD162" s="198">
        <f>IF(E162="Standard Access in ZG BT gebieden",0,-INDEX(Parameters!$B:$B,MATCH(AD$3&amp;$C162,Parameters!$A:$A,0))*$AC162)</f>
        <v>0</v>
      </c>
      <c r="AE162" s="198">
        <f>IF(E162="Standard Access in ZG BT gebieden",0,-INDEX(Parameters!$B:$B,MATCH(AE$3,Parameters!$A:$A,0))*$AC162)</f>
        <v>0</v>
      </c>
      <c r="AF162" s="139">
        <f t="shared" si="336"/>
        <v>1000</v>
      </c>
      <c r="AG162" s="522">
        <f t="shared" si="337"/>
        <v>1020.8333333333334</v>
      </c>
      <c r="AH162" s="175"/>
      <c r="AI162" s="523">
        <f>IF(N162&lt;&gt;"nvt",MATCH($T162,'Tarieven W&amp;O'!$B:$B,0),"nvt")</f>
        <v>19</v>
      </c>
      <c r="AJ162" s="205">
        <f>IF(AI162&lt;&gt;"nvt",IF($D162="EoK",INDEX(Parameters!C:C,MATCH("NLSx EoK",Parameters!A:A,0)),INDEX('Tarieven W&amp;O'!$H:$H,$AI162)),0)*R162</f>
        <v>350</v>
      </c>
      <c r="AK162" s="204">
        <f>IF(AI162&lt;&gt;"nvt",INDEX('Tarieven W&amp;O'!$I:$I,$AI162),0)*R162</f>
        <v>75</v>
      </c>
      <c r="AL162" s="524">
        <f>IF(AI162&lt;&gt;"nvt",-INDEX(Parameters!$B:$B,MATCH(AL$3,Parameters!$A:$A,0))*(AJ162+AK162),0)</f>
        <v>0</v>
      </c>
      <c r="AM162" s="525"/>
      <c r="AN162" s="139">
        <f t="shared" si="338"/>
        <v>425</v>
      </c>
      <c r="AO162" s="205">
        <f>AN162/INDEX(Parameters!$B:$B,MATCH("AfschrijftermijnVVE"&amp;12*$C162,Parameters!$A:$A,0))</f>
        <v>8.8541666666666661</v>
      </c>
      <c r="AP162" s="139">
        <f t="shared" si="339"/>
        <v>19</v>
      </c>
      <c r="AQ162" s="526">
        <f>IF(AP162&lt;&gt;"nvt",R162*INDEX('Tarieven W&amp;O'!$G:$G,$AP162),0)</f>
        <v>102.44</v>
      </c>
      <c r="AR162" s="524">
        <f>-INDEX(Parameters!$B:$B,MATCH(AR$3,Parameters!$A:$A,0))*(AQ162)</f>
        <v>0</v>
      </c>
      <c r="AS162" s="205">
        <f>IF(E162="straal access",'EDC Minus'!$H$192,IF(Q162&lt;&gt;"nvt",Q162*S162*'EDC Minus'!$H$292/590,0))</f>
        <v>0</v>
      </c>
      <c r="AT162" s="139"/>
      <c r="AU162" s="150">
        <f t="shared" si="340"/>
        <v>102.44</v>
      </c>
      <c r="AV162" s="150">
        <f t="shared" si="341"/>
        <v>111.29416666666667</v>
      </c>
      <c r="AX162" s="526">
        <f>Parameters!$B$6*AV162</f>
        <v>1.1129416666666667</v>
      </c>
      <c r="AY162" s="150">
        <v>0</v>
      </c>
      <c r="AZ162" s="150"/>
      <c r="BA162" s="150">
        <f t="shared" si="342"/>
        <v>1.1129416666666667</v>
      </c>
      <c r="BC162" s="522">
        <f t="shared" si="308"/>
        <v>112.40710833333334</v>
      </c>
      <c r="BD162" s="175"/>
      <c r="BE162" s="527">
        <f t="shared" si="329"/>
        <v>908.42622500000004</v>
      </c>
      <c r="BF162" s="181">
        <f t="shared" si="330"/>
        <v>0.88988691428571431</v>
      </c>
      <c r="BG162" s="520" t="b">
        <f t="shared" si="343"/>
        <v>0</v>
      </c>
      <c r="BI162" s="528" t="s">
        <v>2181</v>
      </c>
      <c r="BK162" s="151">
        <f>VLOOKUP(J162,'Tarieven ZM'!$B$136:$I$235,8,0)</f>
        <v>0</v>
      </c>
      <c r="BL162" s="151" t="str">
        <f>IF(M162="EoK",N162&amp;"AdvancedNLS type 1/2/3",IF(E162&lt;&gt;"Straal Access",INDEX(Mapping!J:J,MATCH(E162&amp;G162,Mapping!B:B,0)),E162))</f>
        <v>Copper Standard Access 15Mbit/sAdvancedNLS type 1/2/3</v>
      </c>
      <c r="BM162" s="184">
        <f>INDEX('inkoop ULL tbv EVPN'!J:J,MATCH($BL162,'inkoop ULL tbv EVPN'!$H:$H,0))</f>
        <v>78.97</v>
      </c>
      <c r="BN162" s="180">
        <f>BM162/INDEX(Parameters!$B:$B,MATCH("AfschrijftermijnVVE"&amp;12*$C162,Parameters!$A:$A,0))</f>
        <v>1.6452083333333334</v>
      </c>
      <c r="BO162" s="184">
        <f>INDEX('inkoop ULL tbv EVPN'!I:I,MATCH($BL162,'inkoop ULL tbv EVPN'!$H:$H,0))</f>
        <v>14.7296035</v>
      </c>
      <c r="BP162" s="184">
        <f t="shared" si="309"/>
        <v>16.374811833333332</v>
      </c>
      <c r="BR162" s="180">
        <f>Parameters!$B$12*AG162</f>
        <v>102.08333333333334</v>
      </c>
      <c r="BS162" s="180">
        <f>SUM(Distributievergoedingen!$F$12,Distributievergoedingen!$I$12,Distributievergoedingen!$L$12,Distributievergoedingen!$O$12)*AF162+SUM(Distributievergoedingen!$O$12*AA162+Distributievergoedingen!$R$12+Distributievergoedingen!$U$12+Distributievergoedingen!$X$12)/(MAX(36,12*C162))</f>
        <v>112.08333333333333</v>
      </c>
      <c r="BT162" s="150"/>
      <c r="BU162" s="150">
        <f t="shared" si="310"/>
        <v>214.16666666666669</v>
      </c>
      <c r="BW162" s="522">
        <f t="shared" si="311"/>
        <v>230.54147850000001</v>
      </c>
      <c r="BY162" s="527">
        <f t="shared" si="312"/>
        <v>790.29185483333333</v>
      </c>
      <c r="BZ162" s="181">
        <f t="shared" si="313"/>
        <v>0.77416344963265304</v>
      </c>
      <c r="CA162" s="520" t="b">
        <f t="shared" si="314"/>
        <v>0</v>
      </c>
    </row>
    <row r="163" spans="1:79" s="151" customFormat="1">
      <c r="A163" s="151" t="str">
        <f t="shared" si="331"/>
        <v>4EoKStandard Access koper 20mbMiddelOn-net (NLS3)</v>
      </c>
      <c r="B163" s="151" t="str">
        <f t="shared" si="332"/>
        <v>4EoKStandard Access koper 20mbMiddelOn-net (NLS3)</v>
      </c>
      <c r="C163" s="178">
        <v>4</v>
      </c>
      <c r="D163" s="415" t="s">
        <v>303</v>
      </c>
      <c r="E163" s="178" t="s">
        <v>279</v>
      </c>
      <c r="F163" s="107" t="s">
        <v>280</v>
      </c>
      <c r="G163" s="178" t="s">
        <v>3398</v>
      </c>
      <c r="I163" s="178"/>
      <c r="J163" s="520" t="str">
        <f t="shared" si="328"/>
        <v>EoKStandard Access koper 20mbMiddelOn-net (NLS3)</v>
      </c>
      <c r="L163" s="204">
        <f>INDEX(Mapping!$H:$H,MATCH(C$3&amp;C163,Mapping!$B:$B,0))</f>
        <v>1</v>
      </c>
      <c r="M163" s="204" t="str">
        <f>INDEX(Mapping!$H:$H,MATCH(D$3&amp;D163,Mapping!$B:$B,0))</f>
        <v>EoK</v>
      </c>
      <c r="N163" s="204" t="str">
        <f>INDEX(Mapping!$H:$H,MATCH(E$3&amp;E163,Mapping!$B:$B,0))</f>
        <v>Copper Standard Access 20Mbit/s</v>
      </c>
      <c r="O163" s="204" t="str">
        <f>INDEX(Mapping!$H:$H,MATCH(E163&amp;F163,Mapping!$B:$B,0))</f>
        <v/>
      </c>
      <c r="P163" s="204" t="str">
        <f>INDEX(Mapping!$H:$H,MATCH($E163&amp;$G163,Mapping!$B:$B,0))</f>
        <v>On-net (NLS3)</v>
      </c>
      <c r="Q163" s="204" t="str">
        <f>INDEX(Mapping!$H:$H,MATCH($E163&amp;$G163&amp;"graafafstand",Mapping!$B:$B,0))</f>
        <v>nvt</v>
      </c>
      <c r="R163" s="204">
        <f>INDEX(Mapping!$H:$H,MATCH(R$3&amp;$E163,Mapping!$B:$B,0))</f>
        <v>1</v>
      </c>
      <c r="S163" s="204">
        <f>INDEX(Mapping!$H:$H,MATCH(S$3&amp;$E163,Mapping!$B:$B,0))</f>
        <v>1</v>
      </c>
      <c r="T163" s="139" t="str">
        <f t="shared" si="333"/>
        <v>Copper Standard Access 20Mbit/sOn-net (NLS3)</v>
      </c>
      <c r="U163" s="151" t="str">
        <f t="shared" si="334"/>
        <v>Copper Standard Access 20Mbit/sOn-net (NLS3)</v>
      </c>
      <c r="W163" s="521">
        <f>MATCH($J163,'Tarieven ZM'!$B:$B,0)</f>
        <v>165</v>
      </c>
      <c r="X163" s="204">
        <f>INDEX('Tarieven ZM'!$H:$H,$W163)</f>
        <v>1000</v>
      </c>
      <c r="Y163" s="198">
        <f>IF(E163="Standard Access in ZG BT gebieden",0,-INDEX(Parameters!$B:$B,MATCH(Y$3&amp;$C163,Parameters!$A:$A,0))*$X163)</f>
        <v>0</v>
      </c>
      <c r="Z163" s="198">
        <f>IF(E163="Standard Access in ZG BT gebieden",0,MAX(-INDEX(Parameters!$B:$B,MATCH(Z$3&amp;$C163,Parameters!$A:$A,0))*$X163,-INDEX(Parameters!$B:$B,MATCH("FactorMaxSalesMandaat"&amp;E163,Parameters!$A:$A,0))*INDEX(Parameters!$B:$B,MATCH("MaxSalesMandaatAccessVVE"&amp;$C163,Parameters!$A:$A,0))))</f>
        <v>0</v>
      </c>
      <c r="AA163" s="139">
        <f t="shared" si="335"/>
        <v>1000</v>
      </c>
      <c r="AB163" s="205">
        <f>AA163/INDEX(Parameters!$B:$B,MATCH("AfschrijftermijnVVE"&amp;12*$C163,Parameters!$A:$A,0))</f>
        <v>20.833333333333332</v>
      </c>
      <c r="AC163" s="204">
        <f>INDEX('Tarieven ZM'!$G:$G,$W163)</f>
        <v>1000</v>
      </c>
      <c r="AD163" s="198">
        <f>IF(E163="Standard Access in ZG BT gebieden",0,-INDEX(Parameters!$B:$B,MATCH(AD$3&amp;$C163,Parameters!$A:$A,0))*$AC163)</f>
        <v>0</v>
      </c>
      <c r="AE163" s="198">
        <f>IF(E163="Standard Access in ZG BT gebieden",0,-INDEX(Parameters!$B:$B,MATCH(AE$3,Parameters!$A:$A,0))*$AC163)</f>
        <v>0</v>
      </c>
      <c r="AF163" s="139">
        <f t="shared" si="336"/>
        <v>1000</v>
      </c>
      <c r="AG163" s="522">
        <f t="shared" si="337"/>
        <v>1020.8333333333334</v>
      </c>
      <c r="AH163" s="175"/>
      <c r="AI163" s="523">
        <f>IF(N163&lt;&gt;"nvt",MATCH($T163,'Tarieven W&amp;O'!$B:$B,0),"nvt")</f>
        <v>20</v>
      </c>
      <c r="AJ163" s="205">
        <f>IF(AI163&lt;&gt;"nvt",IF($D163="EoK",INDEX(Parameters!C:C,MATCH("NLSx EoK",Parameters!A:A,0)),INDEX('Tarieven W&amp;O'!$H:$H,$AI163)),0)*R163</f>
        <v>350</v>
      </c>
      <c r="AK163" s="204">
        <f>IF(AI163&lt;&gt;"nvt",INDEX('Tarieven W&amp;O'!$I:$I,$AI163),0)*R163</f>
        <v>75</v>
      </c>
      <c r="AL163" s="524">
        <f>IF(AI163&lt;&gt;"nvt",-INDEX(Parameters!$B:$B,MATCH(AL$3,Parameters!$A:$A,0))*(AJ163+AK163),0)</f>
        <v>0</v>
      </c>
      <c r="AM163" s="525"/>
      <c r="AN163" s="139">
        <f t="shared" si="338"/>
        <v>425</v>
      </c>
      <c r="AO163" s="205">
        <f>AN163/INDEX(Parameters!$B:$B,MATCH("AfschrijftermijnVVE"&amp;12*$C163,Parameters!$A:$A,0))</f>
        <v>8.8541666666666661</v>
      </c>
      <c r="AP163" s="139">
        <f t="shared" si="339"/>
        <v>20</v>
      </c>
      <c r="AQ163" s="526">
        <f>IF(AP163&lt;&gt;"nvt",R163*INDEX('Tarieven W&amp;O'!$G:$G,$AP163),0)</f>
        <v>121.28</v>
      </c>
      <c r="AR163" s="524">
        <f>-INDEX(Parameters!$B:$B,MATCH(AR$3,Parameters!$A:$A,0))*(AQ163)</f>
        <v>0</v>
      </c>
      <c r="AS163" s="205">
        <f>IF(E163="straal access",'EDC Minus'!$H$192,IF(Q163&lt;&gt;"nvt",Q163*S163*'EDC Minus'!$H$292/590,0))</f>
        <v>0</v>
      </c>
      <c r="AT163" s="139"/>
      <c r="AU163" s="150">
        <f t="shared" si="340"/>
        <v>121.28</v>
      </c>
      <c r="AV163" s="150">
        <f t="shared" si="341"/>
        <v>130.13416666666666</v>
      </c>
      <c r="AX163" s="526">
        <f>Parameters!$B$6*AV163</f>
        <v>1.3013416666666666</v>
      </c>
      <c r="AY163" s="150">
        <v>0</v>
      </c>
      <c r="AZ163" s="150"/>
      <c r="BA163" s="150">
        <f t="shared" si="342"/>
        <v>1.3013416666666666</v>
      </c>
      <c r="BC163" s="522">
        <f t="shared" si="308"/>
        <v>131.43550833333333</v>
      </c>
      <c r="BD163" s="175"/>
      <c r="BE163" s="527">
        <f t="shared" si="329"/>
        <v>889.39782500000001</v>
      </c>
      <c r="BF163" s="181">
        <f t="shared" si="330"/>
        <v>0.87124684897959181</v>
      </c>
      <c r="BG163" s="520" t="b">
        <f t="shared" si="343"/>
        <v>0</v>
      </c>
      <c r="BI163" s="528" t="s">
        <v>2181</v>
      </c>
      <c r="BK163" s="151">
        <f>VLOOKUP(J163,'Tarieven ZM'!$B$136:$I$235,8,0)</f>
        <v>0</v>
      </c>
      <c r="BL163" s="151" t="str">
        <f>IF(M163="EoK",N163&amp;"AdvancedNLS type 1/2/3",IF(E163&lt;&gt;"Straal Access",INDEX(Mapping!J:J,MATCH(E163&amp;G163,Mapping!B:B,0)),E163))</f>
        <v>Copper Standard Access 20Mbit/sAdvancedNLS type 1/2/3</v>
      </c>
      <c r="BM163" s="184">
        <f>INDEX('inkoop ULL tbv EVPN'!J:J,MATCH($BL163,'inkoop ULL tbv EVPN'!$H:$H,0))</f>
        <v>78.97</v>
      </c>
      <c r="BN163" s="180">
        <f>BM163/INDEX(Parameters!$B:$B,MATCH("AfschrijftermijnVVE"&amp;12*$C163,Parameters!$A:$A,0))</f>
        <v>1.6452083333333334</v>
      </c>
      <c r="BO163" s="184">
        <f>INDEX('inkoop ULL tbv EVPN'!I:I,MATCH($BL163,'inkoop ULL tbv EVPN'!$H:$H,0))</f>
        <v>14.7296035</v>
      </c>
      <c r="BP163" s="184">
        <f t="shared" si="309"/>
        <v>16.374811833333332</v>
      </c>
      <c r="BR163" s="180">
        <f>Parameters!$B$12*AG163</f>
        <v>102.08333333333334</v>
      </c>
      <c r="BS163" s="180">
        <f>SUM(Distributievergoedingen!$F$12,Distributievergoedingen!$I$12,Distributievergoedingen!$L$12,Distributievergoedingen!$O$12)*AF163+SUM(Distributievergoedingen!$O$12*AA163+Distributievergoedingen!$R$12+Distributievergoedingen!$U$12+Distributievergoedingen!$X$12)/(MAX(36,12*C163))</f>
        <v>112.08333333333333</v>
      </c>
      <c r="BT163" s="150"/>
      <c r="BU163" s="150">
        <f t="shared" si="310"/>
        <v>214.16666666666669</v>
      </c>
      <c r="BW163" s="522">
        <f t="shared" si="311"/>
        <v>230.54147850000001</v>
      </c>
      <c r="BY163" s="527">
        <f t="shared" si="312"/>
        <v>790.29185483333333</v>
      </c>
      <c r="BZ163" s="181">
        <f t="shared" si="313"/>
        <v>0.77416344963265304</v>
      </c>
      <c r="CA163" s="520" t="b">
        <f t="shared" si="314"/>
        <v>0</v>
      </c>
    </row>
    <row r="164" spans="1:79" s="151" customFormat="1">
      <c r="A164" s="151" t="str">
        <f t="shared" si="331"/>
        <v>4EoKStandard Access koper 3mbMiddel&lt; 250 meter</v>
      </c>
      <c r="B164" s="151" t="str">
        <f t="shared" si="332"/>
        <v>4EoKStandard Access koper 3mbMiddel&lt; 250 meter</v>
      </c>
      <c r="C164" s="178">
        <v>4</v>
      </c>
      <c r="D164" s="415" t="s">
        <v>303</v>
      </c>
      <c r="E164" s="178" t="s">
        <v>268</v>
      </c>
      <c r="F164" s="107" t="s">
        <v>280</v>
      </c>
      <c r="G164" s="178" t="s">
        <v>3397</v>
      </c>
      <c r="I164" s="178"/>
      <c r="J164" s="520" t="str">
        <f t="shared" si="328"/>
        <v>EoKStandard Access koper 3mbMiddel&lt; 250 meter</v>
      </c>
      <c r="L164" s="204">
        <f>INDEX(Mapping!$H:$H,MATCH(C$3&amp;C164,Mapping!$B:$B,0))</f>
        <v>1</v>
      </c>
      <c r="M164" s="204" t="str">
        <f>INDEX(Mapping!$H:$H,MATCH(D$3&amp;D164,Mapping!$B:$B,0))</f>
        <v>EoK</v>
      </c>
      <c r="N164" s="204" t="str">
        <f>INDEX(Mapping!$H:$H,MATCH(E$3&amp;E164,Mapping!$B:$B,0))</f>
        <v>Copper Standard Access 3Mbit/s</v>
      </c>
      <c r="O164" s="204" t="str">
        <f>INDEX(Mapping!$H:$H,MATCH(E164&amp;F164,Mapping!$B:$B,0))</f>
        <v/>
      </c>
      <c r="P164" s="204" t="str">
        <f>INDEX(Mapping!$H:$H,MATCH($E164&amp;$G164,Mapping!$B:$B,0))</f>
        <v>Nearnet</v>
      </c>
      <c r="Q164" s="204" t="str">
        <f>INDEX(Mapping!$H:$H,MATCH($E164&amp;$G164&amp;"graafafstand",Mapping!$B:$B,0))</f>
        <v>nvt</v>
      </c>
      <c r="R164" s="204">
        <f>INDEX(Mapping!$H:$H,MATCH(R$3&amp;$E164,Mapping!$B:$B,0))</f>
        <v>1</v>
      </c>
      <c r="S164" s="204">
        <f>INDEX(Mapping!$H:$H,MATCH(S$3&amp;$E164,Mapping!$B:$B,0))</f>
        <v>1</v>
      </c>
      <c r="T164" s="139" t="str">
        <f t="shared" si="333"/>
        <v>Copper Standard Access 3Mbit/sNearnet</v>
      </c>
      <c r="U164" s="151" t="str">
        <f t="shared" si="334"/>
        <v>Copper Standard Access 3Mbit/sNearnet</v>
      </c>
      <c r="W164" s="521">
        <f>MATCH($J164,'Tarieven ZM'!$B:$B,0)</f>
        <v>166</v>
      </c>
      <c r="X164" s="204">
        <f>INDEX('Tarieven ZM'!$H:$H,$W164)</f>
        <v>1000</v>
      </c>
      <c r="Y164" s="198">
        <f>IF(E164="Standard Access in ZG BT gebieden",0,-INDEX(Parameters!$B:$B,MATCH(Y$3&amp;$C164,Parameters!$A:$A,0))*$X164)</f>
        <v>0</v>
      </c>
      <c r="Z164" s="198">
        <f>IF(E164="Standard Access in ZG BT gebieden",0,MAX(-INDEX(Parameters!$B:$B,MATCH(Z$3&amp;$C164,Parameters!$A:$A,0))*$X164,-INDEX(Parameters!$B:$B,MATCH("FactorMaxSalesMandaat"&amp;E164,Parameters!$A:$A,0))*INDEX(Parameters!$B:$B,MATCH("MaxSalesMandaatAccessVVE"&amp;$C164,Parameters!$A:$A,0))))</f>
        <v>0</v>
      </c>
      <c r="AA164" s="139">
        <f t="shared" si="335"/>
        <v>1000</v>
      </c>
      <c r="AB164" s="205">
        <f>AA164/INDEX(Parameters!$B:$B,MATCH("AfschrijftermijnVVE"&amp;12*$C164,Parameters!$A:$A,0))</f>
        <v>20.833333333333332</v>
      </c>
      <c r="AC164" s="204">
        <f>INDEX('Tarieven ZM'!$G:$G,$W164)</f>
        <v>1000</v>
      </c>
      <c r="AD164" s="198">
        <f>IF(E164="Standard Access in ZG BT gebieden",0,-INDEX(Parameters!$B:$B,MATCH(AD$3&amp;$C164,Parameters!$A:$A,0))*$AC164)</f>
        <v>0</v>
      </c>
      <c r="AE164" s="198">
        <f>IF(E164="Standard Access in ZG BT gebieden",0,-INDEX(Parameters!$B:$B,MATCH(AE$3,Parameters!$A:$A,0))*$AC164)</f>
        <v>0</v>
      </c>
      <c r="AF164" s="139">
        <f t="shared" si="336"/>
        <v>1000</v>
      </c>
      <c r="AG164" s="522">
        <f t="shared" si="337"/>
        <v>1020.8333333333334</v>
      </c>
      <c r="AH164" s="175"/>
      <c r="AI164" s="523">
        <f>IF(N164&lt;&gt;"nvt",MATCH($T164,'Tarieven W&amp;O'!$B:$B,0),"nvt")</f>
        <v>23</v>
      </c>
      <c r="AJ164" s="205">
        <f>IF(AI164&lt;&gt;"nvt",IF($D164="EoK",INDEX(Parameters!C:C,MATCH("NLSx EoK",Parameters!A:A,0)),INDEX('Tarieven W&amp;O'!$H:$H,$AI164)),0)*R164</f>
        <v>350</v>
      </c>
      <c r="AK164" s="204">
        <f>IF(AI164&lt;&gt;"nvt",INDEX('Tarieven W&amp;O'!$I:$I,$AI164),0)*R164</f>
        <v>75</v>
      </c>
      <c r="AL164" s="524">
        <f>IF(AI164&lt;&gt;"nvt",-INDEX(Parameters!$B:$B,MATCH(AL$3,Parameters!$A:$A,0))*(AJ164+AK164),0)</f>
        <v>0</v>
      </c>
      <c r="AM164" s="525"/>
      <c r="AN164" s="139">
        <f t="shared" si="338"/>
        <v>425</v>
      </c>
      <c r="AO164" s="205">
        <f>AN164/INDEX(Parameters!$B:$B,MATCH("AfschrijftermijnVVE"&amp;12*$C164,Parameters!$A:$A,0))</f>
        <v>8.8541666666666661</v>
      </c>
      <c r="AP164" s="139">
        <f t="shared" si="339"/>
        <v>23</v>
      </c>
      <c r="AQ164" s="526">
        <f>IF(AP164&lt;&gt;"nvt",R164*INDEX('Tarieven W&amp;O'!$G:$G,$AP164),0)</f>
        <v>41.5</v>
      </c>
      <c r="AR164" s="524">
        <f>-INDEX(Parameters!$B:$B,MATCH(AR$3,Parameters!$A:$A,0))*(AQ164)</f>
        <v>0</v>
      </c>
      <c r="AS164" s="205">
        <f>IF(E164="straal access",'EDC Minus'!$H$192,IF(Q164&lt;&gt;"nvt",Q164*S164*'EDC Minus'!$H$292/590,0))</f>
        <v>0</v>
      </c>
      <c r="AT164" s="139"/>
      <c r="AU164" s="150">
        <f t="shared" si="340"/>
        <v>41.5</v>
      </c>
      <c r="AV164" s="150">
        <f t="shared" si="341"/>
        <v>50.354166666666664</v>
      </c>
      <c r="AX164" s="526">
        <f>Parameters!$B$6*AV164</f>
        <v>0.50354166666666667</v>
      </c>
      <c r="AY164" s="150">
        <v>0</v>
      </c>
      <c r="AZ164" s="150"/>
      <c r="BA164" s="150">
        <f t="shared" si="342"/>
        <v>0.50354166666666667</v>
      </c>
      <c r="BC164" s="522">
        <f t="shared" si="308"/>
        <v>50.857708333333328</v>
      </c>
      <c r="BD164" s="175"/>
      <c r="BE164" s="527">
        <f t="shared" si="329"/>
        <v>969.97562500000004</v>
      </c>
      <c r="BF164" s="181">
        <f t="shared" si="330"/>
        <v>0.95018020408163262</v>
      </c>
      <c r="BG164" s="520" t="b">
        <f t="shared" si="343"/>
        <v>0</v>
      </c>
      <c r="BI164" s="528" t="s">
        <v>2181</v>
      </c>
      <c r="BK164" s="151">
        <f>VLOOKUP(J164,'Tarieven ZM'!$B$136:$I$235,8,0)</f>
        <v>0</v>
      </c>
      <c r="BL164" s="151" t="str">
        <f>IF(M164="EoK",N164&amp;"AdvancedNLS type 1/2/3",IF(E164&lt;&gt;"Straal Access",INDEX(Mapping!J:J,MATCH(E164&amp;G164,Mapping!B:B,0)),E164))</f>
        <v>Copper Standard Access 3Mbit/sAdvancedNLS type 1/2/3</v>
      </c>
      <c r="BM164" s="184">
        <f>INDEX('inkoop ULL tbv EVPN'!J:J,MATCH($BL164,'inkoop ULL tbv EVPN'!$H:$H,0))</f>
        <v>78.97</v>
      </c>
      <c r="BN164" s="180">
        <f>BM164/INDEX(Parameters!$B:$B,MATCH("AfschrijftermijnVVE"&amp;12*$C164,Parameters!$A:$A,0))</f>
        <v>1.6452083333333334</v>
      </c>
      <c r="BO164" s="184">
        <f>INDEX('inkoop ULL tbv EVPN'!I:I,MATCH($BL164,'inkoop ULL tbv EVPN'!$H:$H,0))</f>
        <v>14.7296035</v>
      </c>
      <c r="BP164" s="184">
        <f t="shared" si="309"/>
        <v>16.374811833333332</v>
      </c>
      <c r="BR164" s="180">
        <f>Parameters!$B$12*AG164</f>
        <v>102.08333333333334</v>
      </c>
      <c r="BS164" s="180">
        <f>SUM(Distributievergoedingen!$F$12,Distributievergoedingen!$I$12,Distributievergoedingen!$L$12,Distributievergoedingen!$O$12)*AF164+SUM(Distributievergoedingen!$O$12*AA164+Distributievergoedingen!$R$12+Distributievergoedingen!$U$12+Distributievergoedingen!$X$12)/(MAX(36,12*C164))</f>
        <v>112.08333333333333</v>
      </c>
      <c r="BT164" s="150"/>
      <c r="BU164" s="150">
        <f t="shared" si="310"/>
        <v>214.16666666666669</v>
      </c>
      <c r="BW164" s="522">
        <f t="shared" si="311"/>
        <v>230.54147850000001</v>
      </c>
      <c r="BY164" s="527">
        <f t="shared" si="312"/>
        <v>790.29185483333333</v>
      </c>
      <c r="BZ164" s="181">
        <f t="shared" si="313"/>
        <v>0.77416344963265304</v>
      </c>
      <c r="CA164" s="520" t="b">
        <f t="shared" si="314"/>
        <v>0</v>
      </c>
    </row>
    <row r="165" spans="1:79" s="151" customFormat="1">
      <c r="A165" s="151" t="str">
        <f t="shared" si="331"/>
        <v>4EoKStandard Access koper 5mbMiddel&lt; 250 meter</v>
      </c>
      <c r="B165" s="151" t="str">
        <f t="shared" si="332"/>
        <v>4EoKStandard Access koper 5mbMiddel&lt; 250 meter</v>
      </c>
      <c r="C165" s="178">
        <v>4</v>
      </c>
      <c r="D165" s="415" t="s">
        <v>303</v>
      </c>
      <c r="E165" s="178" t="s">
        <v>276</v>
      </c>
      <c r="F165" s="107" t="s">
        <v>280</v>
      </c>
      <c r="G165" s="178" t="s">
        <v>3397</v>
      </c>
      <c r="I165" s="178"/>
      <c r="J165" s="520" t="str">
        <f t="shared" si="328"/>
        <v>EoKStandard Access koper 5mbMiddel&lt; 250 meter</v>
      </c>
      <c r="L165" s="204">
        <f>INDEX(Mapping!$H:$H,MATCH(C$3&amp;C165,Mapping!$B:$B,0))</f>
        <v>1</v>
      </c>
      <c r="M165" s="204" t="str">
        <f>INDEX(Mapping!$H:$H,MATCH(D$3&amp;D165,Mapping!$B:$B,0))</f>
        <v>EoK</v>
      </c>
      <c r="N165" s="204" t="str">
        <f>INDEX(Mapping!$H:$H,MATCH(E$3&amp;E165,Mapping!$B:$B,0))</f>
        <v>Copper Standard Access 5Mbit/s</v>
      </c>
      <c r="O165" s="204" t="str">
        <f>INDEX(Mapping!$H:$H,MATCH(E165&amp;F165,Mapping!$B:$B,0))</f>
        <v/>
      </c>
      <c r="P165" s="204" t="str">
        <f>INDEX(Mapping!$H:$H,MATCH($E165&amp;$G165,Mapping!$B:$B,0))</f>
        <v>Nearnet</v>
      </c>
      <c r="Q165" s="204" t="str">
        <f>INDEX(Mapping!$H:$H,MATCH($E165&amp;$G165&amp;"graafafstand",Mapping!$B:$B,0))</f>
        <v>nvt</v>
      </c>
      <c r="R165" s="204">
        <f>INDEX(Mapping!$H:$H,MATCH(R$3&amp;$E165,Mapping!$B:$B,0))</f>
        <v>1</v>
      </c>
      <c r="S165" s="204">
        <f>INDEX(Mapping!$H:$H,MATCH(S$3&amp;$E165,Mapping!$B:$B,0))</f>
        <v>1</v>
      </c>
      <c r="T165" s="139" t="str">
        <f t="shared" si="333"/>
        <v>Copper Standard Access 5Mbit/sNearnet</v>
      </c>
      <c r="U165" s="151" t="str">
        <f t="shared" si="334"/>
        <v>Copper Standard Access 5Mbit/sNearnet</v>
      </c>
      <c r="W165" s="521">
        <f>MATCH($J165,'Tarieven ZM'!$B:$B,0)</f>
        <v>167</v>
      </c>
      <c r="X165" s="204">
        <f>INDEX('Tarieven ZM'!$H:$H,$W165)</f>
        <v>1000</v>
      </c>
      <c r="Y165" s="198">
        <f>IF(E165="Standard Access in ZG BT gebieden",0,-INDEX(Parameters!$B:$B,MATCH(Y$3&amp;$C165,Parameters!$A:$A,0))*$X165)</f>
        <v>0</v>
      </c>
      <c r="Z165" s="198">
        <f>IF(E165="Standard Access in ZG BT gebieden",0,MAX(-INDEX(Parameters!$B:$B,MATCH(Z$3&amp;$C165,Parameters!$A:$A,0))*$X165,-INDEX(Parameters!$B:$B,MATCH("FactorMaxSalesMandaat"&amp;E165,Parameters!$A:$A,0))*INDEX(Parameters!$B:$B,MATCH("MaxSalesMandaatAccessVVE"&amp;$C165,Parameters!$A:$A,0))))</f>
        <v>0</v>
      </c>
      <c r="AA165" s="139">
        <f t="shared" si="335"/>
        <v>1000</v>
      </c>
      <c r="AB165" s="205">
        <f>AA165/INDEX(Parameters!$B:$B,MATCH("AfschrijftermijnVVE"&amp;12*$C165,Parameters!$A:$A,0))</f>
        <v>20.833333333333332</v>
      </c>
      <c r="AC165" s="204">
        <f>INDEX('Tarieven ZM'!$G:$G,$W165)</f>
        <v>1000</v>
      </c>
      <c r="AD165" s="198">
        <f>IF(E165="Standard Access in ZG BT gebieden",0,-INDEX(Parameters!$B:$B,MATCH(AD$3&amp;$C165,Parameters!$A:$A,0))*$AC165)</f>
        <v>0</v>
      </c>
      <c r="AE165" s="198">
        <f>IF(E165="Standard Access in ZG BT gebieden",0,-INDEX(Parameters!$B:$B,MATCH(AE$3,Parameters!$A:$A,0))*$AC165)</f>
        <v>0</v>
      </c>
      <c r="AF165" s="139">
        <f t="shared" si="336"/>
        <v>1000</v>
      </c>
      <c r="AG165" s="522">
        <f t="shared" si="337"/>
        <v>1020.8333333333334</v>
      </c>
      <c r="AH165" s="175"/>
      <c r="AI165" s="523">
        <f>IF(N165&lt;&gt;"nvt",MATCH($T165,'Tarieven W&amp;O'!$B:$B,0),"nvt")</f>
        <v>24</v>
      </c>
      <c r="AJ165" s="205">
        <f>IF(AI165&lt;&gt;"nvt",IF($D165="EoK",INDEX(Parameters!C:C,MATCH("NLSx EoK",Parameters!A:A,0)),INDEX('Tarieven W&amp;O'!$H:$H,$AI165)),0)*R165</f>
        <v>350</v>
      </c>
      <c r="AK165" s="204">
        <f>IF(AI165&lt;&gt;"nvt",INDEX('Tarieven W&amp;O'!$I:$I,$AI165),0)*R165</f>
        <v>75</v>
      </c>
      <c r="AL165" s="524">
        <f>IF(AI165&lt;&gt;"nvt",-INDEX(Parameters!$B:$B,MATCH(AL$3,Parameters!$A:$A,0))*(AJ165+AK165),0)</f>
        <v>0</v>
      </c>
      <c r="AM165" s="525"/>
      <c r="AN165" s="139">
        <f t="shared" si="338"/>
        <v>425</v>
      </c>
      <c r="AO165" s="205">
        <f>AN165/INDEX(Parameters!$B:$B,MATCH("AfschrijftermijnVVE"&amp;12*$C165,Parameters!$A:$A,0))</f>
        <v>8.8541666666666661</v>
      </c>
      <c r="AP165" s="139">
        <f t="shared" si="339"/>
        <v>24</v>
      </c>
      <c r="AQ165" s="526">
        <f>IF(AP165&lt;&gt;"nvt",R165*INDEX('Tarieven W&amp;O'!$G:$G,$AP165),0)</f>
        <v>60.97</v>
      </c>
      <c r="AR165" s="524">
        <f>-INDEX(Parameters!$B:$B,MATCH(AR$3,Parameters!$A:$A,0))*(AQ165)</f>
        <v>0</v>
      </c>
      <c r="AS165" s="205">
        <f>IF(E165="straal access",'EDC Minus'!$H$192,IF(Q165&lt;&gt;"nvt",Q165*S165*'EDC Minus'!$H$292/590,0))</f>
        <v>0</v>
      </c>
      <c r="AT165" s="139"/>
      <c r="AU165" s="150">
        <f t="shared" si="340"/>
        <v>60.97</v>
      </c>
      <c r="AV165" s="150">
        <f t="shared" si="341"/>
        <v>69.82416666666667</v>
      </c>
      <c r="AX165" s="526">
        <f>Parameters!$B$6*AV165</f>
        <v>0.69824166666666676</v>
      </c>
      <c r="AY165" s="150">
        <v>0</v>
      </c>
      <c r="AZ165" s="150"/>
      <c r="BA165" s="150">
        <f t="shared" si="342"/>
        <v>0.69824166666666676</v>
      </c>
      <c r="BC165" s="522">
        <f t="shared" si="308"/>
        <v>70.522408333333331</v>
      </c>
      <c r="BD165" s="175"/>
      <c r="BE165" s="527">
        <f t="shared" si="329"/>
        <v>950.310925</v>
      </c>
      <c r="BF165" s="181">
        <f t="shared" si="330"/>
        <v>0.93091682448979585</v>
      </c>
      <c r="BG165" s="520" t="b">
        <f t="shared" si="343"/>
        <v>0</v>
      </c>
      <c r="BI165" s="528" t="s">
        <v>2181</v>
      </c>
      <c r="BK165" s="151">
        <f>VLOOKUP(J165,'Tarieven ZM'!$B$136:$I$235,8,0)</f>
        <v>0</v>
      </c>
      <c r="BL165" s="151" t="str">
        <f>IF(M165="EoK",N165&amp;"AdvancedNLS type 1/2/3",IF(E165&lt;&gt;"Straal Access",INDEX(Mapping!J:J,MATCH(E165&amp;G165,Mapping!B:B,0)),E165))</f>
        <v>Copper Standard Access 5Mbit/sAdvancedNLS type 1/2/3</v>
      </c>
      <c r="BM165" s="184">
        <f>INDEX('inkoop ULL tbv EVPN'!J:J,MATCH($BL165,'inkoop ULL tbv EVPN'!$H:$H,0))</f>
        <v>78.97</v>
      </c>
      <c r="BN165" s="180">
        <f>BM165/INDEX(Parameters!$B:$B,MATCH("AfschrijftermijnVVE"&amp;12*$C165,Parameters!$A:$A,0))</f>
        <v>1.6452083333333334</v>
      </c>
      <c r="BO165" s="184">
        <f>INDEX('inkoop ULL tbv EVPN'!I:I,MATCH($BL165,'inkoop ULL tbv EVPN'!$H:$H,0))</f>
        <v>14.7296035</v>
      </c>
      <c r="BP165" s="184">
        <f t="shared" si="309"/>
        <v>16.374811833333332</v>
      </c>
      <c r="BR165" s="180">
        <f>Parameters!$B$12*AG165</f>
        <v>102.08333333333334</v>
      </c>
      <c r="BS165" s="180">
        <f>SUM(Distributievergoedingen!$F$12,Distributievergoedingen!$I$12,Distributievergoedingen!$L$12,Distributievergoedingen!$O$12)*AF165+SUM(Distributievergoedingen!$O$12*AA165+Distributievergoedingen!$R$12+Distributievergoedingen!$U$12+Distributievergoedingen!$X$12)/(MAX(36,12*C165))</f>
        <v>112.08333333333333</v>
      </c>
      <c r="BT165" s="150"/>
      <c r="BU165" s="150">
        <f t="shared" si="310"/>
        <v>214.16666666666669</v>
      </c>
      <c r="BW165" s="522">
        <f t="shared" si="311"/>
        <v>230.54147850000001</v>
      </c>
      <c r="BY165" s="527">
        <f t="shared" si="312"/>
        <v>790.29185483333333</v>
      </c>
      <c r="BZ165" s="181">
        <f t="shared" si="313"/>
        <v>0.77416344963265304</v>
      </c>
      <c r="CA165" s="520" t="b">
        <f t="shared" si="314"/>
        <v>0</v>
      </c>
    </row>
    <row r="166" spans="1:79" s="151" customFormat="1">
      <c r="A166" s="151" t="str">
        <f t="shared" si="331"/>
        <v>4EoKStandard Access koper 10mbMiddel&lt; 250 meter</v>
      </c>
      <c r="B166" s="151" t="str">
        <f t="shared" si="332"/>
        <v>4EoKStandard Access koper 10mbMiddel&lt; 250 meter</v>
      </c>
      <c r="C166" s="178">
        <v>4</v>
      </c>
      <c r="D166" s="415" t="s">
        <v>303</v>
      </c>
      <c r="E166" s="178" t="s">
        <v>277</v>
      </c>
      <c r="F166" s="107" t="s">
        <v>280</v>
      </c>
      <c r="G166" s="178" t="s">
        <v>3397</v>
      </c>
      <c r="I166" s="178"/>
      <c r="J166" s="520" t="str">
        <f t="shared" si="328"/>
        <v>EoKStandard Access koper 10mbMiddel&lt; 250 meter</v>
      </c>
      <c r="L166" s="204">
        <f>INDEX(Mapping!$H:$H,MATCH(C$3&amp;C166,Mapping!$B:$B,0))</f>
        <v>1</v>
      </c>
      <c r="M166" s="204" t="str">
        <f>INDEX(Mapping!$H:$H,MATCH(D$3&amp;D166,Mapping!$B:$B,0))</f>
        <v>EoK</v>
      </c>
      <c r="N166" s="204" t="str">
        <f>INDEX(Mapping!$H:$H,MATCH(E$3&amp;E166,Mapping!$B:$B,0))</f>
        <v>Copper Standard Access 10Mbit/s</v>
      </c>
      <c r="O166" s="204" t="str">
        <f>INDEX(Mapping!$H:$H,MATCH(E166&amp;F166,Mapping!$B:$B,0))</f>
        <v/>
      </c>
      <c r="P166" s="204" t="str">
        <f>INDEX(Mapping!$H:$H,MATCH($E166&amp;$G166,Mapping!$B:$B,0))</f>
        <v>Nearnet</v>
      </c>
      <c r="Q166" s="204" t="str">
        <f>INDEX(Mapping!$H:$H,MATCH($E166&amp;$G166&amp;"graafafstand",Mapping!$B:$B,0))</f>
        <v>nvt</v>
      </c>
      <c r="R166" s="204">
        <f>INDEX(Mapping!$H:$H,MATCH(R$3&amp;$E166,Mapping!$B:$B,0))</f>
        <v>1</v>
      </c>
      <c r="S166" s="204">
        <f>INDEX(Mapping!$H:$H,MATCH(S$3&amp;$E166,Mapping!$B:$B,0))</f>
        <v>1</v>
      </c>
      <c r="T166" s="139" t="str">
        <f t="shared" si="333"/>
        <v>Copper Standard Access 10Mbit/sNearnet</v>
      </c>
      <c r="U166" s="151" t="str">
        <f t="shared" si="334"/>
        <v>Copper Standard Access 10Mbit/sNearnet</v>
      </c>
      <c r="W166" s="521">
        <f>MATCH($J166,'Tarieven ZM'!$B:$B,0)</f>
        <v>168</v>
      </c>
      <c r="X166" s="204">
        <f>INDEX('Tarieven ZM'!$H:$H,$W166)</f>
        <v>1000</v>
      </c>
      <c r="Y166" s="198">
        <f>IF(E166="Standard Access in ZG BT gebieden",0,-INDEX(Parameters!$B:$B,MATCH(Y$3&amp;$C166,Parameters!$A:$A,0))*$X166)</f>
        <v>0</v>
      </c>
      <c r="Z166" s="198">
        <f>IF(E166="Standard Access in ZG BT gebieden",0,MAX(-INDEX(Parameters!$B:$B,MATCH(Z$3&amp;$C166,Parameters!$A:$A,0))*$X166,-INDEX(Parameters!$B:$B,MATCH("FactorMaxSalesMandaat"&amp;E166,Parameters!$A:$A,0))*INDEX(Parameters!$B:$B,MATCH("MaxSalesMandaatAccessVVE"&amp;$C166,Parameters!$A:$A,0))))</f>
        <v>0</v>
      </c>
      <c r="AA166" s="139">
        <f t="shared" si="335"/>
        <v>1000</v>
      </c>
      <c r="AB166" s="205">
        <f>AA166/INDEX(Parameters!$B:$B,MATCH("AfschrijftermijnVVE"&amp;12*$C166,Parameters!$A:$A,0))</f>
        <v>20.833333333333332</v>
      </c>
      <c r="AC166" s="204">
        <f>INDEX('Tarieven ZM'!$G:$G,$W166)</f>
        <v>1000</v>
      </c>
      <c r="AD166" s="198">
        <f>IF(E166="Standard Access in ZG BT gebieden",0,-INDEX(Parameters!$B:$B,MATCH(AD$3&amp;$C166,Parameters!$A:$A,0))*$AC166)</f>
        <v>0</v>
      </c>
      <c r="AE166" s="198">
        <f>IF(E166="Standard Access in ZG BT gebieden",0,-INDEX(Parameters!$B:$B,MATCH(AE$3,Parameters!$A:$A,0))*$AC166)</f>
        <v>0</v>
      </c>
      <c r="AF166" s="139">
        <f t="shared" si="336"/>
        <v>1000</v>
      </c>
      <c r="AG166" s="522">
        <f t="shared" si="337"/>
        <v>1020.8333333333334</v>
      </c>
      <c r="AH166" s="175"/>
      <c r="AI166" s="523">
        <f>IF(N166&lt;&gt;"nvt",MATCH($T166,'Tarieven W&amp;O'!$B:$B,0),"nvt")</f>
        <v>25</v>
      </c>
      <c r="AJ166" s="205">
        <f>IF(AI166&lt;&gt;"nvt",IF($D166="EoK",INDEX(Parameters!C:C,MATCH("NLSx EoK",Parameters!A:A,0)),INDEX('Tarieven W&amp;O'!$H:$H,$AI166)),0)*R166</f>
        <v>350</v>
      </c>
      <c r="AK166" s="204">
        <f>IF(AI166&lt;&gt;"nvt",INDEX('Tarieven W&amp;O'!$I:$I,$AI166),0)*R166</f>
        <v>75</v>
      </c>
      <c r="AL166" s="524">
        <f>IF(AI166&lt;&gt;"nvt",-INDEX(Parameters!$B:$B,MATCH(AL$3,Parameters!$A:$A,0))*(AJ166+AK166),0)</f>
        <v>0</v>
      </c>
      <c r="AM166" s="525"/>
      <c r="AN166" s="139">
        <f t="shared" si="338"/>
        <v>425</v>
      </c>
      <c r="AO166" s="205">
        <f>AN166/INDEX(Parameters!$B:$B,MATCH("AfschrijftermijnVVE"&amp;12*$C166,Parameters!$A:$A,0))</f>
        <v>8.8541666666666661</v>
      </c>
      <c r="AP166" s="139">
        <f t="shared" si="339"/>
        <v>25</v>
      </c>
      <c r="AQ166" s="526">
        <f>IF(AP166&lt;&gt;"nvt",R166*INDEX('Tarieven W&amp;O'!$G:$G,$AP166),0)</f>
        <v>83.59</v>
      </c>
      <c r="AR166" s="524">
        <f>-INDEX(Parameters!$B:$B,MATCH(AR$3,Parameters!$A:$A,0))*(AQ166)</f>
        <v>0</v>
      </c>
      <c r="AS166" s="205">
        <f>IF(E166="straal access",'EDC Minus'!$H$192,IF(Q166&lt;&gt;"nvt",Q166*S166*'EDC Minus'!$H$292/590,0))</f>
        <v>0</v>
      </c>
      <c r="AT166" s="139"/>
      <c r="AU166" s="150">
        <f t="shared" si="340"/>
        <v>83.59</v>
      </c>
      <c r="AV166" s="150">
        <f t="shared" si="341"/>
        <v>92.444166666666675</v>
      </c>
      <c r="AX166" s="526">
        <f>Parameters!$B$6*AV166</f>
        <v>0.92444166666666672</v>
      </c>
      <c r="AY166" s="150">
        <v>0</v>
      </c>
      <c r="AZ166" s="150"/>
      <c r="BA166" s="150">
        <f t="shared" si="342"/>
        <v>0.92444166666666672</v>
      </c>
      <c r="BC166" s="522">
        <f t="shared" si="308"/>
        <v>93.368608333333341</v>
      </c>
      <c r="BD166" s="175"/>
      <c r="BE166" s="527">
        <f t="shared" si="329"/>
        <v>927.46472500000004</v>
      </c>
      <c r="BF166" s="181">
        <f t="shared" si="330"/>
        <v>0.90853687346938772</v>
      </c>
      <c r="BG166" s="520" t="b">
        <f t="shared" si="343"/>
        <v>0</v>
      </c>
      <c r="BI166" s="528" t="s">
        <v>2181</v>
      </c>
      <c r="BK166" s="151">
        <f>VLOOKUP(J166,'Tarieven ZM'!$B$136:$I$235,8,0)</f>
        <v>0</v>
      </c>
      <c r="BL166" s="151" t="str">
        <f>IF(M166="EoK",N166&amp;"AdvancedNLS type 1/2/3",IF(E166&lt;&gt;"Straal Access",INDEX(Mapping!J:J,MATCH(E166&amp;G166,Mapping!B:B,0)),E166))</f>
        <v>Copper Standard Access 10Mbit/sAdvancedNLS type 1/2/3</v>
      </c>
      <c r="BM166" s="184">
        <f>INDEX('inkoop ULL tbv EVPN'!J:J,MATCH($BL166,'inkoop ULL tbv EVPN'!$H:$H,0))</f>
        <v>78.97</v>
      </c>
      <c r="BN166" s="180">
        <f>BM166/INDEX(Parameters!$B:$B,MATCH("AfschrijftermijnVVE"&amp;12*$C166,Parameters!$A:$A,0))</f>
        <v>1.6452083333333334</v>
      </c>
      <c r="BO166" s="184">
        <f>INDEX('inkoop ULL tbv EVPN'!I:I,MATCH($BL166,'inkoop ULL tbv EVPN'!$H:$H,0))</f>
        <v>14.7296035</v>
      </c>
      <c r="BP166" s="184">
        <f t="shared" si="309"/>
        <v>16.374811833333332</v>
      </c>
      <c r="BR166" s="180">
        <f>Parameters!$B$12*AG166</f>
        <v>102.08333333333334</v>
      </c>
      <c r="BS166" s="180">
        <f>SUM(Distributievergoedingen!$F$12,Distributievergoedingen!$I$12,Distributievergoedingen!$L$12,Distributievergoedingen!$O$12)*AF166+SUM(Distributievergoedingen!$O$12*AA166+Distributievergoedingen!$R$12+Distributievergoedingen!$U$12+Distributievergoedingen!$X$12)/(MAX(36,12*C166))</f>
        <v>112.08333333333333</v>
      </c>
      <c r="BT166" s="150"/>
      <c r="BU166" s="150">
        <f t="shared" si="310"/>
        <v>214.16666666666669</v>
      </c>
      <c r="BW166" s="522">
        <f t="shared" si="311"/>
        <v>230.54147850000001</v>
      </c>
      <c r="BY166" s="527">
        <f t="shared" si="312"/>
        <v>790.29185483333333</v>
      </c>
      <c r="BZ166" s="181">
        <f t="shared" si="313"/>
        <v>0.77416344963265304</v>
      </c>
      <c r="CA166" s="520" t="b">
        <f t="shared" si="314"/>
        <v>0</v>
      </c>
    </row>
    <row r="167" spans="1:79" s="151" customFormat="1">
      <c r="A167" s="151" t="str">
        <f t="shared" si="331"/>
        <v>4EoKStandard Access koper 15mbMiddel&lt; 250 meter</v>
      </c>
      <c r="B167" s="151" t="str">
        <f t="shared" si="332"/>
        <v>4EoKStandard Access koper 15mbMiddel&lt; 250 meter</v>
      </c>
      <c r="C167" s="178">
        <v>4</v>
      </c>
      <c r="D167" s="415" t="s">
        <v>303</v>
      </c>
      <c r="E167" s="178" t="s">
        <v>278</v>
      </c>
      <c r="F167" s="107" t="s">
        <v>280</v>
      </c>
      <c r="G167" s="178" t="s">
        <v>3397</v>
      </c>
      <c r="I167" s="178"/>
      <c r="J167" s="520" t="str">
        <f t="shared" si="328"/>
        <v>EoKStandard Access koper 15mbMiddel&lt; 250 meter</v>
      </c>
      <c r="L167" s="204">
        <f>INDEX(Mapping!$H:$H,MATCH(C$3&amp;C167,Mapping!$B:$B,0))</f>
        <v>1</v>
      </c>
      <c r="M167" s="204" t="str">
        <f>INDEX(Mapping!$H:$H,MATCH(D$3&amp;D167,Mapping!$B:$B,0))</f>
        <v>EoK</v>
      </c>
      <c r="N167" s="204" t="str">
        <f>INDEX(Mapping!$H:$H,MATCH(E$3&amp;E167,Mapping!$B:$B,0))</f>
        <v>Copper Standard Access 15Mbit/s</v>
      </c>
      <c r="O167" s="204" t="str">
        <f>INDEX(Mapping!$H:$H,MATCH(E167&amp;F167,Mapping!$B:$B,0))</f>
        <v/>
      </c>
      <c r="P167" s="204" t="str">
        <f>INDEX(Mapping!$H:$H,MATCH($E167&amp;$G167,Mapping!$B:$B,0))</f>
        <v>Nearnet</v>
      </c>
      <c r="Q167" s="204" t="str">
        <f>INDEX(Mapping!$H:$H,MATCH($E167&amp;$G167&amp;"graafafstand",Mapping!$B:$B,0))</f>
        <v>nvt</v>
      </c>
      <c r="R167" s="204">
        <f>INDEX(Mapping!$H:$H,MATCH(R$3&amp;$E167,Mapping!$B:$B,0))</f>
        <v>1</v>
      </c>
      <c r="S167" s="204">
        <f>INDEX(Mapping!$H:$H,MATCH(S$3&amp;$E167,Mapping!$B:$B,0))</f>
        <v>1</v>
      </c>
      <c r="T167" s="139" t="str">
        <f t="shared" si="333"/>
        <v>Copper Standard Access 15Mbit/sNearnet</v>
      </c>
      <c r="U167" s="151" t="str">
        <f t="shared" si="334"/>
        <v>Copper Standard Access 15Mbit/sNearnet</v>
      </c>
      <c r="W167" s="521">
        <f>MATCH($J167,'Tarieven ZM'!$B:$B,0)</f>
        <v>169</v>
      </c>
      <c r="X167" s="204">
        <f>INDEX('Tarieven ZM'!$H:$H,$W167)</f>
        <v>1000</v>
      </c>
      <c r="Y167" s="198">
        <f>IF(E167="Standard Access in ZG BT gebieden",0,-INDEX(Parameters!$B:$B,MATCH(Y$3&amp;$C167,Parameters!$A:$A,0))*$X167)</f>
        <v>0</v>
      </c>
      <c r="Z167" s="198">
        <f>IF(E167="Standard Access in ZG BT gebieden",0,MAX(-INDEX(Parameters!$B:$B,MATCH(Z$3&amp;$C167,Parameters!$A:$A,0))*$X167,-INDEX(Parameters!$B:$B,MATCH("FactorMaxSalesMandaat"&amp;E167,Parameters!$A:$A,0))*INDEX(Parameters!$B:$B,MATCH("MaxSalesMandaatAccessVVE"&amp;$C167,Parameters!$A:$A,0))))</f>
        <v>0</v>
      </c>
      <c r="AA167" s="139">
        <f t="shared" si="335"/>
        <v>1000</v>
      </c>
      <c r="AB167" s="205">
        <f>AA167/INDEX(Parameters!$B:$B,MATCH("AfschrijftermijnVVE"&amp;12*$C167,Parameters!$A:$A,0))</f>
        <v>20.833333333333332</v>
      </c>
      <c r="AC167" s="204">
        <f>INDEX('Tarieven ZM'!$G:$G,$W167)</f>
        <v>1000</v>
      </c>
      <c r="AD167" s="198">
        <f>IF(E167="Standard Access in ZG BT gebieden",0,-INDEX(Parameters!$B:$B,MATCH(AD$3&amp;$C167,Parameters!$A:$A,0))*$AC167)</f>
        <v>0</v>
      </c>
      <c r="AE167" s="198">
        <f>IF(E167="Standard Access in ZG BT gebieden",0,-INDEX(Parameters!$B:$B,MATCH(AE$3,Parameters!$A:$A,0))*$AC167)</f>
        <v>0</v>
      </c>
      <c r="AF167" s="139">
        <f t="shared" si="336"/>
        <v>1000</v>
      </c>
      <c r="AG167" s="522">
        <f t="shared" si="337"/>
        <v>1020.8333333333334</v>
      </c>
      <c r="AH167" s="175"/>
      <c r="AI167" s="523">
        <f>IF(N167&lt;&gt;"nvt",MATCH($T167,'Tarieven W&amp;O'!$B:$B,0),"nvt")</f>
        <v>26</v>
      </c>
      <c r="AJ167" s="205">
        <f>IF(AI167&lt;&gt;"nvt",IF($D167="EoK",INDEX(Parameters!C:C,MATCH("NLSx EoK",Parameters!A:A,0)),INDEX('Tarieven W&amp;O'!$H:$H,$AI167)),0)*R167</f>
        <v>350</v>
      </c>
      <c r="AK167" s="204">
        <f>IF(AI167&lt;&gt;"nvt",INDEX('Tarieven W&amp;O'!$I:$I,$AI167),0)*R167</f>
        <v>75</v>
      </c>
      <c r="AL167" s="524">
        <f>IF(AI167&lt;&gt;"nvt",-INDEX(Parameters!$B:$B,MATCH(AL$3,Parameters!$A:$A,0))*(AJ167+AK167),0)</f>
        <v>0</v>
      </c>
      <c r="AM167" s="525"/>
      <c r="AN167" s="139">
        <f t="shared" si="338"/>
        <v>425</v>
      </c>
      <c r="AO167" s="205">
        <f>AN167/INDEX(Parameters!$B:$B,MATCH("AfschrijftermijnVVE"&amp;12*$C167,Parameters!$A:$A,0))</f>
        <v>8.8541666666666661</v>
      </c>
      <c r="AP167" s="139">
        <f t="shared" si="339"/>
        <v>26</v>
      </c>
      <c r="AQ167" s="526">
        <f>IF(AP167&lt;&gt;"nvt",R167*INDEX('Tarieven W&amp;O'!$G:$G,$AP167),0)</f>
        <v>102.44</v>
      </c>
      <c r="AR167" s="524">
        <f>-INDEX(Parameters!$B:$B,MATCH(AR$3,Parameters!$A:$A,0))*(AQ167)</f>
        <v>0</v>
      </c>
      <c r="AS167" s="205">
        <f>IF(E167="straal access",'EDC Minus'!$H$192,IF(Q167&lt;&gt;"nvt",Q167*S167*'EDC Minus'!$H$292/590,0))</f>
        <v>0</v>
      </c>
      <c r="AT167" s="139"/>
      <c r="AU167" s="150">
        <f t="shared" si="340"/>
        <v>102.44</v>
      </c>
      <c r="AV167" s="150">
        <f t="shared" si="341"/>
        <v>111.29416666666667</v>
      </c>
      <c r="AX167" s="526">
        <f>Parameters!$B$6*AV167</f>
        <v>1.1129416666666667</v>
      </c>
      <c r="AY167" s="150">
        <v>0</v>
      </c>
      <c r="AZ167" s="150"/>
      <c r="BA167" s="150">
        <f t="shared" si="342"/>
        <v>1.1129416666666667</v>
      </c>
      <c r="BC167" s="522">
        <f t="shared" ref="BC167:BC179" si="344">SUM(AV167,BA167)</f>
        <v>112.40710833333334</v>
      </c>
      <c r="BD167" s="175"/>
      <c r="BE167" s="527">
        <f t="shared" si="329"/>
        <v>908.42622500000004</v>
      </c>
      <c r="BF167" s="181">
        <f t="shared" si="330"/>
        <v>0.88988691428571431</v>
      </c>
      <c r="BG167" s="520" t="b">
        <f t="shared" si="343"/>
        <v>0</v>
      </c>
      <c r="BI167" s="528" t="s">
        <v>2181</v>
      </c>
      <c r="BK167" s="151">
        <f>VLOOKUP(J167,'Tarieven ZM'!$B$136:$I$235,8,0)</f>
        <v>0</v>
      </c>
      <c r="BL167" s="151" t="str">
        <f>IF(M167="EoK",N167&amp;"AdvancedNLS type 1/2/3",IF(E167&lt;&gt;"Straal Access",INDEX(Mapping!J:J,MATCH(E167&amp;G167,Mapping!B:B,0)),E167))</f>
        <v>Copper Standard Access 15Mbit/sAdvancedNLS type 1/2/3</v>
      </c>
      <c r="BM167" s="184">
        <f>INDEX('inkoop ULL tbv EVPN'!J:J,MATCH($BL167,'inkoop ULL tbv EVPN'!$H:$H,0))</f>
        <v>78.97</v>
      </c>
      <c r="BN167" s="180">
        <f>BM167/INDEX(Parameters!$B:$B,MATCH("AfschrijftermijnVVE"&amp;12*$C167,Parameters!$A:$A,0))</f>
        <v>1.6452083333333334</v>
      </c>
      <c r="BO167" s="184">
        <f>INDEX('inkoop ULL tbv EVPN'!I:I,MATCH($BL167,'inkoop ULL tbv EVPN'!$H:$H,0))</f>
        <v>14.7296035</v>
      </c>
      <c r="BP167" s="184">
        <f t="shared" ref="BP167:BP179" si="345">BN167+BO167</f>
        <v>16.374811833333332</v>
      </c>
      <c r="BR167" s="180">
        <f>Parameters!$B$12*AG167</f>
        <v>102.08333333333334</v>
      </c>
      <c r="BS167" s="180">
        <f>SUM(Distributievergoedingen!$F$12,Distributievergoedingen!$I$12,Distributievergoedingen!$L$12,Distributievergoedingen!$O$12)*AF167+SUM(Distributievergoedingen!$O$12*AA167+Distributievergoedingen!$R$12+Distributievergoedingen!$U$12+Distributievergoedingen!$X$12)/(MAX(36,12*C167))</f>
        <v>112.08333333333333</v>
      </c>
      <c r="BT167" s="150"/>
      <c r="BU167" s="150">
        <f t="shared" ref="BU167:BU179" si="346">SUM(BR167:BT167)</f>
        <v>214.16666666666669</v>
      </c>
      <c r="BW167" s="522">
        <f t="shared" ref="BW167:BW179" si="347">SUM(BP167,BU167)</f>
        <v>230.54147850000001</v>
      </c>
      <c r="BY167" s="527">
        <f t="shared" ref="BY167:BY179" si="348">AG167-BW167</f>
        <v>790.29185483333333</v>
      </c>
      <c r="BZ167" s="181">
        <f t="shared" ref="BZ167:BZ179" si="349">IF(AG167=0,-999%,BY167/AG167)</f>
        <v>0.77416344963265304</v>
      </c>
      <c r="CA167" s="520" t="b">
        <f t="shared" ref="CA167:CA179" si="350">BZ167&lt;0</f>
        <v>0</v>
      </c>
    </row>
    <row r="168" spans="1:79" s="151" customFormat="1">
      <c r="A168" s="151" t="str">
        <f t="shared" si="331"/>
        <v>4EoKStandard Access koper 20mbMiddel&lt; 250 meter</v>
      </c>
      <c r="B168" s="151" t="str">
        <f t="shared" si="332"/>
        <v>4EoKStandard Access koper 20mbMiddel&lt; 250 meter</v>
      </c>
      <c r="C168" s="178">
        <v>4</v>
      </c>
      <c r="D168" s="415" t="s">
        <v>303</v>
      </c>
      <c r="E168" s="178" t="s">
        <v>279</v>
      </c>
      <c r="F168" s="107" t="s">
        <v>280</v>
      </c>
      <c r="G168" s="178" t="s">
        <v>3397</v>
      </c>
      <c r="I168" s="178"/>
      <c r="J168" s="520" t="str">
        <f t="shared" si="328"/>
        <v>EoKStandard Access koper 20mbMiddel&lt; 250 meter</v>
      </c>
      <c r="L168" s="204">
        <f>INDEX(Mapping!$H:$H,MATCH(C$3&amp;C168,Mapping!$B:$B,0))</f>
        <v>1</v>
      </c>
      <c r="M168" s="204" t="str">
        <f>INDEX(Mapping!$H:$H,MATCH(D$3&amp;D168,Mapping!$B:$B,0))</f>
        <v>EoK</v>
      </c>
      <c r="N168" s="204" t="str">
        <f>INDEX(Mapping!$H:$H,MATCH(E$3&amp;E168,Mapping!$B:$B,0))</f>
        <v>Copper Standard Access 20Mbit/s</v>
      </c>
      <c r="O168" s="204" t="str">
        <f>INDEX(Mapping!$H:$H,MATCH(E168&amp;F168,Mapping!$B:$B,0))</f>
        <v/>
      </c>
      <c r="P168" s="204" t="str">
        <f>INDEX(Mapping!$H:$H,MATCH($E168&amp;$G168,Mapping!$B:$B,0))</f>
        <v>Nearnet</v>
      </c>
      <c r="Q168" s="204" t="str">
        <f>INDEX(Mapping!$H:$H,MATCH($E168&amp;$G168&amp;"graafafstand",Mapping!$B:$B,0))</f>
        <v>nvt</v>
      </c>
      <c r="R168" s="204">
        <f>INDEX(Mapping!$H:$H,MATCH(R$3&amp;$E168,Mapping!$B:$B,0))</f>
        <v>1</v>
      </c>
      <c r="S168" s="204">
        <f>INDEX(Mapping!$H:$H,MATCH(S$3&amp;$E168,Mapping!$B:$B,0))</f>
        <v>1</v>
      </c>
      <c r="T168" s="139" t="str">
        <f t="shared" si="333"/>
        <v>Copper Standard Access 20Mbit/sNearnet</v>
      </c>
      <c r="U168" s="151" t="str">
        <f t="shared" si="334"/>
        <v>Copper Standard Access 20Mbit/sNearnet</v>
      </c>
      <c r="W168" s="521">
        <f>MATCH($J168,'Tarieven ZM'!$B:$B,0)</f>
        <v>170</v>
      </c>
      <c r="X168" s="204">
        <f>INDEX('Tarieven ZM'!$H:$H,$W168)</f>
        <v>1000</v>
      </c>
      <c r="Y168" s="198">
        <f>IF(E168="Standard Access in ZG BT gebieden",0,-INDEX(Parameters!$B:$B,MATCH(Y$3&amp;$C168,Parameters!$A:$A,0))*$X168)</f>
        <v>0</v>
      </c>
      <c r="Z168" s="198">
        <f>IF(E168="Standard Access in ZG BT gebieden",0,MAX(-INDEX(Parameters!$B:$B,MATCH(Z$3&amp;$C168,Parameters!$A:$A,0))*$X168,-INDEX(Parameters!$B:$B,MATCH("FactorMaxSalesMandaat"&amp;E168,Parameters!$A:$A,0))*INDEX(Parameters!$B:$B,MATCH("MaxSalesMandaatAccessVVE"&amp;$C168,Parameters!$A:$A,0))))</f>
        <v>0</v>
      </c>
      <c r="AA168" s="139">
        <f t="shared" si="335"/>
        <v>1000</v>
      </c>
      <c r="AB168" s="205">
        <f>AA168/INDEX(Parameters!$B:$B,MATCH("AfschrijftermijnVVE"&amp;12*$C168,Parameters!$A:$A,0))</f>
        <v>20.833333333333332</v>
      </c>
      <c r="AC168" s="204">
        <f>INDEX('Tarieven ZM'!$G:$G,$W168)</f>
        <v>1000</v>
      </c>
      <c r="AD168" s="198">
        <f>IF(E168="Standard Access in ZG BT gebieden",0,-INDEX(Parameters!$B:$B,MATCH(AD$3&amp;$C168,Parameters!$A:$A,0))*$AC168)</f>
        <v>0</v>
      </c>
      <c r="AE168" s="198">
        <f>IF(E168="Standard Access in ZG BT gebieden",0,-INDEX(Parameters!$B:$B,MATCH(AE$3,Parameters!$A:$A,0))*$AC168)</f>
        <v>0</v>
      </c>
      <c r="AF168" s="139">
        <f t="shared" si="336"/>
        <v>1000</v>
      </c>
      <c r="AG168" s="522">
        <f t="shared" si="337"/>
        <v>1020.8333333333334</v>
      </c>
      <c r="AH168" s="175"/>
      <c r="AI168" s="523">
        <f>IF(N168&lt;&gt;"nvt",MATCH($T168,'Tarieven W&amp;O'!$B:$B,0),"nvt")</f>
        <v>27</v>
      </c>
      <c r="AJ168" s="205">
        <f>IF(AI168&lt;&gt;"nvt",IF($D168="EoK",INDEX(Parameters!C:C,MATCH("NLSx EoK",Parameters!A:A,0)),INDEX('Tarieven W&amp;O'!$H:$H,$AI168)),0)*R168</f>
        <v>350</v>
      </c>
      <c r="AK168" s="204">
        <f>IF(AI168&lt;&gt;"nvt",INDEX('Tarieven W&amp;O'!$I:$I,$AI168),0)*R168</f>
        <v>75</v>
      </c>
      <c r="AL168" s="524">
        <f>IF(AI168&lt;&gt;"nvt",-INDEX(Parameters!$B:$B,MATCH(AL$3,Parameters!$A:$A,0))*(AJ168+AK168),0)</f>
        <v>0</v>
      </c>
      <c r="AM168" s="525"/>
      <c r="AN168" s="139">
        <f t="shared" si="338"/>
        <v>425</v>
      </c>
      <c r="AO168" s="205">
        <f>AN168/INDEX(Parameters!$B:$B,MATCH("AfschrijftermijnVVE"&amp;12*$C168,Parameters!$A:$A,0))</f>
        <v>8.8541666666666661</v>
      </c>
      <c r="AP168" s="139">
        <f t="shared" si="339"/>
        <v>27</v>
      </c>
      <c r="AQ168" s="526">
        <f>IF(AP168&lt;&gt;"nvt",R168*INDEX('Tarieven W&amp;O'!$G:$G,$AP168),0)</f>
        <v>121.28</v>
      </c>
      <c r="AR168" s="524">
        <f>-INDEX(Parameters!$B:$B,MATCH(AR$3,Parameters!$A:$A,0))*(AQ168)</f>
        <v>0</v>
      </c>
      <c r="AS168" s="205">
        <f>IF(E168="straal access",'EDC Minus'!$H$192,IF(Q168&lt;&gt;"nvt",Q168*S168*'EDC Minus'!$H$292/590,0))</f>
        <v>0</v>
      </c>
      <c r="AT168" s="139"/>
      <c r="AU168" s="150">
        <f t="shared" si="340"/>
        <v>121.28</v>
      </c>
      <c r="AV168" s="150">
        <f t="shared" si="341"/>
        <v>130.13416666666666</v>
      </c>
      <c r="AX168" s="526">
        <f>Parameters!$B$6*AV168</f>
        <v>1.3013416666666666</v>
      </c>
      <c r="AY168" s="150">
        <v>0</v>
      </c>
      <c r="AZ168" s="150"/>
      <c r="BA168" s="150">
        <f t="shared" si="342"/>
        <v>1.3013416666666666</v>
      </c>
      <c r="BC168" s="522">
        <f t="shared" si="344"/>
        <v>131.43550833333333</v>
      </c>
      <c r="BD168" s="175"/>
      <c r="BE168" s="527">
        <f t="shared" si="329"/>
        <v>889.39782500000001</v>
      </c>
      <c r="BF168" s="181">
        <f t="shared" si="330"/>
        <v>0.87124684897959181</v>
      </c>
      <c r="BG168" s="520" t="b">
        <f t="shared" si="343"/>
        <v>0</v>
      </c>
      <c r="BI168" s="528" t="s">
        <v>2181</v>
      </c>
      <c r="BK168" s="151">
        <f>VLOOKUP(J168,'Tarieven ZM'!$B$136:$I$235,8,0)</f>
        <v>0</v>
      </c>
      <c r="BL168" s="151" t="str">
        <f>IF(M168="EoK",N168&amp;"AdvancedNLS type 1/2/3",IF(E168&lt;&gt;"Straal Access",INDEX(Mapping!J:J,MATCH(E168&amp;G168,Mapping!B:B,0)),E168))</f>
        <v>Copper Standard Access 20Mbit/sAdvancedNLS type 1/2/3</v>
      </c>
      <c r="BM168" s="184">
        <f>INDEX('inkoop ULL tbv EVPN'!J:J,MATCH($BL168,'inkoop ULL tbv EVPN'!$H:$H,0))</f>
        <v>78.97</v>
      </c>
      <c r="BN168" s="180">
        <f>BM168/INDEX(Parameters!$B:$B,MATCH("AfschrijftermijnVVE"&amp;12*$C168,Parameters!$A:$A,0))</f>
        <v>1.6452083333333334</v>
      </c>
      <c r="BO168" s="184">
        <f>INDEX('inkoop ULL tbv EVPN'!I:I,MATCH($BL168,'inkoop ULL tbv EVPN'!$H:$H,0))</f>
        <v>14.7296035</v>
      </c>
      <c r="BP168" s="184">
        <f t="shared" si="345"/>
        <v>16.374811833333332</v>
      </c>
      <c r="BR168" s="180">
        <f>Parameters!$B$12*AG168</f>
        <v>102.08333333333334</v>
      </c>
      <c r="BS168" s="180">
        <f>SUM(Distributievergoedingen!$F$12,Distributievergoedingen!$I$12,Distributievergoedingen!$L$12,Distributievergoedingen!$O$12)*AF168+SUM(Distributievergoedingen!$O$12*AA168+Distributievergoedingen!$R$12+Distributievergoedingen!$U$12+Distributievergoedingen!$X$12)/(MAX(36,12*C168))</f>
        <v>112.08333333333333</v>
      </c>
      <c r="BT168" s="150"/>
      <c r="BU168" s="150">
        <f t="shared" si="346"/>
        <v>214.16666666666669</v>
      </c>
      <c r="BW168" s="522">
        <f t="shared" si="347"/>
        <v>230.54147850000001</v>
      </c>
      <c r="BY168" s="527">
        <f t="shared" si="348"/>
        <v>790.29185483333333</v>
      </c>
      <c r="BZ168" s="181">
        <f t="shared" si="349"/>
        <v>0.77416344963265304</v>
      </c>
      <c r="CA168" s="520" t="b">
        <f t="shared" si="350"/>
        <v>0</v>
      </c>
    </row>
    <row r="169" spans="1:79" s="151" customFormat="1">
      <c r="A169" s="151" t="str">
        <f t="shared" si="331"/>
        <v>4EoKStandard Access koper 3mbLaagOn-net (NLS1, 2)</v>
      </c>
      <c r="B169" s="151" t="str">
        <f t="shared" si="332"/>
        <v>4EoKStandard Access koper 3mbLaagOn-net (NLS1, 2)</v>
      </c>
      <c r="C169" s="178">
        <v>4</v>
      </c>
      <c r="D169" s="415" t="s">
        <v>303</v>
      </c>
      <c r="E169" s="178" t="s">
        <v>268</v>
      </c>
      <c r="F169" s="107" t="s">
        <v>275</v>
      </c>
      <c r="G169" s="178" t="s">
        <v>281</v>
      </c>
      <c r="I169" s="178"/>
      <c r="J169" s="520" t="str">
        <f t="shared" ref="J169:J179" si="351">D169&amp;E169&amp;F169&amp;G169</f>
        <v>EoKStandard Access koper 3mbLaagOn-net (NLS1, 2)</v>
      </c>
      <c r="L169" s="204">
        <f>INDEX(Mapping!$H:$H,MATCH(C$3&amp;C169,Mapping!$B:$B,0))</f>
        <v>1</v>
      </c>
      <c r="M169" s="204" t="str">
        <f>INDEX(Mapping!$H:$H,MATCH(D$3&amp;D169,Mapping!$B:$B,0))</f>
        <v>EoK</v>
      </c>
      <c r="N169" s="204" t="str">
        <f>INDEX(Mapping!$H:$H,MATCH(E$3&amp;E169,Mapping!$B:$B,0))</f>
        <v>Copper Standard Access 3Mbit/s</v>
      </c>
      <c r="O169" s="204" t="str">
        <f>INDEX(Mapping!$H:$H,MATCH(E169&amp;F169,Mapping!$B:$B,0))</f>
        <v/>
      </c>
      <c r="P169" s="204" t="str">
        <f>INDEX(Mapping!$H:$H,MATCH($E169&amp;$G169,Mapping!$B:$B,0))</f>
        <v>On-net (NLS1, 2)</v>
      </c>
      <c r="Q169" s="204">
        <f>INDEX(Mapping!$H:$H,MATCH($E169&amp;$G169&amp;"graafafstand",Mapping!$B:$B,0))</f>
        <v>0</v>
      </c>
      <c r="R169" s="204">
        <f>INDEX(Mapping!$H:$H,MATCH(R$3&amp;$E169,Mapping!$B:$B,0))</f>
        <v>1</v>
      </c>
      <c r="S169" s="204">
        <f>INDEX(Mapping!$H:$H,MATCH(S$3&amp;$E169,Mapping!$B:$B,0))</f>
        <v>1</v>
      </c>
      <c r="T169" s="139" t="str">
        <f t="shared" si="333"/>
        <v>Copper Standard Access 3Mbit/sOn-net (NLS1, 2)</v>
      </c>
      <c r="U169" s="151" t="str">
        <f t="shared" si="334"/>
        <v>Copper Standard Access 3Mbit/sOn-net (NLS1, 2)</v>
      </c>
      <c r="W169" s="521">
        <f>MATCH($J169,'Tarieven ZM'!$B:$B,0)</f>
        <v>171</v>
      </c>
      <c r="X169" s="204">
        <f>INDEX('Tarieven ZM'!$H:$H,$W169)</f>
        <v>1000</v>
      </c>
      <c r="Y169" s="198">
        <f>IF(E169="Standard Access in ZG BT gebieden",0,-INDEX(Parameters!$B:$B,MATCH(Y$3&amp;$C169,Parameters!$A:$A,0))*$X169)</f>
        <v>0</v>
      </c>
      <c r="Z169" s="198">
        <f>IF(E169="Standard Access in ZG BT gebieden",0,MAX(-INDEX(Parameters!$B:$B,MATCH(Z$3&amp;$C169,Parameters!$A:$A,0))*$X169,-INDEX(Parameters!$B:$B,MATCH("FactorMaxSalesMandaat"&amp;E169,Parameters!$A:$A,0))*INDEX(Parameters!$B:$B,MATCH("MaxSalesMandaatAccessVVE"&amp;$C169,Parameters!$A:$A,0))))</f>
        <v>0</v>
      </c>
      <c r="AA169" s="139">
        <f t="shared" si="335"/>
        <v>1000</v>
      </c>
      <c r="AB169" s="205">
        <f>AA169/INDEX(Parameters!$B:$B,MATCH("AfschrijftermijnVVE"&amp;12*$C169,Parameters!$A:$A,0))</f>
        <v>20.833333333333332</v>
      </c>
      <c r="AC169" s="204">
        <f>INDEX('Tarieven ZM'!$G:$G,$W169)</f>
        <v>1000</v>
      </c>
      <c r="AD169" s="198">
        <f>IF(E169="Standard Access in ZG BT gebieden",0,-INDEX(Parameters!$B:$B,MATCH(AD$3&amp;$C169,Parameters!$A:$A,0))*$AC169)</f>
        <v>0</v>
      </c>
      <c r="AE169" s="198">
        <f>IF(E169="Standard Access in ZG BT gebieden",0,-INDEX(Parameters!$B:$B,MATCH(AE$3,Parameters!$A:$A,0))*$AC169)</f>
        <v>0</v>
      </c>
      <c r="AF169" s="139">
        <f t="shared" si="336"/>
        <v>1000</v>
      </c>
      <c r="AG169" s="522">
        <f t="shared" si="337"/>
        <v>1020.8333333333334</v>
      </c>
      <c r="AH169" s="175"/>
      <c r="AI169" s="523">
        <f>IF(N169&lt;&gt;"nvt",MATCH($T169,'Tarieven W&amp;O'!$B:$B,0),"nvt")</f>
        <v>9</v>
      </c>
      <c r="AJ169" s="205">
        <f>IF(AI169&lt;&gt;"nvt",IF($D169="EoK",INDEX(Parameters!C:C,MATCH("NLSx EoK",Parameters!A:A,0)),INDEX('Tarieven W&amp;O'!$H:$H,$AI169)),0)*R169</f>
        <v>350</v>
      </c>
      <c r="AK169" s="204">
        <f>IF(AI169&lt;&gt;"nvt",INDEX('Tarieven W&amp;O'!$I:$I,$AI169),0)*R169</f>
        <v>75</v>
      </c>
      <c r="AL169" s="524">
        <f>IF(AI169&lt;&gt;"nvt",-INDEX(Parameters!$B:$B,MATCH(AL$3,Parameters!$A:$A,0))*(AJ169+AK169),0)</f>
        <v>0</v>
      </c>
      <c r="AM169" s="525"/>
      <c r="AN169" s="139">
        <f t="shared" si="338"/>
        <v>425</v>
      </c>
      <c r="AO169" s="205">
        <f>AN169/INDEX(Parameters!$B:$B,MATCH("AfschrijftermijnVVE"&amp;12*$C169,Parameters!$A:$A,0))</f>
        <v>8.8541666666666661</v>
      </c>
      <c r="AP169" s="139">
        <f t="shared" si="339"/>
        <v>9</v>
      </c>
      <c r="AQ169" s="526">
        <f>IF(AP169&lt;&gt;"nvt",R169*INDEX('Tarieven W&amp;O'!$G:$G,$AP169),0)</f>
        <v>41.5</v>
      </c>
      <c r="AR169" s="524">
        <f>-INDEX(Parameters!$B:$B,MATCH(AR$3,Parameters!$A:$A,0))*(AQ169)</f>
        <v>0</v>
      </c>
      <c r="AS169" s="205">
        <f>IF(E169="straal access",'EDC Minus'!$H$192,IF(Q169&lt;&gt;"nvt",Q169*S169*'EDC Minus'!$H$292/590,0))</f>
        <v>0</v>
      </c>
      <c r="AT169" s="139"/>
      <c r="AU169" s="150">
        <f t="shared" si="340"/>
        <v>41.5</v>
      </c>
      <c r="AV169" s="150">
        <f t="shared" si="341"/>
        <v>50.354166666666664</v>
      </c>
      <c r="AX169" s="526">
        <f>Parameters!$B$6*AV169</f>
        <v>0.50354166666666667</v>
      </c>
      <c r="AY169" s="150">
        <v>0</v>
      </c>
      <c r="AZ169" s="150"/>
      <c r="BA169" s="150">
        <f t="shared" si="342"/>
        <v>0.50354166666666667</v>
      </c>
      <c r="BC169" s="522">
        <f t="shared" si="344"/>
        <v>50.857708333333328</v>
      </c>
      <c r="BD169" s="175"/>
      <c r="BE169" s="527">
        <f t="shared" si="329"/>
        <v>969.97562500000004</v>
      </c>
      <c r="BF169" s="181">
        <f t="shared" si="330"/>
        <v>0.95018020408163262</v>
      </c>
      <c r="BG169" s="520" t="b">
        <f t="shared" si="343"/>
        <v>0</v>
      </c>
      <c r="BI169" s="528" t="s">
        <v>2181</v>
      </c>
      <c r="BK169" s="151">
        <f>VLOOKUP(J169,'Tarieven ZM'!$B$136:$I$235,8,0)</f>
        <v>0</v>
      </c>
      <c r="BL169" s="151" t="str">
        <f>IF(M169="EoK",N169&amp;"AdvancedNLS type 1/2/3",IF(E169&lt;&gt;"Straal Access",INDEX(Mapping!J:J,MATCH(E169&amp;G169,Mapping!B:B,0)),E169))</f>
        <v>Copper Standard Access 3Mbit/sAdvancedNLS type 1/2/3</v>
      </c>
      <c r="BM169" s="184">
        <f>INDEX('inkoop ULL tbv EVPN'!J:J,MATCH($BL169,'inkoop ULL tbv EVPN'!$H:$H,0))</f>
        <v>78.97</v>
      </c>
      <c r="BN169" s="180">
        <f>BM169/INDEX(Parameters!$B:$B,MATCH("AfschrijftermijnVVE"&amp;12*$C169,Parameters!$A:$A,0))</f>
        <v>1.6452083333333334</v>
      </c>
      <c r="BO169" s="184">
        <f>INDEX('inkoop ULL tbv EVPN'!I:I,MATCH($BL169,'inkoop ULL tbv EVPN'!$H:$H,0))</f>
        <v>14.7296035</v>
      </c>
      <c r="BP169" s="184">
        <f t="shared" si="345"/>
        <v>16.374811833333332</v>
      </c>
      <c r="BR169" s="180">
        <f>Parameters!$B$12*AG169</f>
        <v>102.08333333333334</v>
      </c>
      <c r="BS169" s="180">
        <f>SUM(Distributievergoedingen!$F$12,Distributievergoedingen!$I$12,Distributievergoedingen!$L$12,Distributievergoedingen!$O$12)*AF169+SUM(Distributievergoedingen!$O$12*AA169+Distributievergoedingen!$R$12+Distributievergoedingen!$U$12+Distributievergoedingen!$X$12)/(MAX(36,12*C169))</f>
        <v>112.08333333333333</v>
      </c>
      <c r="BT169" s="150"/>
      <c r="BU169" s="150">
        <f t="shared" si="346"/>
        <v>214.16666666666669</v>
      </c>
      <c r="BW169" s="522">
        <f t="shared" si="347"/>
        <v>230.54147850000001</v>
      </c>
      <c r="BY169" s="527">
        <f t="shared" si="348"/>
        <v>790.29185483333333</v>
      </c>
      <c r="BZ169" s="181">
        <f t="shared" si="349"/>
        <v>0.77416344963265304</v>
      </c>
      <c r="CA169" s="520" t="b">
        <f t="shared" si="350"/>
        <v>0</v>
      </c>
    </row>
    <row r="170" spans="1:79" s="151" customFormat="1">
      <c r="A170" s="151" t="str">
        <f t="shared" si="331"/>
        <v>4EoKStandard Access koper 5mbLaagOn-net (NLS1, 2)</v>
      </c>
      <c r="B170" s="151" t="str">
        <f t="shared" si="332"/>
        <v>4EoKStandard Access koper 5mbLaagOn-net (NLS1, 2)</v>
      </c>
      <c r="C170" s="178">
        <v>4</v>
      </c>
      <c r="D170" s="415" t="s">
        <v>303</v>
      </c>
      <c r="E170" s="178" t="s">
        <v>276</v>
      </c>
      <c r="F170" s="107" t="s">
        <v>275</v>
      </c>
      <c r="G170" s="178" t="s">
        <v>281</v>
      </c>
      <c r="I170" s="178"/>
      <c r="J170" s="520" t="str">
        <f t="shared" si="351"/>
        <v>EoKStandard Access koper 5mbLaagOn-net (NLS1, 2)</v>
      </c>
      <c r="L170" s="204">
        <f>INDEX(Mapping!$H:$H,MATCH(C$3&amp;C170,Mapping!$B:$B,0))</f>
        <v>1</v>
      </c>
      <c r="M170" s="204" t="str">
        <f>INDEX(Mapping!$H:$H,MATCH(D$3&amp;D170,Mapping!$B:$B,0))</f>
        <v>EoK</v>
      </c>
      <c r="N170" s="204" t="str">
        <f>INDEX(Mapping!$H:$H,MATCH(E$3&amp;E170,Mapping!$B:$B,0))</f>
        <v>Copper Standard Access 5Mbit/s</v>
      </c>
      <c r="O170" s="204" t="str">
        <f>INDEX(Mapping!$H:$H,MATCH(E170&amp;F170,Mapping!$B:$B,0))</f>
        <v/>
      </c>
      <c r="P170" s="204" t="str">
        <f>INDEX(Mapping!$H:$H,MATCH($E170&amp;$G170,Mapping!$B:$B,0))</f>
        <v>On-net (NLS1, 2)</v>
      </c>
      <c r="Q170" s="204">
        <f>INDEX(Mapping!$H:$H,MATCH($E170&amp;$G170&amp;"graafafstand",Mapping!$B:$B,0))</f>
        <v>0</v>
      </c>
      <c r="R170" s="204">
        <f>INDEX(Mapping!$H:$H,MATCH(R$3&amp;$E170,Mapping!$B:$B,0))</f>
        <v>1</v>
      </c>
      <c r="S170" s="204">
        <f>INDEX(Mapping!$H:$H,MATCH(S$3&amp;$E170,Mapping!$B:$B,0))</f>
        <v>1</v>
      </c>
      <c r="T170" s="139" t="str">
        <f t="shared" si="333"/>
        <v>Copper Standard Access 5Mbit/sOn-net (NLS1, 2)</v>
      </c>
      <c r="U170" s="151" t="str">
        <f t="shared" si="334"/>
        <v>Copper Standard Access 5Mbit/sOn-net (NLS1, 2)</v>
      </c>
      <c r="W170" s="521">
        <f>MATCH($J170,'Tarieven ZM'!$B:$B,0)</f>
        <v>172</v>
      </c>
      <c r="X170" s="204">
        <f>INDEX('Tarieven ZM'!$H:$H,$W170)</f>
        <v>1000</v>
      </c>
      <c r="Y170" s="198">
        <f>IF(E170="Standard Access in ZG BT gebieden",0,-INDEX(Parameters!$B:$B,MATCH(Y$3&amp;$C170,Parameters!$A:$A,0))*$X170)</f>
        <v>0</v>
      </c>
      <c r="Z170" s="198">
        <f>IF(E170="Standard Access in ZG BT gebieden",0,MAX(-INDEX(Parameters!$B:$B,MATCH(Z$3&amp;$C170,Parameters!$A:$A,0))*$X170,-INDEX(Parameters!$B:$B,MATCH("FactorMaxSalesMandaat"&amp;E170,Parameters!$A:$A,0))*INDEX(Parameters!$B:$B,MATCH("MaxSalesMandaatAccessVVE"&amp;$C170,Parameters!$A:$A,0))))</f>
        <v>0</v>
      </c>
      <c r="AA170" s="139">
        <f t="shared" si="335"/>
        <v>1000</v>
      </c>
      <c r="AB170" s="205">
        <f>AA170/INDEX(Parameters!$B:$B,MATCH("AfschrijftermijnVVE"&amp;12*$C170,Parameters!$A:$A,0))</f>
        <v>20.833333333333332</v>
      </c>
      <c r="AC170" s="204">
        <f>INDEX('Tarieven ZM'!$G:$G,$W170)</f>
        <v>1000</v>
      </c>
      <c r="AD170" s="198">
        <f>IF(E170="Standard Access in ZG BT gebieden",0,-INDEX(Parameters!$B:$B,MATCH(AD$3&amp;$C170,Parameters!$A:$A,0))*$AC170)</f>
        <v>0</v>
      </c>
      <c r="AE170" s="198">
        <f>IF(E170="Standard Access in ZG BT gebieden",0,-INDEX(Parameters!$B:$B,MATCH(AE$3,Parameters!$A:$A,0))*$AC170)</f>
        <v>0</v>
      </c>
      <c r="AF170" s="139">
        <f t="shared" si="336"/>
        <v>1000</v>
      </c>
      <c r="AG170" s="522">
        <f t="shared" si="337"/>
        <v>1020.8333333333334</v>
      </c>
      <c r="AH170" s="175"/>
      <c r="AI170" s="523">
        <f>IF(N170&lt;&gt;"nvt",MATCH($T170,'Tarieven W&amp;O'!$B:$B,0),"nvt")</f>
        <v>10</v>
      </c>
      <c r="AJ170" s="205">
        <f>IF(AI170&lt;&gt;"nvt",IF($D170="EoK",INDEX(Parameters!C:C,MATCH("NLSx EoK",Parameters!A:A,0)),INDEX('Tarieven W&amp;O'!$H:$H,$AI170)),0)*R170</f>
        <v>350</v>
      </c>
      <c r="AK170" s="204">
        <f>IF(AI170&lt;&gt;"nvt",INDEX('Tarieven W&amp;O'!$I:$I,$AI170),0)*R170</f>
        <v>75</v>
      </c>
      <c r="AL170" s="524">
        <f>IF(AI170&lt;&gt;"nvt",-INDEX(Parameters!$B:$B,MATCH(AL$3,Parameters!$A:$A,0))*(AJ170+AK170),0)</f>
        <v>0</v>
      </c>
      <c r="AM170" s="525"/>
      <c r="AN170" s="139">
        <f t="shared" si="338"/>
        <v>425</v>
      </c>
      <c r="AO170" s="205">
        <f>AN170/INDEX(Parameters!$B:$B,MATCH("AfschrijftermijnVVE"&amp;12*$C170,Parameters!$A:$A,0))</f>
        <v>8.8541666666666661</v>
      </c>
      <c r="AP170" s="139">
        <f t="shared" si="339"/>
        <v>10</v>
      </c>
      <c r="AQ170" s="526">
        <f>IF(AP170&lt;&gt;"nvt",R170*INDEX('Tarieven W&amp;O'!$G:$G,$AP170),0)</f>
        <v>60.97</v>
      </c>
      <c r="AR170" s="524">
        <f>-INDEX(Parameters!$B:$B,MATCH(AR$3,Parameters!$A:$A,0))*(AQ170)</f>
        <v>0</v>
      </c>
      <c r="AS170" s="205">
        <f>IF(E170="straal access",'EDC Minus'!$H$192,IF(Q170&lt;&gt;"nvt",Q170*S170*'EDC Minus'!$H$292/590,0))</f>
        <v>0</v>
      </c>
      <c r="AT170" s="139"/>
      <c r="AU170" s="150">
        <f t="shared" si="340"/>
        <v>60.97</v>
      </c>
      <c r="AV170" s="150">
        <f t="shared" si="341"/>
        <v>69.82416666666667</v>
      </c>
      <c r="AX170" s="526">
        <f>Parameters!$B$6*AV170</f>
        <v>0.69824166666666676</v>
      </c>
      <c r="AY170" s="150">
        <v>0</v>
      </c>
      <c r="AZ170" s="150"/>
      <c r="BA170" s="150">
        <f t="shared" si="342"/>
        <v>0.69824166666666676</v>
      </c>
      <c r="BC170" s="522">
        <f t="shared" si="344"/>
        <v>70.522408333333331</v>
      </c>
      <c r="BD170" s="175"/>
      <c r="BE170" s="527">
        <f t="shared" si="329"/>
        <v>950.310925</v>
      </c>
      <c r="BF170" s="181">
        <f t="shared" si="330"/>
        <v>0.93091682448979585</v>
      </c>
      <c r="BG170" s="520" t="b">
        <f t="shared" si="343"/>
        <v>0</v>
      </c>
      <c r="BI170" s="528" t="s">
        <v>2181</v>
      </c>
      <c r="BK170" s="151">
        <f>VLOOKUP(J170,'Tarieven ZM'!$B$136:$I$235,8,0)</f>
        <v>0</v>
      </c>
      <c r="BL170" s="151" t="str">
        <f>IF(M170="EoK",N170&amp;"AdvancedNLS type 1/2/3",IF(E170&lt;&gt;"Straal Access",INDEX(Mapping!J:J,MATCH(E170&amp;G170,Mapping!B:B,0)),E170))</f>
        <v>Copper Standard Access 5Mbit/sAdvancedNLS type 1/2/3</v>
      </c>
      <c r="BM170" s="184">
        <f>INDEX('inkoop ULL tbv EVPN'!J:J,MATCH($BL170,'inkoop ULL tbv EVPN'!$H:$H,0))</f>
        <v>78.97</v>
      </c>
      <c r="BN170" s="180">
        <f>BM170/INDEX(Parameters!$B:$B,MATCH("AfschrijftermijnVVE"&amp;12*$C170,Parameters!$A:$A,0))</f>
        <v>1.6452083333333334</v>
      </c>
      <c r="BO170" s="184">
        <f>INDEX('inkoop ULL tbv EVPN'!I:I,MATCH($BL170,'inkoop ULL tbv EVPN'!$H:$H,0))</f>
        <v>14.7296035</v>
      </c>
      <c r="BP170" s="184">
        <f t="shared" si="345"/>
        <v>16.374811833333332</v>
      </c>
      <c r="BR170" s="180">
        <f>Parameters!$B$12*AG170</f>
        <v>102.08333333333334</v>
      </c>
      <c r="BS170" s="180">
        <f>SUM(Distributievergoedingen!$F$12,Distributievergoedingen!$I$12,Distributievergoedingen!$L$12,Distributievergoedingen!$O$12)*AF170+SUM(Distributievergoedingen!$O$12*AA170+Distributievergoedingen!$R$12+Distributievergoedingen!$U$12+Distributievergoedingen!$X$12)/(MAX(36,12*C170))</f>
        <v>112.08333333333333</v>
      </c>
      <c r="BT170" s="150"/>
      <c r="BU170" s="150">
        <f t="shared" si="346"/>
        <v>214.16666666666669</v>
      </c>
      <c r="BW170" s="522">
        <f t="shared" si="347"/>
        <v>230.54147850000001</v>
      </c>
      <c r="BY170" s="527">
        <f t="shared" si="348"/>
        <v>790.29185483333333</v>
      </c>
      <c r="BZ170" s="181">
        <f t="shared" si="349"/>
        <v>0.77416344963265304</v>
      </c>
      <c r="CA170" s="520" t="b">
        <f t="shared" si="350"/>
        <v>0</v>
      </c>
    </row>
    <row r="171" spans="1:79" s="151" customFormat="1">
      <c r="A171" s="151" t="str">
        <f>C171&amp;D171&amp;E171&amp;F171&amp;G171</f>
        <v>4EoKStandard Access koper 10mbLaagOn-net (NLS1, 2)</v>
      </c>
      <c r="B171" s="151" t="str">
        <f>A171</f>
        <v>4EoKStandard Access koper 10mbLaagOn-net (NLS1, 2)</v>
      </c>
      <c r="C171" s="178">
        <v>4</v>
      </c>
      <c r="D171" s="415" t="s">
        <v>303</v>
      </c>
      <c r="E171" s="178" t="s">
        <v>277</v>
      </c>
      <c r="F171" s="107" t="s">
        <v>275</v>
      </c>
      <c r="G171" s="178" t="s">
        <v>281</v>
      </c>
      <c r="I171" s="178"/>
      <c r="J171" s="520" t="str">
        <f t="shared" si="351"/>
        <v>EoKStandard Access koper 10mbLaagOn-net (NLS1, 2)</v>
      </c>
      <c r="L171" s="204">
        <f>INDEX(Mapping!$H:$H,MATCH(C$3&amp;C171,Mapping!$B:$B,0))</f>
        <v>1</v>
      </c>
      <c r="M171" s="204" t="str">
        <f>INDEX(Mapping!$H:$H,MATCH(D$3&amp;D171,Mapping!$B:$B,0))</f>
        <v>EoK</v>
      </c>
      <c r="N171" s="204" t="str">
        <f>INDEX(Mapping!$H:$H,MATCH(E$3&amp;E171,Mapping!$B:$B,0))</f>
        <v>Copper Standard Access 10Mbit/s</v>
      </c>
      <c r="O171" s="204" t="str">
        <f>INDEX(Mapping!$H:$H,MATCH(E171&amp;F171,Mapping!$B:$B,0))</f>
        <v/>
      </c>
      <c r="P171" s="204" t="str">
        <f>INDEX(Mapping!$H:$H,MATCH($E171&amp;$G171,Mapping!$B:$B,0))</f>
        <v>On-net (NLS1, 2)</v>
      </c>
      <c r="Q171" s="204">
        <f>INDEX(Mapping!$H:$H,MATCH($E171&amp;$G171&amp;"graafafstand",Mapping!$B:$B,0))</f>
        <v>0</v>
      </c>
      <c r="R171" s="204">
        <f>INDEX(Mapping!$H:$H,MATCH(R$3&amp;$E171,Mapping!$B:$B,0))</f>
        <v>1</v>
      </c>
      <c r="S171" s="204">
        <f>INDEX(Mapping!$H:$H,MATCH(S$3&amp;$E171,Mapping!$B:$B,0))</f>
        <v>1</v>
      </c>
      <c r="T171" s="139" t="str">
        <f>N171&amp;O171&amp;P171</f>
        <v>Copper Standard Access 10Mbit/sOn-net (NLS1, 2)</v>
      </c>
      <c r="U171" s="151" t="str">
        <f>T171</f>
        <v>Copper Standard Access 10Mbit/sOn-net (NLS1, 2)</v>
      </c>
      <c r="W171" s="521">
        <f>MATCH($J171,'Tarieven ZM'!$B:$B,0)</f>
        <v>173</v>
      </c>
      <c r="X171" s="204">
        <f>INDEX('Tarieven ZM'!$H:$H,$W171)</f>
        <v>1000</v>
      </c>
      <c r="Y171" s="198">
        <f>IF(E171="Standard Access in ZG BT gebieden",0,-INDEX(Parameters!$B:$B,MATCH(Y$3&amp;$C171,Parameters!$A:$A,0))*$X171)</f>
        <v>0</v>
      </c>
      <c r="Z171" s="198">
        <f>IF(E171="Standard Access in ZG BT gebieden",0,MAX(-INDEX(Parameters!$B:$B,MATCH(Z$3&amp;$C171,Parameters!$A:$A,0))*$X171,-INDEX(Parameters!$B:$B,MATCH("FactorMaxSalesMandaat"&amp;E171,Parameters!$A:$A,0))*INDEX(Parameters!$B:$B,MATCH("MaxSalesMandaatAccessVVE"&amp;$C171,Parameters!$A:$A,0))))</f>
        <v>0</v>
      </c>
      <c r="AA171" s="139">
        <f>SUM(X171:Z171)</f>
        <v>1000</v>
      </c>
      <c r="AB171" s="205">
        <f>AA171/INDEX(Parameters!$B:$B,MATCH("AfschrijftermijnVVE"&amp;12*$C171,Parameters!$A:$A,0))</f>
        <v>20.833333333333332</v>
      </c>
      <c r="AC171" s="204">
        <f>INDEX('Tarieven ZM'!$G:$G,$W171)</f>
        <v>1000</v>
      </c>
      <c r="AD171" s="198">
        <f>IF(E171="Standard Access in ZG BT gebieden",0,-INDEX(Parameters!$B:$B,MATCH(AD$3&amp;$C171,Parameters!$A:$A,0))*$AC171)</f>
        <v>0</v>
      </c>
      <c r="AE171" s="198">
        <f>IF(E171="Standard Access in ZG BT gebieden",0,-INDEX(Parameters!$B:$B,MATCH(AE$3,Parameters!$A:$A,0))*$AC171)</f>
        <v>0</v>
      </c>
      <c r="AF171" s="139">
        <f>SUM(AC171:AE171)</f>
        <v>1000</v>
      </c>
      <c r="AG171" s="522">
        <f>SUM(AB171,AF171)</f>
        <v>1020.8333333333334</v>
      </c>
      <c r="AH171" s="175"/>
      <c r="AI171" s="523">
        <f>IF(N171&lt;&gt;"nvt",MATCH($T171,'Tarieven W&amp;O'!$B:$B,0),"nvt")</f>
        <v>11</v>
      </c>
      <c r="AJ171" s="205">
        <f>IF(AI171&lt;&gt;"nvt",IF($D171="EoK",INDEX(Parameters!C:C,MATCH("NLSx EoK",Parameters!A:A,0)),INDEX('Tarieven W&amp;O'!$H:$H,$AI171)),0)*R171</f>
        <v>350</v>
      </c>
      <c r="AK171" s="204">
        <f>IF(AI171&lt;&gt;"nvt",INDEX('Tarieven W&amp;O'!$I:$I,$AI171),0)*R171</f>
        <v>75</v>
      </c>
      <c r="AL171" s="524">
        <f>IF(AI171&lt;&gt;"nvt",-INDEX(Parameters!$B:$B,MATCH(AL$3,Parameters!$A:$A,0))*(AJ171+AK171),0)</f>
        <v>0</v>
      </c>
      <c r="AM171" s="525"/>
      <c r="AN171" s="139">
        <f>SUM(AJ171:AM171)</f>
        <v>425</v>
      </c>
      <c r="AO171" s="205">
        <f>AN171/INDEX(Parameters!$B:$B,MATCH("AfschrijftermijnVVE"&amp;12*$C171,Parameters!$A:$A,0))</f>
        <v>8.8541666666666661</v>
      </c>
      <c r="AP171" s="139">
        <f>AI171</f>
        <v>11</v>
      </c>
      <c r="AQ171" s="526">
        <f>IF(AP171&lt;&gt;"nvt",R171*INDEX('Tarieven W&amp;O'!$G:$G,$AP171),0)</f>
        <v>83.59</v>
      </c>
      <c r="AR171" s="524">
        <f>-INDEX(Parameters!$B:$B,MATCH(AR$3,Parameters!$A:$A,0))*(AQ171)</f>
        <v>0</v>
      </c>
      <c r="AS171" s="205">
        <f>IF(E171="straal access",'EDC Minus'!$H$192,IF(Q171&lt;&gt;"nvt",Q171*S171*'EDC Minus'!$H$292/590,0))</f>
        <v>0</v>
      </c>
      <c r="AT171" s="139"/>
      <c r="AU171" s="150">
        <f>SUM(AQ171:AT171)</f>
        <v>83.59</v>
      </c>
      <c r="AV171" s="150">
        <f>SUM(AO171,AU171)</f>
        <v>92.444166666666675</v>
      </c>
      <c r="AX171" s="526">
        <f>Parameters!$B$6*AV171</f>
        <v>0.92444166666666672</v>
      </c>
      <c r="AY171" s="150">
        <v>0</v>
      </c>
      <c r="AZ171" s="150"/>
      <c r="BA171" s="150">
        <f>SUM(AX171:AZ171)</f>
        <v>0.92444166666666672</v>
      </c>
      <c r="BC171" s="522">
        <f t="shared" si="344"/>
        <v>93.368608333333341</v>
      </c>
      <c r="BD171" s="175"/>
      <c r="BE171" s="527">
        <f t="shared" si="329"/>
        <v>927.46472500000004</v>
      </c>
      <c r="BF171" s="181">
        <f t="shared" si="330"/>
        <v>0.90853687346938772</v>
      </c>
      <c r="BG171" s="520" t="b">
        <f>BF171&lt;0</f>
        <v>0</v>
      </c>
      <c r="BI171" s="528" t="s">
        <v>2181</v>
      </c>
      <c r="BK171" s="151">
        <f>VLOOKUP(J171,'Tarieven ZM'!$B$136:$I$235,8,0)</f>
        <v>0</v>
      </c>
      <c r="BL171" s="151" t="str">
        <f>IF(M171="EoK",N171&amp;"AdvancedNLS type 1/2/3",IF(E171&lt;&gt;"Straal Access",INDEX(Mapping!J:J,MATCH(E171&amp;G171,Mapping!B:B,0)),E171))</f>
        <v>Copper Standard Access 10Mbit/sAdvancedNLS type 1/2/3</v>
      </c>
      <c r="BM171" s="184">
        <f>INDEX('inkoop ULL tbv EVPN'!J:J,MATCH($BL171,'inkoop ULL tbv EVPN'!$H:$H,0))</f>
        <v>78.97</v>
      </c>
      <c r="BN171" s="180">
        <f>BM171/INDEX(Parameters!$B:$B,MATCH("AfschrijftermijnVVE"&amp;12*$C171,Parameters!$A:$A,0))</f>
        <v>1.6452083333333334</v>
      </c>
      <c r="BO171" s="184">
        <f>INDEX('inkoop ULL tbv EVPN'!I:I,MATCH($BL171,'inkoop ULL tbv EVPN'!$H:$H,0))</f>
        <v>14.7296035</v>
      </c>
      <c r="BP171" s="184">
        <f t="shared" si="345"/>
        <v>16.374811833333332</v>
      </c>
      <c r="BR171" s="180">
        <f>Parameters!$B$12*AG171</f>
        <v>102.08333333333334</v>
      </c>
      <c r="BS171" s="180">
        <f>SUM(Distributievergoedingen!$F$12,Distributievergoedingen!$I$12,Distributievergoedingen!$L$12,Distributievergoedingen!$O$12)*AF171+SUM(Distributievergoedingen!$O$12*AA171+Distributievergoedingen!$R$12+Distributievergoedingen!$U$12+Distributievergoedingen!$X$12)/(MAX(36,12*C171))</f>
        <v>112.08333333333333</v>
      </c>
      <c r="BT171" s="150"/>
      <c r="BU171" s="150">
        <f t="shared" si="346"/>
        <v>214.16666666666669</v>
      </c>
      <c r="BW171" s="522">
        <f t="shared" si="347"/>
        <v>230.54147850000001</v>
      </c>
      <c r="BY171" s="527">
        <f t="shared" si="348"/>
        <v>790.29185483333333</v>
      </c>
      <c r="BZ171" s="181">
        <f t="shared" si="349"/>
        <v>0.77416344963265304</v>
      </c>
      <c r="CA171" s="520" t="b">
        <f t="shared" si="350"/>
        <v>0</v>
      </c>
    </row>
    <row r="172" spans="1:79" s="151" customFormat="1">
      <c r="A172" s="151" t="str">
        <f t="shared" ref="A172" si="352">C172&amp;D172&amp;E172&amp;F172&amp;G172</f>
        <v>4EoKStandard Access koper 15mbLaagOn-net (NLS1, 2)</v>
      </c>
      <c r="B172" s="151" t="str">
        <f t="shared" ref="B172" si="353">A172</f>
        <v>4EoKStandard Access koper 15mbLaagOn-net (NLS1, 2)</v>
      </c>
      <c r="C172" s="178">
        <v>4</v>
      </c>
      <c r="D172" s="415" t="s">
        <v>303</v>
      </c>
      <c r="E172" s="178" t="s">
        <v>278</v>
      </c>
      <c r="F172" s="107" t="s">
        <v>275</v>
      </c>
      <c r="G172" s="178" t="s">
        <v>281</v>
      </c>
      <c r="I172" s="178"/>
      <c r="J172" s="520" t="str">
        <f t="shared" si="351"/>
        <v>EoKStandard Access koper 15mbLaagOn-net (NLS1, 2)</v>
      </c>
      <c r="L172" s="204">
        <f>INDEX(Mapping!$H:$H,MATCH(C$3&amp;C172,Mapping!$B:$B,0))</f>
        <v>1</v>
      </c>
      <c r="M172" s="204" t="str">
        <f>INDEX(Mapping!$H:$H,MATCH(D$3&amp;D172,Mapping!$B:$B,0))</f>
        <v>EoK</v>
      </c>
      <c r="N172" s="204" t="str">
        <f>INDEX(Mapping!$H:$H,MATCH(E$3&amp;E172,Mapping!$B:$B,0))</f>
        <v>Copper Standard Access 15Mbit/s</v>
      </c>
      <c r="O172" s="204" t="str">
        <f>INDEX(Mapping!$H:$H,MATCH(E172&amp;F172,Mapping!$B:$B,0))</f>
        <v/>
      </c>
      <c r="P172" s="204" t="str">
        <f>INDEX(Mapping!$H:$H,MATCH($E172&amp;$G172,Mapping!$B:$B,0))</f>
        <v>On-net (NLS1, 2)</v>
      </c>
      <c r="Q172" s="204">
        <f>INDEX(Mapping!$H:$H,MATCH($E172&amp;$G172&amp;"graafafstand",Mapping!$B:$B,0))</f>
        <v>0</v>
      </c>
      <c r="R172" s="204">
        <f>INDEX(Mapping!$H:$H,MATCH(R$3&amp;$E172,Mapping!$B:$B,0))</f>
        <v>1</v>
      </c>
      <c r="S172" s="204">
        <f>INDEX(Mapping!$H:$H,MATCH(S$3&amp;$E172,Mapping!$B:$B,0))</f>
        <v>1</v>
      </c>
      <c r="T172" s="139" t="str">
        <f t="shared" ref="T172" si="354">N172&amp;O172&amp;P172</f>
        <v>Copper Standard Access 15Mbit/sOn-net (NLS1, 2)</v>
      </c>
      <c r="U172" s="151" t="str">
        <f t="shared" ref="U172" si="355">T172</f>
        <v>Copper Standard Access 15Mbit/sOn-net (NLS1, 2)</v>
      </c>
      <c r="W172" s="521">
        <f>MATCH($J172,'Tarieven ZM'!$B:$B,0)</f>
        <v>174</v>
      </c>
      <c r="X172" s="204">
        <f>INDEX('Tarieven ZM'!$H:$H,$W172)</f>
        <v>1000</v>
      </c>
      <c r="Y172" s="198">
        <f>IF(E172="Standard Access in ZG BT gebieden",0,-INDEX(Parameters!$B:$B,MATCH(Y$3&amp;$C172,Parameters!$A:$A,0))*$X172)</f>
        <v>0</v>
      </c>
      <c r="Z172" s="198">
        <f>IF(E172="Standard Access in ZG BT gebieden",0,MAX(-INDEX(Parameters!$B:$B,MATCH(Z$3&amp;$C172,Parameters!$A:$A,0))*$X172,-INDEX(Parameters!$B:$B,MATCH("FactorMaxSalesMandaat"&amp;E172,Parameters!$A:$A,0))*INDEX(Parameters!$B:$B,MATCH("MaxSalesMandaatAccessVVE"&amp;$C172,Parameters!$A:$A,0))))</f>
        <v>0</v>
      </c>
      <c r="AA172" s="139">
        <f t="shared" ref="AA172" si="356">SUM(X172:Z172)</f>
        <v>1000</v>
      </c>
      <c r="AB172" s="205">
        <f>AA172/INDEX(Parameters!$B:$B,MATCH("AfschrijftermijnVVE"&amp;12*$C172,Parameters!$A:$A,0))</f>
        <v>20.833333333333332</v>
      </c>
      <c r="AC172" s="204">
        <f>INDEX('Tarieven ZM'!$G:$G,$W172)</f>
        <v>1000</v>
      </c>
      <c r="AD172" s="198">
        <f>IF(E172="Standard Access in ZG BT gebieden",0,-INDEX(Parameters!$B:$B,MATCH(AD$3&amp;$C172,Parameters!$A:$A,0))*$AC172)</f>
        <v>0</v>
      </c>
      <c r="AE172" s="198">
        <f>IF(E172="Standard Access in ZG BT gebieden",0,-INDEX(Parameters!$B:$B,MATCH(AE$3,Parameters!$A:$A,0))*$AC172)</f>
        <v>0</v>
      </c>
      <c r="AF172" s="139">
        <f t="shared" ref="AF172" si="357">SUM(AC172:AE172)</f>
        <v>1000</v>
      </c>
      <c r="AG172" s="522">
        <f t="shared" ref="AG172" si="358">SUM(AB172,AF172)</f>
        <v>1020.8333333333334</v>
      </c>
      <c r="AH172" s="175"/>
      <c r="AI172" s="523">
        <f>IF(N172&lt;&gt;"nvt",MATCH($T172,'Tarieven W&amp;O'!$B:$B,0),"nvt")</f>
        <v>12</v>
      </c>
      <c r="AJ172" s="205">
        <f>IF(AI172&lt;&gt;"nvt",IF($D172="EoK",INDEX(Parameters!C:C,MATCH("NLSx EoK",Parameters!A:A,0)),INDEX('Tarieven W&amp;O'!$H:$H,$AI172)),0)*R172</f>
        <v>350</v>
      </c>
      <c r="AK172" s="204">
        <f>IF(AI172&lt;&gt;"nvt",INDEX('Tarieven W&amp;O'!$I:$I,$AI172),0)*R172</f>
        <v>75</v>
      </c>
      <c r="AL172" s="524">
        <f>IF(AI172&lt;&gt;"nvt",-INDEX(Parameters!$B:$B,MATCH(AL$3,Parameters!$A:$A,0))*(AJ172+AK172),0)</f>
        <v>0</v>
      </c>
      <c r="AM172" s="525"/>
      <c r="AN172" s="139">
        <f t="shared" ref="AN172" si="359">SUM(AJ172:AM172)</f>
        <v>425</v>
      </c>
      <c r="AO172" s="205">
        <f>AN172/INDEX(Parameters!$B:$B,MATCH("AfschrijftermijnVVE"&amp;12*$C172,Parameters!$A:$A,0))</f>
        <v>8.8541666666666661</v>
      </c>
      <c r="AP172" s="139">
        <f t="shared" ref="AP172" si="360">AI172</f>
        <v>12</v>
      </c>
      <c r="AQ172" s="526">
        <f>IF(AP172&lt;&gt;"nvt",R172*INDEX('Tarieven W&amp;O'!$G:$G,$AP172),0)</f>
        <v>102.44</v>
      </c>
      <c r="AR172" s="524">
        <f>-INDEX(Parameters!$B:$B,MATCH(AR$3,Parameters!$A:$A,0))*(AQ172)</f>
        <v>0</v>
      </c>
      <c r="AS172" s="205">
        <f>IF(E172="straal access",'EDC Minus'!$H$192,IF(Q172&lt;&gt;"nvt",Q172*S172*'EDC Minus'!$H$292/590,0))</f>
        <v>0</v>
      </c>
      <c r="AT172" s="139"/>
      <c r="AU172" s="150">
        <f t="shared" ref="AU172" si="361">SUM(AQ172:AT172)</f>
        <v>102.44</v>
      </c>
      <c r="AV172" s="150">
        <f t="shared" ref="AV172" si="362">SUM(AO172,AU172)</f>
        <v>111.29416666666667</v>
      </c>
      <c r="AX172" s="526">
        <f>Parameters!$B$6*AV172</f>
        <v>1.1129416666666667</v>
      </c>
      <c r="AY172" s="150">
        <v>0</v>
      </c>
      <c r="AZ172" s="150"/>
      <c r="BA172" s="150">
        <f t="shared" ref="BA172" si="363">SUM(AX172:AZ172)</f>
        <v>1.1129416666666667</v>
      </c>
      <c r="BC172" s="522">
        <f t="shared" si="344"/>
        <v>112.40710833333334</v>
      </c>
      <c r="BD172" s="175"/>
      <c r="BE172" s="527">
        <f t="shared" si="329"/>
        <v>908.42622500000004</v>
      </c>
      <c r="BF172" s="181">
        <f t="shared" si="330"/>
        <v>0.88988691428571431</v>
      </c>
      <c r="BG172" s="520" t="b">
        <f t="shared" ref="BG172" si="364">BF172&lt;0</f>
        <v>0</v>
      </c>
      <c r="BI172" s="528" t="s">
        <v>2181</v>
      </c>
      <c r="BK172" s="151">
        <f>VLOOKUP(J172,'Tarieven ZM'!$B$136:$I$235,8,0)</f>
        <v>0</v>
      </c>
      <c r="BL172" s="151" t="str">
        <f>IF(M172="EoK",N172&amp;"AdvancedNLS type 1/2/3",IF(E172&lt;&gt;"Straal Access",INDEX(Mapping!J:J,MATCH(E172&amp;G172,Mapping!B:B,0)),E172))</f>
        <v>Copper Standard Access 15Mbit/sAdvancedNLS type 1/2/3</v>
      </c>
      <c r="BM172" s="184">
        <f>INDEX('inkoop ULL tbv EVPN'!J:J,MATCH($BL172,'inkoop ULL tbv EVPN'!$H:$H,0))</f>
        <v>78.97</v>
      </c>
      <c r="BN172" s="180">
        <f>BM172/INDEX(Parameters!$B:$B,MATCH("AfschrijftermijnVVE"&amp;12*$C172,Parameters!$A:$A,0))</f>
        <v>1.6452083333333334</v>
      </c>
      <c r="BO172" s="184">
        <f>INDEX('inkoop ULL tbv EVPN'!I:I,MATCH($BL172,'inkoop ULL tbv EVPN'!$H:$H,0))</f>
        <v>14.7296035</v>
      </c>
      <c r="BP172" s="184">
        <f t="shared" si="345"/>
        <v>16.374811833333332</v>
      </c>
      <c r="BR172" s="180">
        <f>Parameters!$B$12*AG172</f>
        <v>102.08333333333334</v>
      </c>
      <c r="BS172" s="180">
        <f>SUM(Distributievergoedingen!$F$12,Distributievergoedingen!$I$12,Distributievergoedingen!$L$12,Distributievergoedingen!$O$12)*AF172+SUM(Distributievergoedingen!$O$12*AA172+Distributievergoedingen!$R$12+Distributievergoedingen!$U$12+Distributievergoedingen!$X$12)/(MAX(36,12*C172))</f>
        <v>112.08333333333333</v>
      </c>
      <c r="BT172" s="150"/>
      <c r="BU172" s="150">
        <f t="shared" si="346"/>
        <v>214.16666666666669</v>
      </c>
      <c r="BW172" s="522">
        <f t="shared" si="347"/>
        <v>230.54147850000001</v>
      </c>
      <c r="BY172" s="527">
        <f t="shared" si="348"/>
        <v>790.29185483333333</v>
      </c>
      <c r="BZ172" s="181">
        <f t="shared" si="349"/>
        <v>0.77416344963265304</v>
      </c>
      <c r="CA172" s="520" t="b">
        <f t="shared" si="350"/>
        <v>0</v>
      </c>
    </row>
    <row r="173" spans="1:79" s="151" customFormat="1">
      <c r="A173" s="151" t="str">
        <f>C173&amp;D173&amp;E173&amp;F173&amp;G173</f>
        <v>4EoKStandard Access koper 20mbLaagOn-net (NLS1, 2)</v>
      </c>
      <c r="B173" s="151" t="str">
        <f>A173</f>
        <v>4EoKStandard Access koper 20mbLaagOn-net (NLS1, 2)</v>
      </c>
      <c r="C173" s="178">
        <v>4</v>
      </c>
      <c r="D173" s="415" t="s">
        <v>303</v>
      </c>
      <c r="E173" s="178" t="s">
        <v>279</v>
      </c>
      <c r="F173" s="107" t="s">
        <v>275</v>
      </c>
      <c r="G173" s="178" t="s">
        <v>281</v>
      </c>
      <c r="I173" s="178"/>
      <c r="J173" s="520" t="str">
        <f t="shared" si="351"/>
        <v>EoKStandard Access koper 20mbLaagOn-net (NLS1, 2)</v>
      </c>
      <c r="L173" s="204">
        <f>INDEX(Mapping!$H:$H,MATCH(C$3&amp;C173,Mapping!$B:$B,0))</f>
        <v>1</v>
      </c>
      <c r="M173" s="204" t="str">
        <f>INDEX(Mapping!$H:$H,MATCH(D$3&amp;D173,Mapping!$B:$B,0))</f>
        <v>EoK</v>
      </c>
      <c r="N173" s="204" t="str">
        <f>INDEX(Mapping!$H:$H,MATCH(E$3&amp;E173,Mapping!$B:$B,0))</f>
        <v>Copper Standard Access 20Mbit/s</v>
      </c>
      <c r="O173" s="204" t="str">
        <f>INDEX(Mapping!$H:$H,MATCH(E173&amp;F173,Mapping!$B:$B,0))</f>
        <v/>
      </c>
      <c r="P173" s="204" t="str">
        <f>INDEX(Mapping!$H:$H,MATCH($E173&amp;$G173,Mapping!$B:$B,0))</f>
        <v>On-net (NLS1, 2)</v>
      </c>
      <c r="Q173" s="204">
        <f>INDEX(Mapping!$H:$H,MATCH($E173&amp;$G173&amp;"graafafstand",Mapping!$B:$B,0))</f>
        <v>0</v>
      </c>
      <c r="R173" s="204">
        <f>INDEX(Mapping!$H:$H,MATCH(R$3&amp;$E173,Mapping!$B:$B,0))</f>
        <v>1</v>
      </c>
      <c r="S173" s="204">
        <f>INDEX(Mapping!$H:$H,MATCH(S$3&amp;$E173,Mapping!$B:$B,0))</f>
        <v>1</v>
      </c>
      <c r="T173" s="139" t="str">
        <f>N173&amp;O173&amp;P173</f>
        <v>Copper Standard Access 20Mbit/sOn-net (NLS1, 2)</v>
      </c>
      <c r="U173" s="151" t="str">
        <f>T173</f>
        <v>Copper Standard Access 20Mbit/sOn-net (NLS1, 2)</v>
      </c>
      <c r="W173" s="521">
        <f>MATCH($J173,'Tarieven ZM'!$B:$B,0)</f>
        <v>175</v>
      </c>
      <c r="X173" s="204">
        <f>INDEX('Tarieven ZM'!$H:$H,$W173)</f>
        <v>1000</v>
      </c>
      <c r="Y173" s="198">
        <f>IF(E173="Standard Access in ZG BT gebieden",0,-INDEX(Parameters!$B:$B,MATCH(Y$3&amp;$C173,Parameters!$A:$A,0))*$X173)</f>
        <v>0</v>
      </c>
      <c r="Z173" s="198">
        <f>IF(E173="Standard Access in ZG BT gebieden",0,MAX(-INDEX(Parameters!$B:$B,MATCH(Z$3&amp;$C173,Parameters!$A:$A,0))*$X173,-INDEX(Parameters!$B:$B,MATCH("FactorMaxSalesMandaat"&amp;E173,Parameters!$A:$A,0))*INDEX(Parameters!$B:$B,MATCH("MaxSalesMandaatAccessVVE"&amp;$C173,Parameters!$A:$A,0))))</f>
        <v>0</v>
      </c>
      <c r="AA173" s="139">
        <f>SUM(X173:Z173)</f>
        <v>1000</v>
      </c>
      <c r="AB173" s="205">
        <f>AA173/INDEX(Parameters!$B:$B,MATCH("AfschrijftermijnVVE"&amp;12*$C173,Parameters!$A:$A,0))</f>
        <v>20.833333333333332</v>
      </c>
      <c r="AC173" s="204">
        <f>INDEX('Tarieven ZM'!$G:$G,$W173)</f>
        <v>1000</v>
      </c>
      <c r="AD173" s="198">
        <f>IF(E173="Standard Access in ZG BT gebieden",0,-INDEX(Parameters!$B:$B,MATCH(AD$3&amp;$C173,Parameters!$A:$A,0))*$AC173)</f>
        <v>0</v>
      </c>
      <c r="AE173" s="198">
        <f>IF(E173="Standard Access in ZG BT gebieden",0,-INDEX(Parameters!$B:$B,MATCH(AE$3,Parameters!$A:$A,0))*$AC173)</f>
        <v>0</v>
      </c>
      <c r="AF173" s="139">
        <f>SUM(AC173:AE173)</f>
        <v>1000</v>
      </c>
      <c r="AG173" s="522">
        <f>SUM(AB173,AF173)</f>
        <v>1020.8333333333334</v>
      </c>
      <c r="AH173" s="175"/>
      <c r="AI173" s="523">
        <f>IF(N173&lt;&gt;"nvt",MATCH($T173,'Tarieven W&amp;O'!$B:$B,0),"nvt")</f>
        <v>13</v>
      </c>
      <c r="AJ173" s="205">
        <f>IF(AI173&lt;&gt;"nvt",IF($D173="EoK",INDEX(Parameters!C:C,MATCH("NLSx EoK",Parameters!A:A,0)),INDEX('Tarieven W&amp;O'!$H:$H,$AI173)),0)*R173</f>
        <v>350</v>
      </c>
      <c r="AK173" s="204">
        <f>IF(AI173&lt;&gt;"nvt",INDEX('Tarieven W&amp;O'!$I:$I,$AI173),0)*R173</f>
        <v>75</v>
      </c>
      <c r="AL173" s="524">
        <f>IF(AI173&lt;&gt;"nvt",-INDEX(Parameters!$B:$B,MATCH(AL$3,Parameters!$A:$A,0))*(AJ173+AK173),0)</f>
        <v>0</v>
      </c>
      <c r="AM173" s="525"/>
      <c r="AN173" s="139">
        <f>SUM(AJ173:AM173)</f>
        <v>425</v>
      </c>
      <c r="AO173" s="205">
        <f>AN173/INDEX(Parameters!$B:$B,MATCH("AfschrijftermijnVVE"&amp;12*$C173,Parameters!$A:$A,0))</f>
        <v>8.8541666666666661</v>
      </c>
      <c r="AP173" s="139">
        <f>AI173</f>
        <v>13</v>
      </c>
      <c r="AQ173" s="526">
        <f>IF(AP173&lt;&gt;"nvt",R173*INDEX('Tarieven W&amp;O'!$G:$G,$AP173),0)</f>
        <v>121.28</v>
      </c>
      <c r="AR173" s="524">
        <f>-INDEX(Parameters!$B:$B,MATCH(AR$3,Parameters!$A:$A,0))*(AQ173)</f>
        <v>0</v>
      </c>
      <c r="AS173" s="205">
        <f>IF(E173="straal access",'EDC Minus'!$H$192,IF(Q173&lt;&gt;"nvt",Q173*S173*'EDC Minus'!$H$292/590,0))</f>
        <v>0</v>
      </c>
      <c r="AT173" s="139"/>
      <c r="AU173" s="150">
        <f>SUM(AQ173:AT173)</f>
        <v>121.28</v>
      </c>
      <c r="AV173" s="150">
        <f>SUM(AO173,AU173)</f>
        <v>130.13416666666666</v>
      </c>
      <c r="AX173" s="526">
        <f>Parameters!$B$6*AV173</f>
        <v>1.3013416666666666</v>
      </c>
      <c r="AY173" s="150">
        <v>0</v>
      </c>
      <c r="AZ173" s="150"/>
      <c r="BA173" s="150">
        <f>SUM(AX173:AZ173)</f>
        <v>1.3013416666666666</v>
      </c>
      <c r="BC173" s="522">
        <f t="shared" si="344"/>
        <v>131.43550833333333</v>
      </c>
      <c r="BD173" s="175"/>
      <c r="BE173" s="527">
        <f t="shared" si="329"/>
        <v>889.39782500000001</v>
      </c>
      <c r="BF173" s="181">
        <f t="shared" si="330"/>
        <v>0.87124684897959181</v>
      </c>
      <c r="BG173" s="520" t="b">
        <f>BF173&lt;0</f>
        <v>0</v>
      </c>
      <c r="BI173" s="528" t="s">
        <v>2181</v>
      </c>
      <c r="BK173" s="151">
        <f>VLOOKUP(J173,'Tarieven ZM'!$B$136:$I$235,8,0)</f>
        <v>0</v>
      </c>
      <c r="BL173" s="151" t="str">
        <f>IF(M173="EoK",N173&amp;"AdvancedNLS type 1/2/3",IF(E173&lt;&gt;"Straal Access",INDEX(Mapping!J:J,MATCH(E173&amp;G173,Mapping!B:B,0)),E173))</f>
        <v>Copper Standard Access 20Mbit/sAdvancedNLS type 1/2/3</v>
      </c>
      <c r="BM173" s="184">
        <f>INDEX('inkoop ULL tbv EVPN'!J:J,MATCH($BL173,'inkoop ULL tbv EVPN'!$H:$H,0))</f>
        <v>78.97</v>
      </c>
      <c r="BN173" s="180">
        <f>BM173/INDEX(Parameters!$B:$B,MATCH("AfschrijftermijnVVE"&amp;12*$C173,Parameters!$A:$A,0))</f>
        <v>1.6452083333333334</v>
      </c>
      <c r="BO173" s="184">
        <f>INDEX('inkoop ULL tbv EVPN'!I:I,MATCH($BL173,'inkoop ULL tbv EVPN'!$H:$H,0))</f>
        <v>14.7296035</v>
      </c>
      <c r="BP173" s="184">
        <f t="shared" si="345"/>
        <v>16.374811833333332</v>
      </c>
      <c r="BR173" s="180">
        <f>Parameters!$B$12*AG173</f>
        <v>102.08333333333334</v>
      </c>
      <c r="BS173" s="180">
        <f>SUM(Distributievergoedingen!$F$12,Distributievergoedingen!$I$12,Distributievergoedingen!$L$12,Distributievergoedingen!$O$12)*AF173+SUM(Distributievergoedingen!$O$12*AA173+Distributievergoedingen!$R$12+Distributievergoedingen!$U$12+Distributievergoedingen!$X$12)/(MAX(36,12*C173))</f>
        <v>112.08333333333333</v>
      </c>
      <c r="BT173" s="150"/>
      <c r="BU173" s="150">
        <f t="shared" si="346"/>
        <v>214.16666666666669</v>
      </c>
      <c r="BW173" s="522">
        <f t="shared" si="347"/>
        <v>230.54147850000001</v>
      </c>
      <c r="BY173" s="527">
        <f t="shared" si="348"/>
        <v>790.29185483333333</v>
      </c>
      <c r="BZ173" s="181">
        <f t="shared" si="349"/>
        <v>0.77416344963265304</v>
      </c>
      <c r="CA173" s="520" t="b">
        <f t="shared" si="350"/>
        <v>0</v>
      </c>
    </row>
    <row r="174" spans="1:79" s="151" customFormat="1">
      <c r="A174" s="151" t="str">
        <f t="shared" ref="A174:A188" si="365">C174&amp;D174&amp;E174&amp;F174&amp;G174</f>
        <v>4EoKStandard Access koper 3mbLaagOn-net (NLS3)</v>
      </c>
      <c r="B174" s="151" t="str">
        <f t="shared" ref="B174:B188" si="366">A174</f>
        <v>4EoKStandard Access koper 3mbLaagOn-net (NLS3)</v>
      </c>
      <c r="C174" s="178">
        <v>4</v>
      </c>
      <c r="D174" s="415" t="s">
        <v>303</v>
      </c>
      <c r="E174" s="178" t="s">
        <v>268</v>
      </c>
      <c r="F174" s="107" t="s">
        <v>275</v>
      </c>
      <c r="G174" s="178" t="s">
        <v>3398</v>
      </c>
      <c r="I174" s="178"/>
      <c r="J174" s="520" t="str">
        <f t="shared" si="351"/>
        <v>EoKStandard Access koper 3mbLaagOn-net (NLS3)</v>
      </c>
      <c r="L174" s="204">
        <f>INDEX(Mapping!$H:$H,MATCH(C$3&amp;C174,Mapping!$B:$B,0))</f>
        <v>1</v>
      </c>
      <c r="M174" s="204" t="str">
        <f>INDEX(Mapping!$H:$H,MATCH(D$3&amp;D174,Mapping!$B:$B,0))</f>
        <v>EoK</v>
      </c>
      <c r="N174" s="204" t="str">
        <f>INDEX(Mapping!$H:$H,MATCH(E$3&amp;E174,Mapping!$B:$B,0))</f>
        <v>Copper Standard Access 3Mbit/s</v>
      </c>
      <c r="O174" s="204" t="str">
        <f>INDEX(Mapping!$H:$H,MATCH(E174&amp;F174,Mapping!$B:$B,0))</f>
        <v/>
      </c>
      <c r="P174" s="204" t="str">
        <f>INDEX(Mapping!$H:$H,MATCH($E174&amp;$G174,Mapping!$B:$B,0))</f>
        <v>On-net (NLS3)</v>
      </c>
      <c r="Q174" s="204" t="str">
        <f>INDEX(Mapping!$H:$H,MATCH($E174&amp;$G174&amp;"graafafstand",Mapping!$B:$B,0))</f>
        <v>nvt</v>
      </c>
      <c r="R174" s="204">
        <f>INDEX(Mapping!$H:$H,MATCH(R$3&amp;$E174,Mapping!$B:$B,0))</f>
        <v>1</v>
      </c>
      <c r="S174" s="204">
        <f>INDEX(Mapping!$H:$H,MATCH(S$3&amp;$E174,Mapping!$B:$B,0))</f>
        <v>1</v>
      </c>
      <c r="T174" s="139" t="str">
        <f t="shared" ref="T174:T179" si="367">N174&amp;O174&amp;P174</f>
        <v>Copper Standard Access 3Mbit/sOn-net (NLS3)</v>
      </c>
      <c r="U174" s="151" t="str">
        <f t="shared" ref="U174:U179" si="368">T174</f>
        <v>Copper Standard Access 3Mbit/sOn-net (NLS3)</v>
      </c>
      <c r="W174" s="521">
        <f>MATCH($J174,'Tarieven ZM'!$B:$B,0)</f>
        <v>178</v>
      </c>
      <c r="X174" s="204">
        <f>INDEX('Tarieven ZM'!$H:$H,$W174)</f>
        <v>1000</v>
      </c>
      <c r="Y174" s="198">
        <f>IF(E174="Standard Access in ZG BT gebieden",0,-INDEX(Parameters!$B:$B,MATCH(Y$3&amp;$C174,Parameters!$A:$A,0))*$X174)</f>
        <v>0</v>
      </c>
      <c r="Z174" s="198">
        <f>IF(E174="Standard Access in ZG BT gebieden",0,MAX(-INDEX(Parameters!$B:$B,MATCH(Z$3&amp;$C174,Parameters!$A:$A,0))*$X174,-INDEX(Parameters!$B:$B,MATCH("FactorMaxSalesMandaat"&amp;E174,Parameters!$A:$A,0))*INDEX(Parameters!$B:$B,MATCH("MaxSalesMandaatAccessVVE"&amp;$C174,Parameters!$A:$A,0))))</f>
        <v>0</v>
      </c>
      <c r="AA174" s="139">
        <f t="shared" ref="AA174:AA179" si="369">SUM(X174:Z174)</f>
        <v>1000</v>
      </c>
      <c r="AB174" s="205">
        <f>AA174/INDEX(Parameters!$B:$B,MATCH("AfschrijftermijnVVE"&amp;12*$C174,Parameters!$A:$A,0))</f>
        <v>20.833333333333332</v>
      </c>
      <c r="AC174" s="204">
        <f>INDEX('Tarieven ZM'!$G:$G,$W174)</f>
        <v>1000</v>
      </c>
      <c r="AD174" s="198">
        <f>IF(E174="Standard Access in ZG BT gebieden",0,-INDEX(Parameters!$B:$B,MATCH(AD$3&amp;$C174,Parameters!$A:$A,0))*$AC174)</f>
        <v>0</v>
      </c>
      <c r="AE174" s="198">
        <f>IF(E174="Standard Access in ZG BT gebieden",0,-INDEX(Parameters!$B:$B,MATCH(AE$3,Parameters!$A:$A,0))*$AC174)</f>
        <v>0</v>
      </c>
      <c r="AF174" s="139">
        <f t="shared" ref="AF174:AF179" si="370">SUM(AC174:AE174)</f>
        <v>1000</v>
      </c>
      <c r="AG174" s="522">
        <f t="shared" ref="AG174:AG179" si="371">SUM(AB174,AF174)</f>
        <v>1020.8333333333334</v>
      </c>
      <c r="AH174" s="175"/>
      <c r="AI174" s="523">
        <f>IF(N174&lt;&gt;"nvt",MATCH($T174,'Tarieven W&amp;O'!$B:$B,0),"nvt")</f>
        <v>16</v>
      </c>
      <c r="AJ174" s="205">
        <f>IF(AI174&lt;&gt;"nvt",IF($D174="EoK",INDEX(Parameters!C:C,MATCH("NLSx EoK",Parameters!A:A,0)),INDEX('Tarieven W&amp;O'!$H:$H,$AI174)),0)*R174</f>
        <v>350</v>
      </c>
      <c r="AK174" s="204">
        <f>IF(AI174&lt;&gt;"nvt",INDEX('Tarieven W&amp;O'!$I:$I,$AI174),0)*R174</f>
        <v>75</v>
      </c>
      <c r="AL174" s="524">
        <f>IF(AI174&lt;&gt;"nvt",-INDEX(Parameters!$B:$B,MATCH(AL$3,Parameters!$A:$A,0))*(AJ174+AK174),0)</f>
        <v>0</v>
      </c>
      <c r="AM174" s="525"/>
      <c r="AN174" s="139">
        <f t="shared" ref="AN174:AN179" si="372">SUM(AJ174:AM174)</f>
        <v>425</v>
      </c>
      <c r="AO174" s="205">
        <f>AN174/INDEX(Parameters!$B:$B,MATCH("AfschrijftermijnVVE"&amp;12*$C174,Parameters!$A:$A,0))</f>
        <v>8.8541666666666661</v>
      </c>
      <c r="AP174" s="139">
        <f t="shared" ref="AP174:AP179" si="373">AI174</f>
        <v>16</v>
      </c>
      <c r="AQ174" s="526">
        <f>IF(AP174&lt;&gt;"nvt",R174*INDEX('Tarieven W&amp;O'!$G:$G,$AP174),0)</f>
        <v>41.5</v>
      </c>
      <c r="AR174" s="524">
        <f>-INDEX(Parameters!$B:$B,MATCH(AR$3,Parameters!$A:$A,0))*(AQ174)</f>
        <v>0</v>
      </c>
      <c r="AS174" s="205">
        <f>IF(E174="straal access",'EDC Minus'!$H$192,IF(Q174&lt;&gt;"nvt",Q174*S174*'EDC Minus'!$H$292/590,0))</f>
        <v>0</v>
      </c>
      <c r="AT174" s="139"/>
      <c r="AU174" s="150">
        <f t="shared" ref="AU174:AU179" si="374">SUM(AQ174:AT174)</f>
        <v>41.5</v>
      </c>
      <c r="AV174" s="150">
        <f t="shared" ref="AV174:AV179" si="375">SUM(AO174,AU174)</f>
        <v>50.354166666666664</v>
      </c>
      <c r="AX174" s="526">
        <f>Parameters!$B$6*AV174</f>
        <v>0.50354166666666667</v>
      </c>
      <c r="AY174" s="150">
        <v>0</v>
      </c>
      <c r="AZ174" s="150"/>
      <c r="BA174" s="150">
        <f t="shared" ref="BA174:BA179" si="376">SUM(AX174:AZ174)</f>
        <v>0.50354166666666667</v>
      </c>
      <c r="BC174" s="522">
        <f t="shared" si="344"/>
        <v>50.857708333333328</v>
      </c>
      <c r="BD174" s="175"/>
      <c r="BE174" s="527">
        <f t="shared" si="329"/>
        <v>969.97562500000004</v>
      </c>
      <c r="BF174" s="181">
        <f t="shared" si="330"/>
        <v>0.95018020408163262</v>
      </c>
      <c r="BG174" s="520" t="b">
        <f t="shared" ref="BG174:BG179" si="377">BF174&lt;0</f>
        <v>0</v>
      </c>
      <c r="BI174" s="528" t="s">
        <v>2181</v>
      </c>
      <c r="BK174" s="151">
        <f>VLOOKUP(J174,'Tarieven ZM'!$B$136:$I$235,8,0)</f>
        <v>0</v>
      </c>
      <c r="BL174" s="151" t="str">
        <f>IF(M174="EoK",N174&amp;"AdvancedNLS type 1/2/3",IF(E174&lt;&gt;"Straal Access",INDEX(Mapping!J:J,MATCH(E174&amp;G174,Mapping!B:B,0)),E174))</f>
        <v>Copper Standard Access 3Mbit/sAdvancedNLS type 1/2/3</v>
      </c>
      <c r="BM174" s="184">
        <f>INDEX('inkoop ULL tbv EVPN'!J:J,MATCH($BL174,'inkoop ULL tbv EVPN'!$H:$H,0))</f>
        <v>78.97</v>
      </c>
      <c r="BN174" s="180">
        <f>BM174/INDEX(Parameters!$B:$B,MATCH("AfschrijftermijnVVE"&amp;12*$C174,Parameters!$A:$A,0))</f>
        <v>1.6452083333333334</v>
      </c>
      <c r="BO174" s="184">
        <f>INDEX('inkoop ULL tbv EVPN'!I:I,MATCH($BL174,'inkoop ULL tbv EVPN'!$H:$H,0))</f>
        <v>14.7296035</v>
      </c>
      <c r="BP174" s="184">
        <f t="shared" si="345"/>
        <v>16.374811833333332</v>
      </c>
      <c r="BR174" s="180">
        <f>Parameters!$B$12*AG174</f>
        <v>102.08333333333334</v>
      </c>
      <c r="BS174" s="180">
        <f>SUM(Distributievergoedingen!$F$12,Distributievergoedingen!$I$12,Distributievergoedingen!$L$12,Distributievergoedingen!$O$12)*AF174+SUM(Distributievergoedingen!$O$12*AA174+Distributievergoedingen!$R$12+Distributievergoedingen!$U$12+Distributievergoedingen!$X$12)/(MAX(36,12*C174))</f>
        <v>112.08333333333333</v>
      </c>
      <c r="BT174" s="150"/>
      <c r="BU174" s="150">
        <f t="shared" si="346"/>
        <v>214.16666666666669</v>
      </c>
      <c r="BW174" s="522">
        <f t="shared" si="347"/>
        <v>230.54147850000001</v>
      </c>
      <c r="BY174" s="527">
        <f t="shared" si="348"/>
        <v>790.29185483333333</v>
      </c>
      <c r="BZ174" s="181">
        <f t="shared" si="349"/>
        <v>0.77416344963265304</v>
      </c>
      <c r="CA174" s="520" t="b">
        <f t="shared" si="350"/>
        <v>0</v>
      </c>
    </row>
    <row r="175" spans="1:79" s="151" customFormat="1">
      <c r="A175" s="151" t="str">
        <f t="shared" si="365"/>
        <v>4EoKStandard Access koper 5mbLaagOn-net (NLS3)</v>
      </c>
      <c r="B175" s="151" t="str">
        <f t="shared" si="366"/>
        <v>4EoKStandard Access koper 5mbLaagOn-net (NLS3)</v>
      </c>
      <c r="C175" s="178">
        <v>4</v>
      </c>
      <c r="D175" s="415" t="s">
        <v>303</v>
      </c>
      <c r="E175" s="178" t="s">
        <v>276</v>
      </c>
      <c r="F175" s="107" t="s">
        <v>275</v>
      </c>
      <c r="G175" s="178" t="s">
        <v>3398</v>
      </c>
      <c r="I175" s="178"/>
      <c r="J175" s="520" t="str">
        <f t="shared" si="351"/>
        <v>EoKStandard Access koper 5mbLaagOn-net (NLS3)</v>
      </c>
      <c r="L175" s="204">
        <f>INDEX(Mapping!$H:$H,MATCH(C$3&amp;C175,Mapping!$B:$B,0))</f>
        <v>1</v>
      </c>
      <c r="M175" s="204" t="str">
        <f>INDEX(Mapping!$H:$H,MATCH(D$3&amp;D175,Mapping!$B:$B,0))</f>
        <v>EoK</v>
      </c>
      <c r="N175" s="204" t="str">
        <f>INDEX(Mapping!$H:$H,MATCH(E$3&amp;E175,Mapping!$B:$B,0))</f>
        <v>Copper Standard Access 5Mbit/s</v>
      </c>
      <c r="O175" s="204" t="str">
        <f>INDEX(Mapping!$H:$H,MATCH(E175&amp;F175,Mapping!$B:$B,0))</f>
        <v/>
      </c>
      <c r="P175" s="204" t="str">
        <f>INDEX(Mapping!$H:$H,MATCH($E175&amp;$G175,Mapping!$B:$B,0))</f>
        <v>On-net (NLS3)</v>
      </c>
      <c r="Q175" s="204" t="str">
        <f>INDEX(Mapping!$H:$H,MATCH($E175&amp;$G175&amp;"graafafstand",Mapping!$B:$B,0))</f>
        <v>nvt</v>
      </c>
      <c r="R175" s="204">
        <f>INDEX(Mapping!$H:$H,MATCH(R$3&amp;$E175,Mapping!$B:$B,0))</f>
        <v>1</v>
      </c>
      <c r="S175" s="204">
        <f>INDEX(Mapping!$H:$H,MATCH(S$3&amp;$E175,Mapping!$B:$B,0))</f>
        <v>1</v>
      </c>
      <c r="T175" s="139" t="str">
        <f t="shared" si="367"/>
        <v>Copper Standard Access 5Mbit/sOn-net (NLS3)</v>
      </c>
      <c r="U175" s="151" t="str">
        <f t="shared" si="368"/>
        <v>Copper Standard Access 5Mbit/sOn-net (NLS3)</v>
      </c>
      <c r="W175" s="521">
        <f>MATCH($J175,'Tarieven ZM'!$B:$B,0)</f>
        <v>179</v>
      </c>
      <c r="X175" s="204">
        <f>INDEX('Tarieven ZM'!$H:$H,$W175)</f>
        <v>1000</v>
      </c>
      <c r="Y175" s="198">
        <f>IF(E175="Standard Access in ZG BT gebieden",0,-INDEX(Parameters!$B:$B,MATCH(Y$3&amp;$C175,Parameters!$A:$A,0))*$X175)</f>
        <v>0</v>
      </c>
      <c r="Z175" s="198">
        <f>IF(E175="Standard Access in ZG BT gebieden",0,MAX(-INDEX(Parameters!$B:$B,MATCH(Z$3&amp;$C175,Parameters!$A:$A,0))*$X175,-INDEX(Parameters!$B:$B,MATCH("FactorMaxSalesMandaat"&amp;E175,Parameters!$A:$A,0))*INDEX(Parameters!$B:$B,MATCH("MaxSalesMandaatAccessVVE"&amp;$C175,Parameters!$A:$A,0))))</f>
        <v>0</v>
      </c>
      <c r="AA175" s="139">
        <f t="shared" si="369"/>
        <v>1000</v>
      </c>
      <c r="AB175" s="205">
        <f>AA175/INDEX(Parameters!$B:$B,MATCH("AfschrijftermijnVVE"&amp;12*$C175,Parameters!$A:$A,0))</f>
        <v>20.833333333333332</v>
      </c>
      <c r="AC175" s="204">
        <f>INDEX('Tarieven ZM'!$G:$G,$W175)</f>
        <v>1000</v>
      </c>
      <c r="AD175" s="198">
        <f>IF(E175="Standard Access in ZG BT gebieden",0,-INDEX(Parameters!$B:$B,MATCH(AD$3&amp;$C175,Parameters!$A:$A,0))*$AC175)</f>
        <v>0</v>
      </c>
      <c r="AE175" s="198">
        <f>IF(E175="Standard Access in ZG BT gebieden",0,-INDEX(Parameters!$B:$B,MATCH(AE$3,Parameters!$A:$A,0))*$AC175)</f>
        <v>0</v>
      </c>
      <c r="AF175" s="139">
        <f t="shared" si="370"/>
        <v>1000</v>
      </c>
      <c r="AG175" s="522">
        <f t="shared" si="371"/>
        <v>1020.8333333333334</v>
      </c>
      <c r="AH175" s="175"/>
      <c r="AI175" s="523">
        <f>IF(N175&lt;&gt;"nvt",MATCH($T175,'Tarieven W&amp;O'!$B:$B,0),"nvt")</f>
        <v>17</v>
      </c>
      <c r="AJ175" s="205">
        <f>IF(AI175&lt;&gt;"nvt",IF($D175="EoK",INDEX(Parameters!C:C,MATCH("NLSx EoK",Parameters!A:A,0)),INDEX('Tarieven W&amp;O'!$H:$H,$AI175)),0)*R175</f>
        <v>350</v>
      </c>
      <c r="AK175" s="204">
        <f>IF(AI175&lt;&gt;"nvt",INDEX('Tarieven W&amp;O'!$I:$I,$AI175),0)*R175</f>
        <v>75</v>
      </c>
      <c r="AL175" s="524">
        <f>IF(AI175&lt;&gt;"nvt",-INDEX(Parameters!$B:$B,MATCH(AL$3,Parameters!$A:$A,0))*(AJ175+AK175),0)</f>
        <v>0</v>
      </c>
      <c r="AM175" s="525"/>
      <c r="AN175" s="139">
        <f t="shared" si="372"/>
        <v>425</v>
      </c>
      <c r="AO175" s="205">
        <f>AN175/INDEX(Parameters!$B:$B,MATCH("AfschrijftermijnVVE"&amp;12*$C175,Parameters!$A:$A,0))</f>
        <v>8.8541666666666661</v>
      </c>
      <c r="AP175" s="139">
        <f t="shared" si="373"/>
        <v>17</v>
      </c>
      <c r="AQ175" s="526">
        <f>IF(AP175&lt;&gt;"nvt",R175*INDEX('Tarieven W&amp;O'!$G:$G,$AP175),0)</f>
        <v>60.97</v>
      </c>
      <c r="AR175" s="524">
        <f>-INDEX(Parameters!$B:$B,MATCH(AR$3,Parameters!$A:$A,0))*(AQ175)</f>
        <v>0</v>
      </c>
      <c r="AS175" s="205">
        <f>IF(E175="straal access",'EDC Minus'!$H$192,IF(Q175&lt;&gt;"nvt",Q175*S175*'EDC Minus'!$H$292/590,0))</f>
        <v>0</v>
      </c>
      <c r="AT175" s="139"/>
      <c r="AU175" s="150">
        <f t="shared" si="374"/>
        <v>60.97</v>
      </c>
      <c r="AV175" s="150">
        <f t="shared" si="375"/>
        <v>69.82416666666667</v>
      </c>
      <c r="AX175" s="526">
        <f>Parameters!$B$6*AV175</f>
        <v>0.69824166666666676</v>
      </c>
      <c r="AY175" s="150">
        <v>0</v>
      </c>
      <c r="AZ175" s="150"/>
      <c r="BA175" s="150">
        <f t="shared" si="376"/>
        <v>0.69824166666666676</v>
      </c>
      <c r="BC175" s="522">
        <f t="shared" si="344"/>
        <v>70.522408333333331</v>
      </c>
      <c r="BD175" s="175"/>
      <c r="BE175" s="527">
        <f t="shared" si="329"/>
        <v>950.310925</v>
      </c>
      <c r="BF175" s="181">
        <f t="shared" si="330"/>
        <v>0.93091682448979585</v>
      </c>
      <c r="BG175" s="520" t="b">
        <f t="shared" si="377"/>
        <v>0</v>
      </c>
      <c r="BI175" s="528" t="s">
        <v>2181</v>
      </c>
      <c r="BK175" s="151">
        <f>VLOOKUP(J175,'Tarieven ZM'!$B$136:$I$235,8,0)</f>
        <v>0</v>
      </c>
      <c r="BL175" s="151" t="str">
        <f>IF(M175="EoK",N175&amp;"AdvancedNLS type 1/2/3",IF(E175&lt;&gt;"Straal Access",INDEX(Mapping!J:J,MATCH(E175&amp;G175,Mapping!B:B,0)),E175))</f>
        <v>Copper Standard Access 5Mbit/sAdvancedNLS type 1/2/3</v>
      </c>
      <c r="BM175" s="184">
        <f>INDEX('inkoop ULL tbv EVPN'!J:J,MATCH($BL175,'inkoop ULL tbv EVPN'!$H:$H,0))</f>
        <v>78.97</v>
      </c>
      <c r="BN175" s="180">
        <f>BM175/INDEX(Parameters!$B:$B,MATCH("AfschrijftermijnVVE"&amp;12*$C175,Parameters!$A:$A,0))</f>
        <v>1.6452083333333334</v>
      </c>
      <c r="BO175" s="184">
        <f>INDEX('inkoop ULL tbv EVPN'!I:I,MATCH($BL175,'inkoop ULL tbv EVPN'!$H:$H,0))</f>
        <v>14.7296035</v>
      </c>
      <c r="BP175" s="184">
        <f t="shared" si="345"/>
        <v>16.374811833333332</v>
      </c>
      <c r="BR175" s="180">
        <f>Parameters!$B$12*AG175</f>
        <v>102.08333333333334</v>
      </c>
      <c r="BS175" s="180">
        <f>SUM(Distributievergoedingen!$F$12,Distributievergoedingen!$I$12,Distributievergoedingen!$L$12,Distributievergoedingen!$O$12)*AF175+SUM(Distributievergoedingen!$O$12*AA175+Distributievergoedingen!$R$12+Distributievergoedingen!$U$12+Distributievergoedingen!$X$12)/(MAX(36,12*C175))</f>
        <v>112.08333333333333</v>
      </c>
      <c r="BT175" s="150"/>
      <c r="BU175" s="150">
        <f t="shared" si="346"/>
        <v>214.16666666666669</v>
      </c>
      <c r="BW175" s="522">
        <f t="shared" si="347"/>
        <v>230.54147850000001</v>
      </c>
      <c r="BY175" s="527">
        <f t="shared" si="348"/>
        <v>790.29185483333333</v>
      </c>
      <c r="BZ175" s="181">
        <f t="shared" si="349"/>
        <v>0.77416344963265304</v>
      </c>
      <c r="CA175" s="520" t="b">
        <f t="shared" si="350"/>
        <v>0</v>
      </c>
    </row>
    <row r="176" spans="1:79" s="151" customFormat="1">
      <c r="A176" s="151" t="str">
        <f t="shared" si="365"/>
        <v>4EoKStandard Access koper 10mbLaagOn-net (NLS3)</v>
      </c>
      <c r="B176" s="151" t="str">
        <f t="shared" si="366"/>
        <v>4EoKStandard Access koper 10mbLaagOn-net (NLS3)</v>
      </c>
      <c r="C176" s="178">
        <v>4</v>
      </c>
      <c r="D176" s="415" t="s">
        <v>303</v>
      </c>
      <c r="E176" s="178" t="s">
        <v>277</v>
      </c>
      <c r="F176" s="107" t="s">
        <v>275</v>
      </c>
      <c r="G176" s="178" t="s">
        <v>3398</v>
      </c>
      <c r="I176" s="178"/>
      <c r="J176" s="520" t="str">
        <f t="shared" si="351"/>
        <v>EoKStandard Access koper 10mbLaagOn-net (NLS3)</v>
      </c>
      <c r="L176" s="204">
        <f>INDEX(Mapping!$H:$H,MATCH(C$3&amp;C176,Mapping!$B:$B,0))</f>
        <v>1</v>
      </c>
      <c r="M176" s="204" t="str">
        <f>INDEX(Mapping!$H:$H,MATCH(D$3&amp;D176,Mapping!$B:$B,0))</f>
        <v>EoK</v>
      </c>
      <c r="N176" s="204" t="str">
        <f>INDEX(Mapping!$H:$H,MATCH(E$3&amp;E176,Mapping!$B:$B,0))</f>
        <v>Copper Standard Access 10Mbit/s</v>
      </c>
      <c r="O176" s="204" t="str">
        <f>INDEX(Mapping!$H:$H,MATCH(E176&amp;F176,Mapping!$B:$B,0))</f>
        <v/>
      </c>
      <c r="P176" s="204" t="str">
        <f>INDEX(Mapping!$H:$H,MATCH($E176&amp;$G176,Mapping!$B:$B,0))</f>
        <v>On-net (NLS3)</v>
      </c>
      <c r="Q176" s="204" t="str">
        <f>INDEX(Mapping!$H:$H,MATCH($E176&amp;$G176&amp;"graafafstand",Mapping!$B:$B,0))</f>
        <v>nvt</v>
      </c>
      <c r="R176" s="204">
        <f>INDEX(Mapping!$H:$H,MATCH(R$3&amp;$E176,Mapping!$B:$B,0))</f>
        <v>1</v>
      </c>
      <c r="S176" s="204">
        <f>INDEX(Mapping!$H:$H,MATCH(S$3&amp;$E176,Mapping!$B:$B,0))</f>
        <v>1</v>
      </c>
      <c r="T176" s="139" t="str">
        <f t="shared" si="367"/>
        <v>Copper Standard Access 10Mbit/sOn-net (NLS3)</v>
      </c>
      <c r="U176" s="151" t="str">
        <f t="shared" si="368"/>
        <v>Copper Standard Access 10Mbit/sOn-net (NLS3)</v>
      </c>
      <c r="W176" s="521">
        <f>MATCH($J176,'Tarieven ZM'!$B:$B,0)</f>
        <v>180</v>
      </c>
      <c r="X176" s="204">
        <f>INDEX('Tarieven ZM'!$H:$H,$W176)</f>
        <v>1000</v>
      </c>
      <c r="Y176" s="198">
        <f>IF(E176="Standard Access in ZG BT gebieden",0,-INDEX(Parameters!$B:$B,MATCH(Y$3&amp;$C176,Parameters!$A:$A,0))*$X176)</f>
        <v>0</v>
      </c>
      <c r="Z176" s="198">
        <f>IF(E176="Standard Access in ZG BT gebieden",0,MAX(-INDEX(Parameters!$B:$B,MATCH(Z$3&amp;$C176,Parameters!$A:$A,0))*$X176,-INDEX(Parameters!$B:$B,MATCH("FactorMaxSalesMandaat"&amp;E176,Parameters!$A:$A,0))*INDEX(Parameters!$B:$B,MATCH("MaxSalesMandaatAccessVVE"&amp;$C176,Parameters!$A:$A,0))))</f>
        <v>0</v>
      </c>
      <c r="AA176" s="139">
        <f t="shared" si="369"/>
        <v>1000</v>
      </c>
      <c r="AB176" s="205">
        <f>AA176/INDEX(Parameters!$B:$B,MATCH("AfschrijftermijnVVE"&amp;12*$C176,Parameters!$A:$A,0))</f>
        <v>20.833333333333332</v>
      </c>
      <c r="AC176" s="204">
        <f>INDEX('Tarieven ZM'!$G:$G,$W176)</f>
        <v>1000</v>
      </c>
      <c r="AD176" s="198">
        <f>IF(E176="Standard Access in ZG BT gebieden",0,-INDEX(Parameters!$B:$B,MATCH(AD$3&amp;$C176,Parameters!$A:$A,0))*$AC176)</f>
        <v>0</v>
      </c>
      <c r="AE176" s="198">
        <f>IF(E176="Standard Access in ZG BT gebieden",0,-INDEX(Parameters!$B:$B,MATCH(AE$3,Parameters!$A:$A,0))*$AC176)</f>
        <v>0</v>
      </c>
      <c r="AF176" s="139">
        <f t="shared" si="370"/>
        <v>1000</v>
      </c>
      <c r="AG176" s="522">
        <f t="shared" si="371"/>
        <v>1020.8333333333334</v>
      </c>
      <c r="AH176" s="175"/>
      <c r="AI176" s="523">
        <f>IF(N176&lt;&gt;"nvt",MATCH($T176,'Tarieven W&amp;O'!$B:$B,0),"nvt")</f>
        <v>18</v>
      </c>
      <c r="AJ176" s="205">
        <f>IF(AI176&lt;&gt;"nvt",IF($D176="EoK",INDEX(Parameters!C:C,MATCH("NLSx EoK",Parameters!A:A,0)),INDEX('Tarieven W&amp;O'!$H:$H,$AI176)),0)*R176</f>
        <v>350</v>
      </c>
      <c r="AK176" s="204">
        <f>IF(AI176&lt;&gt;"nvt",INDEX('Tarieven W&amp;O'!$I:$I,$AI176),0)*R176</f>
        <v>75</v>
      </c>
      <c r="AL176" s="524">
        <f>IF(AI176&lt;&gt;"nvt",-INDEX(Parameters!$B:$B,MATCH(AL$3,Parameters!$A:$A,0))*(AJ176+AK176),0)</f>
        <v>0</v>
      </c>
      <c r="AM176" s="525"/>
      <c r="AN176" s="139">
        <f t="shared" si="372"/>
        <v>425</v>
      </c>
      <c r="AO176" s="205">
        <f>AN176/INDEX(Parameters!$B:$B,MATCH("AfschrijftermijnVVE"&amp;12*$C176,Parameters!$A:$A,0))</f>
        <v>8.8541666666666661</v>
      </c>
      <c r="AP176" s="139">
        <f t="shared" si="373"/>
        <v>18</v>
      </c>
      <c r="AQ176" s="526">
        <f>IF(AP176&lt;&gt;"nvt",R176*INDEX('Tarieven W&amp;O'!$G:$G,$AP176),0)</f>
        <v>83.59</v>
      </c>
      <c r="AR176" s="524">
        <f>-INDEX(Parameters!$B:$B,MATCH(AR$3,Parameters!$A:$A,0))*(AQ176)</f>
        <v>0</v>
      </c>
      <c r="AS176" s="205">
        <f>IF(E176="straal access",'EDC Minus'!$H$192,IF(Q176&lt;&gt;"nvt",Q176*S176*'EDC Minus'!$H$292/590,0))</f>
        <v>0</v>
      </c>
      <c r="AT176" s="139"/>
      <c r="AU176" s="150">
        <f t="shared" si="374"/>
        <v>83.59</v>
      </c>
      <c r="AV176" s="150">
        <f t="shared" si="375"/>
        <v>92.444166666666675</v>
      </c>
      <c r="AX176" s="526">
        <f>Parameters!$B$6*AV176</f>
        <v>0.92444166666666672</v>
      </c>
      <c r="AY176" s="150">
        <v>0</v>
      </c>
      <c r="AZ176" s="150"/>
      <c r="BA176" s="150">
        <f t="shared" si="376"/>
        <v>0.92444166666666672</v>
      </c>
      <c r="BC176" s="522">
        <f t="shared" si="344"/>
        <v>93.368608333333341</v>
      </c>
      <c r="BD176" s="175"/>
      <c r="BE176" s="527">
        <f t="shared" si="329"/>
        <v>927.46472500000004</v>
      </c>
      <c r="BF176" s="181">
        <f t="shared" si="330"/>
        <v>0.90853687346938772</v>
      </c>
      <c r="BG176" s="520" t="b">
        <f t="shared" si="377"/>
        <v>0</v>
      </c>
      <c r="BI176" s="528" t="s">
        <v>2181</v>
      </c>
      <c r="BK176" s="151">
        <f>VLOOKUP(J176,'Tarieven ZM'!$B$136:$I$235,8,0)</f>
        <v>0</v>
      </c>
      <c r="BL176" s="151" t="str">
        <f>IF(M176="EoK",N176&amp;"AdvancedNLS type 1/2/3",IF(E176&lt;&gt;"Straal Access",INDEX(Mapping!J:J,MATCH(E176&amp;G176,Mapping!B:B,0)),E176))</f>
        <v>Copper Standard Access 10Mbit/sAdvancedNLS type 1/2/3</v>
      </c>
      <c r="BM176" s="184">
        <f>INDEX('inkoop ULL tbv EVPN'!J:J,MATCH($BL176,'inkoop ULL tbv EVPN'!$H:$H,0))</f>
        <v>78.97</v>
      </c>
      <c r="BN176" s="180">
        <f>BM176/INDEX(Parameters!$B:$B,MATCH("AfschrijftermijnVVE"&amp;12*$C176,Parameters!$A:$A,0))</f>
        <v>1.6452083333333334</v>
      </c>
      <c r="BO176" s="184">
        <f>INDEX('inkoop ULL tbv EVPN'!I:I,MATCH($BL176,'inkoop ULL tbv EVPN'!$H:$H,0))</f>
        <v>14.7296035</v>
      </c>
      <c r="BP176" s="184">
        <f t="shared" si="345"/>
        <v>16.374811833333332</v>
      </c>
      <c r="BR176" s="180">
        <f>Parameters!$B$12*AG176</f>
        <v>102.08333333333334</v>
      </c>
      <c r="BS176" s="180">
        <f>SUM(Distributievergoedingen!$F$12,Distributievergoedingen!$I$12,Distributievergoedingen!$L$12,Distributievergoedingen!$O$12)*AF176+SUM(Distributievergoedingen!$O$12*AA176+Distributievergoedingen!$R$12+Distributievergoedingen!$U$12+Distributievergoedingen!$X$12)/(MAX(36,12*C176))</f>
        <v>112.08333333333333</v>
      </c>
      <c r="BT176" s="150"/>
      <c r="BU176" s="150">
        <f t="shared" si="346"/>
        <v>214.16666666666669</v>
      </c>
      <c r="BW176" s="522">
        <f t="shared" si="347"/>
        <v>230.54147850000001</v>
      </c>
      <c r="BY176" s="527">
        <f t="shared" si="348"/>
        <v>790.29185483333333</v>
      </c>
      <c r="BZ176" s="181">
        <f t="shared" si="349"/>
        <v>0.77416344963265304</v>
      </c>
      <c r="CA176" s="520" t="b">
        <f t="shared" si="350"/>
        <v>0</v>
      </c>
    </row>
    <row r="177" spans="1:79" s="151" customFormat="1">
      <c r="A177" s="151" t="str">
        <f t="shared" si="365"/>
        <v>4EoKStandard Access koper 15mbLaagOn-net (NLS3)</v>
      </c>
      <c r="B177" s="151" t="str">
        <f t="shared" si="366"/>
        <v>4EoKStandard Access koper 15mbLaagOn-net (NLS3)</v>
      </c>
      <c r="C177" s="178">
        <v>4</v>
      </c>
      <c r="D177" s="415" t="s">
        <v>303</v>
      </c>
      <c r="E177" s="178" t="s">
        <v>278</v>
      </c>
      <c r="F177" s="107" t="s">
        <v>275</v>
      </c>
      <c r="G177" s="178" t="s">
        <v>3398</v>
      </c>
      <c r="I177" s="178"/>
      <c r="J177" s="520" t="str">
        <f t="shared" si="351"/>
        <v>EoKStandard Access koper 15mbLaagOn-net (NLS3)</v>
      </c>
      <c r="L177" s="204">
        <f>INDEX(Mapping!$H:$H,MATCH(C$3&amp;C177,Mapping!$B:$B,0))</f>
        <v>1</v>
      </c>
      <c r="M177" s="204" t="str">
        <f>INDEX(Mapping!$H:$H,MATCH(D$3&amp;D177,Mapping!$B:$B,0))</f>
        <v>EoK</v>
      </c>
      <c r="N177" s="204" t="str">
        <f>INDEX(Mapping!$H:$H,MATCH(E$3&amp;E177,Mapping!$B:$B,0))</f>
        <v>Copper Standard Access 15Mbit/s</v>
      </c>
      <c r="O177" s="204" t="str">
        <f>INDEX(Mapping!$H:$H,MATCH(E177&amp;F177,Mapping!$B:$B,0))</f>
        <v/>
      </c>
      <c r="P177" s="204" t="str">
        <f>INDEX(Mapping!$H:$H,MATCH($E177&amp;$G177,Mapping!$B:$B,0))</f>
        <v>On-net (NLS3)</v>
      </c>
      <c r="Q177" s="204" t="str">
        <f>INDEX(Mapping!$H:$H,MATCH($E177&amp;$G177&amp;"graafafstand",Mapping!$B:$B,0))</f>
        <v>nvt</v>
      </c>
      <c r="R177" s="204">
        <f>INDEX(Mapping!$H:$H,MATCH(R$3&amp;$E177,Mapping!$B:$B,0))</f>
        <v>1</v>
      </c>
      <c r="S177" s="204">
        <f>INDEX(Mapping!$H:$H,MATCH(S$3&amp;$E177,Mapping!$B:$B,0))</f>
        <v>1</v>
      </c>
      <c r="T177" s="139" t="str">
        <f t="shared" si="367"/>
        <v>Copper Standard Access 15Mbit/sOn-net (NLS3)</v>
      </c>
      <c r="U177" s="151" t="str">
        <f t="shared" si="368"/>
        <v>Copper Standard Access 15Mbit/sOn-net (NLS3)</v>
      </c>
      <c r="W177" s="521">
        <f>MATCH($J177,'Tarieven ZM'!$B:$B,0)</f>
        <v>181</v>
      </c>
      <c r="X177" s="204">
        <f>INDEX('Tarieven ZM'!$H:$H,$W177)</f>
        <v>1000</v>
      </c>
      <c r="Y177" s="198">
        <f>IF(E177="Standard Access in ZG BT gebieden",0,-INDEX(Parameters!$B:$B,MATCH(Y$3&amp;$C177,Parameters!$A:$A,0))*$X177)</f>
        <v>0</v>
      </c>
      <c r="Z177" s="198">
        <f>IF(E177="Standard Access in ZG BT gebieden",0,MAX(-INDEX(Parameters!$B:$B,MATCH(Z$3&amp;$C177,Parameters!$A:$A,0))*$X177,-INDEX(Parameters!$B:$B,MATCH("FactorMaxSalesMandaat"&amp;E177,Parameters!$A:$A,0))*INDEX(Parameters!$B:$B,MATCH("MaxSalesMandaatAccessVVE"&amp;$C177,Parameters!$A:$A,0))))</f>
        <v>0</v>
      </c>
      <c r="AA177" s="139">
        <f t="shared" si="369"/>
        <v>1000</v>
      </c>
      <c r="AB177" s="205">
        <f>AA177/INDEX(Parameters!$B:$B,MATCH("AfschrijftermijnVVE"&amp;12*$C177,Parameters!$A:$A,0))</f>
        <v>20.833333333333332</v>
      </c>
      <c r="AC177" s="204">
        <f>INDEX('Tarieven ZM'!$G:$G,$W177)</f>
        <v>1000</v>
      </c>
      <c r="AD177" s="198">
        <f>IF(E177="Standard Access in ZG BT gebieden",0,-INDEX(Parameters!$B:$B,MATCH(AD$3&amp;$C177,Parameters!$A:$A,0))*$AC177)</f>
        <v>0</v>
      </c>
      <c r="AE177" s="198">
        <f>IF(E177="Standard Access in ZG BT gebieden",0,-INDEX(Parameters!$B:$B,MATCH(AE$3,Parameters!$A:$A,0))*$AC177)</f>
        <v>0</v>
      </c>
      <c r="AF177" s="139">
        <f t="shared" si="370"/>
        <v>1000</v>
      </c>
      <c r="AG177" s="522">
        <f t="shared" si="371"/>
        <v>1020.8333333333334</v>
      </c>
      <c r="AH177" s="175"/>
      <c r="AI177" s="523">
        <f>IF(N177&lt;&gt;"nvt",MATCH($T177,'Tarieven W&amp;O'!$B:$B,0),"nvt")</f>
        <v>19</v>
      </c>
      <c r="AJ177" s="205">
        <f>IF(AI177&lt;&gt;"nvt",IF($D177="EoK",INDEX(Parameters!C:C,MATCH("NLSx EoK",Parameters!A:A,0)),INDEX('Tarieven W&amp;O'!$H:$H,$AI177)),0)*R177</f>
        <v>350</v>
      </c>
      <c r="AK177" s="204">
        <f>IF(AI177&lt;&gt;"nvt",INDEX('Tarieven W&amp;O'!$I:$I,$AI177),0)*R177</f>
        <v>75</v>
      </c>
      <c r="AL177" s="524">
        <f>IF(AI177&lt;&gt;"nvt",-INDEX(Parameters!$B:$B,MATCH(AL$3,Parameters!$A:$A,0))*(AJ177+AK177),0)</f>
        <v>0</v>
      </c>
      <c r="AM177" s="525"/>
      <c r="AN177" s="139">
        <f t="shared" si="372"/>
        <v>425</v>
      </c>
      <c r="AO177" s="205">
        <f>AN177/INDEX(Parameters!$B:$B,MATCH("AfschrijftermijnVVE"&amp;12*$C177,Parameters!$A:$A,0))</f>
        <v>8.8541666666666661</v>
      </c>
      <c r="AP177" s="139">
        <f t="shared" si="373"/>
        <v>19</v>
      </c>
      <c r="AQ177" s="526">
        <f>IF(AP177&lt;&gt;"nvt",R177*INDEX('Tarieven W&amp;O'!$G:$G,$AP177),0)</f>
        <v>102.44</v>
      </c>
      <c r="AR177" s="524">
        <f>-INDEX(Parameters!$B:$B,MATCH(AR$3,Parameters!$A:$A,0))*(AQ177)</f>
        <v>0</v>
      </c>
      <c r="AS177" s="205">
        <f>IF(E177="straal access",'EDC Minus'!$H$192,IF(Q177&lt;&gt;"nvt",Q177*S177*'EDC Minus'!$H$292/590,0))</f>
        <v>0</v>
      </c>
      <c r="AT177" s="139"/>
      <c r="AU177" s="150">
        <f t="shared" si="374"/>
        <v>102.44</v>
      </c>
      <c r="AV177" s="150">
        <f t="shared" si="375"/>
        <v>111.29416666666667</v>
      </c>
      <c r="AX177" s="526">
        <f>Parameters!$B$6*AV177</f>
        <v>1.1129416666666667</v>
      </c>
      <c r="AY177" s="150">
        <v>0</v>
      </c>
      <c r="AZ177" s="150"/>
      <c r="BA177" s="150">
        <f t="shared" si="376"/>
        <v>1.1129416666666667</v>
      </c>
      <c r="BC177" s="522">
        <f t="shared" si="344"/>
        <v>112.40710833333334</v>
      </c>
      <c r="BD177" s="175"/>
      <c r="BE177" s="527">
        <f t="shared" si="329"/>
        <v>908.42622500000004</v>
      </c>
      <c r="BF177" s="181">
        <f t="shared" si="330"/>
        <v>0.88988691428571431</v>
      </c>
      <c r="BG177" s="520" t="b">
        <f t="shared" si="377"/>
        <v>0</v>
      </c>
      <c r="BI177" s="528" t="s">
        <v>2181</v>
      </c>
      <c r="BK177" s="151">
        <f>VLOOKUP(J177,'Tarieven ZM'!$B$136:$I$235,8,0)</f>
        <v>0</v>
      </c>
      <c r="BL177" s="151" t="str">
        <f>IF(M177="EoK",N177&amp;"AdvancedNLS type 1/2/3",IF(E177&lt;&gt;"Straal Access",INDEX(Mapping!J:J,MATCH(E177&amp;G177,Mapping!B:B,0)),E177))</f>
        <v>Copper Standard Access 15Mbit/sAdvancedNLS type 1/2/3</v>
      </c>
      <c r="BM177" s="184">
        <f>INDEX('inkoop ULL tbv EVPN'!J:J,MATCH($BL177,'inkoop ULL tbv EVPN'!$H:$H,0))</f>
        <v>78.97</v>
      </c>
      <c r="BN177" s="180">
        <f>BM177/INDEX(Parameters!$B:$B,MATCH("AfschrijftermijnVVE"&amp;12*$C177,Parameters!$A:$A,0))</f>
        <v>1.6452083333333334</v>
      </c>
      <c r="BO177" s="184">
        <f>INDEX('inkoop ULL tbv EVPN'!I:I,MATCH($BL177,'inkoop ULL tbv EVPN'!$H:$H,0))</f>
        <v>14.7296035</v>
      </c>
      <c r="BP177" s="184">
        <f t="shared" si="345"/>
        <v>16.374811833333332</v>
      </c>
      <c r="BR177" s="180">
        <f>Parameters!$B$12*AG177</f>
        <v>102.08333333333334</v>
      </c>
      <c r="BS177" s="180">
        <f>SUM(Distributievergoedingen!$F$12,Distributievergoedingen!$I$12,Distributievergoedingen!$L$12,Distributievergoedingen!$O$12)*AF177+SUM(Distributievergoedingen!$O$12*AA177+Distributievergoedingen!$R$12+Distributievergoedingen!$U$12+Distributievergoedingen!$X$12)/(MAX(36,12*C177))</f>
        <v>112.08333333333333</v>
      </c>
      <c r="BT177" s="150"/>
      <c r="BU177" s="150">
        <f t="shared" si="346"/>
        <v>214.16666666666669</v>
      </c>
      <c r="BW177" s="522">
        <f t="shared" si="347"/>
        <v>230.54147850000001</v>
      </c>
      <c r="BY177" s="527">
        <f t="shared" si="348"/>
        <v>790.29185483333333</v>
      </c>
      <c r="BZ177" s="181">
        <f t="shared" si="349"/>
        <v>0.77416344963265304</v>
      </c>
      <c r="CA177" s="520" t="b">
        <f t="shared" si="350"/>
        <v>0</v>
      </c>
    </row>
    <row r="178" spans="1:79" s="151" customFormat="1">
      <c r="A178" s="151" t="str">
        <f t="shared" si="365"/>
        <v>4EoKStandard Access koper 20mbLaagOn-net (NLS3)</v>
      </c>
      <c r="B178" s="151" t="str">
        <f t="shared" si="366"/>
        <v>4EoKStandard Access koper 20mbLaagOn-net (NLS3)</v>
      </c>
      <c r="C178" s="178">
        <v>4</v>
      </c>
      <c r="D178" s="415" t="s">
        <v>303</v>
      </c>
      <c r="E178" s="178" t="s">
        <v>279</v>
      </c>
      <c r="F178" s="107" t="s">
        <v>275</v>
      </c>
      <c r="G178" s="178" t="s">
        <v>3398</v>
      </c>
      <c r="I178" s="178"/>
      <c r="J178" s="520" t="str">
        <f t="shared" si="351"/>
        <v>EoKStandard Access koper 20mbLaagOn-net (NLS3)</v>
      </c>
      <c r="L178" s="204">
        <f>INDEX(Mapping!$H:$H,MATCH(C$3&amp;C178,Mapping!$B:$B,0))</f>
        <v>1</v>
      </c>
      <c r="M178" s="204" t="str">
        <f>INDEX(Mapping!$H:$H,MATCH(D$3&amp;D178,Mapping!$B:$B,0))</f>
        <v>EoK</v>
      </c>
      <c r="N178" s="204" t="str">
        <f>INDEX(Mapping!$H:$H,MATCH(E$3&amp;E178,Mapping!$B:$B,0))</f>
        <v>Copper Standard Access 20Mbit/s</v>
      </c>
      <c r="O178" s="204" t="str">
        <f>INDEX(Mapping!$H:$H,MATCH(E178&amp;F178,Mapping!$B:$B,0))</f>
        <v/>
      </c>
      <c r="P178" s="204" t="str">
        <f>INDEX(Mapping!$H:$H,MATCH($E178&amp;$G178,Mapping!$B:$B,0))</f>
        <v>On-net (NLS3)</v>
      </c>
      <c r="Q178" s="204" t="str">
        <f>INDEX(Mapping!$H:$H,MATCH($E178&amp;$G178&amp;"graafafstand",Mapping!$B:$B,0))</f>
        <v>nvt</v>
      </c>
      <c r="R178" s="204">
        <f>INDEX(Mapping!$H:$H,MATCH(R$3&amp;$E178,Mapping!$B:$B,0))</f>
        <v>1</v>
      </c>
      <c r="S178" s="204">
        <f>INDEX(Mapping!$H:$H,MATCH(S$3&amp;$E178,Mapping!$B:$B,0))</f>
        <v>1</v>
      </c>
      <c r="T178" s="139" t="str">
        <f t="shared" si="367"/>
        <v>Copper Standard Access 20Mbit/sOn-net (NLS3)</v>
      </c>
      <c r="U178" s="151" t="str">
        <f t="shared" si="368"/>
        <v>Copper Standard Access 20Mbit/sOn-net (NLS3)</v>
      </c>
      <c r="W178" s="521">
        <f>MATCH($J178,'Tarieven ZM'!$B:$B,0)</f>
        <v>182</v>
      </c>
      <c r="X178" s="204">
        <f>INDEX('Tarieven ZM'!$H:$H,$W178)</f>
        <v>1000</v>
      </c>
      <c r="Y178" s="198">
        <f>IF(E178="Standard Access in ZG BT gebieden",0,-INDEX(Parameters!$B:$B,MATCH(Y$3&amp;$C178,Parameters!$A:$A,0))*$X178)</f>
        <v>0</v>
      </c>
      <c r="Z178" s="198">
        <f>IF(E178="Standard Access in ZG BT gebieden",0,MAX(-INDEX(Parameters!$B:$B,MATCH(Z$3&amp;$C178,Parameters!$A:$A,0))*$X178,-INDEX(Parameters!$B:$B,MATCH("FactorMaxSalesMandaat"&amp;E178,Parameters!$A:$A,0))*INDEX(Parameters!$B:$B,MATCH("MaxSalesMandaatAccessVVE"&amp;$C178,Parameters!$A:$A,0))))</f>
        <v>0</v>
      </c>
      <c r="AA178" s="139">
        <f t="shared" si="369"/>
        <v>1000</v>
      </c>
      <c r="AB178" s="205">
        <f>AA178/INDEX(Parameters!$B:$B,MATCH("AfschrijftermijnVVE"&amp;12*$C178,Parameters!$A:$A,0))</f>
        <v>20.833333333333332</v>
      </c>
      <c r="AC178" s="204">
        <f>INDEX('Tarieven ZM'!$G:$G,$W178)</f>
        <v>1000</v>
      </c>
      <c r="AD178" s="198">
        <f>IF(E178="Standard Access in ZG BT gebieden",0,-INDEX(Parameters!$B:$B,MATCH(AD$3&amp;$C178,Parameters!$A:$A,0))*$AC178)</f>
        <v>0</v>
      </c>
      <c r="AE178" s="198">
        <f>IF(E178="Standard Access in ZG BT gebieden",0,-INDEX(Parameters!$B:$B,MATCH(AE$3,Parameters!$A:$A,0))*$AC178)</f>
        <v>0</v>
      </c>
      <c r="AF178" s="139">
        <f t="shared" si="370"/>
        <v>1000</v>
      </c>
      <c r="AG178" s="522">
        <f t="shared" si="371"/>
        <v>1020.8333333333334</v>
      </c>
      <c r="AH178" s="175"/>
      <c r="AI178" s="523">
        <f>IF(N178&lt;&gt;"nvt",MATCH($T178,'Tarieven W&amp;O'!$B:$B,0),"nvt")</f>
        <v>20</v>
      </c>
      <c r="AJ178" s="205">
        <f>IF(AI178&lt;&gt;"nvt",IF($D178="EoK",INDEX(Parameters!C:C,MATCH("NLSx EoK",Parameters!A:A,0)),INDEX('Tarieven W&amp;O'!$H:$H,$AI178)),0)*R178</f>
        <v>350</v>
      </c>
      <c r="AK178" s="204">
        <f>IF(AI178&lt;&gt;"nvt",INDEX('Tarieven W&amp;O'!$I:$I,$AI178),0)*R178</f>
        <v>75</v>
      </c>
      <c r="AL178" s="524">
        <f>IF(AI178&lt;&gt;"nvt",-INDEX(Parameters!$B:$B,MATCH(AL$3,Parameters!$A:$A,0))*(AJ178+AK178),0)</f>
        <v>0</v>
      </c>
      <c r="AM178" s="525"/>
      <c r="AN178" s="139">
        <f t="shared" si="372"/>
        <v>425</v>
      </c>
      <c r="AO178" s="205">
        <f>AN178/INDEX(Parameters!$B:$B,MATCH("AfschrijftermijnVVE"&amp;12*$C178,Parameters!$A:$A,0))</f>
        <v>8.8541666666666661</v>
      </c>
      <c r="AP178" s="139">
        <f t="shared" si="373"/>
        <v>20</v>
      </c>
      <c r="AQ178" s="526">
        <f>IF(AP178&lt;&gt;"nvt",R178*INDEX('Tarieven W&amp;O'!$G:$G,$AP178),0)</f>
        <v>121.28</v>
      </c>
      <c r="AR178" s="524">
        <f>-INDEX(Parameters!$B:$B,MATCH(AR$3,Parameters!$A:$A,0))*(AQ178)</f>
        <v>0</v>
      </c>
      <c r="AS178" s="205">
        <f>IF(E178="straal access",'EDC Minus'!$H$192,IF(Q178&lt;&gt;"nvt",Q178*S178*'EDC Minus'!$H$292/590,0))</f>
        <v>0</v>
      </c>
      <c r="AT178" s="139"/>
      <c r="AU178" s="150">
        <f t="shared" si="374"/>
        <v>121.28</v>
      </c>
      <c r="AV178" s="150">
        <f t="shared" si="375"/>
        <v>130.13416666666666</v>
      </c>
      <c r="AX178" s="526">
        <f>Parameters!$B$6*AV178</f>
        <v>1.3013416666666666</v>
      </c>
      <c r="AY178" s="150">
        <v>0</v>
      </c>
      <c r="AZ178" s="150"/>
      <c r="BA178" s="150">
        <f t="shared" si="376"/>
        <v>1.3013416666666666</v>
      </c>
      <c r="BC178" s="522">
        <f t="shared" si="344"/>
        <v>131.43550833333333</v>
      </c>
      <c r="BD178" s="175"/>
      <c r="BE178" s="527">
        <f t="shared" si="329"/>
        <v>889.39782500000001</v>
      </c>
      <c r="BF178" s="181">
        <f t="shared" si="330"/>
        <v>0.87124684897959181</v>
      </c>
      <c r="BG178" s="520" t="b">
        <f t="shared" si="377"/>
        <v>0</v>
      </c>
      <c r="BI178" s="528" t="s">
        <v>2181</v>
      </c>
      <c r="BK178" s="151">
        <f>VLOOKUP(J178,'Tarieven ZM'!$B$136:$I$235,8,0)</f>
        <v>0</v>
      </c>
      <c r="BL178" s="151" t="str">
        <f>IF(M178="EoK",N178&amp;"AdvancedNLS type 1/2/3",IF(E178&lt;&gt;"Straal Access",INDEX(Mapping!J:J,MATCH(E178&amp;G178,Mapping!B:B,0)),E178))</f>
        <v>Copper Standard Access 20Mbit/sAdvancedNLS type 1/2/3</v>
      </c>
      <c r="BM178" s="184">
        <f>INDEX('inkoop ULL tbv EVPN'!J:J,MATCH($BL178,'inkoop ULL tbv EVPN'!$H:$H,0))</f>
        <v>78.97</v>
      </c>
      <c r="BN178" s="180">
        <f>BM178/INDEX(Parameters!$B:$B,MATCH("AfschrijftermijnVVE"&amp;12*$C178,Parameters!$A:$A,0))</f>
        <v>1.6452083333333334</v>
      </c>
      <c r="BO178" s="184">
        <f>INDEX('inkoop ULL tbv EVPN'!I:I,MATCH($BL178,'inkoop ULL tbv EVPN'!$H:$H,0))</f>
        <v>14.7296035</v>
      </c>
      <c r="BP178" s="184">
        <f t="shared" si="345"/>
        <v>16.374811833333332</v>
      </c>
      <c r="BR178" s="180">
        <f>Parameters!$B$12*AG178</f>
        <v>102.08333333333334</v>
      </c>
      <c r="BS178" s="180">
        <f>SUM(Distributievergoedingen!$F$12,Distributievergoedingen!$I$12,Distributievergoedingen!$L$12,Distributievergoedingen!$O$12)*AF178+SUM(Distributievergoedingen!$O$12*AA178+Distributievergoedingen!$R$12+Distributievergoedingen!$U$12+Distributievergoedingen!$X$12)/(MAX(36,12*C178))</f>
        <v>112.08333333333333</v>
      </c>
      <c r="BT178" s="150"/>
      <c r="BU178" s="150">
        <f t="shared" si="346"/>
        <v>214.16666666666669</v>
      </c>
      <c r="BW178" s="522">
        <f t="shared" si="347"/>
        <v>230.54147850000001</v>
      </c>
      <c r="BY178" s="527">
        <f t="shared" si="348"/>
        <v>790.29185483333333</v>
      </c>
      <c r="BZ178" s="181">
        <f t="shared" si="349"/>
        <v>0.77416344963265304</v>
      </c>
      <c r="CA178" s="520" t="b">
        <f t="shared" si="350"/>
        <v>0</v>
      </c>
    </row>
    <row r="179" spans="1:79" s="151" customFormat="1">
      <c r="A179" s="151" t="str">
        <f t="shared" si="365"/>
        <v>4EoKStandard Access koper 3mbLaag&lt; 250 meter</v>
      </c>
      <c r="B179" s="151" t="str">
        <f t="shared" si="366"/>
        <v>4EoKStandard Access koper 3mbLaag&lt; 250 meter</v>
      </c>
      <c r="C179" s="178">
        <v>4</v>
      </c>
      <c r="D179" s="415" t="s">
        <v>303</v>
      </c>
      <c r="E179" s="178" t="s">
        <v>268</v>
      </c>
      <c r="F179" s="107" t="s">
        <v>275</v>
      </c>
      <c r="G179" s="178" t="s">
        <v>3397</v>
      </c>
      <c r="I179" s="178"/>
      <c r="J179" s="520" t="str">
        <f t="shared" si="351"/>
        <v>EoKStandard Access koper 3mbLaag&lt; 250 meter</v>
      </c>
      <c r="L179" s="204">
        <f>INDEX(Mapping!$H:$H,MATCH(C$3&amp;C179,Mapping!$B:$B,0))</f>
        <v>1</v>
      </c>
      <c r="M179" s="204" t="str">
        <f>INDEX(Mapping!$H:$H,MATCH(D$3&amp;D179,Mapping!$B:$B,0))</f>
        <v>EoK</v>
      </c>
      <c r="N179" s="204" t="str">
        <f>INDEX(Mapping!$H:$H,MATCH(E$3&amp;E179,Mapping!$B:$B,0))</f>
        <v>Copper Standard Access 3Mbit/s</v>
      </c>
      <c r="O179" s="204" t="str">
        <f>INDEX(Mapping!$H:$H,MATCH(E179&amp;F179,Mapping!$B:$B,0))</f>
        <v/>
      </c>
      <c r="P179" s="204" t="str">
        <f>INDEX(Mapping!$H:$H,MATCH($E179&amp;$G179,Mapping!$B:$B,0))</f>
        <v>Nearnet</v>
      </c>
      <c r="Q179" s="204" t="str">
        <f>INDEX(Mapping!$H:$H,MATCH($E179&amp;$G179&amp;"graafafstand",Mapping!$B:$B,0))</f>
        <v>nvt</v>
      </c>
      <c r="R179" s="204">
        <f>INDEX(Mapping!$H:$H,MATCH(R$3&amp;$E179,Mapping!$B:$B,0))</f>
        <v>1</v>
      </c>
      <c r="S179" s="204">
        <f>INDEX(Mapping!$H:$H,MATCH(S$3&amp;$E179,Mapping!$B:$B,0))</f>
        <v>1</v>
      </c>
      <c r="T179" s="139" t="str">
        <f t="shared" si="367"/>
        <v>Copper Standard Access 3Mbit/sNearnet</v>
      </c>
      <c r="U179" s="151" t="str">
        <f t="shared" si="368"/>
        <v>Copper Standard Access 3Mbit/sNearnet</v>
      </c>
      <c r="W179" s="521">
        <f>MATCH($J179,'Tarieven ZM'!$B:$B,0)</f>
        <v>183</v>
      </c>
      <c r="X179" s="204">
        <f>INDEX('Tarieven ZM'!$H:$H,$W179)</f>
        <v>1000</v>
      </c>
      <c r="Y179" s="198">
        <f>IF(E179="Standard Access in ZG BT gebieden",0,-INDEX(Parameters!$B:$B,MATCH(Y$3&amp;$C179,Parameters!$A:$A,0))*$X179)</f>
        <v>0</v>
      </c>
      <c r="Z179" s="198">
        <f>IF(E179="Standard Access in ZG BT gebieden",0,MAX(-INDEX(Parameters!$B:$B,MATCH(Z$3&amp;$C179,Parameters!$A:$A,0))*$X179,-INDEX(Parameters!$B:$B,MATCH("FactorMaxSalesMandaat"&amp;E179,Parameters!$A:$A,0))*INDEX(Parameters!$B:$B,MATCH("MaxSalesMandaatAccessVVE"&amp;$C179,Parameters!$A:$A,0))))</f>
        <v>0</v>
      </c>
      <c r="AA179" s="139">
        <f t="shared" si="369"/>
        <v>1000</v>
      </c>
      <c r="AB179" s="205">
        <f>AA179/INDEX(Parameters!$B:$B,MATCH("AfschrijftermijnVVE"&amp;12*$C179,Parameters!$A:$A,0))</f>
        <v>20.833333333333332</v>
      </c>
      <c r="AC179" s="204">
        <f>INDEX('Tarieven ZM'!$G:$G,$W179)</f>
        <v>1000</v>
      </c>
      <c r="AD179" s="198">
        <f>IF(E179="Standard Access in ZG BT gebieden",0,-INDEX(Parameters!$B:$B,MATCH(AD$3&amp;$C179,Parameters!$A:$A,0))*$AC179)</f>
        <v>0</v>
      </c>
      <c r="AE179" s="198">
        <f>IF(E179="Standard Access in ZG BT gebieden",0,-INDEX(Parameters!$B:$B,MATCH(AE$3,Parameters!$A:$A,0))*$AC179)</f>
        <v>0</v>
      </c>
      <c r="AF179" s="139">
        <f t="shared" si="370"/>
        <v>1000</v>
      </c>
      <c r="AG179" s="522">
        <f t="shared" si="371"/>
        <v>1020.8333333333334</v>
      </c>
      <c r="AH179" s="175"/>
      <c r="AI179" s="523">
        <f>IF(N179&lt;&gt;"nvt",MATCH($T179,'Tarieven W&amp;O'!$B:$B,0),"nvt")</f>
        <v>23</v>
      </c>
      <c r="AJ179" s="205">
        <f>IF(AI179&lt;&gt;"nvt",IF($D179="EoK",INDEX(Parameters!C:C,MATCH("NLSx EoK",Parameters!A:A,0)),INDEX('Tarieven W&amp;O'!$H:$H,$AI179)),0)*R179</f>
        <v>350</v>
      </c>
      <c r="AK179" s="204">
        <f>IF(AI179&lt;&gt;"nvt",INDEX('Tarieven W&amp;O'!$I:$I,$AI179),0)*R179</f>
        <v>75</v>
      </c>
      <c r="AL179" s="524">
        <f>IF(AI179&lt;&gt;"nvt",-INDEX(Parameters!$B:$B,MATCH(AL$3,Parameters!$A:$A,0))*(AJ179+AK179),0)</f>
        <v>0</v>
      </c>
      <c r="AM179" s="525"/>
      <c r="AN179" s="139">
        <f t="shared" si="372"/>
        <v>425</v>
      </c>
      <c r="AO179" s="205">
        <f>AN179/INDEX(Parameters!$B:$B,MATCH("AfschrijftermijnVVE"&amp;12*$C179,Parameters!$A:$A,0))</f>
        <v>8.8541666666666661</v>
      </c>
      <c r="AP179" s="139">
        <f t="shared" si="373"/>
        <v>23</v>
      </c>
      <c r="AQ179" s="526">
        <f>IF(AP179&lt;&gt;"nvt",R179*INDEX('Tarieven W&amp;O'!$G:$G,$AP179),0)</f>
        <v>41.5</v>
      </c>
      <c r="AR179" s="524">
        <f>-INDEX(Parameters!$B:$B,MATCH(AR$3,Parameters!$A:$A,0))*(AQ179)</f>
        <v>0</v>
      </c>
      <c r="AS179" s="205">
        <f>IF(E179="straal access",'EDC Minus'!$H$192,IF(Q179&lt;&gt;"nvt",Q179*S179*'EDC Minus'!$H$292/590,0))</f>
        <v>0</v>
      </c>
      <c r="AT179" s="139"/>
      <c r="AU179" s="150">
        <f t="shared" si="374"/>
        <v>41.5</v>
      </c>
      <c r="AV179" s="150">
        <f t="shared" si="375"/>
        <v>50.354166666666664</v>
      </c>
      <c r="AX179" s="526">
        <f>Parameters!$B$6*AV179</f>
        <v>0.50354166666666667</v>
      </c>
      <c r="AY179" s="150">
        <v>0</v>
      </c>
      <c r="AZ179" s="150"/>
      <c r="BA179" s="150">
        <f t="shared" si="376"/>
        <v>0.50354166666666667</v>
      </c>
      <c r="BC179" s="522">
        <f t="shared" si="344"/>
        <v>50.857708333333328</v>
      </c>
      <c r="BD179" s="175"/>
      <c r="BE179" s="527">
        <f t="shared" ref="BE179" si="378">AG179-BC179</f>
        <v>969.97562500000004</v>
      </c>
      <c r="BF179" s="181">
        <f t="shared" ref="BF179" si="379">IF(AG179=0,-999%,BE179/AG179)</f>
        <v>0.95018020408163262</v>
      </c>
      <c r="BG179" s="520" t="b">
        <f t="shared" si="377"/>
        <v>0</v>
      </c>
      <c r="BI179" s="528" t="s">
        <v>2181</v>
      </c>
      <c r="BK179" s="151">
        <f>VLOOKUP(J179,'Tarieven ZM'!$B$136:$I$235,8,0)</f>
        <v>0</v>
      </c>
      <c r="BL179" s="151" t="str">
        <f>IF(M179="EoK",N179&amp;"AdvancedNLS type 1/2/3",IF(E179&lt;&gt;"Straal Access",INDEX(Mapping!J:J,MATCH(E179&amp;G179,Mapping!B:B,0)),E179))</f>
        <v>Copper Standard Access 3Mbit/sAdvancedNLS type 1/2/3</v>
      </c>
      <c r="BM179" s="184">
        <f>INDEX('inkoop ULL tbv EVPN'!J:J,MATCH($BL179,'inkoop ULL tbv EVPN'!$H:$H,0))</f>
        <v>78.97</v>
      </c>
      <c r="BN179" s="180">
        <f>BM179/INDEX(Parameters!$B:$B,MATCH("AfschrijftermijnVVE"&amp;12*$C179,Parameters!$A:$A,0))</f>
        <v>1.6452083333333334</v>
      </c>
      <c r="BO179" s="184">
        <f>INDEX('inkoop ULL tbv EVPN'!I:I,MATCH($BL179,'inkoop ULL tbv EVPN'!$H:$H,0))</f>
        <v>14.7296035</v>
      </c>
      <c r="BP179" s="184">
        <f t="shared" si="345"/>
        <v>16.374811833333332</v>
      </c>
      <c r="BR179" s="180">
        <f>Parameters!$B$12*AG179</f>
        <v>102.08333333333334</v>
      </c>
      <c r="BS179" s="180">
        <f>SUM(Distributievergoedingen!$F$12,Distributievergoedingen!$I$12,Distributievergoedingen!$L$12,Distributievergoedingen!$O$12)*AF179+SUM(Distributievergoedingen!$O$12*AA179+Distributievergoedingen!$R$12+Distributievergoedingen!$U$12+Distributievergoedingen!$X$12)/(MAX(36,12*C179))</f>
        <v>112.08333333333333</v>
      </c>
      <c r="BT179" s="150"/>
      <c r="BU179" s="150">
        <f t="shared" si="346"/>
        <v>214.16666666666669</v>
      </c>
      <c r="BW179" s="522">
        <f t="shared" si="347"/>
        <v>230.54147850000001</v>
      </c>
      <c r="BY179" s="527">
        <f t="shared" si="348"/>
        <v>790.29185483333333</v>
      </c>
      <c r="BZ179" s="181">
        <f t="shared" si="349"/>
        <v>0.77416344963265304</v>
      </c>
      <c r="CA179" s="520" t="b">
        <f t="shared" si="350"/>
        <v>0</v>
      </c>
    </row>
    <row r="180" spans="1:79" s="151" customFormat="1">
      <c r="A180" s="151" t="str">
        <f t="shared" si="365"/>
        <v>4EoKStandard Access koper 5mbLaag&lt; 250 meter</v>
      </c>
      <c r="B180" s="151" t="str">
        <f t="shared" si="366"/>
        <v>4EoKStandard Access koper 5mbLaag&lt; 250 meter</v>
      </c>
      <c r="C180" s="178">
        <v>4</v>
      </c>
      <c r="D180" s="415" t="s">
        <v>303</v>
      </c>
      <c r="E180" s="178" t="s">
        <v>276</v>
      </c>
      <c r="F180" s="107" t="s">
        <v>275</v>
      </c>
      <c r="G180" s="178" t="s">
        <v>3397</v>
      </c>
      <c r="J180" s="520" t="str">
        <f t="shared" ref="J180:J198" si="380">D180&amp;E180&amp;F180&amp;G180</f>
        <v>EoKStandard Access koper 5mbLaag&lt; 250 meter</v>
      </c>
      <c r="L180" s="204">
        <f>INDEX(Mapping!$H:$H,MATCH(C$3&amp;C180,Mapping!$B:$B,0))</f>
        <v>1</v>
      </c>
      <c r="M180" s="204" t="str">
        <f>INDEX(Mapping!$H:$H,MATCH(D$3&amp;D180,Mapping!$B:$B,0))</f>
        <v>EoK</v>
      </c>
      <c r="N180" s="204" t="str">
        <f>INDEX(Mapping!$H:$H,MATCH(E$3&amp;E180,Mapping!$B:$B,0))</f>
        <v>Copper Standard Access 5Mbit/s</v>
      </c>
      <c r="O180" s="204" t="str">
        <f>INDEX(Mapping!$H:$H,MATCH(E180&amp;F180,Mapping!$B:$B,0))</f>
        <v/>
      </c>
      <c r="P180" s="204" t="str">
        <f>INDEX(Mapping!$H:$H,MATCH($E180&amp;$G180,Mapping!$B:$B,0))</f>
        <v>Nearnet</v>
      </c>
      <c r="Q180" s="204" t="str">
        <f>INDEX(Mapping!$H:$H,MATCH($E180&amp;$G180&amp;"graafafstand",Mapping!$B:$B,0))</f>
        <v>nvt</v>
      </c>
      <c r="R180" s="204">
        <f>INDEX(Mapping!$H:$H,MATCH(R$3&amp;$E180,Mapping!$B:$B,0))</f>
        <v>1</v>
      </c>
      <c r="S180" s="204">
        <f>INDEX(Mapping!$H:$H,MATCH(S$3&amp;$E180,Mapping!$B:$B,0))</f>
        <v>1</v>
      </c>
      <c r="T180" s="139" t="str">
        <f t="shared" ref="T180:T198" si="381">N180&amp;O180&amp;P180</f>
        <v>Copper Standard Access 5Mbit/sNearnet</v>
      </c>
      <c r="U180" s="151" t="str">
        <f t="shared" ref="U180:U198" si="382">T180</f>
        <v>Copper Standard Access 5Mbit/sNearnet</v>
      </c>
      <c r="W180" s="521">
        <f>MATCH($J180,'Tarieven ZM'!$B:$B,0)</f>
        <v>184</v>
      </c>
      <c r="X180" s="204">
        <f>INDEX('Tarieven ZM'!$H:$H,$W180)</f>
        <v>1000</v>
      </c>
      <c r="Y180" s="198">
        <f>IF(E180="Standard Access in ZG BT gebieden",0,-INDEX(Parameters!$B:$B,MATCH(Y$3&amp;$C180,Parameters!$A:$A,0))*$X180)</f>
        <v>0</v>
      </c>
      <c r="Z180" s="198">
        <f>IF(E180="Standard Access in ZG BT gebieden",0,MAX(-INDEX(Parameters!$B:$B,MATCH(Z$3&amp;$C180,Parameters!$A:$A,0))*$X180,-INDEX(Parameters!$B:$B,MATCH("FactorMaxSalesMandaat"&amp;E180,Parameters!$A:$A,0))*INDEX(Parameters!$B:$B,MATCH("MaxSalesMandaatAccessVVE"&amp;$C180,Parameters!$A:$A,0))))</f>
        <v>0</v>
      </c>
      <c r="AA180" s="139">
        <f t="shared" ref="AA180:AA198" si="383">SUM(X180:Z180)</f>
        <v>1000</v>
      </c>
      <c r="AB180" s="205">
        <f>AA180/INDEX(Parameters!$B:$B,MATCH("AfschrijftermijnVVE"&amp;12*$C180,Parameters!$A:$A,0))</f>
        <v>20.833333333333332</v>
      </c>
      <c r="AC180" s="204">
        <f>INDEX('Tarieven ZM'!$G:$G,$W180)</f>
        <v>1000</v>
      </c>
      <c r="AD180" s="198">
        <f>IF(E180="Standard Access in ZG BT gebieden",0,-INDEX(Parameters!$B:$B,MATCH(AD$3&amp;$C180,Parameters!$A:$A,0))*$AC180)</f>
        <v>0</v>
      </c>
      <c r="AE180" s="198">
        <f>IF(E180="Standard Access in ZG BT gebieden",0,-INDEX(Parameters!$B:$B,MATCH(AE$3,Parameters!$A:$A,0))*$AC180)</f>
        <v>0</v>
      </c>
      <c r="AF180" s="139">
        <f t="shared" ref="AF180:AF198" si="384">SUM(AC180:AE180)</f>
        <v>1000</v>
      </c>
      <c r="AG180" s="522">
        <f t="shared" ref="AG180:AG198" si="385">SUM(AB180,AF180)</f>
        <v>1020.8333333333334</v>
      </c>
      <c r="AH180" s="175"/>
      <c r="AI180" s="523">
        <f>IF(N180&lt;&gt;"nvt",MATCH($T180,'Tarieven W&amp;O'!$B:$B,0),"nvt")</f>
        <v>24</v>
      </c>
      <c r="AJ180" s="205">
        <f>IF(AI180&lt;&gt;"nvt",IF($D180="EoK",INDEX(Parameters!C:C,MATCH("NLSx EoK",Parameters!A:A,0)),INDEX('Tarieven W&amp;O'!$H:$H,$AI180)),0)*R180</f>
        <v>350</v>
      </c>
      <c r="AK180" s="204">
        <f>IF(AI180&lt;&gt;"nvt",INDEX('Tarieven W&amp;O'!$I:$I,$AI180),0)*R180</f>
        <v>75</v>
      </c>
      <c r="AL180" s="524">
        <f>IF(AI180&lt;&gt;"nvt",-INDEX(Parameters!$B:$B,MATCH(AL$3,Parameters!$A:$A,0))*(AJ180+AK180),0)</f>
        <v>0</v>
      </c>
      <c r="AM180" s="525"/>
      <c r="AN180" s="139">
        <f t="shared" ref="AN180:AN198" si="386">SUM(AJ180:AM180)</f>
        <v>425</v>
      </c>
      <c r="AO180" s="205">
        <f>AN180/INDEX(Parameters!$B:$B,MATCH("AfschrijftermijnVVE"&amp;12*$C180,Parameters!$A:$A,0))</f>
        <v>8.8541666666666661</v>
      </c>
      <c r="AP180" s="139">
        <f t="shared" ref="AP180:AP198" si="387">AI180</f>
        <v>24</v>
      </c>
      <c r="AQ180" s="526">
        <f>IF(AP180&lt;&gt;"nvt",R180*INDEX('Tarieven W&amp;O'!$G:$G,$AP180),0)</f>
        <v>60.97</v>
      </c>
      <c r="AR180" s="524">
        <f>-INDEX(Parameters!$B:$B,MATCH(AR$3,Parameters!$A:$A,0))*(AQ180)</f>
        <v>0</v>
      </c>
      <c r="AS180" s="205">
        <f>IF(E180="straal access",'EDC Minus'!$H$192,IF(Q180&lt;&gt;"nvt",Q180*S180*'EDC Minus'!$H$292/590,0))</f>
        <v>0</v>
      </c>
      <c r="AT180" s="139"/>
      <c r="AU180" s="150">
        <f t="shared" ref="AU180:AU198" si="388">SUM(AQ180:AT180)</f>
        <v>60.97</v>
      </c>
      <c r="AV180" s="150">
        <f t="shared" ref="AV180:AV198" si="389">SUM(AO180,AU180)</f>
        <v>69.82416666666667</v>
      </c>
      <c r="AX180" s="526">
        <f>Parameters!$B$6*AV180</f>
        <v>0.69824166666666676</v>
      </c>
      <c r="AY180" s="150">
        <v>0</v>
      </c>
      <c r="AZ180" s="150"/>
      <c r="BA180" s="150">
        <f t="shared" ref="BA180:BA198" si="390">SUM(AX180:AZ180)</f>
        <v>0.69824166666666676</v>
      </c>
      <c r="BC180" s="522">
        <f t="shared" ref="BC180:BC198" si="391">SUM(AV180,BA180)</f>
        <v>70.522408333333331</v>
      </c>
      <c r="BD180" s="175"/>
      <c r="BE180" s="527">
        <f t="shared" ref="BE180:BE198" si="392">AG180-BC180</f>
        <v>950.310925</v>
      </c>
      <c r="BF180" s="181">
        <f t="shared" ref="BF180:BF198" si="393">IF(AG180=0,-999%,BE180/AG180)</f>
        <v>0.93091682448979585</v>
      </c>
      <c r="BG180" s="520" t="b">
        <f t="shared" ref="BG180:BG198" si="394">BF180&lt;0</f>
        <v>0</v>
      </c>
      <c r="BI180" s="528" t="s">
        <v>2181</v>
      </c>
      <c r="BK180" s="151">
        <f>VLOOKUP(J180,'Tarieven ZM'!$B$136:$I$235,8,0)</f>
        <v>0</v>
      </c>
      <c r="BL180" s="151" t="str">
        <f>IF(M180="EoK",N180&amp;"AdvancedNLS type 1/2/3",IF(E180&lt;&gt;"Straal Access",INDEX(Mapping!J:J,MATCH(E180&amp;G180,Mapping!B:B,0)),E180))</f>
        <v>Copper Standard Access 5Mbit/sAdvancedNLS type 1/2/3</v>
      </c>
      <c r="BM180" s="184">
        <f>INDEX('inkoop ULL tbv EVPN'!J:J,MATCH($BL180,'inkoop ULL tbv EVPN'!$H:$H,0))</f>
        <v>78.97</v>
      </c>
      <c r="BN180" s="180">
        <f>BM180/INDEX(Parameters!$B:$B,MATCH("AfschrijftermijnVVE"&amp;12*$C180,Parameters!$A:$A,0))</f>
        <v>1.6452083333333334</v>
      </c>
      <c r="BO180" s="184">
        <f>INDEX('inkoop ULL tbv EVPN'!I:I,MATCH($BL180,'inkoop ULL tbv EVPN'!$H:$H,0))</f>
        <v>14.7296035</v>
      </c>
      <c r="BP180" s="184">
        <f t="shared" ref="BP180:BP198" si="395">BN180+BO180</f>
        <v>16.374811833333332</v>
      </c>
      <c r="BR180" s="180">
        <f>Parameters!$B$12*AG180</f>
        <v>102.08333333333334</v>
      </c>
      <c r="BS180" s="180">
        <f>SUM(Distributievergoedingen!$F$12,Distributievergoedingen!$I$12,Distributievergoedingen!$L$12,Distributievergoedingen!$O$12)*AF180+SUM(Distributievergoedingen!$O$12*AA180+Distributievergoedingen!$R$12+Distributievergoedingen!$U$12+Distributievergoedingen!$X$12)/(MAX(36,12*C180))</f>
        <v>112.08333333333333</v>
      </c>
      <c r="BT180" s="150"/>
      <c r="BU180" s="150">
        <f t="shared" ref="BU180:BU198" si="396">SUM(BR180:BT180)</f>
        <v>214.16666666666669</v>
      </c>
      <c r="BW180" s="522">
        <f t="shared" ref="BW180:BW198" si="397">SUM(BP180,BU180)</f>
        <v>230.54147850000001</v>
      </c>
      <c r="BY180" s="527">
        <f t="shared" ref="BY180:BY198" si="398">AG180-BW180</f>
        <v>790.29185483333333</v>
      </c>
      <c r="BZ180" s="181">
        <f t="shared" ref="BZ180:BZ198" si="399">IF(AG180=0,-999%,BY180/AG180)</f>
        <v>0.77416344963265304</v>
      </c>
      <c r="CA180" s="520" t="b">
        <f t="shared" ref="CA180:CA198" si="400">BZ180&lt;0</f>
        <v>0</v>
      </c>
    </row>
    <row r="181" spans="1:79" s="151" customFormat="1">
      <c r="A181" s="151" t="str">
        <f t="shared" si="365"/>
        <v>4EoKStandard Access koper 10mbLaag&lt; 250 meter</v>
      </c>
      <c r="B181" s="151" t="str">
        <f t="shared" si="366"/>
        <v>4EoKStandard Access koper 10mbLaag&lt; 250 meter</v>
      </c>
      <c r="C181" s="178">
        <v>4</v>
      </c>
      <c r="D181" s="415" t="s">
        <v>303</v>
      </c>
      <c r="E181" s="178" t="s">
        <v>277</v>
      </c>
      <c r="F181" s="107" t="s">
        <v>275</v>
      </c>
      <c r="G181" s="178" t="s">
        <v>3397</v>
      </c>
      <c r="J181" s="520" t="str">
        <f t="shared" si="380"/>
        <v>EoKStandard Access koper 10mbLaag&lt; 250 meter</v>
      </c>
      <c r="L181" s="204">
        <f>INDEX(Mapping!$H:$H,MATCH(C$3&amp;C181,Mapping!$B:$B,0))</f>
        <v>1</v>
      </c>
      <c r="M181" s="204" t="str">
        <f>INDEX(Mapping!$H:$H,MATCH(D$3&amp;D181,Mapping!$B:$B,0))</f>
        <v>EoK</v>
      </c>
      <c r="N181" s="204" t="str">
        <f>INDEX(Mapping!$H:$H,MATCH(E$3&amp;E181,Mapping!$B:$B,0))</f>
        <v>Copper Standard Access 10Mbit/s</v>
      </c>
      <c r="O181" s="204" t="str">
        <f>INDEX(Mapping!$H:$H,MATCH(E181&amp;F181,Mapping!$B:$B,0))</f>
        <v/>
      </c>
      <c r="P181" s="204" t="str">
        <f>INDEX(Mapping!$H:$H,MATCH($E181&amp;$G181,Mapping!$B:$B,0))</f>
        <v>Nearnet</v>
      </c>
      <c r="Q181" s="204" t="str">
        <f>INDEX(Mapping!$H:$H,MATCH($E181&amp;$G181&amp;"graafafstand",Mapping!$B:$B,0))</f>
        <v>nvt</v>
      </c>
      <c r="R181" s="204">
        <f>INDEX(Mapping!$H:$H,MATCH(R$3&amp;$E181,Mapping!$B:$B,0))</f>
        <v>1</v>
      </c>
      <c r="S181" s="204">
        <f>INDEX(Mapping!$H:$H,MATCH(S$3&amp;$E181,Mapping!$B:$B,0))</f>
        <v>1</v>
      </c>
      <c r="T181" s="139" t="str">
        <f t="shared" si="381"/>
        <v>Copper Standard Access 10Mbit/sNearnet</v>
      </c>
      <c r="U181" s="151" t="str">
        <f t="shared" si="382"/>
        <v>Copper Standard Access 10Mbit/sNearnet</v>
      </c>
      <c r="W181" s="521">
        <f>MATCH($J181,'Tarieven ZM'!$B:$B,0)</f>
        <v>185</v>
      </c>
      <c r="X181" s="204">
        <f>INDEX('Tarieven ZM'!$H:$H,$W181)</f>
        <v>1000</v>
      </c>
      <c r="Y181" s="198">
        <f>IF(E181="Standard Access in ZG BT gebieden",0,-INDEX(Parameters!$B:$B,MATCH(Y$3&amp;$C181,Parameters!$A:$A,0))*$X181)</f>
        <v>0</v>
      </c>
      <c r="Z181" s="198">
        <f>IF(E181="Standard Access in ZG BT gebieden",0,MAX(-INDEX(Parameters!$B:$B,MATCH(Z$3&amp;$C181,Parameters!$A:$A,0))*$X181,-INDEX(Parameters!$B:$B,MATCH("FactorMaxSalesMandaat"&amp;E181,Parameters!$A:$A,0))*INDEX(Parameters!$B:$B,MATCH("MaxSalesMandaatAccessVVE"&amp;$C181,Parameters!$A:$A,0))))</f>
        <v>0</v>
      </c>
      <c r="AA181" s="139">
        <f t="shared" si="383"/>
        <v>1000</v>
      </c>
      <c r="AB181" s="205">
        <f>AA181/INDEX(Parameters!$B:$B,MATCH("AfschrijftermijnVVE"&amp;12*$C181,Parameters!$A:$A,0))</f>
        <v>20.833333333333332</v>
      </c>
      <c r="AC181" s="204">
        <f>INDEX('Tarieven ZM'!$G:$G,$W181)</f>
        <v>1000</v>
      </c>
      <c r="AD181" s="198">
        <f>IF(E181="Standard Access in ZG BT gebieden",0,-INDEX(Parameters!$B:$B,MATCH(AD$3&amp;$C181,Parameters!$A:$A,0))*$AC181)</f>
        <v>0</v>
      </c>
      <c r="AE181" s="198">
        <f>IF(E181="Standard Access in ZG BT gebieden",0,-INDEX(Parameters!$B:$B,MATCH(AE$3,Parameters!$A:$A,0))*$AC181)</f>
        <v>0</v>
      </c>
      <c r="AF181" s="139">
        <f t="shared" si="384"/>
        <v>1000</v>
      </c>
      <c r="AG181" s="522">
        <f t="shared" si="385"/>
        <v>1020.8333333333334</v>
      </c>
      <c r="AH181" s="175"/>
      <c r="AI181" s="523">
        <f>IF(N181&lt;&gt;"nvt",MATCH($T181,'Tarieven W&amp;O'!$B:$B,0),"nvt")</f>
        <v>25</v>
      </c>
      <c r="AJ181" s="205">
        <f>IF(AI181&lt;&gt;"nvt",IF($D181="EoK",INDEX(Parameters!C:C,MATCH("NLSx EoK",Parameters!A:A,0)),INDEX('Tarieven W&amp;O'!$H:$H,$AI181)),0)*R181</f>
        <v>350</v>
      </c>
      <c r="AK181" s="204">
        <f>IF(AI181&lt;&gt;"nvt",INDEX('Tarieven W&amp;O'!$I:$I,$AI181),0)*R181</f>
        <v>75</v>
      </c>
      <c r="AL181" s="524">
        <f>IF(AI181&lt;&gt;"nvt",-INDEX(Parameters!$B:$B,MATCH(AL$3,Parameters!$A:$A,0))*(AJ181+AK181),0)</f>
        <v>0</v>
      </c>
      <c r="AM181" s="525"/>
      <c r="AN181" s="139">
        <f t="shared" si="386"/>
        <v>425</v>
      </c>
      <c r="AO181" s="205">
        <f>AN181/INDEX(Parameters!$B:$B,MATCH("AfschrijftermijnVVE"&amp;12*$C181,Parameters!$A:$A,0))</f>
        <v>8.8541666666666661</v>
      </c>
      <c r="AP181" s="139">
        <f t="shared" si="387"/>
        <v>25</v>
      </c>
      <c r="AQ181" s="526">
        <f>IF(AP181&lt;&gt;"nvt",R181*INDEX('Tarieven W&amp;O'!$G:$G,$AP181),0)</f>
        <v>83.59</v>
      </c>
      <c r="AR181" s="524">
        <f>-INDEX(Parameters!$B:$B,MATCH(AR$3,Parameters!$A:$A,0))*(AQ181)</f>
        <v>0</v>
      </c>
      <c r="AS181" s="205">
        <f>IF(E181="straal access",'EDC Minus'!$H$192,IF(Q181&lt;&gt;"nvt",Q181*S181*'EDC Minus'!$H$292/590,0))</f>
        <v>0</v>
      </c>
      <c r="AT181" s="139"/>
      <c r="AU181" s="150">
        <f t="shared" si="388"/>
        <v>83.59</v>
      </c>
      <c r="AV181" s="150">
        <f t="shared" si="389"/>
        <v>92.444166666666675</v>
      </c>
      <c r="AX181" s="526">
        <f>Parameters!$B$6*AV181</f>
        <v>0.92444166666666672</v>
      </c>
      <c r="AY181" s="150">
        <v>0</v>
      </c>
      <c r="AZ181" s="150"/>
      <c r="BA181" s="150">
        <f t="shared" si="390"/>
        <v>0.92444166666666672</v>
      </c>
      <c r="BC181" s="522">
        <f t="shared" si="391"/>
        <v>93.368608333333341</v>
      </c>
      <c r="BD181" s="175"/>
      <c r="BE181" s="527">
        <f t="shared" si="392"/>
        <v>927.46472500000004</v>
      </c>
      <c r="BF181" s="181">
        <f t="shared" si="393"/>
        <v>0.90853687346938772</v>
      </c>
      <c r="BG181" s="520" t="b">
        <f t="shared" si="394"/>
        <v>0</v>
      </c>
      <c r="BI181" s="528" t="s">
        <v>2181</v>
      </c>
      <c r="BK181" s="151">
        <f>VLOOKUP(J181,'Tarieven ZM'!$B$136:$I$235,8,0)</f>
        <v>0</v>
      </c>
      <c r="BL181" s="151" t="str">
        <f>IF(M181="EoK",N181&amp;"AdvancedNLS type 1/2/3",IF(E181&lt;&gt;"Straal Access",INDEX(Mapping!J:J,MATCH(E181&amp;G181,Mapping!B:B,0)),E181))</f>
        <v>Copper Standard Access 10Mbit/sAdvancedNLS type 1/2/3</v>
      </c>
      <c r="BM181" s="184">
        <f>INDEX('inkoop ULL tbv EVPN'!J:J,MATCH($BL181,'inkoop ULL tbv EVPN'!$H:$H,0))</f>
        <v>78.97</v>
      </c>
      <c r="BN181" s="180">
        <f>BM181/INDEX(Parameters!$B:$B,MATCH("AfschrijftermijnVVE"&amp;12*$C181,Parameters!$A:$A,0))</f>
        <v>1.6452083333333334</v>
      </c>
      <c r="BO181" s="184">
        <f>INDEX('inkoop ULL tbv EVPN'!I:I,MATCH($BL181,'inkoop ULL tbv EVPN'!$H:$H,0))</f>
        <v>14.7296035</v>
      </c>
      <c r="BP181" s="184">
        <f t="shared" si="395"/>
        <v>16.374811833333332</v>
      </c>
      <c r="BR181" s="180">
        <f>Parameters!$B$12*AG181</f>
        <v>102.08333333333334</v>
      </c>
      <c r="BS181" s="180">
        <f>SUM(Distributievergoedingen!$F$12,Distributievergoedingen!$I$12,Distributievergoedingen!$L$12,Distributievergoedingen!$O$12)*AF181+SUM(Distributievergoedingen!$O$12*AA181+Distributievergoedingen!$R$12+Distributievergoedingen!$U$12+Distributievergoedingen!$X$12)/(MAX(36,12*C181))</f>
        <v>112.08333333333333</v>
      </c>
      <c r="BT181" s="150"/>
      <c r="BU181" s="150">
        <f t="shared" si="396"/>
        <v>214.16666666666669</v>
      </c>
      <c r="BW181" s="522">
        <f t="shared" si="397"/>
        <v>230.54147850000001</v>
      </c>
      <c r="BY181" s="527">
        <f t="shared" si="398"/>
        <v>790.29185483333333</v>
      </c>
      <c r="BZ181" s="181">
        <f t="shared" si="399"/>
        <v>0.77416344963265304</v>
      </c>
      <c r="CA181" s="520" t="b">
        <f t="shared" si="400"/>
        <v>0</v>
      </c>
    </row>
    <row r="182" spans="1:79" s="151" customFormat="1">
      <c r="A182" s="151" t="str">
        <f t="shared" si="365"/>
        <v>4EoKStandard Access koper 15mbLaag&lt; 250 meter</v>
      </c>
      <c r="B182" s="151" t="str">
        <f t="shared" si="366"/>
        <v>4EoKStandard Access koper 15mbLaag&lt; 250 meter</v>
      </c>
      <c r="C182" s="178">
        <v>4</v>
      </c>
      <c r="D182" s="415" t="s">
        <v>303</v>
      </c>
      <c r="E182" s="178" t="s">
        <v>278</v>
      </c>
      <c r="F182" s="107" t="s">
        <v>275</v>
      </c>
      <c r="G182" s="178" t="s">
        <v>3397</v>
      </c>
      <c r="J182" s="520" t="str">
        <f t="shared" si="380"/>
        <v>EoKStandard Access koper 15mbLaag&lt; 250 meter</v>
      </c>
      <c r="L182" s="204">
        <f>INDEX(Mapping!$H:$H,MATCH(C$3&amp;C182,Mapping!$B:$B,0))</f>
        <v>1</v>
      </c>
      <c r="M182" s="204" t="str">
        <f>INDEX(Mapping!$H:$H,MATCH(D$3&amp;D182,Mapping!$B:$B,0))</f>
        <v>EoK</v>
      </c>
      <c r="N182" s="204" t="str">
        <f>INDEX(Mapping!$H:$H,MATCH(E$3&amp;E182,Mapping!$B:$B,0))</f>
        <v>Copper Standard Access 15Mbit/s</v>
      </c>
      <c r="O182" s="204" t="str">
        <f>INDEX(Mapping!$H:$H,MATCH(E182&amp;F182,Mapping!$B:$B,0))</f>
        <v/>
      </c>
      <c r="P182" s="204" t="str">
        <f>INDEX(Mapping!$H:$H,MATCH($E182&amp;$G182,Mapping!$B:$B,0))</f>
        <v>Nearnet</v>
      </c>
      <c r="Q182" s="204" t="str">
        <f>INDEX(Mapping!$H:$H,MATCH($E182&amp;$G182&amp;"graafafstand",Mapping!$B:$B,0))</f>
        <v>nvt</v>
      </c>
      <c r="R182" s="204">
        <f>INDEX(Mapping!$H:$H,MATCH(R$3&amp;$E182,Mapping!$B:$B,0))</f>
        <v>1</v>
      </c>
      <c r="S182" s="204">
        <f>INDEX(Mapping!$H:$H,MATCH(S$3&amp;$E182,Mapping!$B:$B,0))</f>
        <v>1</v>
      </c>
      <c r="T182" s="139" t="str">
        <f t="shared" si="381"/>
        <v>Copper Standard Access 15Mbit/sNearnet</v>
      </c>
      <c r="U182" s="151" t="str">
        <f t="shared" si="382"/>
        <v>Copper Standard Access 15Mbit/sNearnet</v>
      </c>
      <c r="W182" s="521">
        <f>MATCH($J182,'Tarieven ZM'!$B:$B,0)</f>
        <v>186</v>
      </c>
      <c r="X182" s="204">
        <f>INDEX('Tarieven ZM'!$H:$H,$W182)</f>
        <v>1000</v>
      </c>
      <c r="Y182" s="198">
        <f>IF(E182="Standard Access in ZG BT gebieden",0,-INDEX(Parameters!$B:$B,MATCH(Y$3&amp;$C182,Parameters!$A:$A,0))*$X182)</f>
        <v>0</v>
      </c>
      <c r="Z182" s="198">
        <f>IF(E182="Standard Access in ZG BT gebieden",0,MAX(-INDEX(Parameters!$B:$B,MATCH(Z$3&amp;$C182,Parameters!$A:$A,0))*$X182,-INDEX(Parameters!$B:$B,MATCH("FactorMaxSalesMandaat"&amp;E182,Parameters!$A:$A,0))*INDEX(Parameters!$B:$B,MATCH("MaxSalesMandaatAccessVVE"&amp;$C182,Parameters!$A:$A,0))))</f>
        <v>0</v>
      </c>
      <c r="AA182" s="139">
        <f t="shared" si="383"/>
        <v>1000</v>
      </c>
      <c r="AB182" s="205">
        <f>AA182/INDEX(Parameters!$B:$B,MATCH("AfschrijftermijnVVE"&amp;12*$C182,Parameters!$A:$A,0))</f>
        <v>20.833333333333332</v>
      </c>
      <c r="AC182" s="204">
        <f>INDEX('Tarieven ZM'!$G:$G,$W182)</f>
        <v>1000</v>
      </c>
      <c r="AD182" s="198">
        <f>IF(E182="Standard Access in ZG BT gebieden",0,-INDEX(Parameters!$B:$B,MATCH(AD$3&amp;$C182,Parameters!$A:$A,0))*$AC182)</f>
        <v>0</v>
      </c>
      <c r="AE182" s="198">
        <f>IF(E182="Standard Access in ZG BT gebieden",0,-INDEX(Parameters!$B:$B,MATCH(AE$3,Parameters!$A:$A,0))*$AC182)</f>
        <v>0</v>
      </c>
      <c r="AF182" s="139">
        <f t="shared" si="384"/>
        <v>1000</v>
      </c>
      <c r="AG182" s="522">
        <f t="shared" si="385"/>
        <v>1020.8333333333334</v>
      </c>
      <c r="AH182" s="175"/>
      <c r="AI182" s="523">
        <f>IF(N182&lt;&gt;"nvt",MATCH($T182,'Tarieven W&amp;O'!$B:$B,0),"nvt")</f>
        <v>26</v>
      </c>
      <c r="AJ182" s="205">
        <f>IF(AI182&lt;&gt;"nvt",IF($D182="EoK",INDEX(Parameters!C:C,MATCH("NLSx EoK",Parameters!A:A,0)),INDEX('Tarieven W&amp;O'!$H:$H,$AI182)),0)*R182</f>
        <v>350</v>
      </c>
      <c r="AK182" s="204">
        <f>IF(AI182&lt;&gt;"nvt",INDEX('Tarieven W&amp;O'!$I:$I,$AI182),0)*R182</f>
        <v>75</v>
      </c>
      <c r="AL182" s="524">
        <f>IF(AI182&lt;&gt;"nvt",-INDEX(Parameters!$B:$B,MATCH(AL$3,Parameters!$A:$A,0))*(AJ182+AK182),0)</f>
        <v>0</v>
      </c>
      <c r="AM182" s="525"/>
      <c r="AN182" s="139">
        <f t="shared" si="386"/>
        <v>425</v>
      </c>
      <c r="AO182" s="205">
        <f>AN182/INDEX(Parameters!$B:$B,MATCH("AfschrijftermijnVVE"&amp;12*$C182,Parameters!$A:$A,0))</f>
        <v>8.8541666666666661</v>
      </c>
      <c r="AP182" s="139">
        <f t="shared" si="387"/>
        <v>26</v>
      </c>
      <c r="AQ182" s="526">
        <f>IF(AP182&lt;&gt;"nvt",R182*INDEX('Tarieven W&amp;O'!$G:$G,$AP182),0)</f>
        <v>102.44</v>
      </c>
      <c r="AR182" s="524">
        <f>-INDEX(Parameters!$B:$B,MATCH(AR$3,Parameters!$A:$A,0))*(AQ182)</f>
        <v>0</v>
      </c>
      <c r="AS182" s="205">
        <f>IF(E182="straal access",'EDC Minus'!$H$192,IF(Q182&lt;&gt;"nvt",Q182*S182*'EDC Minus'!$H$292/590,0))</f>
        <v>0</v>
      </c>
      <c r="AT182" s="139"/>
      <c r="AU182" s="150">
        <f t="shared" si="388"/>
        <v>102.44</v>
      </c>
      <c r="AV182" s="150">
        <f t="shared" si="389"/>
        <v>111.29416666666667</v>
      </c>
      <c r="AX182" s="526">
        <f>Parameters!$B$6*AV182</f>
        <v>1.1129416666666667</v>
      </c>
      <c r="AY182" s="150">
        <v>0</v>
      </c>
      <c r="AZ182" s="150"/>
      <c r="BA182" s="150">
        <f t="shared" si="390"/>
        <v>1.1129416666666667</v>
      </c>
      <c r="BC182" s="522">
        <f t="shared" si="391"/>
        <v>112.40710833333334</v>
      </c>
      <c r="BD182" s="175"/>
      <c r="BE182" s="527">
        <f t="shared" si="392"/>
        <v>908.42622500000004</v>
      </c>
      <c r="BF182" s="181">
        <f t="shared" si="393"/>
        <v>0.88988691428571431</v>
      </c>
      <c r="BG182" s="520" t="b">
        <f t="shared" si="394"/>
        <v>0</v>
      </c>
      <c r="BI182" s="528" t="s">
        <v>2181</v>
      </c>
      <c r="BK182" s="151">
        <f>VLOOKUP(J182,'Tarieven ZM'!$B$136:$I$235,8,0)</f>
        <v>0</v>
      </c>
      <c r="BL182" s="151" t="str">
        <f>IF(M182="EoK",N182&amp;"AdvancedNLS type 1/2/3",IF(E182&lt;&gt;"Straal Access",INDEX(Mapping!J:J,MATCH(E182&amp;G182,Mapping!B:B,0)),E182))</f>
        <v>Copper Standard Access 15Mbit/sAdvancedNLS type 1/2/3</v>
      </c>
      <c r="BM182" s="184">
        <f>INDEX('inkoop ULL tbv EVPN'!J:J,MATCH($BL182,'inkoop ULL tbv EVPN'!$H:$H,0))</f>
        <v>78.97</v>
      </c>
      <c r="BN182" s="180">
        <f>BM182/INDEX(Parameters!$B:$B,MATCH("AfschrijftermijnVVE"&amp;12*$C182,Parameters!$A:$A,0))</f>
        <v>1.6452083333333334</v>
      </c>
      <c r="BO182" s="184">
        <f>INDEX('inkoop ULL tbv EVPN'!I:I,MATCH($BL182,'inkoop ULL tbv EVPN'!$H:$H,0))</f>
        <v>14.7296035</v>
      </c>
      <c r="BP182" s="184">
        <f t="shared" si="395"/>
        <v>16.374811833333332</v>
      </c>
      <c r="BR182" s="180">
        <f>Parameters!$B$12*AG182</f>
        <v>102.08333333333334</v>
      </c>
      <c r="BS182" s="180">
        <f>SUM(Distributievergoedingen!$F$12,Distributievergoedingen!$I$12,Distributievergoedingen!$L$12,Distributievergoedingen!$O$12)*AF182+SUM(Distributievergoedingen!$O$12*AA182+Distributievergoedingen!$R$12+Distributievergoedingen!$U$12+Distributievergoedingen!$X$12)/(MAX(36,12*C182))</f>
        <v>112.08333333333333</v>
      </c>
      <c r="BT182" s="150"/>
      <c r="BU182" s="150">
        <f t="shared" si="396"/>
        <v>214.16666666666669</v>
      </c>
      <c r="BW182" s="522">
        <f t="shared" si="397"/>
        <v>230.54147850000001</v>
      </c>
      <c r="BY182" s="527">
        <f t="shared" si="398"/>
        <v>790.29185483333333</v>
      </c>
      <c r="BZ182" s="181">
        <f t="shared" si="399"/>
        <v>0.77416344963265304</v>
      </c>
      <c r="CA182" s="520" t="b">
        <f t="shared" si="400"/>
        <v>0</v>
      </c>
    </row>
    <row r="183" spans="1:79" s="151" customFormat="1">
      <c r="A183" s="151" t="str">
        <f t="shared" si="365"/>
        <v>4EoKStandard Access koper 20mbLaag&lt; 250 meter</v>
      </c>
      <c r="B183" s="151" t="str">
        <f t="shared" si="366"/>
        <v>4EoKStandard Access koper 20mbLaag&lt; 250 meter</v>
      </c>
      <c r="C183" s="178">
        <v>4</v>
      </c>
      <c r="D183" s="415" t="s">
        <v>303</v>
      </c>
      <c r="E183" s="178" t="s">
        <v>279</v>
      </c>
      <c r="F183" s="107" t="s">
        <v>275</v>
      </c>
      <c r="G183" s="178" t="s">
        <v>3397</v>
      </c>
      <c r="J183" s="520" t="str">
        <f t="shared" si="380"/>
        <v>EoKStandard Access koper 20mbLaag&lt; 250 meter</v>
      </c>
      <c r="L183" s="204">
        <f>INDEX(Mapping!$H:$H,MATCH(C$3&amp;C183,Mapping!$B:$B,0))</f>
        <v>1</v>
      </c>
      <c r="M183" s="204" t="str">
        <f>INDEX(Mapping!$H:$H,MATCH(D$3&amp;D183,Mapping!$B:$B,0))</f>
        <v>EoK</v>
      </c>
      <c r="N183" s="204" t="str">
        <f>INDEX(Mapping!$H:$H,MATCH(E$3&amp;E183,Mapping!$B:$B,0))</f>
        <v>Copper Standard Access 20Mbit/s</v>
      </c>
      <c r="O183" s="204" t="str">
        <f>INDEX(Mapping!$H:$H,MATCH(E183&amp;F183,Mapping!$B:$B,0))</f>
        <v/>
      </c>
      <c r="P183" s="204" t="str">
        <f>INDEX(Mapping!$H:$H,MATCH($E183&amp;$G183,Mapping!$B:$B,0))</f>
        <v>Nearnet</v>
      </c>
      <c r="Q183" s="204" t="str">
        <f>INDEX(Mapping!$H:$H,MATCH($E183&amp;$G183&amp;"graafafstand",Mapping!$B:$B,0))</f>
        <v>nvt</v>
      </c>
      <c r="R183" s="204">
        <f>INDEX(Mapping!$H:$H,MATCH(R$3&amp;$E183,Mapping!$B:$B,0))</f>
        <v>1</v>
      </c>
      <c r="S183" s="204">
        <f>INDEX(Mapping!$H:$H,MATCH(S$3&amp;$E183,Mapping!$B:$B,0))</f>
        <v>1</v>
      </c>
      <c r="T183" s="139" t="str">
        <f t="shared" si="381"/>
        <v>Copper Standard Access 20Mbit/sNearnet</v>
      </c>
      <c r="U183" s="151" t="str">
        <f t="shared" si="382"/>
        <v>Copper Standard Access 20Mbit/sNearnet</v>
      </c>
      <c r="W183" s="521">
        <f>MATCH($J183,'Tarieven ZM'!$B:$B,0)</f>
        <v>187</v>
      </c>
      <c r="X183" s="204">
        <f>INDEX('Tarieven ZM'!$H:$H,$W183)</f>
        <v>1000</v>
      </c>
      <c r="Y183" s="198">
        <f>IF(E183="Standard Access in ZG BT gebieden",0,-INDEX(Parameters!$B:$B,MATCH(Y$3&amp;$C183,Parameters!$A:$A,0))*$X183)</f>
        <v>0</v>
      </c>
      <c r="Z183" s="198">
        <f>IF(E183="Standard Access in ZG BT gebieden",0,MAX(-INDEX(Parameters!$B:$B,MATCH(Z$3&amp;$C183,Parameters!$A:$A,0))*$X183,-INDEX(Parameters!$B:$B,MATCH("FactorMaxSalesMandaat"&amp;E183,Parameters!$A:$A,0))*INDEX(Parameters!$B:$B,MATCH("MaxSalesMandaatAccessVVE"&amp;$C183,Parameters!$A:$A,0))))</f>
        <v>0</v>
      </c>
      <c r="AA183" s="139">
        <f t="shared" si="383"/>
        <v>1000</v>
      </c>
      <c r="AB183" s="205">
        <f>AA183/INDEX(Parameters!$B:$B,MATCH("AfschrijftermijnVVE"&amp;12*$C183,Parameters!$A:$A,0))</f>
        <v>20.833333333333332</v>
      </c>
      <c r="AC183" s="204">
        <f>INDEX('Tarieven ZM'!$G:$G,$W183)</f>
        <v>1000</v>
      </c>
      <c r="AD183" s="198">
        <f>IF(E183="Standard Access in ZG BT gebieden",0,-INDEX(Parameters!$B:$B,MATCH(AD$3&amp;$C183,Parameters!$A:$A,0))*$AC183)</f>
        <v>0</v>
      </c>
      <c r="AE183" s="198">
        <f>IF(E183="Standard Access in ZG BT gebieden",0,-INDEX(Parameters!$B:$B,MATCH(AE$3,Parameters!$A:$A,0))*$AC183)</f>
        <v>0</v>
      </c>
      <c r="AF183" s="139">
        <f t="shared" si="384"/>
        <v>1000</v>
      </c>
      <c r="AG183" s="522">
        <f t="shared" si="385"/>
        <v>1020.8333333333334</v>
      </c>
      <c r="AH183" s="175"/>
      <c r="AI183" s="523">
        <f>IF(N183&lt;&gt;"nvt",MATCH($T183,'Tarieven W&amp;O'!$B:$B,0),"nvt")</f>
        <v>27</v>
      </c>
      <c r="AJ183" s="205">
        <f>IF(AI183&lt;&gt;"nvt",IF($D183="EoK",INDEX(Parameters!C:C,MATCH("NLSx EoK",Parameters!A:A,0)),INDEX('Tarieven W&amp;O'!$H:$H,$AI183)),0)*R183</f>
        <v>350</v>
      </c>
      <c r="AK183" s="204">
        <f>IF(AI183&lt;&gt;"nvt",INDEX('Tarieven W&amp;O'!$I:$I,$AI183),0)*R183</f>
        <v>75</v>
      </c>
      <c r="AL183" s="524">
        <f>IF(AI183&lt;&gt;"nvt",-INDEX(Parameters!$B:$B,MATCH(AL$3,Parameters!$A:$A,0))*(AJ183+AK183),0)</f>
        <v>0</v>
      </c>
      <c r="AM183" s="525"/>
      <c r="AN183" s="139">
        <f t="shared" si="386"/>
        <v>425</v>
      </c>
      <c r="AO183" s="205">
        <f>AN183/INDEX(Parameters!$B:$B,MATCH("AfschrijftermijnVVE"&amp;12*$C183,Parameters!$A:$A,0))</f>
        <v>8.8541666666666661</v>
      </c>
      <c r="AP183" s="139">
        <f t="shared" si="387"/>
        <v>27</v>
      </c>
      <c r="AQ183" s="526">
        <f>IF(AP183&lt;&gt;"nvt",R183*INDEX('Tarieven W&amp;O'!$G:$G,$AP183),0)</f>
        <v>121.28</v>
      </c>
      <c r="AR183" s="524">
        <f>-INDEX(Parameters!$B:$B,MATCH(AR$3,Parameters!$A:$A,0))*(AQ183)</f>
        <v>0</v>
      </c>
      <c r="AS183" s="205">
        <f>IF(E183="straal access",'EDC Minus'!$H$192,IF(Q183&lt;&gt;"nvt",Q183*S183*'EDC Minus'!$H$292/590,0))</f>
        <v>0</v>
      </c>
      <c r="AT183" s="139"/>
      <c r="AU183" s="150">
        <f t="shared" si="388"/>
        <v>121.28</v>
      </c>
      <c r="AV183" s="150">
        <f t="shared" si="389"/>
        <v>130.13416666666666</v>
      </c>
      <c r="AX183" s="526">
        <f>Parameters!$B$6*AV183</f>
        <v>1.3013416666666666</v>
      </c>
      <c r="AY183" s="150">
        <v>0</v>
      </c>
      <c r="AZ183" s="150"/>
      <c r="BA183" s="150">
        <f t="shared" si="390"/>
        <v>1.3013416666666666</v>
      </c>
      <c r="BC183" s="522">
        <f t="shared" si="391"/>
        <v>131.43550833333333</v>
      </c>
      <c r="BD183" s="175"/>
      <c r="BE183" s="527">
        <f t="shared" si="392"/>
        <v>889.39782500000001</v>
      </c>
      <c r="BF183" s="181">
        <f t="shared" si="393"/>
        <v>0.87124684897959181</v>
      </c>
      <c r="BG183" s="520" t="b">
        <f t="shared" si="394"/>
        <v>0</v>
      </c>
      <c r="BI183" s="528" t="s">
        <v>2181</v>
      </c>
      <c r="BK183" s="151">
        <f>VLOOKUP(J183,'Tarieven ZM'!$B$136:$I$235,8,0)</f>
        <v>0</v>
      </c>
      <c r="BL183" s="151" t="str">
        <f>IF(M183="EoK",N183&amp;"AdvancedNLS type 1/2/3",IF(E183&lt;&gt;"Straal Access",INDEX(Mapping!J:J,MATCH(E183&amp;G183,Mapping!B:B,0)),E183))</f>
        <v>Copper Standard Access 20Mbit/sAdvancedNLS type 1/2/3</v>
      </c>
      <c r="BM183" s="184">
        <f>INDEX('inkoop ULL tbv EVPN'!J:J,MATCH($BL183,'inkoop ULL tbv EVPN'!$H:$H,0))</f>
        <v>78.97</v>
      </c>
      <c r="BN183" s="180">
        <f>BM183/INDEX(Parameters!$B:$B,MATCH("AfschrijftermijnVVE"&amp;12*$C183,Parameters!$A:$A,0))</f>
        <v>1.6452083333333334</v>
      </c>
      <c r="BO183" s="184">
        <f>INDEX('inkoop ULL tbv EVPN'!I:I,MATCH($BL183,'inkoop ULL tbv EVPN'!$H:$H,0))</f>
        <v>14.7296035</v>
      </c>
      <c r="BP183" s="184">
        <f t="shared" si="395"/>
        <v>16.374811833333332</v>
      </c>
      <c r="BR183" s="180">
        <f>Parameters!$B$12*AG183</f>
        <v>102.08333333333334</v>
      </c>
      <c r="BS183" s="180">
        <f>SUM(Distributievergoedingen!$F$12,Distributievergoedingen!$I$12,Distributievergoedingen!$L$12,Distributievergoedingen!$O$12)*AF183+SUM(Distributievergoedingen!$O$12*AA183+Distributievergoedingen!$R$12+Distributievergoedingen!$U$12+Distributievergoedingen!$X$12)/(MAX(36,12*C183))</f>
        <v>112.08333333333333</v>
      </c>
      <c r="BT183" s="150"/>
      <c r="BU183" s="150">
        <f t="shared" si="396"/>
        <v>214.16666666666669</v>
      </c>
      <c r="BW183" s="522">
        <f t="shared" si="397"/>
        <v>230.54147850000001</v>
      </c>
      <c r="BY183" s="527">
        <f t="shared" si="398"/>
        <v>790.29185483333333</v>
      </c>
      <c r="BZ183" s="181">
        <f t="shared" si="399"/>
        <v>0.77416344963265304</v>
      </c>
      <c r="CA183" s="520" t="b">
        <f t="shared" si="400"/>
        <v>0</v>
      </c>
    </row>
    <row r="184" spans="1:79" s="151" customFormat="1">
      <c r="A184" s="151" t="str">
        <f t="shared" si="365"/>
        <v>5EoKStandard Access koper 3mbHoogOn-net (NLS1, 2)</v>
      </c>
      <c r="B184" s="151" t="str">
        <f t="shared" si="366"/>
        <v>5EoKStandard Access koper 3mbHoogOn-net (NLS1, 2)</v>
      </c>
      <c r="C184" s="178">
        <v>5</v>
      </c>
      <c r="D184" s="415" t="s">
        <v>303</v>
      </c>
      <c r="E184" s="178" t="s">
        <v>268</v>
      </c>
      <c r="F184" s="107" t="s">
        <v>274</v>
      </c>
      <c r="G184" s="178" t="s">
        <v>281</v>
      </c>
      <c r="J184" s="520" t="str">
        <f t="shared" si="380"/>
        <v>EoKStandard Access koper 3mbHoogOn-net (NLS1, 2)</v>
      </c>
      <c r="L184" s="204">
        <f>INDEX(Mapping!$H:$H,MATCH(C$3&amp;C184,Mapping!$B:$B,0))</f>
        <v>1</v>
      </c>
      <c r="M184" s="204" t="str">
        <f>INDEX(Mapping!$H:$H,MATCH(D$3&amp;D184,Mapping!$B:$B,0))</f>
        <v>EoK</v>
      </c>
      <c r="N184" s="204" t="str">
        <f>INDEX(Mapping!$H:$H,MATCH(E$3&amp;E184,Mapping!$B:$B,0))</f>
        <v>Copper Standard Access 3Mbit/s</v>
      </c>
      <c r="O184" s="204" t="str">
        <f>INDEX(Mapping!$H:$H,MATCH(E184&amp;F184,Mapping!$B:$B,0))</f>
        <v/>
      </c>
      <c r="P184" s="204" t="str">
        <f>INDEX(Mapping!$H:$H,MATCH($E184&amp;$G184,Mapping!$B:$B,0))</f>
        <v>On-net (NLS1, 2)</v>
      </c>
      <c r="Q184" s="204">
        <f>INDEX(Mapping!$H:$H,MATCH($E184&amp;$G184&amp;"graafafstand",Mapping!$B:$B,0))</f>
        <v>0</v>
      </c>
      <c r="R184" s="204">
        <f>INDEX(Mapping!$H:$H,MATCH(R$3&amp;$E184,Mapping!$B:$B,0))</f>
        <v>1</v>
      </c>
      <c r="S184" s="204">
        <f>INDEX(Mapping!$H:$H,MATCH(S$3&amp;$E184,Mapping!$B:$B,0))</f>
        <v>1</v>
      </c>
      <c r="T184" s="139" t="str">
        <f t="shared" si="381"/>
        <v>Copper Standard Access 3Mbit/sOn-net (NLS1, 2)</v>
      </c>
      <c r="U184" s="151" t="str">
        <f t="shared" si="382"/>
        <v>Copper Standard Access 3Mbit/sOn-net (NLS1, 2)</v>
      </c>
      <c r="W184" s="521">
        <f>MATCH($J184,'Tarieven ZM'!$B:$B,0)</f>
        <v>137</v>
      </c>
      <c r="X184" s="204">
        <f>INDEX('Tarieven ZM'!$H:$H,$W184)</f>
        <v>1000</v>
      </c>
      <c r="Y184" s="198">
        <f>IF(E184="Standard Access in ZG BT gebieden",0,-INDEX(Parameters!$B:$B,MATCH(Y$3&amp;$C184,Parameters!$A:$A,0))*$X184)</f>
        <v>0</v>
      </c>
      <c r="Z184" s="198">
        <f>IF(E184="Standard Access in ZG BT gebieden",0,MAX(-INDEX(Parameters!$B:$B,MATCH(Z$3&amp;$C184,Parameters!$A:$A,0))*$X184,-INDEX(Parameters!$B:$B,MATCH("FactorMaxSalesMandaat"&amp;E184,Parameters!$A:$A,0))*INDEX(Parameters!$B:$B,MATCH("MaxSalesMandaatAccessVVE"&amp;$C184,Parameters!$A:$A,0))))</f>
        <v>0</v>
      </c>
      <c r="AA184" s="139">
        <f t="shared" si="383"/>
        <v>1000</v>
      </c>
      <c r="AB184" s="205">
        <f>AA184/INDEX(Parameters!$B:$B,MATCH("AfschrijftermijnVVE"&amp;12*$C184,Parameters!$A:$A,0))</f>
        <v>16.666666666666668</v>
      </c>
      <c r="AC184" s="204">
        <f>INDEX('Tarieven ZM'!$G:$G,$W184)</f>
        <v>1000</v>
      </c>
      <c r="AD184" s="198">
        <f>IF(E184="Standard Access in ZG BT gebieden",0,-INDEX(Parameters!$B:$B,MATCH(AD$3&amp;$C184,Parameters!$A:$A,0))*$AC184)</f>
        <v>0</v>
      </c>
      <c r="AE184" s="198">
        <f>IF(E184="Standard Access in ZG BT gebieden",0,-INDEX(Parameters!$B:$B,MATCH(AE$3,Parameters!$A:$A,0))*$AC184)</f>
        <v>0</v>
      </c>
      <c r="AF184" s="139">
        <f t="shared" si="384"/>
        <v>1000</v>
      </c>
      <c r="AG184" s="522">
        <f t="shared" si="385"/>
        <v>1016.6666666666666</v>
      </c>
      <c r="AH184" s="175"/>
      <c r="AI184" s="523">
        <f>IF(N184&lt;&gt;"nvt",MATCH($T184,'Tarieven W&amp;O'!$B:$B,0),"nvt")</f>
        <v>9</v>
      </c>
      <c r="AJ184" s="205">
        <f>IF(AI184&lt;&gt;"nvt",IF($D184="EoK",INDEX(Parameters!C:C,MATCH("NLSx EoK",Parameters!A:A,0)),INDEX('Tarieven W&amp;O'!$H:$H,$AI184)),0)*R184</f>
        <v>350</v>
      </c>
      <c r="AK184" s="204">
        <f>IF(AI184&lt;&gt;"nvt",INDEX('Tarieven W&amp;O'!$I:$I,$AI184),0)*R184</f>
        <v>75</v>
      </c>
      <c r="AL184" s="524">
        <f>IF(AI184&lt;&gt;"nvt",-INDEX(Parameters!$B:$B,MATCH(AL$3,Parameters!$A:$A,0))*(AJ184+AK184),0)</f>
        <v>0</v>
      </c>
      <c r="AM184" s="525"/>
      <c r="AN184" s="139">
        <f t="shared" si="386"/>
        <v>425</v>
      </c>
      <c r="AO184" s="205">
        <f>AN184/INDEX(Parameters!$B:$B,MATCH("AfschrijftermijnVVE"&amp;12*$C184,Parameters!$A:$A,0))</f>
        <v>7.083333333333333</v>
      </c>
      <c r="AP184" s="139">
        <f t="shared" si="387"/>
        <v>9</v>
      </c>
      <c r="AQ184" s="526">
        <f>IF(AP184&lt;&gt;"nvt",R184*INDEX('Tarieven W&amp;O'!$G:$G,$AP184),0)</f>
        <v>41.5</v>
      </c>
      <c r="AR184" s="524">
        <f>-INDEX(Parameters!$B:$B,MATCH(AR$3,Parameters!$A:$A,0))*(AQ184)</f>
        <v>0</v>
      </c>
      <c r="AS184" s="205">
        <f>IF(E184="straal access",'EDC Minus'!$H$192,IF(Q184&lt;&gt;"nvt",Q184*S184*'EDC Minus'!$H$292/590,0))</f>
        <v>0</v>
      </c>
      <c r="AT184" s="139"/>
      <c r="AU184" s="150">
        <f t="shared" si="388"/>
        <v>41.5</v>
      </c>
      <c r="AV184" s="150">
        <f t="shared" si="389"/>
        <v>48.583333333333336</v>
      </c>
      <c r="AX184" s="526">
        <f>Parameters!$B$6*AV184</f>
        <v>0.48583333333333339</v>
      </c>
      <c r="AY184" s="150">
        <v>0</v>
      </c>
      <c r="AZ184" s="150"/>
      <c r="BA184" s="150">
        <f t="shared" si="390"/>
        <v>0.48583333333333339</v>
      </c>
      <c r="BC184" s="522">
        <f t="shared" si="391"/>
        <v>49.069166666666668</v>
      </c>
      <c r="BD184" s="175"/>
      <c r="BE184" s="527">
        <f t="shared" si="392"/>
        <v>967.59749999999997</v>
      </c>
      <c r="BF184" s="181">
        <f t="shared" si="393"/>
        <v>0.95173524590163938</v>
      </c>
      <c r="BG184" s="520" t="b">
        <f t="shared" si="394"/>
        <v>0</v>
      </c>
      <c r="BI184" s="528" t="s">
        <v>2181</v>
      </c>
      <c r="BK184" s="151">
        <f>VLOOKUP(J184,'Tarieven ZM'!$B$136:$I$235,8,0)</f>
        <v>0</v>
      </c>
      <c r="BL184" s="151" t="str">
        <f>IF(M184="EoK",N184&amp;"AdvancedNLS type 1/2/3",IF(E184&lt;&gt;"Straal Access",INDEX(Mapping!J:J,MATCH(E184&amp;G184,Mapping!B:B,0)),E184))</f>
        <v>Copper Standard Access 3Mbit/sAdvancedNLS type 1/2/3</v>
      </c>
      <c r="BM184" s="184">
        <f>INDEX('inkoop ULL tbv EVPN'!J:J,MATCH($BL184,'inkoop ULL tbv EVPN'!$H:$H,0))</f>
        <v>78.97</v>
      </c>
      <c r="BN184" s="180">
        <f>BM184/INDEX(Parameters!$B:$B,MATCH("AfschrijftermijnVVE"&amp;12*$C184,Parameters!$A:$A,0))</f>
        <v>1.3161666666666667</v>
      </c>
      <c r="BO184" s="184">
        <f>INDEX('inkoop ULL tbv EVPN'!I:I,MATCH($BL184,'inkoop ULL tbv EVPN'!$H:$H,0))</f>
        <v>14.7296035</v>
      </c>
      <c r="BP184" s="184">
        <f t="shared" si="395"/>
        <v>16.045770166666667</v>
      </c>
      <c r="BR184" s="180">
        <f>Parameters!$B$12*AG184</f>
        <v>101.66666666666667</v>
      </c>
      <c r="BS184" s="180">
        <f>SUM(Distributievergoedingen!$F$12,Distributievergoedingen!$I$12,Distributievergoedingen!$L$12,Distributievergoedingen!$O$12)*AF184+SUM(Distributievergoedingen!$O$12*AA184+Distributievergoedingen!$R$12+Distributievergoedingen!$U$12+Distributievergoedingen!$X$12)/(MAX(36,12*C184))</f>
        <v>111.66666666666667</v>
      </c>
      <c r="BT184" s="150"/>
      <c r="BU184" s="150">
        <f t="shared" si="396"/>
        <v>213.33333333333334</v>
      </c>
      <c r="BW184" s="522">
        <f t="shared" si="397"/>
        <v>229.37910350000001</v>
      </c>
      <c r="BY184" s="527">
        <f t="shared" si="398"/>
        <v>787.28756316666659</v>
      </c>
      <c r="BZ184" s="181">
        <f t="shared" si="399"/>
        <v>0.77438120967213109</v>
      </c>
      <c r="CA184" s="520" t="b">
        <f t="shared" si="400"/>
        <v>0</v>
      </c>
    </row>
    <row r="185" spans="1:79" s="151" customFormat="1">
      <c r="A185" s="151" t="str">
        <f t="shared" si="365"/>
        <v>5EoKStandard Access koper 5mbHoogOn-net (NLS1, 2)</v>
      </c>
      <c r="B185" s="151" t="str">
        <f t="shared" si="366"/>
        <v>5EoKStandard Access koper 5mbHoogOn-net (NLS1, 2)</v>
      </c>
      <c r="C185" s="178">
        <v>5</v>
      </c>
      <c r="D185" s="415" t="s">
        <v>303</v>
      </c>
      <c r="E185" s="178" t="s">
        <v>276</v>
      </c>
      <c r="F185" s="107" t="s">
        <v>274</v>
      </c>
      <c r="G185" s="178" t="s">
        <v>281</v>
      </c>
      <c r="J185" s="520" t="str">
        <f t="shared" si="380"/>
        <v>EoKStandard Access koper 5mbHoogOn-net (NLS1, 2)</v>
      </c>
      <c r="L185" s="204">
        <f>INDEX(Mapping!$H:$H,MATCH(C$3&amp;C185,Mapping!$B:$B,0))</f>
        <v>1</v>
      </c>
      <c r="M185" s="204" t="str">
        <f>INDEX(Mapping!$H:$H,MATCH(D$3&amp;D185,Mapping!$B:$B,0))</f>
        <v>EoK</v>
      </c>
      <c r="N185" s="204" t="str">
        <f>INDEX(Mapping!$H:$H,MATCH(E$3&amp;E185,Mapping!$B:$B,0))</f>
        <v>Copper Standard Access 5Mbit/s</v>
      </c>
      <c r="O185" s="204" t="str">
        <f>INDEX(Mapping!$H:$H,MATCH(E185&amp;F185,Mapping!$B:$B,0))</f>
        <v/>
      </c>
      <c r="P185" s="204" t="str">
        <f>INDEX(Mapping!$H:$H,MATCH($E185&amp;$G185,Mapping!$B:$B,0))</f>
        <v>On-net (NLS1, 2)</v>
      </c>
      <c r="Q185" s="204">
        <f>INDEX(Mapping!$H:$H,MATCH($E185&amp;$G185&amp;"graafafstand",Mapping!$B:$B,0))</f>
        <v>0</v>
      </c>
      <c r="R185" s="204">
        <f>INDEX(Mapping!$H:$H,MATCH(R$3&amp;$E185,Mapping!$B:$B,0))</f>
        <v>1</v>
      </c>
      <c r="S185" s="204">
        <f>INDEX(Mapping!$H:$H,MATCH(S$3&amp;$E185,Mapping!$B:$B,0))</f>
        <v>1</v>
      </c>
      <c r="T185" s="139" t="str">
        <f t="shared" si="381"/>
        <v>Copper Standard Access 5Mbit/sOn-net (NLS1, 2)</v>
      </c>
      <c r="U185" s="151" t="str">
        <f t="shared" si="382"/>
        <v>Copper Standard Access 5Mbit/sOn-net (NLS1, 2)</v>
      </c>
      <c r="W185" s="521">
        <f>MATCH($J185,'Tarieven ZM'!$B:$B,0)</f>
        <v>138</v>
      </c>
      <c r="X185" s="204">
        <f>INDEX('Tarieven ZM'!$H:$H,$W185)</f>
        <v>1000</v>
      </c>
      <c r="Y185" s="198">
        <f>IF(E185="Standard Access in ZG BT gebieden",0,-INDEX(Parameters!$B:$B,MATCH(Y$3&amp;$C185,Parameters!$A:$A,0))*$X185)</f>
        <v>0</v>
      </c>
      <c r="Z185" s="198">
        <f>IF(E185="Standard Access in ZG BT gebieden",0,MAX(-INDEX(Parameters!$B:$B,MATCH(Z$3&amp;$C185,Parameters!$A:$A,0))*$X185,-INDEX(Parameters!$B:$B,MATCH("FactorMaxSalesMandaat"&amp;E185,Parameters!$A:$A,0))*INDEX(Parameters!$B:$B,MATCH("MaxSalesMandaatAccessVVE"&amp;$C185,Parameters!$A:$A,0))))</f>
        <v>0</v>
      </c>
      <c r="AA185" s="139">
        <f t="shared" si="383"/>
        <v>1000</v>
      </c>
      <c r="AB185" s="205">
        <f>AA185/INDEX(Parameters!$B:$B,MATCH("AfschrijftermijnVVE"&amp;12*$C185,Parameters!$A:$A,0))</f>
        <v>16.666666666666668</v>
      </c>
      <c r="AC185" s="204">
        <f>INDEX('Tarieven ZM'!$G:$G,$W185)</f>
        <v>1000</v>
      </c>
      <c r="AD185" s="198">
        <f>IF(E185="Standard Access in ZG BT gebieden",0,-INDEX(Parameters!$B:$B,MATCH(AD$3&amp;$C185,Parameters!$A:$A,0))*$AC185)</f>
        <v>0</v>
      </c>
      <c r="AE185" s="198">
        <f>IF(E185="Standard Access in ZG BT gebieden",0,-INDEX(Parameters!$B:$B,MATCH(AE$3,Parameters!$A:$A,0))*$AC185)</f>
        <v>0</v>
      </c>
      <c r="AF185" s="139">
        <f t="shared" si="384"/>
        <v>1000</v>
      </c>
      <c r="AG185" s="522">
        <f t="shared" si="385"/>
        <v>1016.6666666666666</v>
      </c>
      <c r="AH185" s="175"/>
      <c r="AI185" s="523">
        <f>IF(N185&lt;&gt;"nvt",MATCH($T185,'Tarieven W&amp;O'!$B:$B,0),"nvt")</f>
        <v>10</v>
      </c>
      <c r="AJ185" s="205">
        <f>IF(AI185&lt;&gt;"nvt",IF($D185="EoK",INDEX(Parameters!C:C,MATCH("NLSx EoK",Parameters!A:A,0)),INDEX('Tarieven W&amp;O'!$H:$H,$AI185)),0)*R185</f>
        <v>350</v>
      </c>
      <c r="AK185" s="204">
        <f>IF(AI185&lt;&gt;"nvt",INDEX('Tarieven W&amp;O'!$I:$I,$AI185),0)*R185</f>
        <v>75</v>
      </c>
      <c r="AL185" s="524">
        <f>IF(AI185&lt;&gt;"nvt",-INDEX(Parameters!$B:$B,MATCH(AL$3,Parameters!$A:$A,0))*(AJ185+AK185),0)</f>
        <v>0</v>
      </c>
      <c r="AM185" s="525"/>
      <c r="AN185" s="139">
        <f t="shared" si="386"/>
        <v>425</v>
      </c>
      <c r="AO185" s="205">
        <f>AN185/INDEX(Parameters!$B:$B,MATCH("AfschrijftermijnVVE"&amp;12*$C185,Parameters!$A:$A,0))</f>
        <v>7.083333333333333</v>
      </c>
      <c r="AP185" s="139">
        <f t="shared" si="387"/>
        <v>10</v>
      </c>
      <c r="AQ185" s="526">
        <f>IF(AP185&lt;&gt;"nvt",R185*INDEX('Tarieven W&amp;O'!$G:$G,$AP185),0)</f>
        <v>60.97</v>
      </c>
      <c r="AR185" s="524">
        <f>-INDEX(Parameters!$B:$B,MATCH(AR$3,Parameters!$A:$A,0))*(AQ185)</f>
        <v>0</v>
      </c>
      <c r="AS185" s="205">
        <f>IF(E185="straal access",'EDC Minus'!$H$192,IF(Q185&lt;&gt;"nvt",Q185*S185*'EDC Minus'!$H$292/590,0))</f>
        <v>0</v>
      </c>
      <c r="AT185" s="139"/>
      <c r="AU185" s="150">
        <f t="shared" si="388"/>
        <v>60.97</v>
      </c>
      <c r="AV185" s="150">
        <f t="shared" si="389"/>
        <v>68.053333333333327</v>
      </c>
      <c r="AX185" s="526">
        <f>Parameters!$B$6*AV185</f>
        <v>0.68053333333333332</v>
      </c>
      <c r="AY185" s="150">
        <v>0</v>
      </c>
      <c r="AZ185" s="150"/>
      <c r="BA185" s="150">
        <f t="shared" si="390"/>
        <v>0.68053333333333332</v>
      </c>
      <c r="BC185" s="522">
        <f t="shared" si="391"/>
        <v>68.733866666666657</v>
      </c>
      <c r="BD185" s="175"/>
      <c r="BE185" s="527">
        <f t="shared" si="392"/>
        <v>947.93279999999993</v>
      </c>
      <c r="BF185" s="181">
        <f t="shared" si="393"/>
        <v>0.9323929180327869</v>
      </c>
      <c r="BG185" s="520" t="b">
        <f t="shared" si="394"/>
        <v>0</v>
      </c>
      <c r="BI185" s="528" t="s">
        <v>2181</v>
      </c>
      <c r="BK185" s="151">
        <f>VLOOKUP(J185,'Tarieven ZM'!$B$136:$I$235,8,0)</f>
        <v>0</v>
      </c>
      <c r="BL185" s="151" t="str">
        <f>IF(M185="EoK",N185&amp;"AdvancedNLS type 1/2/3",IF(E185&lt;&gt;"Straal Access",INDEX(Mapping!J:J,MATCH(E185&amp;G185,Mapping!B:B,0)),E185))</f>
        <v>Copper Standard Access 5Mbit/sAdvancedNLS type 1/2/3</v>
      </c>
      <c r="BM185" s="184">
        <f>INDEX('inkoop ULL tbv EVPN'!J:J,MATCH($BL185,'inkoop ULL tbv EVPN'!$H:$H,0))</f>
        <v>78.97</v>
      </c>
      <c r="BN185" s="180">
        <f>BM185/INDEX(Parameters!$B:$B,MATCH("AfschrijftermijnVVE"&amp;12*$C185,Parameters!$A:$A,0))</f>
        <v>1.3161666666666667</v>
      </c>
      <c r="BO185" s="184">
        <f>INDEX('inkoop ULL tbv EVPN'!I:I,MATCH($BL185,'inkoop ULL tbv EVPN'!$H:$H,0))</f>
        <v>14.7296035</v>
      </c>
      <c r="BP185" s="184">
        <f t="shared" si="395"/>
        <v>16.045770166666667</v>
      </c>
      <c r="BR185" s="180">
        <f>Parameters!$B$12*AG185</f>
        <v>101.66666666666667</v>
      </c>
      <c r="BS185" s="180">
        <f>SUM(Distributievergoedingen!$F$12,Distributievergoedingen!$I$12,Distributievergoedingen!$L$12,Distributievergoedingen!$O$12)*AF185+SUM(Distributievergoedingen!$O$12*AA185+Distributievergoedingen!$R$12+Distributievergoedingen!$U$12+Distributievergoedingen!$X$12)/(MAX(36,12*C185))</f>
        <v>111.66666666666667</v>
      </c>
      <c r="BT185" s="150"/>
      <c r="BU185" s="150">
        <f t="shared" si="396"/>
        <v>213.33333333333334</v>
      </c>
      <c r="BW185" s="522">
        <f t="shared" si="397"/>
        <v>229.37910350000001</v>
      </c>
      <c r="BY185" s="527">
        <f t="shared" si="398"/>
        <v>787.28756316666659</v>
      </c>
      <c r="BZ185" s="181">
        <f t="shared" si="399"/>
        <v>0.77438120967213109</v>
      </c>
      <c r="CA185" s="520" t="b">
        <f t="shared" si="400"/>
        <v>0</v>
      </c>
    </row>
    <row r="186" spans="1:79" s="151" customFormat="1">
      <c r="A186" s="151" t="str">
        <f t="shared" si="365"/>
        <v>5EoKStandard Access koper 10mbHoogOn-net (NLS1, 2)</v>
      </c>
      <c r="B186" s="151" t="str">
        <f t="shared" si="366"/>
        <v>5EoKStandard Access koper 10mbHoogOn-net (NLS1, 2)</v>
      </c>
      <c r="C186" s="178">
        <v>5</v>
      </c>
      <c r="D186" s="415" t="s">
        <v>303</v>
      </c>
      <c r="E186" s="178" t="s">
        <v>277</v>
      </c>
      <c r="F186" s="107" t="s">
        <v>274</v>
      </c>
      <c r="G186" s="178" t="s">
        <v>281</v>
      </c>
      <c r="J186" s="520" t="str">
        <f t="shared" si="380"/>
        <v>EoKStandard Access koper 10mbHoogOn-net (NLS1, 2)</v>
      </c>
      <c r="L186" s="204">
        <f>INDEX(Mapping!$H:$H,MATCH(C$3&amp;C186,Mapping!$B:$B,0))</f>
        <v>1</v>
      </c>
      <c r="M186" s="204" t="str">
        <f>INDEX(Mapping!$H:$H,MATCH(D$3&amp;D186,Mapping!$B:$B,0))</f>
        <v>EoK</v>
      </c>
      <c r="N186" s="204" t="str">
        <f>INDEX(Mapping!$H:$H,MATCH(E$3&amp;E186,Mapping!$B:$B,0))</f>
        <v>Copper Standard Access 10Mbit/s</v>
      </c>
      <c r="O186" s="204" t="str">
        <f>INDEX(Mapping!$H:$H,MATCH(E186&amp;F186,Mapping!$B:$B,0))</f>
        <v/>
      </c>
      <c r="P186" s="204" t="str">
        <f>INDEX(Mapping!$H:$H,MATCH($E186&amp;$G186,Mapping!$B:$B,0))</f>
        <v>On-net (NLS1, 2)</v>
      </c>
      <c r="Q186" s="204">
        <f>INDEX(Mapping!$H:$H,MATCH($E186&amp;$G186&amp;"graafafstand",Mapping!$B:$B,0))</f>
        <v>0</v>
      </c>
      <c r="R186" s="204">
        <f>INDEX(Mapping!$H:$H,MATCH(R$3&amp;$E186,Mapping!$B:$B,0))</f>
        <v>1</v>
      </c>
      <c r="S186" s="204">
        <f>INDEX(Mapping!$H:$H,MATCH(S$3&amp;$E186,Mapping!$B:$B,0))</f>
        <v>1</v>
      </c>
      <c r="T186" s="139" t="str">
        <f t="shared" si="381"/>
        <v>Copper Standard Access 10Mbit/sOn-net (NLS1, 2)</v>
      </c>
      <c r="U186" s="151" t="str">
        <f t="shared" si="382"/>
        <v>Copper Standard Access 10Mbit/sOn-net (NLS1, 2)</v>
      </c>
      <c r="W186" s="521">
        <f>MATCH($J186,'Tarieven ZM'!$B:$B,0)</f>
        <v>139</v>
      </c>
      <c r="X186" s="204">
        <f>INDEX('Tarieven ZM'!$H:$H,$W186)</f>
        <v>1000</v>
      </c>
      <c r="Y186" s="198">
        <f>IF(E186="Standard Access in ZG BT gebieden",0,-INDEX(Parameters!$B:$B,MATCH(Y$3&amp;$C186,Parameters!$A:$A,0))*$X186)</f>
        <v>0</v>
      </c>
      <c r="Z186" s="198">
        <f>IF(E186="Standard Access in ZG BT gebieden",0,MAX(-INDEX(Parameters!$B:$B,MATCH(Z$3&amp;$C186,Parameters!$A:$A,0))*$X186,-INDEX(Parameters!$B:$B,MATCH("FactorMaxSalesMandaat"&amp;E186,Parameters!$A:$A,0))*INDEX(Parameters!$B:$B,MATCH("MaxSalesMandaatAccessVVE"&amp;$C186,Parameters!$A:$A,0))))</f>
        <v>0</v>
      </c>
      <c r="AA186" s="139">
        <f t="shared" si="383"/>
        <v>1000</v>
      </c>
      <c r="AB186" s="205">
        <f>AA186/INDEX(Parameters!$B:$B,MATCH("AfschrijftermijnVVE"&amp;12*$C186,Parameters!$A:$A,0))</f>
        <v>16.666666666666668</v>
      </c>
      <c r="AC186" s="204">
        <f>INDEX('Tarieven ZM'!$G:$G,$W186)</f>
        <v>1000</v>
      </c>
      <c r="AD186" s="198">
        <f>IF(E186="Standard Access in ZG BT gebieden",0,-INDEX(Parameters!$B:$B,MATCH(AD$3&amp;$C186,Parameters!$A:$A,0))*$AC186)</f>
        <v>0</v>
      </c>
      <c r="AE186" s="198">
        <f>IF(E186="Standard Access in ZG BT gebieden",0,-INDEX(Parameters!$B:$B,MATCH(AE$3,Parameters!$A:$A,0))*$AC186)</f>
        <v>0</v>
      </c>
      <c r="AF186" s="139">
        <f t="shared" si="384"/>
        <v>1000</v>
      </c>
      <c r="AG186" s="522">
        <f t="shared" si="385"/>
        <v>1016.6666666666666</v>
      </c>
      <c r="AH186" s="175"/>
      <c r="AI186" s="523">
        <f>IF(N186&lt;&gt;"nvt",MATCH($T186,'Tarieven W&amp;O'!$B:$B,0),"nvt")</f>
        <v>11</v>
      </c>
      <c r="AJ186" s="205">
        <f>IF(AI186&lt;&gt;"nvt",IF($D186="EoK",INDEX(Parameters!C:C,MATCH("NLSx EoK",Parameters!A:A,0)),INDEX('Tarieven W&amp;O'!$H:$H,$AI186)),0)*R186</f>
        <v>350</v>
      </c>
      <c r="AK186" s="204">
        <f>IF(AI186&lt;&gt;"nvt",INDEX('Tarieven W&amp;O'!$I:$I,$AI186),0)*R186</f>
        <v>75</v>
      </c>
      <c r="AL186" s="524">
        <f>IF(AI186&lt;&gt;"nvt",-INDEX(Parameters!$B:$B,MATCH(AL$3,Parameters!$A:$A,0))*(AJ186+AK186),0)</f>
        <v>0</v>
      </c>
      <c r="AM186" s="525"/>
      <c r="AN186" s="139">
        <f t="shared" si="386"/>
        <v>425</v>
      </c>
      <c r="AO186" s="205">
        <f>AN186/INDEX(Parameters!$B:$B,MATCH("AfschrijftermijnVVE"&amp;12*$C186,Parameters!$A:$A,0))</f>
        <v>7.083333333333333</v>
      </c>
      <c r="AP186" s="139">
        <f t="shared" si="387"/>
        <v>11</v>
      </c>
      <c r="AQ186" s="526">
        <f>IF(AP186&lt;&gt;"nvt",R186*INDEX('Tarieven W&amp;O'!$G:$G,$AP186),0)</f>
        <v>83.59</v>
      </c>
      <c r="AR186" s="524">
        <f>-INDEX(Parameters!$B:$B,MATCH(AR$3,Parameters!$A:$A,0))*(AQ186)</f>
        <v>0</v>
      </c>
      <c r="AS186" s="205">
        <f>IF(E186="straal access",'EDC Minus'!$H$192,IF(Q186&lt;&gt;"nvt",Q186*S186*'EDC Minus'!$H$292/590,0))</f>
        <v>0</v>
      </c>
      <c r="AT186" s="139"/>
      <c r="AU186" s="150">
        <f t="shared" si="388"/>
        <v>83.59</v>
      </c>
      <c r="AV186" s="150">
        <f t="shared" si="389"/>
        <v>90.673333333333332</v>
      </c>
      <c r="AX186" s="526">
        <f>Parameters!$B$6*AV186</f>
        <v>0.90673333333333339</v>
      </c>
      <c r="AY186" s="150">
        <v>0</v>
      </c>
      <c r="AZ186" s="150"/>
      <c r="BA186" s="150">
        <f t="shared" si="390"/>
        <v>0.90673333333333339</v>
      </c>
      <c r="BC186" s="522">
        <f t="shared" si="391"/>
        <v>91.580066666666667</v>
      </c>
      <c r="BD186" s="175"/>
      <c r="BE186" s="527">
        <f t="shared" si="392"/>
        <v>925.08659999999998</v>
      </c>
      <c r="BF186" s="181">
        <f t="shared" si="393"/>
        <v>0.90992124590163936</v>
      </c>
      <c r="BG186" s="520" t="b">
        <f t="shared" si="394"/>
        <v>0</v>
      </c>
      <c r="BI186" s="528" t="s">
        <v>2181</v>
      </c>
      <c r="BK186" s="151">
        <f>VLOOKUP(J186,'Tarieven ZM'!$B$136:$I$235,8,0)</f>
        <v>0</v>
      </c>
      <c r="BL186" s="151" t="str">
        <f>IF(M186="EoK",N186&amp;"AdvancedNLS type 1/2/3",IF(E186&lt;&gt;"Straal Access",INDEX(Mapping!J:J,MATCH(E186&amp;G186,Mapping!B:B,0)),E186))</f>
        <v>Copper Standard Access 10Mbit/sAdvancedNLS type 1/2/3</v>
      </c>
      <c r="BM186" s="184">
        <f>INDEX('inkoop ULL tbv EVPN'!J:J,MATCH($BL186,'inkoop ULL tbv EVPN'!$H:$H,0))</f>
        <v>78.97</v>
      </c>
      <c r="BN186" s="180">
        <f>BM186/INDEX(Parameters!$B:$B,MATCH("AfschrijftermijnVVE"&amp;12*$C186,Parameters!$A:$A,0))</f>
        <v>1.3161666666666667</v>
      </c>
      <c r="BO186" s="184">
        <f>INDEX('inkoop ULL tbv EVPN'!I:I,MATCH($BL186,'inkoop ULL tbv EVPN'!$H:$H,0))</f>
        <v>14.7296035</v>
      </c>
      <c r="BP186" s="184">
        <f t="shared" si="395"/>
        <v>16.045770166666667</v>
      </c>
      <c r="BR186" s="180">
        <f>Parameters!$B$12*AG186</f>
        <v>101.66666666666667</v>
      </c>
      <c r="BS186" s="180">
        <f>SUM(Distributievergoedingen!$F$12,Distributievergoedingen!$I$12,Distributievergoedingen!$L$12,Distributievergoedingen!$O$12)*AF186+SUM(Distributievergoedingen!$O$12*AA186+Distributievergoedingen!$R$12+Distributievergoedingen!$U$12+Distributievergoedingen!$X$12)/(MAX(36,12*C186))</f>
        <v>111.66666666666667</v>
      </c>
      <c r="BT186" s="150"/>
      <c r="BU186" s="150">
        <f t="shared" si="396"/>
        <v>213.33333333333334</v>
      </c>
      <c r="BW186" s="522">
        <f t="shared" si="397"/>
        <v>229.37910350000001</v>
      </c>
      <c r="BY186" s="527">
        <f t="shared" si="398"/>
        <v>787.28756316666659</v>
      </c>
      <c r="BZ186" s="181">
        <f t="shared" si="399"/>
        <v>0.77438120967213109</v>
      </c>
      <c r="CA186" s="520" t="b">
        <f t="shared" si="400"/>
        <v>0</v>
      </c>
    </row>
    <row r="187" spans="1:79" s="151" customFormat="1">
      <c r="A187" s="151" t="str">
        <f t="shared" si="365"/>
        <v>5EoKStandard Access koper 15mbHoogOn-net (NLS1, 2)</v>
      </c>
      <c r="B187" s="151" t="str">
        <f t="shared" si="366"/>
        <v>5EoKStandard Access koper 15mbHoogOn-net (NLS1, 2)</v>
      </c>
      <c r="C187" s="178">
        <v>5</v>
      </c>
      <c r="D187" s="415" t="s">
        <v>303</v>
      </c>
      <c r="E187" s="178" t="s">
        <v>278</v>
      </c>
      <c r="F187" s="107" t="s">
        <v>274</v>
      </c>
      <c r="G187" s="178" t="s">
        <v>281</v>
      </c>
      <c r="J187" s="520" t="str">
        <f t="shared" si="380"/>
        <v>EoKStandard Access koper 15mbHoogOn-net (NLS1, 2)</v>
      </c>
      <c r="L187" s="204">
        <f>INDEX(Mapping!$H:$H,MATCH(C$3&amp;C187,Mapping!$B:$B,0))</f>
        <v>1</v>
      </c>
      <c r="M187" s="204" t="str">
        <f>INDEX(Mapping!$H:$H,MATCH(D$3&amp;D187,Mapping!$B:$B,0))</f>
        <v>EoK</v>
      </c>
      <c r="N187" s="204" t="str">
        <f>INDEX(Mapping!$H:$H,MATCH(E$3&amp;E187,Mapping!$B:$B,0))</f>
        <v>Copper Standard Access 15Mbit/s</v>
      </c>
      <c r="O187" s="204" t="str">
        <f>INDEX(Mapping!$H:$H,MATCH(E187&amp;F187,Mapping!$B:$B,0))</f>
        <v/>
      </c>
      <c r="P187" s="204" t="str">
        <f>INDEX(Mapping!$H:$H,MATCH($E187&amp;$G187,Mapping!$B:$B,0))</f>
        <v>On-net (NLS1, 2)</v>
      </c>
      <c r="Q187" s="204">
        <f>INDEX(Mapping!$H:$H,MATCH($E187&amp;$G187&amp;"graafafstand",Mapping!$B:$B,0))</f>
        <v>0</v>
      </c>
      <c r="R187" s="204">
        <f>INDEX(Mapping!$H:$H,MATCH(R$3&amp;$E187,Mapping!$B:$B,0))</f>
        <v>1</v>
      </c>
      <c r="S187" s="204">
        <f>INDEX(Mapping!$H:$H,MATCH(S$3&amp;$E187,Mapping!$B:$B,0))</f>
        <v>1</v>
      </c>
      <c r="T187" s="139" t="str">
        <f t="shared" si="381"/>
        <v>Copper Standard Access 15Mbit/sOn-net (NLS1, 2)</v>
      </c>
      <c r="U187" s="151" t="str">
        <f t="shared" si="382"/>
        <v>Copper Standard Access 15Mbit/sOn-net (NLS1, 2)</v>
      </c>
      <c r="W187" s="521">
        <f>MATCH($J187,'Tarieven ZM'!$B:$B,0)</f>
        <v>140</v>
      </c>
      <c r="X187" s="204">
        <f>INDEX('Tarieven ZM'!$H:$H,$W187)</f>
        <v>1000</v>
      </c>
      <c r="Y187" s="198">
        <f>IF(E187="Standard Access in ZG BT gebieden",0,-INDEX(Parameters!$B:$B,MATCH(Y$3&amp;$C187,Parameters!$A:$A,0))*$X187)</f>
        <v>0</v>
      </c>
      <c r="Z187" s="198">
        <f>IF(E187="Standard Access in ZG BT gebieden",0,MAX(-INDEX(Parameters!$B:$B,MATCH(Z$3&amp;$C187,Parameters!$A:$A,0))*$X187,-INDEX(Parameters!$B:$B,MATCH("FactorMaxSalesMandaat"&amp;E187,Parameters!$A:$A,0))*INDEX(Parameters!$B:$B,MATCH("MaxSalesMandaatAccessVVE"&amp;$C187,Parameters!$A:$A,0))))</f>
        <v>0</v>
      </c>
      <c r="AA187" s="139">
        <f t="shared" si="383"/>
        <v>1000</v>
      </c>
      <c r="AB187" s="205">
        <f>AA187/INDEX(Parameters!$B:$B,MATCH("AfschrijftermijnVVE"&amp;12*$C187,Parameters!$A:$A,0))</f>
        <v>16.666666666666668</v>
      </c>
      <c r="AC187" s="204">
        <f>INDEX('Tarieven ZM'!$G:$G,$W187)</f>
        <v>1000</v>
      </c>
      <c r="AD187" s="198">
        <f>IF(E187="Standard Access in ZG BT gebieden",0,-INDEX(Parameters!$B:$B,MATCH(AD$3&amp;$C187,Parameters!$A:$A,0))*$AC187)</f>
        <v>0</v>
      </c>
      <c r="AE187" s="198">
        <f>IF(E187="Standard Access in ZG BT gebieden",0,-INDEX(Parameters!$B:$B,MATCH(AE$3,Parameters!$A:$A,0))*$AC187)</f>
        <v>0</v>
      </c>
      <c r="AF187" s="139">
        <f t="shared" si="384"/>
        <v>1000</v>
      </c>
      <c r="AG187" s="522">
        <f t="shared" si="385"/>
        <v>1016.6666666666666</v>
      </c>
      <c r="AH187" s="175"/>
      <c r="AI187" s="523">
        <f>IF(N187&lt;&gt;"nvt",MATCH($T187,'Tarieven W&amp;O'!$B:$B,0),"nvt")</f>
        <v>12</v>
      </c>
      <c r="AJ187" s="205">
        <f>IF(AI187&lt;&gt;"nvt",IF($D187="EoK",INDEX(Parameters!C:C,MATCH("NLSx EoK",Parameters!A:A,0)),INDEX('Tarieven W&amp;O'!$H:$H,$AI187)),0)*R187</f>
        <v>350</v>
      </c>
      <c r="AK187" s="204">
        <f>IF(AI187&lt;&gt;"nvt",INDEX('Tarieven W&amp;O'!$I:$I,$AI187),0)*R187</f>
        <v>75</v>
      </c>
      <c r="AL187" s="524">
        <f>IF(AI187&lt;&gt;"nvt",-INDEX(Parameters!$B:$B,MATCH(AL$3,Parameters!$A:$A,0))*(AJ187+AK187),0)</f>
        <v>0</v>
      </c>
      <c r="AM187" s="525"/>
      <c r="AN187" s="139">
        <f t="shared" si="386"/>
        <v>425</v>
      </c>
      <c r="AO187" s="205">
        <f>AN187/INDEX(Parameters!$B:$B,MATCH("AfschrijftermijnVVE"&amp;12*$C187,Parameters!$A:$A,0))</f>
        <v>7.083333333333333</v>
      </c>
      <c r="AP187" s="139">
        <f t="shared" si="387"/>
        <v>12</v>
      </c>
      <c r="AQ187" s="526">
        <f>IF(AP187&lt;&gt;"nvt",R187*INDEX('Tarieven W&amp;O'!$G:$G,$AP187),0)</f>
        <v>102.44</v>
      </c>
      <c r="AR187" s="524">
        <f>-INDEX(Parameters!$B:$B,MATCH(AR$3,Parameters!$A:$A,0))*(AQ187)</f>
        <v>0</v>
      </c>
      <c r="AS187" s="205">
        <f>IF(E187="straal access",'EDC Minus'!$H$192,IF(Q187&lt;&gt;"nvt",Q187*S187*'EDC Minus'!$H$292/590,0))</f>
        <v>0</v>
      </c>
      <c r="AT187" s="139"/>
      <c r="AU187" s="150">
        <f t="shared" si="388"/>
        <v>102.44</v>
      </c>
      <c r="AV187" s="150">
        <f t="shared" si="389"/>
        <v>109.52333333333333</v>
      </c>
      <c r="AX187" s="526">
        <f>Parameters!$B$6*AV187</f>
        <v>1.0952333333333333</v>
      </c>
      <c r="AY187" s="150">
        <v>0</v>
      </c>
      <c r="AZ187" s="150"/>
      <c r="BA187" s="150">
        <f t="shared" si="390"/>
        <v>1.0952333333333333</v>
      </c>
      <c r="BC187" s="522">
        <f t="shared" si="391"/>
        <v>110.61856666666667</v>
      </c>
      <c r="BD187" s="175"/>
      <c r="BE187" s="527">
        <f t="shared" si="392"/>
        <v>906.04809999999998</v>
      </c>
      <c r="BF187" s="181">
        <f t="shared" si="393"/>
        <v>0.89119485245901642</v>
      </c>
      <c r="BG187" s="520" t="b">
        <f t="shared" si="394"/>
        <v>0</v>
      </c>
      <c r="BI187" s="528" t="s">
        <v>2181</v>
      </c>
      <c r="BK187" s="151">
        <f>VLOOKUP(J187,'Tarieven ZM'!$B$136:$I$235,8,0)</f>
        <v>0</v>
      </c>
      <c r="BL187" s="151" t="str">
        <f>IF(M187="EoK",N187&amp;"AdvancedNLS type 1/2/3",IF(E187&lt;&gt;"Straal Access",INDEX(Mapping!J:J,MATCH(E187&amp;G187,Mapping!B:B,0)),E187))</f>
        <v>Copper Standard Access 15Mbit/sAdvancedNLS type 1/2/3</v>
      </c>
      <c r="BM187" s="184">
        <f>INDEX('inkoop ULL tbv EVPN'!J:J,MATCH($BL187,'inkoop ULL tbv EVPN'!$H:$H,0))</f>
        <v>78.97</v>
      </c>
      <c r="BN187" s="180">
        <f>BM187/INDEX(Parameters!$B:$B,MATCH("AfschrijftermijnVVE"&amp;12*$C187,Parameters!$A:$A,0))</f>
        <v>1.3161666666666667</v>
      </c>
      <c r="BO187" s="184">
        <f>INDEX('inkoop ULL tbv EVPN'!I:I,MATCH($BL187,'inkoop ULL tbv EVPN'!$H:$H,0))</f>
        <v>14.7296035</v>
      </c>
      <c r="BP187" s="184">
        <f t="shared" si="395"/>
        <v>16.045770166666667</v>
      </c>
      <c r="BR187" s="180">
        <f>Parameters!$B$12*AG187</f>
        <v>101.66666666666667</v>
      </c>
      <c r="BS187" s="180">
        <f>SUM(Distributievergoedingen!$F$12,Distributievergoedingen!$I$12,Distributievergoedingen!$L$12,Distributievergoedingen!$O$12)*AF187+SUM(Distributievergoedingen!$O$12*AA187+Distributievergoedingen!$R$12+Distributievergoedingen!$U$12+Distributievergoedingen!$X$12)/(MAX(36,12*C187))</f>
        <v>111.66666666666667</v>
      </c>
      <c r="BT187" s="150"/>
      <c r="BU187" s="150">
        <f t="shared" si="396"/>
        <v>213.33333333333334</v>
      </c>
      <c r="BW187" s="522">
        <f t="shared" si="397"/>
        <v>229.37910350000001</v>
      </c>
      <c r="BY187" s="527">
        <f t="shared" si="398"/>
        <v>787.28756316666659</v>
      </c>
      <c r="BZ187" s="181">
        <f t="shared" si="399"/>
        <v>0.77438120967213109</v>
      </c>
      <c r="CA187" s="520" t="b">
        <f t="shared" si="400"/>
        <v>0</v>
      </c>
    </row>
    <row r="188" spans="1:79" s="151" customFormat="1">
      <c r="A188" s="151" t="str">
        <f t="shared" si="365"/>
        <v>5EoKStandard Access koper 20mbHoogOn-net (NLS1, 2)</v>
      </c>
      <c r="B188" s="151" t="str">
        <f t="shared" si="366"/>
        <v>5EoKStandard Access koper 20mbHoogOn-net (NLS1, 2)</v>
      </c>
      <c r="C188" s="178">
        <v>5</v>
      </c>
      <c r="D188" s="415" t="s">
        <v>303</v>
      </c>
      <c r="E188" s="178" t="s">
        <v>279</v>
      </c>
      <c r="F188" s="107" t="s">
        <v>274</v>
      </c>
      <c r="G188" s="178" t="s">
        <v>281</v>
      </c>
      <c r="J188" s="520" t="str">
        <f t="shared" si="380"/>
        <v>EoKStandard Access koper 20mbHoogOn-net (NLS1, 2)</v>
      </c>
      <c r="L188" s="204">
        <f>INDEX(Mapping!$H:$H,MATCH(C$3&amp;C188,Mapping!$B:$B,0))</f>
        <v>1</v>
      </c>
      <c r="M188" s="204" t="str">
        <f>INDEX(Mapping!$H:$H,MATCH(D$3&amp;D188,Mapping!$B:$B,0))</f>
        <v>EoK</v>
      </c>
      <c r="N188" s="204" t="str">
        <f>INDEX(Mapping!$H:$H,MATCH(E$3&amp;E188,Mapping!$B:$B,0))</f>
        <v>Copper Standard Access 20Mbit/s</v>
      </c>
      <c r="O188" s="204" t="str">
        <f>INDEX(Mapping!$H:$H,MATCH(E188&amp;F188,Mapping!$B:$B,0))</f>
        <v/>
      </c>
      <c r="P188" s="204" t="str">
        <f>INDEX(Mapping!$H:$H,MATCH($E188&amp;$G188,Mapping!$B:$B,0))</f>
        <v>On-net (NLS1, 2)</v>
      </c>
      <c r="Q188" s="204">
        <f>INDEX(Mapping!$H:$H,MATCH($E188&amp;$G188&amp;"graafafstand",Mapping!$B:$B,0))</f>
        <v>0</v>
      </c>
      <c r="R188" s="204">
        <f>INDEX(Mapping!$H:$H,MATCH(R$3&amp;$E188,Mapping!$B:$B,0))</f>
        <v>1</v>
      </c>
      <c r="S188" s="204">
        <f>INDEX(Mapping!$H:$H,MATCH(S$3&amp;$E188,Mapping!$B:$B,0))</f>
        <v>1</v>
      </c>
      <c r="T188" s="139" t="str">
        <f t="shared" si="381"/>
        <v>Copper Standard Access 20Mbit/sOn-net (NLS1, 2)</v>
      </c>
      <c r="U188" s="151" t="str">
        <f t="shared" si="382"/>
        <v>Copper Standard Access 20Mbit/sOn-net (NLS1, 2)</v>
      </c>
      <c r="W188" s="521">
        <f>MATCH($J188,'Tarieven ZM'!$B:$B,0)</f>
        <v>141</v>
      </c>
      <c r="X188" s="204">
        <f>INDEX('Tarieven ZM'!$H:$H,$W188)</f>
        <v>1000</v>
      </c>
      <c r="Y188" s="198">
        <f>IF(E188="Standard Access in ZG BT gebieden",0,-INDEX(Parameters!$B:$B,MATCH(Y$3&amp;$C188,Parameters!$A:$A,0))*$X188)</f>
        <v>0</v>
      </c>
      <c r="Z188" s="198">
        <f>IF(E188="Standard Access in ZG BT gebieden",0,MAX(-INDEX(Parameters!$B:$B,MATCH(Z$3&amp;$C188,Parameters!$A:$A,0))*$X188,-INDEX(Parameters!$B:$B,MATCH("FactorMaxSalesMandaat"&amp;E188,Parameters!$A:$A,0))*INDEX(Parameters!$B:$B,MATCH("MaxSalesMandaatAccessVVE"&amp;$C188,Parameters!$A:$A,0))))</f>
        <v>0</v>
      </c>
      <c r="AA188" s="139">
        <f t="shared" si="383"/>
        <v>1000</v>
      </c>
      <c r="AB188" s="205">
        <f>AA188/INDEX(Parameters!$B:$B,MATCH("AfschrijftermijnVVE"&amp;12*$C188,Parameters!$A:$A,0))</f>
        <v>16.666666666666668</v>
      </c>
      <c r="AC188" s="204">
        <f>INDEX('Tarieven ZM'!$G:$G,$W188)</f>
        <v>1000</v>
      </c>
      <c r="AD188" s="198">
        <f>IF(E188="Standard Access in ZG BT gebieden",0,-INDEX(Parameters!$B:$B,MATCH(AD$3&amp;$C188,Parameters!$A:$A,0))*$AC188)</f>
        <v>0</v>
      </c>
      <c r="AE188" s="198">
        <f>IF(E188="Standard Access in ZG BT gebieden",0,-INDEX(Parameters!$B:$B,MATCH(AE$3,Parameters!$A:$A,0))*$AC188)</f>
        <v>0</v>
      </c>
      <c r="AF188" s="139">
        <f t="shared" si="384"/>
        <v>1000</v>
      </c>
      <c r="AG188" s="522">
        <f t="shared" si="385"/>
        <v>1016.6666666666666</v>
      </c>
      <c r="AH188" s="175"/>
      <c r="AI188" s="523">
        <f>IF(N188&lt;&gt;"nvt",MATCH($T188,'Tarieven W&amp;O'!$B:$B,0),"nvt")</f>
        <v>13</v>
      </c>
      <c r="AJ188" s="205">
        <f>IF(AI188&lt;&gt;"nvt",IF($D188="EoK",INDEX(Parameters!C:C,MATCH("NLSx EoK",Parameters!A:A,0)),INDEX('Tarieven W&amp;O'!$H:$H,$AI188)),0)*R188</f>
        <v>350</v>
      </c>
      <c r="AK188" s="204">
        <f>IF(AI188&lt;&gt;"nvt",INDEX('Tarieven W&amp;O'!$I:$I,$AI188),0)*R188</f>
        <v>75</v>
      </c>
      <c r="AL188" s="524">
        <f>IF(AI188&lt;&gt;"nvt",-INDEX(Parameters!$B:$B,MATCH(AL$3,Parameters!$A:$A,0))*(AJ188+AK188),0)</f>
        <v>0</v>
      </c>
      <c r="AM188" s="525"/>
      <c r="AN188" s="139">
        <f t="shared" si="386"/>
        <v>425</v>
      </c>
      <c r="AO188" s="205">
        <f>AN188/INDEX(Parameters!$B:$B,MATCH("AfschrijftermijnVVE"&amp;12*$C188,Parameters!$A:$A,0))</f>
        <v>7.083333333333333</v>
      </c>
      <c r="AP188" s="139">
        <f t="shared" si="387"/>
        <v>13</v>
      </c>
      <c r="AQ188" s="526">
        <f>IF(AP188&lt;&gt;"nvt",R188*INDEX('Tarieven W&amp;O'!$G:$G,$AP188),0)</f>
        <v>121.28</v>
      </c>
      <c r="AR188" s="524">
        <f>-INDEX(Parameters!$B:$B,MATCH(AR$3,Parameters!$A:$A,0))*(AQ188)</f>
        <v>0</v>
      </c>
      <c r="AS188" s="205">
        <f>IF(E188="straal access",'EDC Minus'!$H$192,IF(Q188&lt;&gt;"nvt",Q188*S188*'EDC Minus'!$H$292/590,0))</f>
        <v>0</v>
      </c>
      <c r="AT188" s="139"/>
      <c r="AU188" s="150">
        <f t="shared" si="388"/>
        <v>121.28</v>
      </c>
      <c r="AV188" s="150">
        <f t="shared" si="389"/>
        <v>128.36333333333334</v>
      </c>
      <c r="AX188" s="526">
        <f>Parameters!$B$6*AV188</f>
        <v>1.2836333333333334</v>
      </c>
      <c r="AY188" s="150">
        <v>0</v>
      </c>
      <c r="AZ188" s="150"/>
      <c r="BA188" s="150">
        <f t="shared" si="390"/>
        <v>1.2836333333333334</v>
      </c>
      <c r="BC188" s="522">
        <f t="shared" si="391"/>
        <v>129.64696666666669</v>
      </c>
      <c r="BD188" s="175"/>
      <c r="BE188" s="527">
        <f t="shared" si="392"/>
        <v>887.01969999999994</v>
      </c>
      <c r="BF188" s="181">
        <f t="shared" si="393"/>
        <v>0.8724783934426229</v>
      </c>
      <c r="BG188" s="520" t="b">
        <f t="shared" si="394"/>
        <v>0</v>
      </c>
      <c r="BI188" s="528" t="s">
        <v>2181</v>
      </c>
      <c r="BK188" s="151">
        <f>VLOOKUP(J188,'Tarieven ZM'!$B$136:$I$235,8,0)</f>
        <v>0</v>
      </c>
      <c r="BL188" s="151" t="str">
        <f>IF(M188="EoK",N188&amp;"AdvancedNLS type 1/2/3",IF(E188&lt;&gt;"Straal Access",INDEX(Mapping!J:J,MATCH(E188&amp;G188,Mapping!B:B,0)),E188))</f>
        <v>Copper Standard Access 20Mbit/sAdvancedNLS type 1/2/3</v>
      </c>
      <c r="BM188" s="184">
        <f>INDEX('inkoop ULL tbv EVPN'!J:J,MATCH($BL188,'inkoop ULL tbv EVPN'!$H:$H,0))</f>
        <v>78.97</v>
      </c>
      <c r="BN188" s="180">
        <f>BM188/INDEX(Parameters!$B:$B,MATCH("AfschrijftermijnVVE"&amp;12*$C188,Parameters!$A:$A,0))</f>
        <v>1.3161666666666667</v>
      </c>
      <c r="BO188" s="184">
        <f>INDEX('inkoop ULL tbv EVPN'!I:I,MATCH($BL188,'inkoop ULL tbv EVPN'!$H:$H,0))</f>
        <v>14.7296035</v>
      </c>
      <c r="BP188" s="184">
        <f t="shared" si="395"/>
        <v>16.045770166666667</v>
      </c>
      <c r="BR188" s="180">
        <f>Parameters!$B$12*AG188</f>
        <v>101.66666666666667</v>
      </c>
      <c r="BS188" s="180">
        <f>SUM(Distributievergoedingen!$F$12,Distributievergoedingen!$I$12,Distributievergoedingen!$L$12,Distributievergoedingen!$O$12)*AF188+SUM(Distributievergoedingen!$O$12*AA188+Distributievergoedingen!$R$12+Distributievergoedingen!$U$12+Distributievergoedingen!$X$12)/(MAX(36,12*C188))</f>
        <v>111.66666666666667</v>
      </c>
      <c r="BT188" s="150"/>
      <c r="BU188" s="150">
        <f t="shared" si="396"/>
        <v>213.33333333333334</v>
      </c>
      <c r="BW188" s="522">
        <f t="shared" si="397"/>
        <v>229.37910350000001</v>
      </c>
      <c r="BY188" s="527">
        <f t="shared" si="398"/>
        <v>787.28756316666659</v>
      </c>
      <c r="BZ188" s="181">
        <f t="shared" si="399"/>
        <v>0.77438120967213109</v>
      </c>
      <c r="CA188" s="520" t="b">
        <f t="shared" si="400"/>
        <v>0</v>
      </c>
    </row>
    <row r="189" spans="1:79" s="151" customFormat="1">
      <c r="A189" s="151" t="str">
        <f t="shared" ref="A189:A208" si="401">C189&amp;D189&amp;E189&amp;F189&amp;G189</f>
        <v>5EoKStandard Access koper 3mbHoogOn-net (NLS3)</v>
      </c>
      <c r="B189" s="151" t="str">
        <f t="shared" ref="B189:B208" si="402">A189</f>
        <v>5EoKStandard Access koper 3mbHoogOn-net (NLS3)</v>
      </c>
      <c r="C189" s="178">
        <v>5</v>
      </c>
      <c r="D189" s="415" t="s">
        <v>303</v>
      </c>
      <c r="E189" s="178" t="s">
        <v>268</v>
      </c>
      <c r="F189" s="107" t="s">
        <v>274</v>
      </c>
      <c r="G189" s="178" t="s">
        <v>3398</v>
      </c>
      <c r="J189" s="520" t="str">
        <f t="shared" si="380"/>
        <v>EoKStandard Access koper 3mbHoogOn-net (NLS3)</v>
      </c>
      <c r="L189" s="204">
        <f>INDEX(Mapping!$H:$H,MATCH(C$3&amp;C189,Mapping!$B:$B,0))</f>
        <v>1</v>
      </c>
      <c r="M189" s="204" t="str">
        <f>INDEX(Mapping!$H:$H,MATCH(D$3&amp;D189,Mapping!$B:$B,0))</f>
        <v>EoK</v>
      </c>
      <c r="N189" s="204" t="str">
        <f>INDEX(Mapping!$H:$H,MATCH(E$3&amp;E189,Mapping!$B:$B,0))</f>
        <v>Copper Standard Access 3Mbit/s</v>
      </c>
      <c r="O189" s="204" t="str">
        <f>INDEX(Mapping!$H:$H,MATCH(E189&amp;F189,Mapping!$B:$B,0))</f>
        <v/>
      </c>
      <c r="P189" s="204" t="str">
        <f>INDEX(Mapping!$H:$H,MATCH($E189&amp;$G189,Mapping!$B:$B,0))</f>
        <v>On-net (NLS3)</v>
      </c>
      <c r="Q189" s="204" t="str">
        <f>INDEX(Mapping!$H:$H,MATCH($E189&amp;$G189&amp;"graafafstand",Mapping!$B:$B,0))</f>
        <v>nvt</v>
      </c>
      <c r="R189" s="204">
        <f>INDEX(Mapping!$H:$H,MATCH(R$3&amp;$E189,Mapping!$B:$B,0))</f>
        <v>1</v>
      </c>
      <c r="S189" s="204">
        <f>INDEX(Mapping!$H:$H,MATCH(S$3&amp;$E189,Mapping!$B:$B,0))</f>
        <v>1</v>
      </c>
      <c r="T189" s="139" t="str">
        <f t="shared" si="381"/>
        <v>Copper Standard Access 3Mbit/sOn-net (NLS3)</v>
      </c>
      <c r="U189" s="151" t="str">
        <f t="shared" si="382"/>
        <v>Copper Standard Access 3Mbit/sOn-net (NLS3)</v>
      </c>
      <c r="W189" s="521">
        <f>MATCH($J189,'Tarieven ZM'!$B:$B,0)</f>
        <v>144</v>
      </c>
      <c r="X189" s="204">
        <f>INDEX('Tarieven ZM'!$H:$H,$W189)</f>
        <v>1000</v>
      </c>
      <c r="Y189" s="198">
        <f>IF(E189="Standard Access in ZG BT gebieden",0,-INDEX(Parameters!$B:$B,MATCH(Y$3&amp;$C189,Parameters!$A:$A,0))*$X189)</f>
        <v>0</v>
      </c>
      <c r="Z189" s="198">
        <f>IF(E189="Standard Access in ZG BT gebieden",0,MAX(-INDEX(Parameters!$B:$B,MATCH(Z$3&amp;$C189,Parameters!$A:$A,0))*$X189,-INDEX(Parameters!$B:$B,MATCH("FactorMaxSalesMandaat"&amp;E189,Parameters!$A:$A,0))*INDEX(Parameters!$B:$B,MATCH("MaxSalesMandaatAccessVVE"&amp;$C189,Parameters!$A:$A,0))))</f>
        <v>0</v>
      </c>
      <c r="AA189" s="139">
        <f t="shared" si="383"/>
        <v>1000</v>
      </c>
      <c r="AB189" s="205">
        <f>AA189/INDEX(Parameters!$B:$B,MATCH("AfschrijftermijnVVE"&amp;12*$C189,Parameters!$A:$A,0))</f>
        <v>16.666666666666668</v>
      </c>
      <c r="AC189" s="204">
        <f>INDEX('Tarieven ZM'!$G:$G,$W189)</f>
        <v>1000</v>
      </c>
      <c r="AD189" s="198">
        <f>IF(E189="Standard Access in ZG BT gebieden",0,-INDEX(Parameters!$B:$B,MATCH(AD$3&amp;$C189,Parameters!$A:$A,0))*$AC189)</f>
        <v>0</v>
      </c>
      <c r="AE189" s="198">
        <f>IF(E189="Standard Access in ZG BT gebieden",0,-INDEX(Parameters!$B:$B,MATCH(AE$3,Parameters!$A:$A,0))*$AC189)</f>
        <v>0</v>
      </c>
      <c r="AF189" s="139">
        <f t="shared" si="384"/>
        <v>1000</v>
      </c>
      <c r="AG189" s="522">
        <f t="shared" si="385"/>
        <v>1016.6666666666666</v>
      </c>
      <c r="AH189" s="175"/>
      <c r="AI189" s="523">
        <f>IF(N189&lt;&gt;"nvt",MATCH($T189,'Tarieven W&amp;O'!$B:$B,0),"nvt")</f>
        <v>16</v>
      </c>
      <c r="AJ189" s="205">
        <f>IF(AI189&lt;&gt;"nvt",IF($D189="EoK",INDEX(Parameters!C:C,MATCH("NLSx EoK",Parameters!A:A,0)),INDEX('Tarieven W&amp;O'!$H:$H,$AI189)),0)*R189</f>
        <v>350</v>
      </c>
      <c r="AK189" s="204">
        <f>IF(AI189&lt;&gt;"nvt",INDEX('Tarieven W&amp;O'!$I:$I,$AI189),0)*R189</f>
        <v>75</v>
      </c>
      <c r="AL189" s="524">
        <f>IF(AI189&lt;&gt;"nvt",-INDEX(Parameters!$B:$B,MATCH(AL$3,Parameters!$A:$A,0))*(AJ189+AK189),0)</f>
        <v>0</v>
      </c>
      <c r="AM189" s="525"/>
      <c r="AN189" s="139">
        <f t="shared" si="386"/>
        <v>425</v>
      </c>
      <c r="AO189" s="205">
        <f>AN189/INDEX(Parameters!$B:$B,MATCH("AfschrijftermijnVVE"&amp;12*$C189,Parameters!$A:$A,0))</f>
        <v>7.083333333333333</v>
      </c>
      <c r="AP189" s="139">
        <f t="shared" si="387"/>
        <v>16</v>
      </c>
      <c r="AQ189" s="526">
        <f>IF(AP189&lt;&gt;"nvt",R189*INDEX('Tarieven W&amp;O'!$G:$G,$AP189),0)</f>
        <v>41.5</v>
      </c>
      <c r="AR189" s="524">
        <f>-INDEX(Parameters!$B:$B,MATCH(AR$3,Parameters!$A:$A,0))*(AQ189)</f>
        <v>0</v>
      </c>
      <c r="AS189" s="205">
        <f>IF(E189="straal access",'EDC Minus'!$H$192,IF(Q189&lt;&gt;"nvt",Q189*S189*'EDC Minus'!$H$292/590,0))</f>
        <v>0</v>
      </c>
      <c r="AT189" s="139"/>
      <c r="AU189" s="150">
        <f t="shared" si="388"/>
        <v>41.5</v>
      </c>
      <c r="AV189" s="150">
        <f t="shared" si="389"/>
        <v>48.583333333333336</v>
      </c>
      <c r="AX189" s="526">
        <f>Parameters!$B$6*AV189</f>
        <v>0.48583333333333339</v>
      </c>
      <c r="AY189" s="150">
        <v>0</v>
      </c>
      <c r="AZ189" s="150"/>
      <c r="BA189" s="150">
        <f t="shared" si="390"/>
        <v>0.48583333333333339</v>
      </c>
      <c r="BC189" s="522">
        <f t="shared" si="391"/>
        <v>49.069166666666668</v>
      </c>
      <c r="BD189" s="175"/>
      <c r="BE189" s="527">
        <f t="shared" si="392"/>
        <v>967.59749999999997</v>
      </c>
      <c r="BF189" s="181">
        <f t="shared" si="393"/>
        <v>0.95173524590163938</v>
      </c>
      <c r="BG189" s="520" t="b">
        <f t="shared" si="394"/>
        <v>0</v>
      </c>
      <c r="BI189" s="528" t="s">
        <v>2181</v>
      </c>
      <c r="BK189" s="151">
        <f>VLOOKUP(J189,'Tarieven ZM'!$B$136:$I$235,8,0)</f>
        <v>0</v>
      </c>
      <c r="BL189" s="151" t="str">
        <f>IF(M189="EoK",N189&amp;"AdvancedNLS type 1/2/3",IF(E189&lt;&gt;"Straal Access",INDEX(Mapping!J:J,MATCH(E189&amp;G189,Mapping!B:B,0)),E189))</f>
        <v>Copper Standard Access 3Mbit/sAdvancedNLS type 1/2/3</v>
      </c>
      <c r="BM189" s="184">
        <f>INDEX('inkoop ULL tbv EVPN'!J:J,MATCH($BL189,'inkoop ULL tbv EVPN'!$H:$H,0))</f>
        <v>78.97</v>
      </c>
      <c r="BN189" s="180">
        <f>BM189/INDEX(Parameters!$B:$B,MATCH("AfschrijftermijnVVE"&amp;12*$C189,Parameters!$A:$A,0))</f>
        <v>1.3161666666666667</v>
      </c>
      <c r="BO189" s="184">
        <f>INDEX('inkoop ULL tbv EVPN'!I:I,MATCH($BL189,'inkoop ULL tbv EVPN'!$H:$H,0))</f>
        <v>14.7296035</v>
      </c>
      <c r="BP189" s="184">
        <f t="shared" si="395"/>
        <v>16.045770166666667</v>
      </c>
      <c r="BR189" s="180">
        <f>Parameters!$B$12*AG189</f>
        <v>101.66666666666667</v>
      </c>
      <c r="BS189" s="180">
        <f>SUM(Distributievergoedingen!$F$12,Distributievergoedingen!$I$12,Distributievergoedingen!$L$12,Distributievergoedingen!$O$12)*AF189+SUM(Distributievergoedingen!$O$12*AA189+Distributievergoedingen!$R$12+Distributievergoedingen!$U$12+Distributievergoedingen!$X$12)/(MAX(36,12*C189))</f>
        <v>111.66666666666667</v>
      </c>
      <c r="BT189" s="150"/>
      <c r="BU189" s="150">
        <f t="shared" si="396"/>
        <v>213.33333333333334</v>
      </c>
      <c r="BW189" s="522">
        <f t="shared" si="397"/>
        <v>229.37910350000001</v>
      </c>
      <c r="BY189" s="527">
        <f t="shared" si="398"/>
        <v>787.28756316666659</v>
      </c>
      <c r="BZ189" s="181">
        <f t="shared" si="399"/>
        <v>0.77438120967213109</v>
      </c>
      <c r="CA189" s="520" t="b">
        <f t="shared" si="400"/>
        <v>0</v>
      </c>
    </row>
    <row r="190" spans="1:79" s="151" customFormat="1">
      <c r="A190" s="151" t="str">
        <f t="shared" si="401"/>
        <v>5EoKStandard Access koper 5mbHoogOn-net (NLS3)</v>
      </c>
      <c r="B190" s="151" t="str">
        <f t="shared" si="402"/>
        <v>5EoKStandard Access koper 5mbHoogOn-net (NLS3)</v>
      </c>
      <c r="C190" s="178">
        <v>5</v>
      </c>
      <c r="D190" s="415" t="s">
        <v>303</v>
      </c>
      <c r="E190" s="178" t="s">
        <v>276</v>
      </c>
      <c r="F190" s="107" t="s">
        <v>274</v>
      </c>
      <c r="G190" s="178" t="s">
        <v>3398</v>
      </c>
      <c r="J190" s="520" t="str">
        <f t="shared" si="380"/>
        <v>EoKStandard Access koper 5mbHoogOn-net (NLS3)</v>
      </c>
      <c r="L190" s="204">
        <f>INDEX(Mapping!$H:$H,MATCH(C$3&amp;C190,Mapping!$B:$B,0))</f>
        <v>1</v>
      </c>
      <c r="M190" s="204" t="str">
        <f>INDEX(Mapping!$H:$H,MATCH(D$3&amp;D190,Mapping!$B:$B,0))</f>
        <v>EoK</v>
      </c>
      <c r="N190" s="204" t="str">
        <f>INDEX(Mapping!$H:$H,MATCH(E$3&amp;E190,Mapping!$B:$B,0))</f>
        <v>Copper Standard Access 5Mbit/s</v>
      </c>
      <c r="O190" s="204" t="str">
        <f>INDEX(Mapping!$H:$H,MATCH(E190&amp;F190,Mapping!$B:$B,0))</f>
        <v/>
      </c>
      <c r="P190" s="204" t="str">
        <f>INDEX(Mapping!$H:$H,MATCH($E190&amp;$G190,Mapping!$B:$B,0))</f>
        <v>On-net (NLS3)</v>
      </c>
      <c r="Q190" s="204" t="str">
        <f>INDEX(Mapping!$H:$H,MATCH($E190&amp;$G190&amp;"graafafstand",Mapping!$B:$B,0))</f>
        <v>nvt</v>
      </c>
      <c r="R190" s="204">
        <f>INDEX(Mapping!$H:$H,MATCH(R$3&amp;$E190,Mapping!$B:$B,0))</f>
        <v>1</v>
      </c>
      <c r="S190" s="204">
        <f>INDEX(Mapping!$H:$H,MATCH(S$3&amp;$E190,Mapping!$B:$B,0))</f>
        <v>1</v>
      </c>
      <c r="T190" s="139" t="str">
        <f t="shared" si="381"/>
        <v>Copper Standard Access 5Mbit/sOn-net (NLS3)</v>
      </c>
      <c r="U190" s="151" t="str">
        <f t="shared" si="382"/>
        <v>Copper Standard Access 5Mbit/sOn-net (NLS3)</v>
      </c>
      <c r="W190" s="521">
        <f>MATCH($J190,'Tarieven ZM'!$B:$B,0)</f>
        <v>145</v>
      </c>
      <c r="X190" s="204">
        <f>INDEX('Tarieven ZM'!$H:$H,$W190)</f>
        <v>1000</v>
      </c>
      <c r="Y190" s="198">
        <f>IF(E190="Standard Access in ZG BT gebieden",0,-INDEX(Parameters!$B:$B,MATCH(Y$3&amp;$C190,Parameters!$A:$A,0))*$X190)</f>
        <v>0</v>
      </c>
      <c r="Z190" s="198">
        <f>IF(E190="Standard Access in ZG BT gebieden",0,MAX(-INDEX(Parameters!$B:$B,MATCH(Z$3&amp;$C190,Parameters!$A:$A,0))*$X190,-INDEX(Parameters!$B:$B,MATCH("FactorMaxSalesMandaat"&amp;E190,Parameters!$A:$A,0))*INDEX(Parameters!$B:$B,MATCH("MaxSalesMandaatAccessVVE"&amp;$C190,Parameters!$A:$A,0))))</f>
        <v>0</v>
      </c>
      <c r="AA190" s="139">
        <f t="shared" si="383"/>
        <v>1000</v>
      </c>
      <c r="AB190" s="205">
        <f>AA190/INDEX(Parameters!$B:$B,MATCH("AfschrijftermijnVVE"&amp;12*$C190,Parameters!$A:$A,0))</f>
        <v>16.666666666666668</v>
      </c>
      <c r="AC190" s="204">
        <f>INDEX('Tarieven ZM'!$G:$G,$W190)</f>
        <v>1000</v>
      </c>
      <c r="AD190" s="198">
        <f>IF(E190="Standard Access in ZG BT gebieden",0,-INDEX(Parameters!$B:$B,MATCH(AD$3&amp;$C190,Parameters!$A:$A,0))*$AC190)</f>
        <v>0</v>
      </c>
      <c r="AE190" s="198">
        <f>IF(E190="Standard Access in ZG BT gebieden",0,-INDEX(Parameters!$B:$B,MATCH(AE$3,Parameters!$A:$A,0))*$AC190)</f>
        <v>0</v>
      </c>
      <c r="AF190" s="139">
        <f t="shared" si="384"/>
        <v>1000</v>
      </c>
      <c r="AG190" s="522">
        <f t="shared" si="385"/>
        <v>1016.6666666666666</v>
      </c>
      <c r="AH190" s="175"/>
      <c r="AI190" s="523">
        <f>IF(N190&lt;&gt;"nvt",MATCH($T190,'Tarieven W&amp;O'!$B:$B,0),"nvt")</f>
        <v>17</v>
      </c>
      <c r="AJ190" s="205">
        <f>IF(AI190&lt;&gt;"nvt",IF($D190="EoK",INDEX(Parameters!C:C,MATCH("NLSx EoK",Parameters!A:A,0)),INDEX('Tarieven W&amp;O'!$H:$H,$AI190)),0)*R190</f>
        <v>350</v>
      </c>
      <c r="AK190" s="204">
        <f>IF(AI190&lt;&gt;"nvt",INDEX('Tarieven W&amp;O'!$I:$I,$AI190),0)*R190</f>
        <v>75</v>
      </c>
      <c r="AL190" s="524">
        <f>IF(AI190&lt;&gt;"nvt",-INDEX(Parameters!$B:$B,MATCH(AL$3,Parameters!$A:$A,0))*(AJ190+AK190),0)</f>
        <v>0</v>
      </c>
      <c r="AM190" s="525"/>
      <c r="AN190" s="139">
        <f t="shared" si="386"/>
        <v>425</v>
      </c>
      <c r="AO190" s="205">
        <f>AN190/INDEX(Parameters!$B:$B,MATCH("AfschrijftermijnVVE"&amp;12*$C190,Parameters!$A:$A,0))</f>
        <v>7.083333333333333</v>
      </c>
      <c r="AP190" s="139">
        <f t="shared" si="387"/>
        <v>17</v>
      </c>
      <c r="AQ190" s="526">
        <f>IF(AP190&lt;&gt;"nvt",R190*INDEX('Tarieven W&amp;O'!$G:$G,$AP190),0)</f>
        <v>60.97</v>
      </c>
      <c r="AR190" s="524">
        <f>-INDEX(Parameters!$B:$B,MATCH(AR$3,Parameters!$A:$A,0))*(AQ190)</f>
        <v>0</v>
      </c>
      <c r="AS190" s="205">
        <f>IF(E190="straal access",'EDC Minus'!$H$192,IF(Q190&lt;&gt;"nvt",Q190*S190*'EDC Minus'!$H$292/590,0))</f>
        <v>0</v>
      </c>
      <c r="AT190" s="139"/>
      <c r="AU190" s="150">
        <f t="shared" si="388"/>
        <v>60.97</v>
      </c>
      <c r="AV190" s="150">
        <f t="shared" si="389"/>
        <v>68.053333333333327</v>
      </c>
      <c r="AX190" s="526">
        <f>Parameters!$B$6*AV190</f>
        <v>0.68053333333333332</v>
      </c>
      <c r="AY190" s="150">
        <v>0</v>
      </c>
      <c r="AZ190" s="150"/>
      <c r="BA190" s="150">
        <f t="shared" si="390"/>
        <v>0.68053333333333332</v>
      </c>
      <c r="BC190" s="522">
        <f t="shared" si="391"/>
        <v>68.733866666666657</v>
      </c>
      <c r="BD190" s="175"/>
      <c r="BE190" s="527">
        <f t="shared" si="392"/>
        <v>947.93279999999993</v>
      </c>
      <c r="BF190" s="181">
        <f t="shared" si="393"/>
        <v>0.9323929180327869</v>
      </c>
      <c r="BG190" s="520" t="b">
        <f t="shared" si="394"/>
        <v>0</v>
      </c>
      <c r="BI190" s="528" t="s">
        <v>2181</v>
      </c>
      <c r="BK190" s="151">
        <f>VLOOKUP(J190,'Tarieven ZM'!$B$136:$I$235,8,0)</f>
        <v>0</v>
      </c>
      <c r="BL190" s="151" t="str">
        <f>IF(M190="EoK",N190&amp;"AdvancedNLS type 1/2/3",IF(E190&lt;&gt;"Straal Access",INDEX(Mapping!J:J,MATCH(E190&amp;G190,Mapping!B:B,0)),E190))</f>
        <v>Copper Standard Access 5Mbit/sAdvancedNLS type 1/2/3</v>
      </c>
      <c r="BM190" s="184">
        <f>INDEX('inkoop ULL tbv EVPN'!J:J,MATCH($BL190,'inkoop ULL tbv EVPN'!$H:$H,0))</f>
        <v>78.97</v>
      </c>
      <c r="BN190" s="180">
        <f>BM190/INDEX(Parameters!$B:$B,MATCH("AfschrijftermijnVVE"&amp;12*$C190,Parameters!$A:$A,0))</f>
        <v>1.3161666666666667</v>
      </c>
      <c r="BO190" s="184">
        <f>INDEX('inkoop ULL tbv EVPN'!I:I,MATCH($BL190,'inkoop ULL tbv EVPN'!$H:$H,0))</f>
        <v>14.7296035</v>
      </c>
      <c r="BP190" s="184">
        <f t="shared" si="395"/>
        <v>16.045770166666667</v>
      </c>
      <c r="BR190" s="180">
        <f>Parameters!$B$12*AG190</f>
        <v>101.66666666666667</v>
      </c>
      <c r="BS190" s="180">
        <f>SUM(Distributievergoedingen!$F$12,Distributievergoedingen!$I$12,Distributievergoedingen!$L$12,Distributievergoedingen!$O$12)*AF190+SUM(Distributievergoedingen!$O$12*AA190+Distributievergoedingen!$R$12+Distributievergoedingen!$U$12+Distributievergoedingen!$X$12)/(MAX(36,12*C190))</f>
        <v>111.66666666666667</v>
      </c>
      <c r="BT190" s="150"/>
      <c r="BU190" s="150">
        <f t="shared" si="396"/>
        <v>213.33333333333334</v>
      </c>
      <c r="BW190" s="522">
        <f t="shared" si="397"/>
        <v>229.37910350000001</v>
      </c>
      <c r="BY190" s="527">
        <f t="shared" si="398"/>
        <v>787.28756316666659</v>
      </c>
      <c r="BZ190" s="181">
        <f t="shared" si="399"/>
        <v>0.77438120967213109</v>
      </c>
      <c r="CA190" s="520" t="b">
        <f t="shared" si="400"/>
        <v>0</v>
      </c>
    </row>
    <row r="191" spans="1:79" s="151" customFormat="1">
      <c r="A191" s="151" t="str">
        <f t="shared" si="401"/>
        <v>5EoKStandard Access koper 10mbHoogOn-net (NLS3)</v>
      </c>
      <c r="B191" s="151" t="str">
        <f t="shared" si="402"/>
        <v>5EoKStandard Access koper 10mbHoogOn-net (NLS3)</v>
      </c>
      <c r="C191" s="178">
        <v>5</v>
      </c>
      <c r="D191" s="415" t="s">
        <v>303</v>
      </c>
      <c r="E191" s="178" t="s">
        <v>277</v>
      </c>
      <c r="F191" s="107" t="s">
        <v>274</v>
      </c>
      <c r="G191" s="178" t="s">
        <v>3398</v>
      </c>
      <c r="J191" s="520" t="str">
        <f t="shared" si="380"/>
        <v>EoKStandard Access koper 10mbHoogOn-net (NLS3)</v>
      </c>
      <c r="L191" s="204">
        <f>INDEX(Mapping!$H:$H,MATCH(C$3&amp;C191,Mapping!$B:$B,0))</f>
        <v>1</v>
      </c>
      <c r="M191" s="204" t="str">
        <f>INDEX(Mapping!$H:$H,MATCH(D$3&amp;D191,Mapping!$B:$B,0))</f>
        <v>EoK</v>
      </c>
      <c r="N191" s="204" t="str">
        <f>INDEX(Mapping!$H:$H,MATCH(E$3&amp;E191,Mapping!$B:$B,0))</f>
        <v>Copper Standard Access 10Mbit/s</v>
      </c>
      <c r="O191" s="204" t="str">
        <f>INDEX(Mapping!$H:$H,MATCH(E191&amp;F191,Mapping!$B:$B,0))</f>
        <v/>
      </c>
      <c r="P191" s="204" t="str">
        <f>INDEX(Mapping!$H:$H,MATCH($E191&amp;$G191,Mapping!$B:$B,0))</f>
        <v>On-net (NLS3)</v>
      </c>
      <c r="Q191" s="204" t="str">
        <f>INDEX(Mapping!$H:$H,MATCH($E191&amp;$G191&amp;"graafafstand",Mapping!$B:$B,0))</f>
        <v>nvt</v>
      </c>
      <c r="R191" s="204">
        <f>INDEX(Mapping!$H:$H,MATCH(R$3&amp;$E191,Mapping!$B:$B,0))</f>
        <v>1</v>
      </c>
      <c r="S191" s="204">
        <f>INDEX(Mapping!$H:$H,MATCH(S$3&amp;$E191,Mapping!$B:$B,0))</f>
        <v>1</v>
      </c>
      <c r="T191" s="139" t="str">
        <f t="shared" si="381"/>
        <v>Copper Standard Access 10Mbit/sOn-net (NLS3)</v>
      </c>
      <c r="U191" s="151" t="str">
        <f t="shared" si="382"/>
        <v>Copper Standard Access 10Mbit/sOn-net (NLS3)</v>
      </c>
      <c r="W191" s="521">
        <f>MATCH($J191,'Tarieven ZM'!$B:$B,0)</f>
        <v>146</v>
      </c>
      <c r="X191" s="204">
        <f>INDEX('Tarieven ZM'!$H:$H,$W191)</f>
        <v>1000</v>
      </c>
      <c r="Y191" s="198">
        <f>IF(E191="Standard Access in ZG BT gebieden",0,-INDEX(Parameters!$B:$B,MATCH(Y$3&amp;$C191,Parameters!$A:$A,0))*$X191)</f>
        <v>0</v>
      </c>
      <c r="Z191" s="198">
        <f>IF(E191="Standard Access in ZG BT gebieden",0,MAX(-INDEX(Parameters!$B:$B,MATCH(Z$3&amp;$C191,Parameters!$A:$A,0))*$X191,-INDEX(Parameters!$B:$B,MATCH("FactorMaxSalesMandaat"&amp;E191,Parameters!$A:$A,0))*INDEX(Parameters!$B:$B,MATCH("MaxSalesMandaatAccessVVE"&amp;$C191,Parameters!$A:$A,0))))</f>
        <v>0</v>
      </c>
      <c r="AA191" s="139">
        <f t="shared" si="383"/>
        <v>1000</v>
      </c>
      <c r="AB191" s="205">
        <f>AA191/INDEX(Parameters!$B:$B,MATCH("AfschrijftermijnVVE"&amp;12*$C191,Parameters!$A:$A,0))</f>
        <v>16.666666666666668</v>
      </c>
      <c r="AC191" s="204">
        <f>INDEX('Tarieven ZM'!$G:$G,$W191)</f>
        <v>1000</v>
      </c>
      <c r="AD191" s="198">
        <f>IF(E191="Standard Access in ZG BT gebieden",0,-INDEX(Parameters!$B:$B,MATCH(AD$3&amp;$C191,Parameters!$A:$A,0))*$AC191)</f>
        <v>0</v>
      </c>
      <c r="AE191" s="198">
        <f>IF(E191="Standard Access in ZG BT gebieden",0,-INDEX(Parameters!$B:$B,MATCH(AE$3,Parameters!$A:$A,0))*$AC191)</f>
        <v>0</v>
      </c>
      <c r="AF191" s="139">
        <f t="shared" si="384"/>
        <v>1000</v>
      </c>
      <c r="AG191" s="522">
        <f t="shared" si="385"/>
        <v>1016.6666666666666</v>
      </c>
      <c r="AH191" s="175"/>
      <c r="AI191" s="523">
        <f>IF(N191&lt;&gt;"nvt",MATCH($T191,'Tarieven W&amp;O'!$B:$B,0),"nvt")</f>
        <v>18</v>
      </c>
      <c r="AJ191" s="205">
        <f>IF(AI191&lt;&gt;"nvt",IF($D191="EoK",INDEX(Parameters!C:C,MATCH("NLSx EoK",Parameters!A:A,0)),INDEX('Tarieven W&amp;O'!$H:$H,$AI191)),0)*R191</f>
        <v>350</v>
      </c>
      <c r="AK191" s="204">
        <f>IF(AI191&lt;&gt;"nvt",INDEX('Tarieven W&amp;O'!$I:$I,$AI191),0)*R191</f>
        <v>75</v>
      </c>
      <c r="AL191" s="524">
        <f>IF(AI191&lt;&gt;"nvt",-INDEX(Parameters!$B:$B,MATCH(AL$3,Parameters!$A:$A,0))*(AJ191+AK191),0)</f>
        <v>0</v>
      </c>
      <c r="AM191" s="525"/>
      <c r="AN191" s="139">
        <f t="shared" si="386"/>
        <v>425</v>
      </c>
      <c r="AO191" s="205">
        <f>AN191/INDEX(Parameters!$B:$B,MATCH("AfschrijftermijnVVE"&amp;12*$C191,Parameters!$A:$A,0))</f>
        <v>7.083333333333333</v>
      </c>
      <c r="AP191" s="139">
        <f t="shared" si="387"/>
        <v>18</v>
      </c>
      <c r="AQ191" s="526">
        <f>IF(AP191&lt;&gt;"nvt",R191*INDEX('Tarieven W&amp;O'!$G:$G,$AP191),0)</f>
        <v>83.59</v>
      </c>
      <c r="AR191" s="524">
        <f>-INDEX(Parameters!$B:$B,MATCH(AR$3,Parameters!$A:$A,0))*(AQ191)</f>
        <v>0</v>
      </c>
      <c r="AS191" s="205">
        <f>IF(E191="straal access",'EDC Minus'!$H$192,IF(Q191&lt;&gt;"nvt",Q191*S191*'EDC Minus'!$H$292/590,0))</f>
        <v>0</v>
      </c>
      <c r="AT191" s="139"/>
      <c r="AU191" s="150">
        <f t="shared" si="388"/>
        <v>83.59</v>
      </c>
      <c r="AV191" s="150">
        <f t="shared" si="389"/>
        <v>90.673333333333332</v>
      </c>
      <c r="AX191" s="526">
        <f>Parameters!$B$6*AV191</f>
        <v>0.90673333333333339</v>
      </c>
      <c r="AY191" s="150">
        <v>0</v>
      </c>
      <c r="AZ191" s="150"/>
      <c r="BA191" s="150">
        <f t="shared" si="390"/>
        <v>0.90673333333333339</v>
      </c>
      <c r="BC191" s="522">
        <f t="shared" si="391"/>
        <v>91.580066666666667</v>
      </c>
      <c r="BD191" s="175"/>
      <c r="BE191" s="527">
        <f t="shared" si="392"/>
        <v>925.08659999999998</v>
      </c>
      <c r="BF191" s="181">
        <f t="shared" si="393"/>
        <v>0.90992124590163936</v>
      </c>
      <c r="BG191" s="520" t="b">
        <f t="shared" si="394"/>
        <v>0</v>
      </c>
      <c r="BI191" s="528" t="s">
        <v>2181</v>
      </c>
      <c r="BK191" s="151">
        <f>VLOOKUP(J191,'Tarieven ZM'!$B$136:$I$235,8,0)</f>
        <v>0</v>
      </c>
      <c r="BL191" s="151" t="str">
        <f>IF(M191="EoK",N191&amp;"AdvancedNLS type 1/2/3",IF(E191&lt;&gt;"Straal Access",INDEX(Mapping!J:J,MATCH(E191&amp;G191,Mapping!B:B,0)),E191))</f>
        <v>Copper Standard Access 10Mbit/sAdvancedNLS type 1/2/3</v>
      </c>
      <c r="BM191" s="184">
        <f>INDEX('inkoop ULL tbv EVPN'!J:J,MATCH($BL191,'inkoop ULL tbv EVPN'!$H:$H,0))</f>
        <v>78.97</v>
      </c>
      <c r="BN191" s="180">
        <f>BM191/INDEX(Parameters!$B:$B,MATCH("AfschrijftermijnVVE"&amp;12*$C191,Parameters!$A:$A,0))</f>
        <v>1.3161666666666667</v>
      </c>
      <c r="BO191" s="184">
        <f>INDEX('inkoop ULL tbv EVPN'!I:I,MATCH($BL191,'inkoop ULL tbv EVPN'!$H:$H,0))</f>
        <v>14.7296035</v>
      </c>
      <c r="BP191" s="184">
        <f t="shared" si="395"/>
        <v>16.045770166666667</v>
      </c>
      <c r="BR191" s="180">
        <f>Parameters!$B$12*AG191</f>
        <v>101.66666666666667</v>
      </c>
      <c r="BS191" s="180">
        <f>SUM(Distributievergoedingen!$F$12,Distributievergoedingen!$I$12,Distributievergoedingen!$L$12,Distributievergoedingen!$O$12)*AF191+SUM(Distributievergoedingen!$O$12*AA191+Distributievergoedingen!$R$12+Distributievergoedingen!$U$12+Distributievergoedingen!$X$12)/(MAX(36,12*C191))</f>
        <v>111.66666666666667</v>
      </c>
      <c r="BT191" s="150"/>
      <c r="BU191" s="150">
        <f t="shared" si="396"/>
        <v>213.33333333333334</v>
      </c>
      <c r="BW191" s="522">
        <f t="shared" si="397"/>
        <v>229.37910350000001</v>
      </c>
      <c r="BY191" s="527">
        <f t="shared" si="398"/>
        <v>787.28756316666659</v>
      </c>
      <c r="BZ191" s="181">
        <f t="shared" si="399"/>
        <v>0.77438120967213109</v>
      </c>
      <c r="CA191" s="520" t="b">
        <f t="shared" si="400"/>
        <v>0</v>
      </c>
    </row>
    <row r="192" spans="1:79" s="151" customFormat="1">
      <c r="A192" s="151" t="str">
        <f t="shared" si="401"/>
        <v>5EoKStandard Access koper 15mbHoogOn-net (NLS3)</v>
      </c>
      <c r="B192" s="151" t="str">
        <f t="shared" si="402"/>
        <v>5EoKStandard Access koper 15mbHoogOn-net (NLS3)</v>
      </c>
      <c r="C192" s="178">
        <v>5</v>
      </c>
      <c r="D192" s="415" t="s">
        <v>303</v>
      </c>
      <c r="E192" s="178" t="s">
        <v>278</v>
      </c>
      <c r="F192" s="107" t="s">
        <v>274</v>
      </c>
      <c r="G192" s="178" t="s">
        <v>3398</v>
      </c>
      <c r="J192" s="520" t="str">
        <f t="shared" si="380"/>
        <v>EoKStandard Access koper 15mbHoogOn-net (NLS3)</v>
      </c>
      <c r="L192" s="204">
        <f>INDEX(Mapping!$H:$H,MATCH(C$3&amp;C192,Mapping!$B:$B,0))</f>
        <v>1</v>
      </c>
      <c r="M192" s="204" t="str">
        <f>INDEX(Mapping!$H:$H,MATCH(D$3&amp;D192,Mapping!$B:$B,0))</f>
        <v>EoK</v>
      </c>
      <c r="N192" s="204" t="str">
        <f>INDEX(Mapping!$H:$H,MATCH(E$3&amp;E192,Mapping!$B:$B,0))</f>
        <v>Copper Standard Access 15Mbit/s</v>
      </c>
      <c r="O192" s="204" t="str">
        <f>INDEX(Mapping!$H:$H,MATCH(E192&amp;F192,Mapping!$B:$B,0))</f>
        <v/>
      </c>
      <c r="P192" s="204" t="str">
        <f>INDEX(Mapping!$H:$H,MATCH($E192&amp;$G192,Mapping!$B:$B,0))</f>
        <v>On-net (NLS3)</v>
      </c>
      <c r="Q192" s="204" t="str">
        <f>INDEX(Mapping!$H:$H,MATCH($E192&amp;$G192&amp;"graafafstand",Mapping!$B:$B,0))</f>
        <v>nvt</v>
      </c>
      <c r="R192" s="204">
        <f>INDEX(Mapping!$H:$H,MATCH(R$3&amp;$E192,Mapping!$B:$B,0))</f>
        <v>1</v>
      </c>
      <c r="S192" s="204">
        <f>INDEX(Mapping!$H:$H,MATCH(S$3&amp;$E192,Mapping!$B:$B,0))</f>
        <v>1</v>
      </c>
      <c r="T192" s="139" t="str">
        <f t="shared" si="381"/>
        <v>Copper Standard Access 15Mbit/sOn-net (NLS3)</v>
      </c>
      <c r="U192" s="151" t="str">
        <f t="shared" si="382"/>
        <v>Copper Standard Access 15Mbit/sOn-net (NLS3)</v>
      </c>
      <c r="W192" s="521">
        <f>MATCH($J192,'Tarieven ZM'!$B:$B,0)</f>
        <v>147</v>
      </c>
      <c r="X192" s="204">
        <f>INDEX('Tarieven ZM'!$H:$H,$W192)</f>
        <v>1000</v>
      </c>
      <c r="Y192" s="198">
        <f>IF(E192="Standard Access in ZG BT gebieden",0,-INDEX(Parameters!$B:$B,MATCH(Y$3&amp;$C192,Parameters!$A:$A,0))*$X192)</f>
        <v>0</v>
      </c>
      <c r="Z192" s="198">
        <f>IF(E192="Standard Access in ZG BT gebieden",0,MAX(-INDEX(Parameters!$B:$B,MATCH(Z$3&amp;$C192,Parameters!$A:$A,0))*$X192,-INDEX(Parameters!$B:$B,MATCH("FactorMaxSalesMandaat"&amp;E192,Parameters!$A:$A,0))*INDEX(Parameters!$B:$B,MATCH("MaxSalesMandaatAccessVVE"&amp;$C192,Parameters!$A:$A,0))))</f>
        <v>0</v>
      </c>
      <c r="AA192" s="139">
        <f t="shared" si="383"/>
        <v>1000</v>
      </c>
      <c r="AB192" s="205">
        <f>AA192/INDEX(Parameters!$B:$B,MATCH("AfschrijftermijnVVE"&amp;12*$C192,Parameters!$A:$A,0))</f>
        <v>16.666666666666668</v>
      </c>
      <c r="AC192" s="204">
        <f>INDEX('Tarieven ZM'!$G:$G,$W192)</f>
        <v>1000</v>
      </c>
      <c r="AD192" s="198">
        <f>IF(E192="Standard Access in ZG BT gebieden",0,-INDEX(Parameters!$B:$B,MATCH(AD$3&amp;$C192,Parameters!$A:$A,0))*$AC192)</f>
        <v>0</v>
      </c>
      <c r="AE192" s="198">
        <f>IF(E192="Standard Access in ZG BT gebieden",0,-INDEX(Parameters!$B:$B,MATCH(AE$3,Parameters!$A:$A,0))*$AC192)</f>
        <v>0</v>
      </c>
      <c r="AF192" s="139">
        <f t="shared" si="384"/>
        <v>1000</v>
      </c>
      <c r="AG192" s="522">
        <f t="shared" si="385"/>
        <v>1016.6666666666666</v>
      </c>
      <c r="AH192" s="175"/>
      <c r="AI192" s="523">
        <f>IF(N192&lt;&gt;"nvt",MATCH($T192,'Tarieven W&amp;O'!$B:$B,0),"nvt")</f>
        <v>19</v>
      </c>
      <c r="AJ192" s="205">
        <f>IF(AI192&lt;&gt;"nvt",IF($D192="EoK",INDEX(Parameters!C:C,MATCH("NLSx EoK",Parameters!A:A,0)),INDEX('Tarieven W&amp;O'!$H:$H,$AI192)),0)*R192</f>
        <v>350</v>
      </c>
      <c r="AK192" s="204">
        <f>IF(AI192&lt;&gt;"nvt",INDEX('Tarieven W&amp;O'!$I:$I,$AI192),0)*R192</f>
        <v>75</v>
      </c>
      <c r="AL192" s="524">
        <f>IF(AI192&lt;&gt;"nvt",-INDEX(Parameters!$B:$B,MATCH(AL$3,Parameters!$A:$A,0))*(AJ192+AK192),0)</f>
        <v>0</v>
      </c>
      <c r="AM192" s="525"/>
      <c r="AN192" s="139">
        <f t="shared" si="386"/>
        <v>425</v>
      </c>
      <c r="AO192" s="205">
        <f>AN192/INDEX(Parameters!$B:$B,MATCH("AfschrijftermijnVVE"&amp;12*$C192,Parameters!$A:$A,0))</f>
        <v>7.083333333333333</v>
      </c>
      <c r="AP192" s="139">
        <f t="shared" si="387"/>
        <v>19</v>
      </c>
      <c r="AQ192" s="526">
        <f>IF(AP192&lt;&gt;"nvt",R192*INDEX('Tarieven W&amp;O'!$G:$G,$AP192),0)</f>
        <v>102.44</v>
      </c>
      <c r="AR192" s="524">
        <f>-INDEX(Parameters!$B:$B,MATCH(AR$3,Parameters!$A:$A,0))*(AQ192)</f>
        <v>0</v>
      </c>
      <c r="AS192" s="205">
        <f>IF(E192="straal access",'EDC Minus'!$H$192,IF(Q192&lt;&gt;"nvt",Q192*S192*'EDC Minus'!$H$292/590,0))</f>
        <v>0</v>
      </c>
      <c r="AT192" s="139"/>
      <c r="AU192" s="150">
        <f t="shared" si="388"/>
        <v>102.44</v>
      </c>
      <c r="AV192" s="150">
        <f t="shared" si="389"/>
        <v>109.52333333333333</v>
      </c>
      <c r="AX192" s="526">
        <f>Parameters!$B$6*AV192</f>
        <v>1.0952333333333333</v>
      </c>
      <c r="AY192" s="150">
        <v>0</v>
      </c>
      <c r="AZ192" s="150"/>
      <c r="BA192" s="150">
        <f t="shared" si="390"/>
        <v>1.0952333333333333</v>
      </c>
      <c r="BC192" s="522">
        <f t="shared" si="391"/>
        <v>110.61856666666667</v>
      </c>
      <c r="BD192" s="175"/>
      <c r="BE192" s="527">
        <f t="shared" si="392"/>
        <v>906.04809999999998</v>
      </c>
      <c r="BF192" s="181">
        <f t="shared" si="393"/>
        <v>0.89119485245901642</v>
      </c>
      <c r="BG192" s="520" t="b">
        <f t="shared" si="394"/>
        <v>0</v>
      </c>
      <c r="BI192" s="528" t="s">
        <v>2181</v>
      </c>
      <c r="BK192" s="151">
        <f>VLOOKUP(J192,'Tarieven ZM'!$B$136:$I$235,8,0)</f>
        <v>0</v>
      </c>
      <c r="BL192" s="151" t="str">
        <f>IF(M192="EoK",N192&amp;"AdvancedNLS type 1/2/3",IF(E192&lt;&gt;"Straal Access",INDEX(Mapping!J:J,MATCH(E192&amp;G192,Mapping!B:B,0)),E192))</f>
        <v>Copper Standard Access 15Mbit/sAdvancedNLS type 1/2/3</v>
      </c>
      <c r="BM192" s="184">
        <f>INDEX('inkoop ULL tbv EVPN'!J:J,MATCH($BL192,'inkoop ULL tbv EVPN'!$H:$H,0))</f>
        <v>78.97</v>
      </c>
      <c r="BN192" s="180">
        <f>BM192/INDEX(Parameters!$B:$B,MATCH("AfschrijftermijnVVE"&amp;12*$C192,Parameters!$A:$A,0))</f>
        <v>1.3161666666666667</v>
      </c>
      <c r="BO192" s="184">
        <f>INDEX('inkoop ULL tbv EVPN'!I:I,MATCH($BL192,'inkoop ULL tbv EVPN'!$H:$H,0))</f>
        <v>14.7296035</v>
      </c>
      <c r="BP192" s="184">
        <f t="shared" si="395"/>
        <v>16.045770166666667</v>
      </c>
      <c r="BR192" s="180">
        <f>Parameters!$B$12*AG192</f>
        <v>101.66666666666667</v>
      </c>
      <c r="BS192" s="180">
        <f>SUM(Distributievergoedingen!$F$12,Distributievergoedingen!$I$12,Distributievergoedingen!$L$12,Distributievergoedingen!$O$12)*AF192+SUM(Distributievergoedingen!$O$12*AA192+Distributievergoedingen!$R$12+Distributievergoedingen!$U$12+Distributievergoedingen!$X$12)/(MAX(36,12*C192))</f>
        <v>111.66666666666667</v>
      </c>
      <c r="BT192" s="150"/>
      <c r="BU192" s="150">
        <f t="shared" si="396"/>
        <v>213.33333333333334</v>
      </c>
      <c r="BW192" s="522">
        <f t="shared" si="397"/>
        <v>229.37910350000001</v>
      </c>
      <c r="BY192" s="527">
        <f t="shared" si="398"/>
        <v>787.28756316666659</v>
      </c>
      <c r="BZ192" s="181">
        <f t="shared" si="399"/>
        <v>0.77438120967213109</v>
      </c>
      <c r="CA192" s="520" t="b">
        <f t="shared" si="400"/>
        <v>0</v>
      </c>
    </row>
    <row r="193" spans="1:79" s="151" customFormat="1">
      <c r="A193" s="151" t="str">
        <f t="shared" si="401"/>
        <v>5EoKStandard Access koper 20mbHoogOn-net (NLS3)</v>
      </c>
      <c r="B193" s="151" t="str">
        <f t="shared" si="402"/>
        <v>5EoKStandard Access koper 20mbHoogOn-net (NLS3)</v>
      </c>
      <c r="C193" s="178">
        <v>5</v>
      </c>
      <c r="D193" s="415" t="s">
        <v>303</v>
      </c>
      <c r="E193" s="178" t="s">
        <v>279</v>
      </c>
      <c r="F193" s="107" t="s">
        <v>274</v>
      </c>
      <c r="G193" s="178" t="s">
        <v>3398</v>
      </c>
      <c r="J193" s="520" t="str">
        <f t="shared" si="380"/>
        <v>EoKStandard Access koper 20mbHoogOn-net (NLS3)</v>
      </c>
      <c r="L193" s="204">
        <f>INDEX(Mapping!$H:$H,MATCH(C$3&amp;C193,Mapping!$B:$B,0))</f>
        <v>1</v>
      </c>
      <c r="M193" s="204" t="str">
        <f>INDEX(Mapping!$H:$H,MATCH(D$3&amp;D193,Mapping!$B:$B,0))</f>
        <v>EoK</v>
      </c>
      <c r="N193" s="204" t="str">
        <f>INDEX(Mapping!$H:$H,MATCH(E$3&amp;E193,Mapping!$B:$B,0))</f>
        <v>Copper Standard Access 20Mbit/s</v>
      </c>
      <c r="O193" s="204" t="str">
        <f>INDEX(Mapping!$H:$H,MATCH(E193&amp;F193,Mapping!$B:$B,0))</f>
        <v/>
      </c>
      <c r="P193" s="204" t="str">
        <f>INDEX(Mapping!$H:$H,MATCH($E193&amp;$G193,Mapping!$B:$B,0))</f>
        <v>On-net (NLS3)</v>
      </c>
      <c r="Q193" s="204" t="str">
        <f>INDEX(Mapping!$H:$H,MATCH($E193&amp;$G193&amp;"graafafstand",Mapping!$B:$B,0))</f>
        <v>nvt</v>
      </c>
      <c r="R193" s="204">
        <f>INDEX(Mapping!$H:$H,MATCH(R$3&amp;$E193,Mapping!$B:$B,0))</f>
        <v>1</v>
      </c>
      <c r="S193" s="204">
        <f>INDEX(Mapping!$H:$H,MATCH(S$3&amp;$E193,Mapping!$B:$B,0))</f>
        <v>1</v>
      </c>
      <c r="T193" s="139" t="str">
        <f t="shared" si="381"/>
        <v>Copper Standard Access 20Mbit/sOn-net (NLS3)</v>
      </c>
      <c r="U193" s="151" t="str">
        <f t="shared" si="382"/>
        <v>Copper Standard Access 20Mbit/sOn-net (NLS3)</v>
      </c>
      <c r="W193" s="521">
        <f>MATCH($J193,'Tarieven ZM'!$B:$B,0)</f>
        <v>148</v>
      </c>
      <c r="X193" s="204">
        <f>INDEX('Tarieven ZM'!$H:$H,$W193)</f>
        <v>1000</v>
      </c>
      <c r="Y193" s="198">
        <f>IF(E193="Standard Access in ZG BT gebieden",0,-INDEX(Parameters!$B:$B,MATCH(Y$3&amp;$C193,Parameters!$A:$A,0))*$X193)</f>
        <v>0</v>
      </c>
      <c r="Z193" s="198">
        <f>IF(E193="Standard Access in ZG BT gebieden",0,MAX(-INDEX(Parameters!$B:$B,MATCH(Z$3&amp;$C193,Parameters!$A:$A,0))*$X193,-INDEX(Parameters!$B:$B,MATCH("FactorMaxSalesMandaat"&amp;E193,Parameters!$A:$A,0))*INDEX(Parameters!$B:$B,MATCH("MaxSalesMandaatAccessVVE"&amp;$C193,Parameters!$A:$A,0))))</f>
        <v>0</v>
      </c>
      <c r="AA193" s="139">
        <f t="shared" si="383"/>
        <v>1000</v>
      </c>
      <c r="AB193" s="205">
        <f>AA193/INDEX(Parameters!$B:$B,MATCH("AfschrijftermijnVVE"&amp;12*$C193,Parameters!$A:$A,0))</f>
        <v>16.666666666666668</v>
      </c>
      <c r="AC193" s="204">
        <f>INDEX('Tarieven ZM'!$G:$G,$W193)</f>
        <v>1000</v>
      </c>
      <c r="AD193" s="198">
        <f>IF(E193="Standard Access in ZG BT gebieden",0,-INDEX(Parameters!$B:$B,MATCH(AD$3&amp;$C193,Parameters!$A:$A,0))*$AC193)</f>
        <v>0</v>
      </c>
      <c r="AE193" s="198">
        <f>IF(E193="Standard Access in ZG BT gebieden",0,-INDEX(Parameters!$B:$B,MATCH(AE$3,Parameters!$A:$A,0))*$AC193)</f>
        <v>0</v>
      </c>
      <c r="AF193" s="139">
        <f t="shared" si="384"/>
        <v>1000</v>
      </c>
      <c r="AG193" s="522">
        <f t="shared" si="385"/>
        <v>1016.6666666666666</v>
      </c>
      <c r="AH193" s="175"/>
      <c r="AI193" s="523">
        <f>IF(N193&lt;&gt;"nvt",MATCH($T193,'Tarieven W&amp;O'!$B:$B,0),"nvt")</f>
        <v>20</v>
      </c>
      <c r="AJ193" s="205">
        <f>IF(AI193&lt;&gt;"nvt",IF($D193="EoK",INDEX(Parameters!C:C,MATCH("NLSx EoK",Parameters!A:A,0)),INDEX('Tarieven W&amp;O'!$H:$H,$AI193)),0)*R193</f>
        <v>350</v>
      </c>
      <c r="AK193" s="204">
        <f>IF(AI193&lt;&gt;"nvt",INDEX('Tarieven W&amp;O'!$I:$I,$AI193),0)*R193</f>
        <v>75</v>
      </c>
      <c r="AL193" s="524">
        <f>IF(AI193&lt;&gt;"nvt",-INDEX(Parameters!$B:$B,MATCH(AL$3,Parameters!$A:$A,0))*(AJ193+AK193),0)</f>
        <v>0</v>
      </c>
      <c r="AM193" s="525"/>
      <c r="AN193" s="139">
        <f t="shared" si="386"/>
        <v>425</v>
      </c>
      <c r="AO193" s="205">
        <f>AN193/INDEX(Parameters!$B:$B,MATCH("AfschrijftermijnVVE"&amp;12*$C193,Parameters!$A:$A,0))</f>
        <v>7.083333333333333</v>
      </c>
      <c r="AP193" s="139">
        <f t="shared" si="387"/>
        <v>20</v>
      </c>
      <c r="AQ193" s="526">
        <f>IF(AP193&lt;&gt;"nvt",R193*INDEX('Tarieven W&amp;O'!$G:$G,$AP193),0)</f>
        <v>121.28</v>
      </c>
      <c r="AR193" s="524">
        <f>-INDEX(Parameters!$B:$B,MATCH(AR$3,Parameters!$A:$A,0))*(AQ193)</f>
        <v>0</v>
      </c>
      <c r="AS193" s="205">
        <f>IF(E193="straal access",'EDC Minus'!$H$192,IF(Q193&lt;&gt;"nvt",Q193*S193*'EDC Minus'!$H$292/590,0))</f>
        <v>0</v>
      </c>
      <c r="AT193" s="139"/>
      <c r="AU193" s="150">
        <f t="shared" si="388"/>
        <v>121.28</v>
      </c>
      <c r="AV193" s="150">
        <f t="shared" si="389"/>
        <v>128.36333333333334</v>
      </c>
      <c r="AX193" s="526">
        <f>Parameters!$B$6*AV193</f>
        <v>1.2836333333333334</v>
      </c>
      <c r="AY193" s="150">
        <v>0</v>
      </c>
      <c r="AZ193" s="150"/>
      <c r="BA193" s="150">
        <f t="shared" si="390"/>
        <v>1.2836333333333334</v>
      </c>
      <c r="BC193" s="522">
        <f t="shared" si="391"/>
        <v>129.64696666666669</v>
      </c>
      <c r="BD193" s="175"/>
      <c r="BE193" s="527">
        <f t="shared" si="392"/>
        <v>887.01969999999994</v>
      </c>
      <c r="BF193" s="181">
        <f t="shared" si="393"/>
        <v>0.8724783934426229</v>
      </c>
      <c r="BG193" s="520" t="b">
        <f t="shared" si="394"/>
        <v>0</v>
      </c>
      <c r="BI193" s="528" t="s">
        <v>2181</v>
      </c>
      <c r="BK193" s="151">
        <f>VLOOKUP(J193,'Tarieven ZM'!$B$136:$I$235,8,0)</f>
        <v>0</v>
      </c>
      <c r="BL193" s="151" t="str">
        <f>IF(M193="EoK",N193&amp;"AdvancedNLS type 1/2/3",IF(E193&lt;&gt;"Straal Access",INDEX(Mapping!J:J,MATCH(E193&amp;G193,Mapping!B:B,0)),E193))</f>
        <v>Copper Standard Access 20Mbit/sAdvancedNLS type 1/2/3</v>
      </c>
      <c r="BM193" s="184">
        <f>INDEX('inkoop ULL tbv EVPN'!J:J,MATCH($BL193,'inkoop ULL tbv EVPN'!$H:$H,0))</f>
        <v>78.97</v>
      </c>
      <c r="BN193" s="180">
        <f>BM193/INDEX(Parameters!$B:$B,MATCH("AfschrijftermijnVVE"&amp;12*$C193,Parameters!$A:$A,0))</f>
        <v>1.3161666666666667</v>
      </c>
      <c r="BO193" s="184">
        <f>INDEX('inkoop ULL tbv EVPN'!I:I,MATCH($BL193,'inkoop ULL tbv EVPN'!$H:$H,0))</f>
        <v>14.7296035</v>
      </c>
      <c r="BP193" s="184">
        <f t="shared" si="395"/>
        <v>16.045770166666667</v>
      </c>
      <c r="BR193" s="180">
        <f>Parameters!$B$12*AG193</f>
        <v>101.66666666666667</v>
      </c>
      <c r="BS193" s="180">
        <f>SUM(Distributievergoedingen!$F$12,Distributievergoedingen!$I$12,Distributievergoedingen!$L$12,Distributievergoedingen!$O$12)*AF193+SUM(Distributievergoedingen!$O$12*AA193+Distributievergoedingen!$R$12+Distributievergoedingen!$U$12+Distributievergoedingen!$X$12)/(MAX(36,12*C193))</f>
        <v>111.66666666666667</v>
      </c>
      <c r="BT193" s="150"/>
      <c r="BU193" s="150">
        <f t="shared" si="396"/>
        <v>213.33333333333334</v>
      </c>
      <c r="BW193" s="522">
        <f t="shared" si="397"/>
        <v>229.37910350000001</v>
      </c>
      <c r="BY193" s="527">
        <f t="shared" si="398"/>
        <v>787.28756316666659</v>
      </c>
      <c r="BZ193" s="181">
        <f t="shared" si="399"/>
        <v>0.77438120967213109</v>
      </c>
      <c r="CA193" s="520" t="b">
        <f t="shared" si="400"/>
        <v>0</v>
      </c>
    </row>
    <row r="194" spans="1:79" s="151" customFormat="1">
      <c r="A194" s="151" t="str">
        <f t="shared" si="401"/>
        <v>5EoKStandard Access koper 3mbHoog&lt; 250 meter</v>
      </c>
      <c r="B194" s="151" t="str">
        <f t="shared" si="402"/>
        <v>5EoKStandard Access koper 3mbHoog&lt; 250 meter</v>
      </c>
      <c r="C194" s="178">
        <v>5</v>
      </c>
      <c r="D194" s="415" t="s">
        <v>303</v>
      </c>
      <c r="E194" s="178" t="s">
        <v>268</v>
      </c>
      <c r="F194" s="107" t="s">
        <v>274</v>
      </c>
      <c r="G194" s="178" t="s">
        <v>3397</v>
      </c>
      <c r="J194" s="520" t="str">
        <f t="shared" si="380"/>
        <v>EoKStandard Access koper 3mbHoog&lt; 250 meter</v>
      </c>
      <c r="L194" s="204">
        <f>INDEX(Mapping!$H:$H,MATCH(C$3&amp;C194,Mapping!$B:$B,0))</f>
        <v>1</v>
      </c>
      <c r="M194" s="204" t="str">
        <f>INDEX(Mapping!$H:$H,MATCH(D$3&amp;D194,Mapping!$B:$B,0))</f>
        <v>EoK</v>
      </c>
      <c r="N194" s="204" t="str">
        <f>INDEX(Mapping!$H:$H,MATCH(E$3&amp;E194,Mapping!$B:$B,0))</f>
        <v>Copper Standard Access 3Mbit/s</v>
      </c>
      <c r="O194" s="204" t="str">
        <f>INDEX(Mapping!$H:$H,MATCH(E194&amp;F194,Mapping!$B:$B,0))</f>
        <v/>
      </c>
      <c r="P194" s="204" t="str">
        <f>INDEX(Mapping!$H:$H,MATCH($E194&amp;$G194,Mapping!$B:$B,0))</f>
        <v>Nearnet</v>
      </c>
      <c r="Q194" s="204" t="str">
        <f>INDEX(Mapping!$H:$H,MATCH($E194&amp;$G194&amp;"graafafstand",Mapping!$B:$B,0))</f>
        <v>nvt</v>
      </c>
      <c r="R194" s="204">
        <f>INDEX(Mapping!$H:$H,MATCH(R$3&amp;$E194,Mapping!$B:$B,0))</f>
        <v>1</v>
      </c>
      <c r="S194" s="204">
        <f>INDEX(Mapping!$H:$H,MATCH(S$3&amp;$E194,Mapping!$B:$B,0))</f>
        <v>1</v>
      </c>
      <c r="T194" s="139" t="str">
        <f t="shared" si="381"/>
        <v>Copper Standard Access 3Mbit/sNearnet</v>
      </c>
      <c r="U194" s="151" t="str">
        <f t="shared" si="382"/>
        <v>Copper Standard Access 3Mbit/sNearnet</v>
      </c>
      <c r="W194" s="521">
        <f>MATCH($J194,'Tarieven ZM'!$B:$B,0)</f>
        <v>149</v>
      </c>
      <c r="X194" s="204">
        <f>INDEX('Tarieven ZM'!$H:$H,$W194)</f>
        <v>1000</v>
      </c>
      <c r="Y194" s="198">
        <f>IF(E194="Standard Access in ZG BT gebieden",0,-INDEX(Parameters!$B:$B,MATCH(Y$3&amp;$C194,Parameters!$A:$A,0))*$X194)</f>
        <v>0</v>
      </c>
      <c r="Z194" s="198">
        <f>IF(E194="Standard Access in ZG BT gebieden",0,MAX(-INDEX(Parameters!$B:$B,MATCH(Z$3&amp;$C194,Parameters!$A:$A,0))*$X194,-INDEX(Parameters!$B:$B,MATCH("FactorMaxSalesMandaat"&amp;E194,Parameters!$A:$A,0))*INDEX(Parameters!$B:$B,MATCH("MaxSalesMandaatAccessVVE"&amp;$C194,Parameters!$A:$A,0))))</f>
        <v>0</v>
      </c>
      <c r="AA194" s="139">
        <f t="shared" si="383"/>
        <v>1000</v>
      </c>
      <c r="AB194" s="205">
        <f>AA194/INDEX(Parameters!$B:$B,MATCH("AfschrijftermijnVVE"&amp;12*$C194,Parameters!$A:$A,0))</f>
        <v>16.666666666666668</v>
      </c>
      <c r="AC194" s="204">
        <f>INDEX('Tarieven ZM'!$G:$G,$W194)</f>
        <v>1000</v>
      </c>
      <c r="AD194" s="198">
        <f>IF(E194="Standard Access in ZG BT gebieden",0,-INDEX(Parameters!$B:$B,MATCH(AD$3&amp;$C194,Parameters!$A:$A,0))*$AC194)</f>
        <v>0</v>
      </c>
      <c r="AE194" s="198">
        <f>IF(E194="Standard Access in ZG BT gebieden",0,-INDEX(Parameters!$B:$B,MATCH(AE$3,Parameters!$A:$A,0))*$AC194)</f>
        <v>0</v>
      </c>
      <c r="AF194" s="139">
        <f t="shared" si="384"/>
        <v>1000</v>
      </c>
      <c r="AG194" s="522">
        <f t="shared" si="385"/>
        <v>1016.6666666666666</v>
      </c>
      <c r="AH194" s="175"/>
      <c r="AI194" s="523">
        <f>IF(N194&lt;&gt;"nvt",MATCH($T194,'Tarieven W&amp;O'!$B:$B,0),"nvt")</f>
        <v>23</v>
      </c>
      <c r="AJ194" s="205">
        <f>IF(AI194&lt;&gt;"nvt",IF($D194="EoK",INDEX(Parameters!C:C,MATCH("NLSx EoK",Parameters!A:A,0)),INDEX('Tarieven W&amp;O'!$H:$H,$AI194)),0)*R194</f>
        <v>350</v>
      </c>
      <c r="AK194" s="204">
        <f>IF(AI194&lt;&gt;"nvt",INDEX('Tarieven W&amp;O'!$I:$I,$AI194),0)*R194</f>
        <v>75</v>
      </c>
      <c r="AL194" s="524">
        <f>IF(AI194&lt;&gt;"nvt",-INDEX(Parameters!$B:$B,MATCH(AL$3,Parameters!$A:$A,0))*(AJ194+AK194),0)</f>
        <v>0</v>
      </c>
      <c r="AM194" s="525"/>
      <c r="AN194" s="139">
        <f t="shared" si="386"/>
        <v>425</v>
      </c>
      <c r="AO194" s="205">
        <f>AN194/INDEX(Parameters!$B:$B,MATCH("AfschrijftermijnVVE"&amp;12*$C194,Parameters!$A:$A,0))</f>
        <v>7.083333333333333</v>
      </c>
      <c r="AP194" s="139">
        <f t="shared" si="387"/>
        <v>23</v>
      </c>
      <c r="AQ194" s="526">
        <f>IF(AP194&lt;&gt;"nvt",R194*INDEX('Tarieven W&amp;O'!$G:$G,$AP194),0)</f>
        <v>41.5</v>
      </c>
      <c r="AR194" s="524">
        <f>-INDEX(Parameters!$B:$B,MATCH(AR$3,Parameters!$A:$A,0))*(AQ194)</f>
        <v>0</v>
      </c>
      <c r="AS194" s="205">
        <f>IF(E194="straal access",'EDC Minus'!$H$192,IF(Q194&lt;&gt;"nvt",Q194*S194*'EDC Minus'!$H$292/590,0))</f>
        <v>0</v>
      </c>
      <c r="AT194" s="139"/>
      <c r="AU194" s="150">
        <f t="shared" si="388"/>
        <v>41.5</v>
      </c>
      <c r="AV194" s="150">
        <f t="shared" si="389"/>
        <v>48.583333333333336</v>
      </c>
      <c r="AX194" s="526">
        <f>Parameters!$B$6*AV194</f>
        <v>0.48583333333333339</v>
      </c>
      <c r="AY194" s="150">
        <v>0</v>
      </c>
      <c r="AZ194" s="150"/>
      <c r="BA194" s="150">
        <f t="shared" si="390"/>
        <v>0.48583333333333339</v>
      </c>
      <c r="BC194" s="522">
        <f t="shared" si="391"/>
        <v>49.069166666666668</v>
      </c>
      <c r="BD194" s="175"/>
      <c r="BE194" s="527">
        <f t="shared" si="392"/>
        <v>967.59749999999997</v>
      </c>
      <c r="BF194" s="181">
        <f t="shared" si="393"/>
        <v>0.95173524590163938</v>
      </c>
      <c r="BG194" s="520" t="b">
        <f t="shared" si="394"/>
        <v>0</v>
      </c>
      <c r="BI194" s="528" t="s">
        <v>2181</v>
      </c>
      <c r="BK194" s="151">
        <f>VLOOKUP(J194,'Tarieven ZM'!$B$136:$I$235,8,0)</f>
        <v>0</v>
      </c>
      <c r="BL194" s="151" t="str">
        <f>IF(M194="EoK",N194&amp;"AdvancedNLS type 1/2/3",IF(E194&lt;&gt;"Straal Access",INDEX(Mapping!J:J,MATCH(E194&amp;G194,Mapping!B:B,0)),E194))</f>
        <v>Copper Standard Access 3Mbit/sAdvancedNLS type 1/2/3</v>
      </c>
      <c r="BM194" s="184">
        <f>INDEX('inkoop ULL tbv EVPN'!J:J,MATCH($BL194,'inkoop ULL tbv EVPN'!$H:$H,0))</f>
        <v>78.97</v>
      </c>
      <c r="BN194" s="180">
        <f>BM194/INDEX(Parameters!$B:$B,MATCH("AfschrijftermijnVVE"&amp;12*$C194,Parameters!$A:$A,0))</f>
        <v>1.3161666666666667</v>
      </c>
      <c r="BO194" s="184">
        <f>INDEX('inkoop ULL tbv EVPN'!I:I,MATCH($BL194,'inkoop ULL tbv EVPN'!$H:$H,0))</f>
        <v>14.7296035</v>
      </c>
      <c r="BP194" s="184">
        <f t="shared" si="395"/>
        <v>16.045770166666667</v>
      </c>
      <c r="BR194" s="180">
        <f>Parameters!$B$12*AG194</f>
        <v>101.66666666666667</v>
      </c>
      <c r="BS194" s="180">
        <f>SUM(Distributievergoedingen!$F$12,Distributievergoedingen!$I$12,Distributievergoedingen!$L$12,Distributievergoedingen!$O$12)*AF194+SUM(Distributievergoedingen!$O$12*AA194+Distributievergoedingen!$R$12+Distributievergoedingen!$U$12+Distributievergoedingen!$X$12)/(MAX(36,12*C194))</f>
        <v>111.66666666666667</v>
      </c>
      <c r="BT194" s="150"/>
      <c r="BU194" s="150">
        <f t="shared" si="396"/>
        <v>213.33333333333334</v>
      </c>
      <c r="BW194" s="522">
        <f t="shared" si="397"/>
        <v>229.37910350000001</v>
      </c>
      <c r="BY194" s="527">
        <f t="shared" si="398"/>
        <v>787.28756316666659</v>
      </c>
      <c r="BZ194" s="181">
        <f t="shared" si="399"/>
        <v>0.77438120967213109</v>
      </c>
      <c r="CA194" s="520" t="b">
        <f t="shared" si="400"/>
        <v>0</v>
      </c>
    </row>
    <row r="195" spans="1:79" s="151" customFormat="1">
      <c r="A195" s="151" t="str">
        <f t="shared" si="401"/>
        <v>5EoKStandard Access koper 5mbHoog&lt; 250 meter</v>
      </c>
      <c r="B195" s="151" t="str">
        <f t="shared" si="402"/>
        <v>5EoKStandard Access koper 5mbHoog&lt; 250 meter</v>
      </c>
      <c r="C195" s="178">
        <v>5</v>
      </c>
      <c r="D195" s="415" t="s">
        <v>303</v>
      </c>
      <c r="E195" s="178" t="s">
        <v>276</v>
      </c>
      <c r="F195" s="107" t="s">
        <v>274</v>
      </c>
      <c r="G195" s="178" t="s">
        <v>3397</v>
      </c>
      <c r="J195" s="520" t="str">
        <f t="shared" si="380"/>
        <v>EoKStandard Access koper 5mbHoog&lt; 250 meter</v>
      </c>
      <c r="L195" s="204">
        <f>INDEX(Mapping!$H:$H,MATCH(C$3&amp;C195,Mapping!$B:$B,0))</f>
        <v>1</v>
      </c>
      <c r="M195" s="204" t="str">
        <f>INDEX(Mapping!$H:$H,MATCH(D$3&amp;D195,Mapping!$B:$B,0))</f>
        <v>EoK</v>
      </c>
      <c r="N195" s="204" t="str">
        <f>INDEX(Mapping!$H:$H,MATCH(E$3&amp;E195,Mapping!$B:$B,0))</f>
        <v>Copper Standard Access 5Mbit/s</v>
      </c>
      <c r="O195" s="204" t="str">
        <f>INDEX(Mapping!$H:$H,MATCH(E195&amp;F195,Mapping!$B:$B,0))</f>
        <v/>
      </c>
      <c r="P195" s="204" t="str">
        <f>INDEX(Mapping!$H:$H,MATCH($E195&amp;$G195,Mapping!$B:$B,0))</f>
        <v>Nearnet</v>
      </c>
      <c r="Q195" s="204" t="str">
        <f>INDEX(Mapping!$H:$H,MATCH($E195&amp;$G195&amp;"graafafstand",Mapping!$B:$B,0))</f>
        <v>nvt</v>
      </c>
      <c r="R195" s="204">
        <f>INDEX(Mapping!$H:$H,MATCH(R$3&amp;$E195,Mapping!$B:$B,0))</f>
        <v>1</v>
      </c>
      <c r="S195" s="204">
        <f>INDEX(Mapping!$H:$H,MATCH(S$3&amp;$E195,Mapping!$B:$B,0))</f>
        <v>1</v>
      </c>
      <c r="T195" s="139" t="str">
        <f t="shared" si="381"/>
        <v>Copper Standard Access 5Mbit/sNearnet</v>
      </c>
      <c r="U195" s="151" t="str">
        <f t="shared" si="382"/>
        <v>Copper Standard Access 5Mbit/sNearnet</v>
      </c>
      <c r="W195" s="521">
        <f>MATCH($J195,'Tarieven ZM'!$B:$B,0)</f>
        <v>150</v>
      </c>
      <c r="X195" s="204">
        <f>INDEX('Tarieven ZM'!$H:$H,$W195)</f>
        <v>1000</v>
      </c>
      <c r="Y195" s="198">
        <f>IF(E195="Standard Access in ZG BT gebieden",0,-INDEX(Parameters!$B:$B,MATCH(Y$3&amp;$C195,Parameters!$A:$A,0))*$X195)</f>
        <v>0</v>
      </c>
      <c r="Z195" s="198">
        <f>IF(E195="Standard Access in ZG BT gebieden",0,MAX(-INDEX(Parameters!$B:$B,MATCH(Z$3&amp;$C195,Parameters!$A:$A,0))*$X195,-INDEX(Parameters!$B:$B,MATCH("FactorMaxSalesMandaat"&amp;E195,Parameters!$A:$A,0))*INDEX(Parameters!$B:$B,MATCH("MaxSalesMandaatAccessVVE"&amp;$C195,Parameters!$A:$A,0))))</f>
        <v>0</v>
      </c>
      <c r="AA195" s="139">
        <f t="shared" si="383"/>
        <v>1000</v>
      </c>
      <c r="AB195" s="205">
        <f>AA195/INDEX(Parameters!$B:$B,MATCH("AfschrijftermijnVVE"&amp;12*$C195,Parameters!$A:$A,0))</f>
        <v>16.666666666666668</v>
      </c>
      <c r="AC195" s="204">
        <f>INDEX('Tarieven ZM'!$G:$G,$W195)</f>
        <v>1000</v>
      </c>
      <c r="AD195" s="198">
        <f>IF(E195="Standard Access in ZG BT gebieden",0,-INDEX(Parameters!$B:$B,MATCH(AD$3&amp;$C195,Parameters!$A:$A,0))*$AC195)</f>
        <v>0</v>
      </c>
      <c r="AE195" s="198">
        <f>IF(E195="Standard Access in ZG BT gebieden",0,-INDEX(Parameters!$B:$B,MATCH(AE$3,Parameters!$A:$A,0))*$AC195)</f>
        <v>0</v>
      </c>
      <c r="AF195" s="139">
        <f t="shared" si="384"/>
        <v>1000</v>
      </c>
      <c r="AG195" s="522">
        <f t="shared" si="385"/>
        <v>1016.6666666666666</v>
      </c>
      <c r="AH195" s="175"/>
      <c r="AI195" s="523">
        <f>IF(N195&lt;&gt;"nvt",MATCH($T195,'Tarieven W&amp;O'!$B:$B,0),"nvt")</f>
        <v>24</v>
      </c>
      <c r="AJ195" s="205">
        <f>IF(AI195&lt;&gt;"nvt",IF($D195="EoK",INDEX(Parameters!C:C,MATCH("NLSx EoK",Parameters!A:A,0)),INDEX('Tarieven W&amp;O'!$H:$H,$AI195)),0)*R195</f>
        <v>350</v>
      </c>
      <c r="AK195" s="204">
        <f>IF(AI195&lt;&gt;"nvt",INDEX('Tarieven W&amp;O'!$I:$I,$AI195),0)*R195</f>
        <v>75</v>
      </c>
      <c r="AL195" s="524">
        <f>IF(AI195&lt;&gt;"nvt",-INDEX(Parameters!$B:$B,MATCH(AL$3,Parameters!$A:$A,0))*(AJ195+AK195),0)</f>
        <v>0</v>
      </c>
      <c r="AM195" s="525"/>
      <c r="AN195" s="139">
        <f t="shared" si="386"/>
        <v>425</v>
      </c>
      <c r="AO195" s="205">
        <f>AN195/INDEX(Parameters!$B:$B,MATCH("AfschrijftermijnVVE"&amp;12*$C195,Parameters!$A:$A,0))</f>
        <v>7.083333333333333</v>
      </c>
      <c r="AP195" s="139">
        <f t="shared" si="387"/>
        <v>24</v>
      </c>
      <c r="AQ195" s="526">
        <f>IF(AP195&lt;&gt;"nvt",R195*INDEX('Tarieven W&amp;O'!$G:$G,$AP195),0)</f>
        <v>60.97</v>
      </c>
      <c r="AR195" s="524">
        <f>-INDEX(Parameters!$B:$B,MATCH(AR$3,Parameters!$A:$A,0))*(AQ195)</f>
        <v>0</v>
      </c>
      <c r="AS195" s="205">
        <f>IF(E195="straal access",'EDC Minus'!$H$192,IF(Q195&lt;&gt;"nvt",Q195*S195*'EDC Minus'!$H$292/590,0))</f>
        <v>0</v>
      </c>
      <c r="AT195" s="139"/>
      <c r="AU195" s="150">
        <f t="shared" si="388"/>
        <v>60.97</v>
      </c>
      <c r="AV195" s="150">
        <f t="shared" si="389"/>
        <v>68.053333333333327</v>
      </c>
      <c r="AX195" s="526">
        <f>Parameters!$B$6*AV195</f>
        <v>0.68053333333333332</v>
      </c>
      <c r="AY195" s="150">
        <v>0</v>
      </c>
      <c r="AZ195" s="150"/>
      <c r="BA195" s="150">
        <f t="shared" si="390"/>
        <v>0.68053333333333332</v>
      </c>
      <c r="BC195" s="522">
        <f t="shared" si="391"/>
        <v>68.733866666666657</v>
      </c>
      <c r="BD195" s="175"/>
      <c r="BE195" s="527">
        <f t="shared" si="392"/>
        <v>947.93279999999993</v>
      </c>
      <c r="BF195" s="181">
        <f t="shared" si="393"/>
        <v>0.9323929180327869</v>
      </c>
      <c r="BG195" s="520" t="b">
        <f t="shared" si="394"/>
        <v>0</v>
      </c>
      <c r="BI195" s="528" t="s">
        <v>2181</v>
      </c>
      <c r="BK195" s="151">
        <f>VLOOKUP(J195,'Tarieven ZM'!$B$136:$I$235,8,0)</f>
        <v>0</v>
      </c>
      <c r="BL195" s="151" t="str">
        <f>IF(M195="EoK",N195&amp;"AdvancedNLS type 1/2/3",IF(E195&lt;&gt;"Straal Access",INDEX(Mapping!J:J,MATCH(E195&amp;G195,Mapping!B:B,0)),E195))</f>
        <v>Copper Standard Access 5Mbit/sAdvancedNLS type 1/2/3</v>
      </c>
      <c r="BM195" s="184">
        <f>INDEX('inkoop ULL tbv EVPN'!J:J,MATCH($BL195,'inkoop ULL tbv EVPN'!$H:$H,0))</f>
        <v>78.97</v>
      </c>
      <c r="BN195" s="180">
        <f>BM195/INDEX(Parameters!$B:$B,MATCH("AfschrijftermijnVVE"&amp;12*$C195,Parameters!$A:$A,0))</f>
        <v>1.3161666666666667</v>
      </c>
      <c r="BO195" s="184">
        <f>INDEX('inkoop ULL tbv EVPN'!I:I,MATCH($BL195,'inkoop ULL tbv EVPN'!$H:$H,0))</f>
        <v>14.7296035</v>
      </c>
      <c r="BP195" s="184">
        <f t="shared" si="395"/>
        <v>16.045770166666667</v>
      </c>
      <c r="BR195" s="180">
        <f>Parameters!$B$12*AG195</f>
        <v>101.66666666666667</v>
      </c>
      <c r="BS195" s="180">
        <f>SUM(Distributievergoedingen!$F$12,Distributievergoedingen!$I$12,Distributievergoedingen!$L$12,Distributievergoedingen!$O$12)*AF195+SUM(Distributievergoedingen!$O$12*AA195+Distributievergoedingen!$R$12+Distributievergoedingen!$U$12+Distributievergoedingen!$X$12)/(MAX(36,12*C195))</f>
        <v>111.66666666666667</v>
      </c>
      <c r="BT195" s="150"/>
      <c r="BU195" s="150">
        <f t="shared" si="396"/>
        <v>213.33333333333334</v>
      </c>
      <c r="BW195" s="522">
        <f t="shared" si="397"/>
        <v>229.37910350000001</v>
      </c>
      <c r="BY195" s="527">
        <f t="shared" si="398"/>
        <v>787.28756316666659</v>
      </c>
      <c r="BZ195" s="181">
        <f t="shared" si="399"/>
        <v>0.77438120967213109</v>
      </c>
      <c r="CA195" s="520" t="b">
        <f t="shared" si="400"/>
        <v>0</v>
      </c>
    </row>
    <row r="196" spans="1:79" s="151" customFormat="1">
      <c r="A196" s="151" t="str">
        <f t="shared" si="401"/>
        <v>5EoKStandard Access koper 10mbHoog&lt; 250 meter</v>
      </c>
      <c r="B196" s="151" t="str">
        <f t="shared" si="402"/>
        <v>5EoKStandard Access koper 10mbHoog&lt; 250 meter</v>
      </c>
      <c r="C196" s="178">
        <v>5</v>
      </c>
      <c r="D196" s="415" t="s">
        <v>303</v>
      </c>
      <c r="E196" s="178" t="s">
        <v>277</v>
      </c>
      <c r="F196" s="107" t="s">
        <v>274</v>
      </c>
      <c r="G196" s="178" t="s">
        <v>3397</v>
      </c>
      <c r="J196" s="520" t="str">
        <f t="shared" si="380"/>
        <v>EoKStandard Access koper 10mbHoog&lt; 250 meter</v>
      </c>
      <c r="L196" s="204">
        <f>INDEX(Mapping!$H:$H,MATCH(C$3&amp;C196,Mapping!$B:$B,0))</f>
        <v>1</v>
      </c>
      <c r="M196" s="204" t="str">
        <f>INDEX(Mapping!$H:$H,MATCH(D$3&amp;D196,Mapping!$B:$B,0))</f>
        <v>EoK</v>
      </c>
      <c r="N196" s="204" t="str">
        <f>INDEX(Mapping!$H:$H,MATCH(E$3&amp;E196,Mapping!$B:$B,0))</f>
        <v>Copper Standard Access 10Mbit/s</v>
      </c>
      <c r="O196" s="204" t="str">
        <f>INDEX(Mapping!$H:$H,MATCH(E196&amp;F196,Mapping!$B:$B,0))</f>
        <v/>
      </c>
      <c r="P196" s="204" t="str">
        <f>INDEX(Mapping!$H:$H,MATCH($E196&amp;$G196,Mapping!$B:$B,0))</f>
        <v>Nearnet</v>
      </c>
      <c r="Q196" s="204" t="str">
        <f>INDEX(Mapping!$H:$H,MATCH($E196&amp;$G196&amp;"graafafstand",Mapping!$B:$B,0))</f>
        <v>nvt</v>
      </c>
      <c r="R196" s="204">
        <f>INDEX(Mapping!$H:$H,MATCH(R$3&amp;$E196,Mapping!$B:$B,0))</f>
        <v>1</v>
      </c>
      <c r="S196" s="204">
        <f>INDEX(Mapping!$H:$H,MATCH(S$3&amp;$E196,Mapping!$B:$B,0))</f>
        <v>1</v>
      </c>
      <c r="T196" s="139" t="str">
        <f t="shared" si="381"/>
        <v>Copper Standard Access 10Mbit/sNearnet</v>
      </c>
      <c r="U196" s="151" t="str">
        <f t="shared" si="382"/>
        <v>Copper Standard Access 10Mbit/sNearnet</v>
      </c>
      <c r="W196" s="521">
        <f>MATCH($J196,'Tarieven ZM'!$B:$B,0)</f>
        <v>151</v>
      </c>
      <c r="X196" s="204">
        <f>INDEX('Tarieven ZM'!$H:$H,$W196)</f>
        <v>1000</v>
      </c>
      <c r="Y196" s="198">
        <f>IF(E196="Standard Access in ZG BT gebieden",0,-INDEX(Parameters!$B:$B,MATCH(Y$3&amp;$C196,Parameters!$A:$A,0))*$X196)</f>
        <v>0</v>
      </c>
      <c r="Z196" s="198">
        <f>IF(E196="Standard Access in ZG BT gebieden",0,MAX(-INDEX(Parameters!$B:$B,MATCH(Z$3&amp;$C196,Parameters!$A:$A,0))*$X196,-INDEX(Parameters!$B:$B,MATCH("FactorMaxSalesMandaat"&amp;E196,Parameters!$A:$A,0))*INDEX(Parameters!$B:$B,MATCH("MaxSalesMandaatAccessVVE"&amp;$C196,Parameters!$A:$A,0))))</f>
        <v>0</v>
      </c>
      <c r="AA196" s="139">
        <f t="shared" si="383"/>
        <v>1000</v>
      </c>
      <c r="AB196" s="205">
        <f>AA196/INDEX(Parameters!$B:$B,MATCH("AfschrijftermijnVVE"&amp;12*$C196,Parameters!$A:$A,0))</f>
        <v>16.666666666666668</v>
      </c>
      <c r="AC196" s="204">
        <f>INDEX('Tarieven ZM'!$G:$G,$W196)</f>
        <v>1000</v>
      </c>
      <c r="AD196" s="198">
        <f>IF(E196="Standard Access in ZG BT gebieden",0,-INDEX(Parameters!$B:$B,MATCH(AD$3&amp;$C196,Parameters!$A:$A,0))*$AC196)</f>
        <v>0</v>
      </c>
      <c r="AE196" s="198">
        <f>IF(E196="Standard Access in ZG BT gebieden",0,-INDEX(Parameters!$B:$B,MATCH(AE$3,Parameters!$A:$A,0))*$AC196)</f>
        <v>0</v>
      </c>
      <c r="AF196" s="139">
        <f t="shared" si="384"/>
        <v>1000</v>
      </c>
      <c r="AG196" s="522">
        <f t="shared" si="385"/>
        <v>1016.6666666666666</v>
      </c>
      <c r="AH196" s="175"/>
      <c r="AI196" s="523">
        <f>IF(N196&lt;&gt;"nvt",MATCH($T196,'Tarieven W&amp;O'!$B:$B,0),"nvt")</f>
        <v>25</v>
      </c>
      <c r="AJ196" s="205">
        <f>IF(AI196&lt;&gt;"nvt",IF($D196="EoK",INDEX(Parameters!C:C,MATCH("NLSx EoK",Parameters!A:A,0)),INDEX('Tarieven W&amp;O'!$H:$H,$AI196)),0)*R196</f>
        <v>350</v>
      </c>
      <c r="AK196" s="204">
        <f>IF(AI196&lt;&gt;"nvt",INDEX('Tarieven W&amp;O'!$I:$I,$AI196),0)*R196</f>
        <v>75</v>
      </c>
      <c r="AL196" s="524">
        <f>IF(AI196&lt;&gt;"nvt",-INDEX(Parameters!$B:$B,MATCH(AL$3,Parameters!$A:$A,0))*(AJ196+AK196),0)</f>
        <v>0</v>
      </c>
      <c r="AM196" s="525"/>
      <c r="AN196" s="139">
        <f t="shared" si="386"/>
        <v>425</v>
      </c>
      <c r="AO196" s="205">
        <f>AN196/INDEX(Parameters!$B:$B,MATCH("AfschrijftermijnVVE"&amp;12*$C196,Parameters!$A:$A,0))</f>
        <v>7.083333333333333</v>
      </c>
      <c r="AP196" s="139">
        <f t="shared" si="387"/>
        <v>25</v>
      </c>
      <c r="AQ196" s="526">
        <f>IF(AP196&lt;&gt;"nvt",R196*INDEX('Tarieven W&amp;O'!$G:$G,$AP196),0)</f>
        <v>83.59</v>
      </c>
      <c r="AR196" s="524">
        <f>-INDEX(Parameters!$B:$B,MATCH(AR$3,Parameters!$A:$A,0))*(AQ196)</f>
        <v>0</v>
      </c>
      <c r="AS196" s="205">
        <f>IF(E196="straal access",'EDC Minus'!$H$192,IF(Q196&lt;&gt;"nvt",Q196*S196*'EDC Minus'!$H$292/590,0))</f>
        <v>0</v>
      </c>
      <c r="AT196" s="139"/>
      <c r="AU196" s="150">
        <f t="shared" si="388"/>
        <v>83.59</v>
      </c>
      <c r="AV196" s="150">
        <f t="shared" si="389"/>
        <v>90.673333333333332</v>
      </c>
      <c r="AX196" s="526">
        <f>Parameters!$B$6*AV196</f>
        <v>0.90673333333333339</v>
      </c>
      <c r="AY196" s="150">
        <v>0</v>
      </c>
      <c r="AZ196" s="150"/>
      <c r="BA196" s="150">
        <f t="shared" si="390"/>
        <v>0.90673333333333339</v>
      </c>
      <c r="BC196" s="522">
        <f t="shared" si="391"/>
        <v>91.580066666666667</v>
      </c>
      <c r="BD196" s="175"/>
      <c r="BE196" s="527">
        <f t="shared" si="392"/>
        <v>925.08659999999998</v>
      </c>
      <c r="BF196" s="181">
        <f t="shared" si="393"/>
        <v>0.90992124590163936</v>
      </c>
      <c r="BG196" s="520" t="b">
        <f t="shared" si="394"/>
        <v>0</v>
      </c>
      <c r="BI196" s="528" t="s">
        <v>2181</v>
      </c>
      <c r="BK196" s="151">
        <f>VLOOKUP(J196,'Tarieven ZM'!$B$136:$I$235,8,0)</f>
        <v>0</v>
      </c>
      <c r="BL196" s="151" t="str">
        <f>IF(M196="EoK",N196&amp;"AdvancedNLS type 1/2/3",IF(E196&lt;&gt;"Straal Access",INDEX(Mapping!J:J,MATCH(E196&amp;G196,Mapping!B:B,0)),E196))</f>
        <v>Copper Standard Access 10Mbit/sAdvancedNLS type 1/2/3</v>
      </c>
      <c r="BM196" s="184">
        <f>INDEX('inkoop ULL tbv EVPN'!J:J,MATCH($BL196,'inkoop ULL tbv EVPN'!$H:$H,0))</f>
        <v>78.97</v>
      </c>
      <c r="BN196" s="180">
        <f>BM196/INDEX(Parameters!$B:$B,MATCH("AfschrijftermijnVVE"&amp;12*$C196,Parameters!$A:$A,0))</f>
        <v>1.3161666666666667</v>
      </c>
      <c r="BO196" s="184">
        <f>INDEX('inkoop ULL tbv EVPN'!I:I,MATCH($BL196,'inkoop ULL tbv EVPN'!$H:$H,0))</f>
        <v>14.7296035</v>
      </c>
      <c r="BP196" s="184">
        <f t="shared" si="395"/>
        <v>16.045770166666667</v>
      </c>
      <c r="BR196" s="180">
        <f>Parameters!$B$12*AG196</f>
        <v>101.66666666666667</v>
      </c>
      <c r="BS196" s="180">
        <f>SUM(Distributievergoedingen!$F$12,Distributievergoedingen!$I$12,Distributievergoedingen!$L$12,Distributievergoedingen!$O$12)*AF196+SUM(Distributievergoedingen!$O$12*AA196+Distributievergoedingen!$R$12+Distributievergoedingen!$U$12+Distributievergoedingen!$X$12)/(MAX(36,12*C196))</f>
        <v>111.66666666666667</v>
      </c>
      <c r="BT196" s="150"/>
      <c r="BU196" s="150">
        <f t="shared" si="396"/>
        <v>213.33333333333334</v>
      </c>
      <c r="BW196" s="522">
        <f t="shared" si="397"/>
        <v>229.37910350000001</v>
      </c>
      <c r="BY196" s="527">
        <f t="shared" si="398"/>
        <v>787.28756316666659</v>
      </c>
      <c r="BZ196" s="181">
        <f t="shared" si="399"/>
        <v>0.77438120967213109</v>
      </c>
      <c r="CA196" s="520" t="b">
        <f t="shared" si="400"/>
        <v>0</v>
      </c>
    </row>
    <row r="197" spans="1:79" s="151" customFormat="1">
      <c r="A197" s="151" t="str">
        <f t="shared" si="401"/>
        <v>5EoKStandard Access koper 15mbHoog&lt; 250 meter</v>
      </c>
      <c r="B197" s="151" t="str">
        <f t="shared" si="402"/>
        <v>5EoKStandard Access koper 15mbHoog&lt; 250 meter</v>
      </c>
      <c r="C197" s="178">
        <v>5</v>
      </c>
      <c r="D197" s="415" t="s">
        <v>303</v>
      </c>
      <c r="E197" s="178" t="s">
        <v>278</v>
      </c>
      <c r="F197" s="107" t="s">
        <v>274</v>
      </c>
      <c r="G197" s="178" t="s">
        <v>3397</v>
      </c>
      <c r="J197" s="520" t="str">
        <f t="shared" si="380"/>
        <v>EoKStandard Access koper 15mbHoog&lt; 250 meter</v>
      </c>
      <c r="L197" s="204">
        <f>INDEX(Mapping!$H:$H,MATCH(C$3&amp;C197,Mapping!$B:$B,0))</f>
        <v>1</v>
      </c>
      <c r="M197" s="204" t="str">
        <f>INDEX(Mapping!$H:$H,MATCH(D$3&amp;D197,Mapping!$B:$B,0))</f>
        <v>EoK</v>
      </c>
      <c r="N197" s="204" t="str">
        <f>INDEX(Mapping!$H:$H,MATCH(E$3&amp;E197,Mapping!$B:$B,0))</f>
        <v>Copper Standard Access 15Mbit/s</v>
      </c>
      <c r="O197" s="204" t="str">
        <f>INDEX(Mapping!$H:$H,MATCH(E197&amp;F197,Mapping!$B:$B,0))</f>
        <v/>
      </c>
      <c r="P197" s="204" t="str">
        <f>INDEX(Mapping!$H:$H,MATCH($E197&amp;$G197,Mapping!$B:$B,0))</f>
        <v>Nearnet</v>
      </c>
      <c r="Q197" s="204" t="str">
        <f>INDEX(Mapping!$H:$H,MATCH($E197&amp;$G197&amp;"graafafstand",Mapping!$B:$B,0))</f>
        <v>nvt</v>
      </c>
      <c r="R197" s="204">
        <f>INDEX(Mapping!$H:$H,MATCH(R$3&amp;$E197,Mapping!$B:$B,0))</f>
        <v>1</v>
      </c>
      <c r="S197" s="204">
        <f>INDEX(Mapping!$H:$H,MATCH(S$3&amp;$E197,Mapping!$B:$B,0))</f>
        <v>1</v>
      </c>
      <c r="T197" s="139" t="str">
        <f t="shared" si="381"/>
        <v>Copper Standard Access 15Mbit/sNearnet</v>
      </c>
      <c r="U197" s="151" t="str">
        <f t="shared" si="382"/>
        <v>Copper Standard Access 15Mbit/sNearnet</v>
      </c>
      <c r="W197" s="521">
        <f>MATCH($J197,'Tarieven ZM'!$B:$B,0)</f>
        <v>152</v>
      </c>
      <c r="X197" s="204">
        <f>INDEX('Tarieven ZM'!$H:$H,$W197)</f>
        <v>1000</v>
      </c>
      <c r="Y197" s="198">
        <f>IF(E197="Standard Access in ZG BT gebieden",0,-INDEX(Parameters!$B:$B,MATCH(Y$3&amp;$C197,Parameters!$A:$A,0))*$X197)</f>
        <v>0</v>
      </c>
      <c r="Z197" s="198">
        <f>IF(E197="Standard Access in ZG BT gebieden",0,MAX(-INDEX(Parameters!$B:$B,MATCH(Z$3&amp;$C197,Parameters!$A:$A,0))*$X197,-INDEX(Parameters!$B:$B,MATCH("FactorMaxSalesMandaat"&amp;E197,Parameters!$A:$A,0))*INDEX(Parameters!$B:$B,MATCH("MaxSalesMandaatAccessVVE"&amp;$C197,Parameters!$A:$A,0))))</f>
        <v>0</v>
      </c>
      <c r="AA197" s="139">
        <f t="shared" si="383"/>
        <v>1000</v>
      </c>
      <c r="AB197" s="205">
        <f>AA197/INDEX(Parameters!$B:$B,MATCH("AfschrijftermijnVVE"&amp;12*$C197,Parameters!$A:$A,0))</f>
        <v>16.666666666666668</v>
      </c>
      <c r="AC197" s="204">
        <f>INDEX('Tarieven ZM'!$G:$G,$W197)</f>
        <v>1000</v>
      </c>
      <c r="AD197" s="198">
        <f>IF(E197="Standard Access in ZG BT gebieden",0,-INDEX(Parameters!$B:$B,MATCH(AD$3&amp;$C197,Parameters!$A:$A,0))*$AC197)</f>
        <v>0</v>
      </c>
      <c r="AE197" s="198">
        <f>IF(E197="Standard Access in ZG BT gebieden",0,-INDEX(Parameters!$B:$B,MATCH(AE$3,Parameters!$A:$A,0))*$AC197)</f>
        <v>0</v>
      </c>
      <c r="AF197" s="139">
        <f t="shared" si="384"/>
        <v>1000</v>
      </c>
      <c r="AG197" s="522">
        <f t="shared" si="385"/>
        <v>1016.6666666666666</v>
      </c>
      <c r="AH197" s="175"/>
      <c r="AI197" s="523">
        <f>IF(N197&lt;&gt;"nvt",MATCH($T197,'Tarieven W&amp;O'!$B:$B,0),"nvt")</f>
        <v>26</v>
      </c>
      <c r="AJ197" s="205">
        <f>IF(AI197&lt;&gt;"nvt",IF($D197="EoK",INDEX(Parameters!C:C,MATCH("NLSx EoK",Parameters!A:A,0)),INDEX('Tarieven W&amp;O'!$H:$H,$AI197)),0)*R197</f>
        <v>350</v>
      </c>
      <c r="AK197" s="204">
        <f>IF(AI197&lt;&gt;"nvt",INDEX('Tarieven W&amp;O'!$I:$I,$AI197),0)*R197</f>
        <v>75</v>
      </c>
      <c r="AL197" s="524">
        <f>IF(AI197&lt;&gt;"nvt",-INDEX(Parameters!$B:$B,MATCH(AL$3,Parameters!$A:$A,0))*(AJ197+AK197),0)</f>
        <v>0</v>
      </c>
      <c r="AM197" s="525"/>
      <c r="AN197" s="139">
        <f t="shared" si="386"/>
        <v>425</v>
      </c>
      <c r="AO197" s="205">
        <f>AN197/INDEX(Parameters!$B:$B,MATCH("AfschrijftermijnVVE"&amp;12*$C197,Parameters!$A:$A,0))</f>
        <v>7.083333333333333</v>
      </c>
      <c r="AP197" s="139">
        <f t="shared" si="387"/>
        <v>26</v>
      </c>
      <c r="AQ197" s="526">
        <f>IF(AP197&lt;&gt;"nvt",R197*INDEX('Tarieven W&amp;O'!$G:$G,$AP197),0)</f>
        <v>102.44</v>
      </c>
      <c r="AR197" s="524">
        <f>-INDEX(Parameters!$B:$B,MATCH(AR$3,Parameters!$A:$A,0))*(AQ197)</f>
        <v>0</v>
      </c>
      <c r="AS197" s="205">
        <f>IF(E197="straal access",'EDC Minus'!$H$192,IF(Q197&lt;&gt;"nvt",Q197*S197*'EDC Minus'!$H$292/590,0))</f>
        <v>0</v>
      </c>
      <c r="AT197" s="139"/>
      <c r="AU197" s="150">
        <f t="shared" si="388"/>
        <v>102.44</v>
      </c>
      <c r="AV197" s="150">
        <f t="shared" si="389"/>
        <v>109.52333333333333</v>
      </c>
      <c r="AX197" s="526">
        <f>Parameters!$B$6*AV197</f>
        <v>1.0952333333333333</v>
      </c>
      <c r="AY197" s="150">
        <v>0</v>
      </c>
      <c r="AZ197" s="150"/>
      <c r="BA197" s="150">
        <f t="shared" si="390"/>
        <v>1.0952333333333333</v>
      </c>
      <c r="BC197" s="522">
        <f t="shared" si="391"/>
        <v>110.61856666666667</v>
      </c>
      <c r="BD197" s="175"/>
      <c r="BE197" s="527">
        <f t="shared" si="392"/>
        <v>906.04809999999998</v>
      </c>
      <c r="BF197" s="181">
        <f t="shared" si="393"/>
        <v>0.89119485245901642</v>
      </c>
      <c r="BG197" s="520" t="b">
        <f t="shared" si="394"/>
        <v>0</v>
      </c>
      <c r="BI197" s="528" t="s">
        <v>2181</v>
      </c>
      <c r="BK197" s="151">
        <f>VLOOKUP(J197,'Tarieven ZM'!$B$136:$I$235,8,0)</f>
        <v>0</v>
      </c>
      <c r="BL197" s="151" t="str">
        <f>IF(M197="EoK",N197&amp;"AdvancedNLS type 1/2/3",IF(E197&lt;&gt;"Straal Access",INDEX(Mapping!J:J,MATCH(E197&amp;G197,Mapping!B:B,0)),E197))</f>
        <v>Copper Standard Access 15Mbit/sAdvancedNLS type 1/2/3</v>
      </c>
      <c r="BM197" s="184">
        <f>INDEX('inkoop ULL tbv EVPN'!J:J,MATCH($BL197,'inkoop ULL tbv EVPN'!$H:$H,0))</f>
        <v>78.97</v>
      </c>
      <c r="BN197" s="180">
        <f>BM197/INDEX(Parameters!$B:$B,MATCH("AfschrijftermijnVVE"&amp;12*$C197,Parameters!$A:$A,0))</f>
        <v>1.3161666666666667</v>
      </c>
      <c r="BO197" s="184">
        <f>INDEX('inkoop ULL tbv EVPN'!I:I,MATCH($BL197,'inkoop ULL tbv EVPN'!$H:$H,0))</f>
        <v>14.7296035</v>
      </c>
      <c r="BP197" s="184">
        <f t="shared" si="395"/>
        <v>16.045770166666667</v>
      </c>
      <c r="BR197" s="180">
        <f>Parameters!$B$12*AG197</f>
        <v>101.66666666666667</v>
      </c>
      <c r="BS197" s="180">
        <f>SUM(Distributievergoedingen!$F$12,Distributievergoedingen!$I$12,Distributievergoedingen!$L$12,Distributievergoedingen!$O$12)*AF197+SUM(Distributievergoedingen!$O$12*AA197+Distributievergoedingen!$R$12+Distributievergoedingen!$U$12+Distributievergoedingen!$X$12)/(MAX(36,12*C197))</f>
        <v>111.66666666666667</v>
      </c>
      <c r="BT197" s="150"/>
      <c r="BU197" s="150">
        <f t="shared" si="396"/>
        <v>213.33333333333334</v>
      </c>
      <c r="BW197" s="522">
        <f t="shared" si="397"/>
        <v>229.37910350000001</v>
      </c>
      <c r="BY197" s="527">
        <f t="shared" si="398"/>
        <v>787.28756316666659</v>
      </c>
      <c r="BZ197" s="181">
        <f t="shared" si="399"/>
        <v>0.77438120967213109</v>
      </c>
      <c r="CA197" s="520" t="b">
        <f t="shared" si="400"/>
        <v>0</v>
      </c>
    </row>
    <row r="198" spans="1:79" s="151" customFormat="1">
      <c r="A198" s="151" t="str">
        <f t="shared" si="401"/>
        <v>5EoKStandard Access koper 20mbHoog&lt; 250 meter</v>
      </c>
      <c r="B198" s="151" t="str">
        <f t="shared" si="402"/>
        <v>5EoKStandard Access koper 20mbHoog&lt; 250 meter</v>
      </c>
      <c r="C198" s="178">
        <v>5</v>
      </c>
      <c r="D198" s="415" t="s">
        <v>303</v>
      </c>
      <c r="E198" s="178" t="s">
        <v>279</v>
      </c>
      <c r="F198" s="107" t="s">
        <v>274</v>
      </c>
      <c r="G198" s="178" t="s">
        <v>3397</v>
      </c>
      <c r="J198" s="520" t="str">
        <f t="shared" si="380"/>
        <v>EoKStandard Access koper 20mbHoog&lt; 250 meter</v>
      </c>
      <c r="L198" s="204">
        <f>INDEX(Mapping!$H:$H,MATCH(C$3&amp;C198,Mapping!$B:$B,0))</f>
        <v>1</v>
      </c>
      <c r="M198" s="204" t="str">
        <f>INDEX(Mapping!$H:$H,MATCH(D$3&amp;D198,Mapping!$B:$B,0))</f>
        <v>EoK</v>
      </c>
      <c r="N198" s="204" t="str">
        <f>INDEX(Mapping!$H:$H,MATCH(E$3&amp;E198,Mapping!$B:$B,0))</f>
        <v>Copper Standard Access 20Mbit/s</v>
      </c>
      <c r="O198" s="204" t="str">
        <f>INDEX(Mapping!$H:$H,MATCH(E198&amp;F198,Mapping!$B:$B,0))</f>
        <v/>
      </c>
      <c r="P198" s="204" t="str">
        <f>INDEX(Mapping!$H:$H,MATCH($E198&amp;$G198,Mapping!$B:$B,0))</f>
        <v>Nearnet</v>
      </c>
      <c r="Q198" s="204" t="str">
        <f>INDEX(Mapping!$H:$H,MATCH($E198&amp;$G198&amp;"graafafstand",Mapping!$B:$B,0))</f>
        <v>nvt</v>
      </c>
      <c r="R198" s="204">
        <f>INDEX(Mapping!$H:$H,MATCH(R$3&amp;$E198,Mapping!$B:$B,0))</f>
        <v>1</v>
      </c>
      <c r="S198" s="204">
        <f>INDEX(Mapping!$H:$H,MATCH(S$3&amp;$E198,Mapping!$B:$B,0))</f>
        <v>1</v>
      </c>
      <c r="T198" s="139" t="str">
        <f t="shared" si="381"/>
        <v>Copper Standard Access 20Mbit/sNearnet</v>
      </c>
      <c r="U198" s="151" t="str">
        <f t="shared" si="382"/>
        <v>Copper Standard Access 20Mbit/sNearnet</v>
      </c>
      <c r="W198" s="521">
        <f>MATCH($J198,'Tarieven ZM'!$B:$B,0)</f>
        <v>153</v>
      </c>
      <c r="X198" s="204">
        <f>INDEX('Tarieven ZM'!$H:$H,$W198)</f>
        <v>1000</v>
      </c>
      <c r="Y198" s="198">
        <f>IF(E198="Standard Access in ZG BT gebieden",0,-INDEX(Parameters!$B:$B,MATCH(Y$3&amp;$C198,Parameters!$A:$A,0))*$X198)</f>
        <v>0</v>
      </c>
      <c r="Z198" s="198">
        <f>IF(E198="Standard Access in ZG BT gebieden",0,MAX(-INDEX(Parameters!$B:$B,MATCH(Z$3&amp;$C198,Parameters!$A:$A,0))*$X198,-INDEX(Parameters!$B:$B,MATCH("FactorMaxSalesMandaat"&amp;E198,Parameters!$A:$A,0))*INDEX(Parameters!$B:$B,MATCH("MaxSalesMandaatAccessVVE"&amp;$C198,Parameters!$A:$A,0))))</f>
        <v>0</v>
      </c>
      <c r="AA198" s="139">
        <f t="shared" si="383"/>
        <v>1000</v>
      </c>
      <c r="AB198" s="205">
        <f>AA198/INDEX(Parameters!$B:$B,MATCH("AfschrijftermijnVVE"&amp;12*$C198,Parameters!$A:$A,0))</f>
        <v>16.666666666666668</v>
      </c>
      <c r="AC198" s="204">
        <f>INDEX('Tarieven ZM'!$G:$G,$W198)</f>
        <v>1000</v>
      </c>
      <c r="AD198" s="198">
        <f>IF(E198="Standard Access in ZG BT gebieden",0,-INDEX(Parameters!$B:$B,MATCH(AD$3&amp;$C198,Parameters!$A:$A,0))*$AC198)</f>
        <v>0</v>
      </c>
      <c r="AE198" s="198">
        <f>IF(E198="Standard Access in ZG BT gebieden",0,-INDEX(Parameters!$B:$B,MATCH(AE$3,Parameters!$A:$A,0))*$AC198)</f>
        <v>0</v>
      </c>
      <c r="AF198" s="139">
        <f t="shared" si="384"/>
        <v>1000</v>
      </c>
      <c r="AG198" s="522">
        <f t="shared" si="385"/>
        <v>1016.6666666666666</v>
      </c>
      <c r="AH198" s="175"/>
      <c r="AI198" s="523">
        <f>IF(N198&lt;&gt;"nvt",MATCH($T198,'Tarieven W&amp;O'!$B:$B,0),"nvt")</f>
        <v>27</v>
      </c>
      <c r="AJ198" s="205">
        <f>IF(AI198&lt;&gt;"nvt",IF($D198="EoK",INDEX(Parameters!C:C,MATCH("NLSx EoK",Parameters!A:A,0)),INDEX('Tarieven W&amp;O'!$H:$H,$AI198)),0)*R198</f>
        <v>350</v>
      </c>
      <c r="AK198" s="204">
        <f>IF(AI198&lt;&gt;"nvt",INDEX('Tarieven W&amp;O'!$I:$I,$AI198),0)*R198</f>
        <v>75</v>
      </c>
      <c r="AL198" s="524">
        <f>IF(AI198&lt;&gt;"nvt",-INDEX(Parameters!$B:$B,MATCH(AL$3,Parameters!$A:$A,0))*(AJ198+AK198),0)</f>
        <v>0</v>
      </c>
      <c r="AM198" s="525"/>
      <c r="AN198" s="139">
        <f t="shared" si="386"/>
        <v>425</v>
      </c>
      <c r="AO198" s="205">
        <f>AN198/INDEX(Parameters!$B:$B,MATCH("AfschrijftermijnVVE"&amp;12*$C198,Parameters!$A:$A,0))</f>
        <v>7.083333333333333</v>
      </c>
      <c r="AP198" s="139">
        <f t="shared" si="387"/>
        <v>27</v>
      </c>
      <c r="AQ198" s="526">
        <f>IF(AP198&lt;&gt;"nvt",R198*INDEX('Tarieven W&amp;O'!$G:$G,$AP198),0)</f>
        <v>121.28</v>
      </c>
      <c r="AR198" s="524">
        <f>-INDEX(Parameters!$B:$B,MATCH(AR$3,Parameters!$A:$A,0))*(AQ198)</f>
        <v>0</v>
      </c>
      <c r="AS198" s="205">
        <f>IF(E198="straal access",'EDC Minus'!$H$192,IF(Q198&lt;&gt;"nvt",Q198*S198*'EDC Minus'!$H$292/590,0))</f>
        <v>0</v>
      </c>
      <c r="AT198" s="139"/>
      <c r="AU198" s="150">
        <f t="shared" si="388"/>
        <v>121.28</v>
      </c>
      <c r="AV198" s="150">
        <f t="shared" si="389"/>
        <v>128.36333333333334</v>
      </c>
      <c r="AX198" s="526">
        <f>Parameters!$B$6*AV198</f>
        <v>1.2836333333333334</v>
      </c>
      <c r="AY198" s="150">
        <v>0</v>
      </c>
      <c r="AZ198" s="150"/>
      <c r="BA198" s="150">
        <f t="shared" si="390"/>
        <v>1.2836333333333334</v>
      </c>
      <c r="BC198" s="522">
        <f t="shared" si="391"/>
        <v>129.64696666666669</v>
      </c>
      <c r="BD198" s="175"/>
      <c r="BE198" s="527">
        <f t="shared" si="392"/>
        <v>887.01969999999994</v>
      </c>
      <c r="BF198" s="181">
        <f t="shared" si="393"/>
        <v>0.8724783934426229</v>
      </c>
      <c r="BG198" s="520" t="b">
        <f t="shared" si="394"/>
        <v>0</v>
      </c>
      <c r="BI198" s="528" t="s">
        <v>2181</v>
      </c>
      <c r="BK198" s="151">
        <f>VLOOKUP(J198,'Tarieven ZM'!$B$136:$I$235,8,0)</f>
        <v>0</v>
      </c>
      <c r="BL198" s="151" t="str">
        <f>IF(M198="EoK",N198&amp;"AdvancedNLS type 1/2/3",IF(E198&lt;&gt;"Straal Access",INDEX(Mapping!J:J,MATCH(E198&amp;G198,Mapping!B:B,0)),E198))</f>
        <v>Copper Standard Access 20Mbit/sAdvancedNLS type 1/2/3</v>
      </c>
      <c r="BM198" s="184">
        <f>INDEX('inkoop ULL tbv EVPN'!J:J,MATCH($BL198,'inkoop ULL tbv EVPN'!$H:$H,0))</f>
        <v>78.97</v>
      </c>
      <c r="BN198" s="180">
        <f>BM198/INDEX(Parameters!$B:$B,MATCH("AfschrijftermijnVVE"&amp;12*$C198,Parameters!$A:$A,0))</f>
        <v>1.3161666666666667</v>
      </c>
      <c r="BO198" s="184">
        <f>INDEX('inkoop ULL tbv EVPN'!I:I,MATCH($BL198,'inkoop ULL tbv EVPN'!$H:$H,0))</f>
        <v>14.7296035</v>
      </c>
      <c r="BP198" s="184">
        <f t="shared" si="395"/>
        <v>16.045770166666667</v>
      </c>
      <c r="BR198" s="180">
        <f>Parameters!$B$12*AG198</f>
        <v>101.66666666666667</v>
      </c>
      <c r="BS198" s="180">
        <f>SUM(Distributievergoedingen!$F$12,Distributievergoedingen!$I$12,Distributievergoedingen!$L$12,Distributievergoedingen!$O$12)*AF198+SUM(Distributievergoedingen!$O$12*AA198+Distributievergoedingen!$R$12+Distributievergoedingen!$U$12+Distributievergoedingen!$X$12)/(MAX(36,12*C198))</f>
        <v>111.66666666666667</v>
      </c>
      <c r="BT198" s="150"/>
      <c r="BU198" s="150">
        <f t="shared" si="396"/>
        <v>213.33333333333334</v>
      </c>
      <c r="BW198" s="522">
        <f t="shared" si="397"/>
        <v>229.37910350000001</v>
      </c>
      <c r="BY198" s="527">
        <f t="shared" si="398"/>
        <v>787.28756316666659</v>
      </c>
      <c r="BZ198" s="181">
        <f t="shared" si="399"/>
        <v>0.77438120967213109</v>
      </c>
      <c r="CA198" s="520" t="b">
        <f t="shared" si="400"/>
        <v>0</v>
      </c>
    </row>
    <row r="199" spans="1:79" s="151" customFormat="1">
      <c r="A199" s="151" t="str">
        <f t="shared" si="401"/>
        <v>5EoKStandard Access koper 3mbMiddelOn-net (NLS1, 2)</v>
      </c>
      <c r="B199" s="151" t="str">
        <f t="shared" si="402"/>
        <v>5EoKStandard Access koper 3mbMiddelOn-net (NLS1, 2)</v>
      </c>
      <c r="C199" s="178">
        <v>5</v>
      </c>
      <c r="D199" s="415" t="s">
        <v>303</v>
      </c>
      <c r="E199" s="178" t="s">
        <v>268</v>
      </c>
      <c r="F199" s="107" t="s">
        <v>280</v>
      </c>
      <c r="G199" s="178" t="s">
        <v>281</v>
      </c>
      <c r="J199" s="520" t="str">
        <f t="shared" ref="J199:J213" si="403">D199&amp;E199&amp;F199&amp;G199</f>
        <v>EoKStandard Access koper 3mbMiddelOn-net (NLS1, 2)</v>
      </c>
      <c r="L199" s="204">
        <f>INDEX(Mapping!$H:$H,MATCH(C$3&amp;C199,Mapping!$B:$B,0))</f>
        <v>1</v>
      </c>
      <c r="M199" s="204" t="str">
        <f>INDEX(Mapping!$H:$H,MATCH(D$3&amp;D199,Mapping!$B:$B,0))</f>
        <v>EoK</v>
      </c>
      <c r="N199" s="204" t="str">
        <f>INDEX(Mapping!$H:$H,MATCH(E$3&amp;E199,Mapping!$B:$B,0))</f>
        <v>Copper Standard Access 3Mbit/s</v>
      </c>
      <c r="O199" s="204" t="str">
        <f>INDEX(Mapping!$H:$H,MATCH(E199&amp;F199,Mapping!$B:$B,0))</f>
        <v/>
      </c>
      <c r="P199" s="204" t="str">
        <f>INDEX(Mapping!$H:$H,MATCH($E199&amp;$G199,Mapping!$B:$B,0))</f>
        <v>On-net (NLS1, 2)</v>
      </c>
      <c r="Q199" s="204">
        <f>INDEX(Mapping!$H:$H,MATCH($E199&amp;$G199&amp;"graafafstand",Mapping!$B:$B,0))</f>
        <v>0</v>
      </c>
      <c r="R199" s="204">
        <f>INDEX(Mapping!$H:$H,MATCH(R$3&amp;$E199,Mapping!$B:$B,0))</f>
        <v>1</v>
      </c>
      <c r="S199" s="204">
        <f>INDEX(Mapping!$H:$H,MATCH(S$3&amp;$E199,Mapping!$B:$B,0))</f>
        <v>1</v>
      </c>
      <c r="T199" s="139" t="str">
        <f t="shared" ref="T199:T213" si="404">N199&amp;O199&amp;P199</f>
        <v>Copper Standard Access 3Mbit/sOn-net (NLS1, 2)</v>
      </c>
      <c r="U199" s="151" t="str">
        <f t="shared" ref="U199:U213" si="405">T199</f>
        <v>Copper Standard Access 3Mbit/sOn-net (NLS1, 2)</v>
      </c>
      <c r="W199" s="521">
        <f>MATCH($J199,'Tarieven ZM'!$B:$B,0)</f>
        <v>154</v>
      </c>
      <c r="X199" s="204">
        <f>INDEX('Tarieven ZM'!$H:$H,$W199)</f>
        <v>1000</v>
      </c>
      <c r="Y199" s="198">
        <f>IF(E199="Standard Access in ZG BT gebieden",0,-INDEX(Parameters!$B:$B,MATCH(Y$3&amp;$C199,Parameters!$A:$A,0))*$X199)</f>
        <v>0</v>
      </c>
      <c r="Z199" s="198">
        <f>IF(E199="Standard Access in ZG BT gebieden",0,MAX(-INDEX(Parameters!$B:$B,MATCH(Z$3&amp;$C199,Parameters!$A:$A,0))*$X199,-INDEX(Parameters!$B:$B,MATCH("FactorMaxSalesMandaat"&amp;E199,Parameters!$A:$A,0))*INDEX(Parameters!$B:$B,MATCH("MaxSalesMandaatAccessVVE"&amp;$C199,Parameters!$A:$A,0))))</f>
        <v>0</v>
      </c>
      <c r="AA199" s="139">
        <f t="shared" ref="AA199:AA213" si="406">SUM(X199:Z199)</f>
        <v>1000</v>
      </c>
      <c r="AB199" s="205">
        <f>AA199/INDEX(Parameters!$B:$B,MATCH("AfschrijftermijnVVE"&amp;12*$C199,Parameters!$A:$A,0))</f>
        <v>16.666666666666668</v>
      </c>
      <c r="AC199" s="204">
        <f>INDEX('Tarieven ZM'!$G:$G,$W199)</f>
        <v>1000</v>
      </c>
      <c r="AD199" s="198">
        <f>IF(E199="Standard Access in ZG BT gebieden",0,-INDEX(Parameters!$B:$B,MATCH(AD$3&amp;$C199,Parameters!$A:$A,0))*$AC199)</f>
        <v>0</v>
      </c>
      <c r="AE199" s="198">
        <f>IF(E199="Standard Access in ZG BT gebieden",0,-INDEX(Parameters!$B:$B,MATCH(AE$3,Parameters!$A:$A,0))*$AC199)</f>
        <v>0</v>
      </c>
      <c r="AF199" s="139">
        <f t="shared" ref="AF199:AF213" si="407">SUM(AC199:AE199)</f>
        <v>1000</v>
      </c>
      <c r="AG199" s="522">
        <f t="shared" ref="AG199:AG213" si="408">SUM(AB199,AF199)</f>
        <v>1016.6666666666666</v>
      </c>
      <c r="AH199" s="175"/>
      <c r="AI199" s="523">
        <f>IF(N199&lt;&gt;"nvt",MATCH($T199,'Tarieven W&amp;O'!$B:$B,0),"nvt")</f>
        <v>9</v>
      </c>
      <c r="AJ199" s="205">
        <f>IF(AI199&lt;&gt;"nvt",IF($D199="EoK",INDEX(Parameters!C:C,MATCH("NLSx EoK",Parameters!A:A,0)),INDEX('Tarieven W&amp;O'!$H:$H,$AI199)),0)*R199</f>
        <v>350</v>
      </c>
      <c r="AK199" s="204">
        <f>IF(AI199&lt;&gt;"nvt",INDEX('Tarieven W&amp;O'!$I:$I,$AI199),0)*R199</f>
        <v>75</v>
      </c>
      <c r="AL199" s="524">
        <f>IF(AI199&lt;&gt;"nvt",-INDEX(Parameters!$B:$B,MATCH(AL$3,Parameters!$A:$A,0))*(AJ199+AK199),0)</f>
        <v>0</v>
      </c>
      <c r="AM199" s="525"/>
      <c r="AN199" s="139">
        <f t="shared" ref="AN199:AN213" si="409">SUM(AJ199:AM199)</f>
        <v>425</v>
      </c>
      <c r="AO199" s="205">
        <f>AN199/INDEX(Parameters!$B:$B,MATCH("AfschrijftermijnVVE"&amp;12*$C199,Parameters!$A:$A,0))</f>
        <v>7.083333333333333</v>
      </c>
      <c r="AP199" s="139">
        <f t="shared" ref="AP199:AP213" si="410">AI199</f>
        <v>9</v>
      </c>
      <c r="AQ199" s="526">
        <f>IF(AP199&lt;&gt;"nvt",R199*INDEX('Tarieven W&amp;O'!$G:$G,$AP199),0)</f>
        <v>41.5</v>
      </c>
      <c r="AR199" s="524">
        <f>-INDEX(Parameters!$B:$B,MATCH(AR$3,Parameters!$A:$A,0))*(AQ199)</f>
        <v>0</v>
      </c>
      <c r="AS199" s="205">
        <f>IF(E199="straal access",'EDC Minus'!$H$192,IF(Q199&lt;&gt;"nvt",Q199*S199*'EDC Minus'!$H$292/590,0))</f>
        <v>0</v>
      </c>
      <c r="AT199" s="139"/>
      <c r="AU199" s="150">
        <f t="shared" ref="AU199:AU213" si="411">SUM(AQ199:AT199)</f>
        <v>41.5</v>
      </c>
      <c r="AV199" s="150">
        <f t="shared" ref="AV199:AV213" si="412">SUM(AO199,AU199)</f>
        <v>48.583333333333336</v>
      </c>
      <c r="AX199" s="526">
        <f>Parameters!$B$6*AV199</f>
        <v>0.48583333333333339</v>
      </c>
      <c r="AY199" s="150">
        <v>0</v>
      </c>
      <c r="AZ199" s="150"/>
      <c r="BA199" s="150">
        <f t="shared" ref="BA199:BA213" si="413">SUM(AX199:AZ199)</f>
        <v>0.48583333333333339</v>
      </c>
      <c r="BC199" s="522">
        <f t="shared" ref="BC199:BC213" si="414">SUM(AV199,BA199)</f>
        <v>49.069166666666668</v>
      </c>
      <c r="BD199" s="175"/>
      <c r="BE199" s="527">
        <f t="shared" ref="BE199:BE213" si="415">AG199-BC199</f>
        <v>967.59749999999997</v>
      </c>
      <c r="BF199" s="181">
        <f t="shared" ref="BF199:BF213" si="416">IF(AG199=0,-999%,BE199/AG199)</f>
        <v>0.95173524590163938</v>
      </c>
      <c r="BG199" s="520" t="b">
        <f t="shared" ref="BG199:BG213" si="417">BF199&lt;0</f>
        <v>0</v>
      </c>
      <c r="BI199" s="528" t="s">
        <v>2181</v>
      </c>
      <c r="BK199" s="151">
        <f>VLOOKUP(J199,'Tarieven ZM'!$B$136:$I$235,8,0)</f>
        <v>0</v>
      </c>
      <c r="BL199" s="151" t="str">
        <f>IF(M199="EoK",N199&amp;"AdvancedNLS type 1/2/3",IF(E199&lt;&gt;"Straal Access",INDEX(Mapping!J:J,MATCH(E199&amp;G199,Mapping!B:B,0)),E199))</f>
        <v>Copper Standard Access 3Mbit/sAdvancedNLS type 1/2/3</v>
      </c>
      <c r="BM199" s="184">
        <f>INDEX('inkoop ULL tbv EVPN'!J:J,MATCH($BL199,'inkoop ULL tbv EVPN'!$H:$H,0))</f>
        <v>78.97</v>
      </c>
      <c r="BN199" s="180">
        <f>BM199/INDEX(Parameters!$B:$B,MATCH("AfschrijftermijnVVE"&amp;12*$C199,Parameters!$A:$A,0))</f>
        <v>1.3161666666666667</v>
      </c>
      <c r="BO199" s="184">
        <f>INDEX('inkoop ULL tbv EVPN'!I:I,MATCH($BL199,'inkoop ULL tbv EVPN'!$H:$H,0))</f>
        <v>14.7296035</v>
      </c>
      <c r="BP199" s="184">
        <f t="shared" ref="BP199:BP213" si="418">BN199+BO199</f>
        <v>16.045770166666667</v>
      </c>
      <c r="BR199" s="180">
        <f>Parameters!$B$12*AG199</f>
        <v>101.66666666666667</v>
      </c>
      <c r="BS199" s="180">
        <f>SUM(Distributievergoedingen!$F$12,Distributievergoedingen!$I$12,Distributievergoedingen!$L$12,Distributievergoedingen!$O$12)*AF199+SUM(Distributievergoedingen!$O$12*AA199+Distributievergoedingen!$R$12+Distributievergoedingen!$U$12+Distributievergoedingen!$X$12)/(MAX(36,12*C199))</f>
        <v>111.66666666666667</v>
      </c>
      <c r="BT199" s="150"/>
      <c r="BU199" s="150">
        <f t="shared" ref="BU199:BU213" si="419">SUM(BR199:BT199)</f>
        <v>213.33333333333334</v>
      </c>
      <c r="BW199" s="522">
        <f t="shared" ref="BW199:BW213" si="420">SUM(BP199,BU199)</f>
        <v>229.37910350000001</v>
      </c>
      <c r="BY199" s="527">
        <f t="shared" ref="BY199:BY213" si="421">AG199-BW199</f>
        <v>787.28756316666659</v>
      </c>
      <c r="BZ199" s="181">
        <f t="shared" ref="BZ199:BZ213" si="422">IF(AG199=0,-999%,BY199/AG199)</f>
        <v>0.77438120967213109</v>
      </c>
      <c r="CA199" s="520" t="b">
        <f t="shared" ref="CA199:CA213" si="423">BZ199&lt;0</f>
        <v>0</v>
      </c>
    </row>
    <row r="200" spans="1:79" s="151" customFormat="1">
      <c r="A200" s="151" t="str">
        <f t="shared" si="401"/>
        <v>5EoKStandard Access koper 5mbMiddelOn-net (NLS1, 2)</v>
      </c>
      <c r="B200" s="151" t="str">
        <f t="shared" si="402"/>
        <v>5EoKStandard Access koper 5mbMiddelOn-net (NLS1, 2)</v>
      </c>
      <c r="C200" s="178">
        <v>5</v>
      </c>
      <c r="D200" s="415" t="s">
        <v>303</v>
      </c>
      <c r="E200" s="178" t="s">
        <v>276</v>
      </c>
      <c r="F200" s="107" t="s">
        <v>280</v>
      </c>
      <c r="G200" s="178" t="s">
        <v>281</v>
      </c>
      <c r="J200" s="520" t="str">
        <f t="shared" si="403"/>
        <v>EoKStandard Access koper 5mbMiddelOn-net (NLS1, 2)</v>
      </c>
      <c r="L200" s="204">
        <f>INDEX(Mapping!$H:$H,MATCH(C$3&amp;C200,Mapping!$B:$B,0))</f>
        <v>1</v>
      </c>
      <c r="M200" s="204" t="str">
        <f>INDEX(Mapping!$H:$H,MATCH(D$3&amp;D200,Mapping!$B:$B,0))</f>
        <v>EoK</v>
      </c>
      <c r="N200" s="204" t="str">
        <f>INDEX(Mapping!$H:$H,MATCH(E$3&amp;E200,Mapping!$B:$B,0))</f>
        <v>Copper Standard Access 5Mbit/s</v>
      </c>
      <c r="O200" s="204" t="str">
        <f>INDEX(Mapping!$H:$H,MATCH(E200&amp;F200,Mapping!$B:$B,0))</f>
        <v/>
      </c>
      <c r="P200" s="204" t="str">
        <f>INDEX(Mapping!$H:$H,MATCH($E200&amp;$G200,Mapping!$B:$B,0))</f>
        <v>On-net (NLS1, 2)</v>
      </c>
      <c r="Q200" s="204">
        <f>INDEX(Mapping!$H:$H,MATCH($E200&amp;$G200&amp;"graafafstand",Mapping!$B:$B,0))</f>
        <v>0</v>
      </c>
      <c r="R200" s="204">
        <f>INDEX(Mapping!$H:$H,MATCH(R$3&amp;$E200,Mapping!$B:$B,0))</f>
        <v>1</v>
      </c>
      <c r="S200" s="204">
        <f>INDEX(Mapping!$H:$H,MATCH(S$3&amp;$E200,Mapping!$B:$B,0))</f>
        <v>1</v>
      </c>
      <c r="T200" s="139" t="str">
        <f t="shared" si="404"/>
        <v>Copper Standard Access 5Mbit/sOn-net (NLS1, 2)</v>
      </c>
      <c r="U200" s="151" t="str">
        <f t="shared" si="405"/>
        <v>Copper Standard Access 5Mbit/sOn-net (NLS1, 2)</v>
      </c>
      <c r="W200" s="521">
        <f>MATCH($J200,'Tarieven ZM'!$B:$B,0)</f>
        <v>155</v>
      </c>
      <c r="X200" s="204">
        <f>INDEX('Tarieven ZM'!$H:$H,$W200)</f>
        <v>1000</v>
      </c>
      <c r="Y200" s="198">
        <f>IF(E200="Standard Access in ZG BT gebieden",0,-INDEX(Parameters!$B:$B,MATCH(Y$3&amp;$C200,Parameters!$A:$A,0))*$X200)</f>
        <v>0</v>
      </c>
      <c r="Z200" s="198">
        <f>IF(E200="Standard Access in ZG BT gebieden",0,MAX(-INDEX(Parameters!$B:$B,MATCH(Z$3&amp;$C200,Parameters!$A:$A,0))*$X200,-INDEX(Parameters!$B:$B,MATCH("FactorMaxSalesMandaat"&amp;E200,Parameters!$A:$A,0))*INDEX(Parameters!$B:$B,MATCH("MaxSalesMandaatAccessVVE"&amp;$C200,Parameters!$A:$A,0))))</f>
        <v>0</v>
      </c>
      <c r="AA200" s="139">
        <f t="shared" si="406"/>
        <v>1000</v>
      </c>
      <c r="AB200" s="205">
        <f>AA200/INDEX(Parameters!$B:$B,MATCH("AfschrijftermijnVVE"&amp;12*$C200,Parameters!$A:$A,0))</f>
        <v>16.666666666666668</v>
      </c>
      <c r="AC200" s="204">
        <f>INDEX('Tarieven ZM'!$G:$G,$W200)</f>
        <v>1000</v>
      </c>
      <c r="AD200" s="198">
        <f>IF(E200="Standard Access in ZG BT gebieden",0,-INDEX(Parameters!$B:$B,MATCH(AD$3&amp;$C200,Parameters!$A:$A,0))*$AC200)</f>
        <v>0</v>
      </c>
      <c r="AE200" s="198">
        <f>IF(E200="Standard Access in ZG BT gebieden",0,-INDEX(Parameters!$B:$B,MATCH(AE$3,Parameters!$A:$A,0))*$AC200)</f>
        <v>0</v>
      </c>
      <c r="AF200" s="139">
        <f t="shared" si="407"/>
        <v>1000</v>
      </c>
      <c r="AG200" s="522">
        <f t="shared" si="408"/>
        <v>1016.6666666666666</v>
      </c>
      <c r="AH200" s="175"/>
      <c r="AI200" s="523">
        <f>IF(N200&lt;&gt;"nvt",MATCH($T200,'Tarieven W&amp;O'!$B:$B,0),"nvt")</f>
        <v>10</v>
      </c>
      <c r="AJ200" s="205">
        <f>IF(AI200&lt;&gt;"nvt",IF($D200="EoK",INDEX(Parameters!C:C,MATCH("NLSx EoK",Parameters!A:A,0)),INDEX('Tarieven W&amp;O'!$H:$H,$AI200)),0)*R200</f>
        <v>350</v>
      </c>
      <c r="AK200" s="204">
        <f>IF(AI200&lt;&gt;"nvt",INDEX('Tarieven W&amp;O'!$I:$I,$AI200),0)*R200</f>
        <v>75</v>
      </c>
      <c r="AL200" s="524">
        <f>IF(AI200&lt;&gt;"nvt",-INDEX(Parameters!$B:$B,MATCH(AL$3,Parameters!$A:$A,0))*(AJ200+AK200),0)</f>
        <v>0</v>
      </c>
      <c r="AM200" s="525"/>
      <c r="AN200" s="139">
        <f t="shared" si="409"/>
        <v>425</v>
      </c>
      <c r="AO200" s="205">
        <f>AN200/INDEX(Parameters!$B:$B,MATCH("AfschrijftermijnVVE"&amp;12*$C200,Parameters!$A:$A,0))</f>
        <v>7.083333333333333</v>
      </c>
      <c r="AP200" s="139">
        <f t="shared" si="410"/>
        <v>10</v>
      </c>
      <c r="AQ200" s="526">
        <f>IF(AP200&lt;&gt;"nvt",R200*INDEX('Tarieven W&amp;O'!$G:$G,$AP200),0)</f>
        <v>60.97</v>
      </c>
      <c r="AR200" s="524">
        <f>-INDEX(Parameters!$B:$B,MATCH(AR$3,Parameters!$A:$A,0))*(AQ200)</f>
        <v>0</v>
      </c>
      <c r="AS200" s="205">
        <f>IF(E200="straal access",'EDC Minus'!$H$192,IF(Q200&lt;&gt;"nvt",Q200*S200*'EDC Minus'!$H$292/590,0))</f>
        <v>0</v>
      </c>
      <c r="AT200" s="139"/>
      <c r="AU200" s="150">
        <f t="shared" si="411"/>
        <v>60.97</v>
      </c>
      <c r="AV200" s="150">
        <f t="shared" si="412"/>
        <v>68.053333333333327</v>
      </c>
      <c r="AX200" s="526">
        <f>Parameters!$B$6*AV200</f>
        <v>0.68053333333333332</v>
      </c>
      <c r="AY200" s="150">
        <v>0</v>
      </c>
      <c r="AZ200" s="150"/>
      <c r="BA200" s="150">
        <f t="shared" si="413"/>
        <v>0.68053333333333332</v>
      </c>
      <c r="BC200" s="522">
        <f t="shared" si="414"/>
        <v>68.733866666666657</v>
      </c>
      <c r="BD200" s="175"/>
      <c r="BE200" s="527">
        <f t="shared" si="415"/>
        <v>947.93279999999993</v>
      </c>
      <c r="BF200" s="181">
        <f t="shared" si="416"/>
        <v>0.9323929180327869</v>
      </c>
      <c r="BG200" s="520" t="b">
        <f t="shared" si="417"/>
        <v>0</v>
      </c>
      <c r="BI200" s="528" t="s">
        <v>2181</v>
      </c>
      <c r="BK200" s="151">
        <f>VLOOKUP(J200,'Tarieven ZM'!$B$136:$I$235,8,0)</f>
        <v>0</v>
      </c>
      <c r="BL200" s="151" t="str">
        <f>IF(M200="EoK",N200&amp;"AdvancedNLS type 1/2/3",IF(E200&lt;&gt;"Straal Access",INDEX(Mapping!J:J,MATCH(E200&amp;G200,Mapping!B:B,0)),E200))</f>
        <v>Copper Standard Access 5Mbit/sAdvancedNLS type 1/2/3</v>
      </c>
      <c r="BM200" s="184">
        <f>INDEX('inkoop ULL tbv EVPN'!J:J,MATCH($BL200,'inkoop ULL tbv EVPN'!$H:$H,0))</f>
        <v>78.97</v>
      </c>
      <c r="BN200" s="180">
        <f>BM200/INDEX(Parameters!$B:$B,MATCH("AfschrijftermijnVVE"&amp;12*$C200,Parameters!$A:$A,0))</f>
        <v>1.3161666666666667</v>
      </c>
      <c r="BO200" s="184">
        <f>INDEX('inkoop ULL tbv EVPN'!I:I,MATCH($BL200,'inkoop ULL tbv EVPN'!$H:$H,0))</f>
        <v>14.7296035</v>
      </c>
      <c r="BP200" s="184">
        <f t="shared" si="418"/>
        <v>16.045770166666667</v>
      </c>
      <c r="BR200" s="180">
        <f>Parameters!$B$12*AG200</f>
        <v>101.66666666666667</v>
      </c>
      <c r="BS200" s="180">
        <f>SUM(Distributievergoedingen!$F$12,Distributievergoedingen!$I$12,Distributievergoedingen!$L$12,Distributievergoedingen!$O$12)*AF200+SUM(Distributievergoedingen!$O$12*AA200+Distributievergoedingen!$R$12+Distributievergoedingen!$U$12+Distributievergoedingen!$X$12)/(MAX(36,12*C200))</f>
        <v>111.66666666666667</v>
      </c>
      <c r="BT200" s="150"/>
      <c r="BU200" s="150">
        <f t="shared" si="419"/>
        <v>213.33333333333334</v>
      </c>
      <c r="BW200" s="522">
        <f t="shared" si="420"/>
        <v>229.37910350000001</v>
      </c>
      <c r="BY200" s="527">
        <f t="shared" si="421"/>
        <v>787.28756316666659</v>
      </c>
      <c r="BZ200" s="181">
        <f t="shared" si="422"/>
        <v>0.77438120967213109</v>
      </c>
      <c r="CA200" s="520" t="b">
        <f t="shared" si="423"/>
        <v>0</v>
      </c>
    </row>
    <row r="201" spans="1:79" s="151" customFormat="1">
      <c r="A201" s="151" t="str">
        <f t="shared" si="401"/>
        <v>5EoKStandard Access koper 10mbMiddelOn-net (NLS1, 2)</v>
      </c>
      <c r="B201" s="151" t="str">
        <f t="shared" si="402"/>
        <v>5EoKStandard Access koper 10mbMiddelOn-net (NLS1, 2)</v>
      </c>
      <c r="C201" s="178">
        <v>5</v>
      </c>
      <c r="D201" s="415" t="s">
        <v>303</v>
      </c>
      <c r="E201" s="178" t="s">
        <v>277</v>
      </c>
      <c r="F201" s="107" t="s">
        <v>280</v>
      </c>
      <c r="G201" s="178" t="s">
        <v>281</v>
      </c>
      <c r="J201" s="520" t="str">
        <f t="shared" si="403"/>
        <v>EoKStandard Access koper 10mbMiddelOn-net (NLS1, 2)</v>
      </c>
      <c r="L201" s="204">
        <f>INDEX(Mapping!$H:$H,MATCH(C$3&amp;C201,Mapping!$B:$B,0))</f>
        <v>1</v>
      </c>
      <c r="M201" s="204" t="str">
        <f>INDEX(Mapping!$H:$H,MATCH(D$3&amp;D201,Mapping!$B:$B,0))</f>
        <v>EoK</v>
      </c>
      <c r="N201" s="204" t="str">
        <f>INDEX(Mapping!$H:$H,MATCH(E$3&amp;E201,Mapping!$B:$B,0))</f>
        <v>Copper Standard Access 10Mbit/s</v>
      </c>
      <c r="O201" s="204" t="str">
        <f>INDEX(Mapping!$H:$H,MATCH(E201&amp;F201,Mapping!$B:$B,0))</f>
        <v/>
      </c>
      <c r="P201" s="204" t="str">
        <f>INDEX(Mapping!$H:$H,MATCH($E201&amp;$G201,Mapping!$B:$B,0))</f>
        <v>On-net (NLS1, 2)</v>
      </c>
      <c r="Q201" s="204">
        <f>INDEX(Mapping!$H:$H,MATCH($E201&amp;$G201&amp;"graafafstand",Mapping!$B:$B,0))</f>
        <v>0</v>
      </c>
      <c r="R201" s="204">
        <f>INDEX(Mapping!$H:$H,MATCH(R$3&amp;$E201,Mapping!$B:$B,0))</f>
        <v>1</v>
      </c>
      <c r="S201" s="204">
        <f>INDEX(Mapping!$H:$H,MATCH(S$3&amp;$E201,Mapping!$B:$B,0))</f>
        <v>1</v>
      </c>
      <c r="T201" s="139" t="str">
        <f t="shared" si="404"/>
        <v>Copper Standard Access 10Mbit/sOn-net (NLS1, 2)</v>
      </c>
      <c r="U201" s="151" t="str">
        <f t="shared" si="405"/>
        <v>Copper Standard Access 10Mbit/sOn-net (NLS1, 2)</v>
      </c>
      <c r="W201" s="521">
        <f>MATCH($J201,'Tarieven ZM'!$B:$B,0)</f>
        <v>156</v>
      </c>
      <c r="X201" s="204">
        <f>INDEX('Tarieven ZM'!$H:$H,$W201)</f>
        <v>1000</v>
      </c>
      <c r="Y201" s="198">
        <f>IF(E201="Standard Access in ZG BT gebieden",0,-INDEX(Parameters!$B:$B,MATCH(Y$3&amp;$C201,Parameters!$A:$A,0))*$X201)</f>
        <v>0</v>
      </c>
      <c r="Z201" s="198">
        <f>IF(E201="Standard Access in ZG BT gebieden",0,MAX(-INDEX(Parameters!$B:$B,MATCH(Z$3&amp;$C201,Parameters!$A:$A,0))*$X201,-INDEX(Parameters!$B:$B,MATCH("FactorMaxSalesMandaat"&amp;E201,Parameters!$A:$A,0))*INDEX(Parameters!$B:$B,MATCH("MaxSalesMandaatAccessVVE"&amp;$C201,Parameters!$A:$A,0))))</f>
        <v>0</v>
      </c>
      <c r="AA201" s="139">
        <f t="shared" si="406"/>
        <v>1000</v>
      </c>
      <c r="AB201" s="205">
        <f>AA201/INDEX(Parameters!$B:$B,MATCH("AfschrijftermijnVVE"&amp;12*$C201,Parameters!$A:$A,0))</f>
        <v>16.666666666666668</v>
      </c>
      <c r="AC201" s="204">
        <f>INDEX('Tarieven ZM'!$G:$G,$W201)</f>
        <v>1000</v>
      </c>
      <c r="AD201" s="198">
        <f>IF(E201="Standard Access in ZG BT gebieden",0,-INDEX(Parameters!$B:$B,MATCH(AD$3&amp;$C201,Parameters!$A:$A,0))*$AC201)</f>
        <v>0</v>
      </c>
      <c r="AE201" s="198">
        <f>IF(E201="Standard Access in ZG BT gebieden",0,-INDEX(Parameters!$B:$B,MATCH(AE$3,Parameters!$A:$A,0))*$AC201)</f>
        <v>0</v>
      </c>
      <c r="AF201" s="139">
        <f t="shared" si="407"/>
        <v>1000</v>
      </c>
      <c r="AG201" s="522">
        <f t="shared" si="408"/>
        <v>1016.6666666666666</v>
      </c>
      <c r="AH201" s="175"/>
      <c r="AI201" s="523">
        <f>IF(N201&lt;&gt;"nvt",MATCH($T201,'Tarieven W&amp;O'!$B:$B,0),"nvt")</f>
        <v>11</v>
      </c>
      <c r="AJ201" s="205">
        <f>IF(AI201&lt;&gt;"nvt",IF($D201="EoK",INDEX(Parameters!C:C,MATCH("NLSx EoK",Parameters!A:A,0)),INDEX('Tarieven W&amp;O'!$H:$H,$AI201)),0)*R201</f>
        <v>350</v>
      </c>
      <c r="AK201" s="204">
        <f>IF(AI201&lt;&gt;"nvt",INDEX('Tarieven W&amp;O'!$I:$I,$AI201),0)*R201</f>
        <v>75</v>
      </c>
      <c r="AL201" s="524">
        <f>IF(AI201&lt;&gt;"nvt",-INDEX(Parameters!$B:$B,MATCH(AL$3,Parameters!$A:$A,0))*(AJ201+AK201),0)</f>
        <v>0</v>
      </c>
      <c r="AM201" s="525"/>
      <c r="AN201" s="139">
        <f t="shared" si="409"/>
        <v>425</v>
      </c>
      <c r="AO201" s="205">
        <f>AN201/INDEX(Parameters!$B:$B,MATCH("AfschrijftermijnVVE"&amp;12*$C201,Parameters!$A:$A,0))</f>
        <v>7.083333333333333</v>
      </c>
      <c r="AP201" s="139">
        <f t="shared" si="410"/>
        <v>11</v>
      </c>
      <c r="AQ201" s="526">
        <f>IF(AP201&lt;&gt;"nvt",R201*INDEX('Tarieven W&amp;O'!$G:$G,$AP201),0)</f>
        <v>83.59</v>
      </c>
      <c r="AR201" s="524">
        <f>-INDEX(Parameters!$B:$B,MATCH(AR$3,Parameters!$A:$A,0))*(AQ201)</f>
        <v>0</v>
      </c>
      <c r="AS201" s="205">
        <f>IF(E201="straal access",'EDC Minus'!$H$192,IF(Q201&lt;&gt;"nvt",Q201*S201*'EDC Minus'!$H$292/590,0))</f>
        <v>0</v>
      </c>
      <c r="AT201" s="139"/>
      <c r="AU201" s="150">
        <f t="shared" si="411"/>
        <v>83.59</v>
      </c>
      <c r="AV201" s="150">
        <f t="shared" si="412"/>
        <v>90.673333333333332</v>
      </c>
      <c r="AX201" s="526">
        <f>Parameters!$B$6*AV201</f>
        <v>0.90673333333333339</v>
      </c>
      <c r="AY201" s="150">
        <v>0</v>
      </c>
      <c r="AZ201" s="150"/>
      <c r="BA201" s="150">
        <f t="shared" si="413"/>
        <v>0.90673333333333339</v>
      </c>
      <c r="BC201" s="522">
        <f t="shared" si="414"/>
        <v>91.580066666666667</v>
      </c>
      <c r="BD201" s="175"/>
      <c r="BE201" s="527">
        <f t="shared" si="415"/>
        <v>925.08659999999998</v>
      </c>
      <c r="BF201" s="181">
        <f t="shared" si="416"/>
        <v>0.90992124590163936</v>
      </c>
      <c r="BG201" s="520" t="b">
        <f t="shared" si="417"/>
        <v>0</v>
      </c>
      <c r="BI201" s="528" t="s">
        <v>2181</v>
      </c>
      <c r="BK201" s="151">
        <f>VLOOKUP(J201,'Tarieven ZM'!$B$136:$I$235,8,0)</f>
        <v>0</v>
      </c>
      <c r="BL201" s="151" t="str">
        <f>IF(M201="EoK",N201&amp;"AdvancedNLS type 1/2/3",IF(E201&lt;&gt;"Straal Access",INDEX(Mapping!J:J,MATCH(E201&amp;G201,Mapping!B:B,0)),E201))</f>
        <v>Copper Standard Access 10Mbit/sAdvancedNLS type 1/2/3</v>
      </c>
      <c r="BM201" s="184">
        <f>INDEX('inkoop ULL tbv EVPN'!J:J,MATCH($BL201,'inkoop ULL tbv EVPN'!$H:$H,0))</f>
        <v>78.97</v>
      </c>
      <c r="BN201" s="180">
        <f>BM201/INDEX(Parameters!$B:$B,MATCH("AfschrijftermijnVVE"&amp;12*$C201,Parameters!$A:$A,0))</f>
        <v>1.3161666666666667</v>
      </c>
      <c r="BO201" s="184">
        <f>INDEX('inkoop ULL tbv EVPN'!I:I,MATCH($BL201,'inkoop ULL tbv EVPN'!$H:$H,0))</f>
        <v>14.7296035</v>
      </c>
      <c r="BP201" s="184">
        <f t="shared" si="418"/>
        <v>16.045770166666667</v>
      </c>
      <c r="BR201" s="180">
        <f>Parameters!$B$12*AG201</f>
        <v>101.66666666666667</v>
      </c>
      <c r="BS201" s="180">
        <f>SUM(Distributievergoedingen!$F$12,Distributievergoedingen!$I$12,Distributievergoedingen!$L$12,Distributievergoedingen!$O$12)*AF201+SUM(Distributievergoedingen!$O$12*AA201+Distributievergoedingen!$R$12+Distributievergoedingen!$U$12+Distributievergoedingen!$X$12)/(MAX(36,12*C201))</f>
        <v>111.66666666666667</v>
      </c>
      <c r="BT201" s="150"/>
      <c r="BU201" s="150">
        <f t="shared" si="419"/>
        <v>213.33333333333334</v>
      </c>
      <c r="BW201" s="522">
        <f t="shared" si="420"/>
        <v>229.37910350000001</v>
      </c>
      <c r="BY201" s="527">
        <f t="shared" si="421"/>
        <v>787.28756316666659</v>
      </c>
      <c r="BZ201" s="181">
        <f t="shared" si="422"/>
        <v>0.77438120967213109</v>
      </c>
      <c r="CA201" s="520" t="b">
        <f t="shared" si="423"/>
        <v>0</v>
      </c>
    </row>
    <row r="202" spans="1:79" s="151" customFormat="1">
      <c r="A202" s="151" t="str">
        <f t="shared" si="401"/>
        <v>5EoKStandard Access koper 15mbMiddelOn-net (NLS1, 2)</v>
      </c>
      <c r="B202" s="151" t="str">
        <f t="shared" si="402"/>
        <v>5EoKStandard Access koper 15mbMiddelOn-net (NLS1, 2)</v>
      </c>
      <c r="C202" s="178">
        <v>5</v>
      </c>
      <c r="D202" s="415" t="s">
        <v>303</v>
      </c>
      <c r="E202" s="178" t="s">
        <v>278</v>
      </c>
      <c r="F202" s="107" t="s">
        <v>280</v>
      </c>
      <c r="G202" s="178" t="s">
        <v>281</v>
      </c>
      <c r="J202" s="520" t="str">
        <f t="shared" si="403"/>
        <v>EoKStandard Access koper 15mbMiddelOn-net (NLS1, 2)</v>
      </c>
      <c r="L202" s="204">
        <f>INDEX(Mapping!$H:$H,MATCH(C$3&amp;C202,Mapping!$B:$B,0))</f>
        <v>1</v>
      </c>
      <c r="M202" s="204" t="str">
        <f>INDEX(Mapping!$H:$H,MATCH(D$3&amp;D202,Mapping!$B:$B,0))</f>
        <v>EoK</v>
      </c>
      <c r="N202" s="204" t="str">
        <f>INDEX(Mapping!$H:$H,MATCH(E$3&amp;E202,Mapping!$B:$B,0))</f>
        <v>Copper Standard Access 15Mbit/s</v>
      </c>
      <c r="O202" s="204" t="str">
        <f>INDEX(Mapping!$H:$H,MATCH(E202&amp;F202,Mapping!$B:$B,0))</f>
        <v/>
      </c>
      <c r="P202" s="204" t="str">
        <f>INDEX(Mapping!$H:$H,MATCH($E202&amp;$G202,Mapping!$B:$B,0))</f>
        <v>On-net (NLS1, 2)</v>
      </c>
      <c r="Q202" s="204">
        <f>INDEX(Mapping!$H:$H,MATCH($E202&amp;$G202&amp;"graafafstand",Mapping!$B:$B,0))</f>
        <v>0</v>
      </c>
      <c r="R202" s="204">
        <f>INDEX(Mapping!$H:$H,MATCH(R$3&amp;$E202,Mapping!$B:$B,0))</f>
        <v>1</v>
      </c>
      <c r="S202" s="204">
        <f>INDEX(Mapping!$H:$H,MATCH(S$3&amp;$E202,Mapping!$B:$B,0))</f>
        <v>1</v>
      </c>
      <c r="T202" s="139" t="str">
        <f t="shared" si="404"/>
        <v>Copper Standard Access 15Mbit/sOn-net (NLS1, 2)</v>
      </c>
      <c r="U202" s="151" t="str">
        <f t="shared" si="405"/>
        <v>Copper Standard Access 15Mbit/sOn-net (NLS1, 2)</v>
      </c>
      <c r="W202" s="521">
        <f>MATCH($J202,'Tarieven ZM'!$B:$B,0)</f>
        <v>157</v>
      </c>
      <c r="X202" s="204">
        <f>INDEX('Tarieven ZM'!$H:$H,$W202)</f>
        <v>1000</v>
      </c>
      <c r="Y202" s="198">
        <f>IF(E202="Standard Access in ZG BT gebieden",0,-INDEX(Parameters!$B:$B,MATCH(Y$3&amp;$C202,Parameters!$A:$A,0))*$X202)</f>
        <v>0</v>
      </c>
      <c r="Z202" s="198">
        <f>IF(E202="Standard Access in ZG BT gebieden",0,MAX(-INDEX(Parameters!$B:$B,MATCH(Z$3&amp;$C202,Parameters!$A:$A,0))*$X202,-INDEX(Parameters!$B:$B,MATCH("FactorMaxSalesMandaat"&amp;E202,Parameters!$A:$A,0))*INDEX(Parameters!$B:$B,MATCH("MaxSalesMandaatAccessVVE"&amp;$C202,Parameters!$A:$A,0))))</f>
        <v>0</v>
      </c>
      <c r="AA202" s="139">
        <f t="shared" si="406"/>
        <v>1000</v>
      </c>
      <c r="AB202" s="205">
        <f>AA202/INDEX(Parameters!$B:$B,MATCH("AfschrijftermijnVVE"&amp;12*$C202,Parameters!$A:$A,0))</f>
        <v>16.666666666666668</v>
      </c>
      <c r="AC202" s="204">
        <f>INDEX('Tarieven ZM'!$G:$G,$W202)</f>
        <v>1000</v>
      </c>
      <c r="AD202" s="198">
        <f>IF(E202="Standard Access in ZG BT gebieden",0,-INDEX(Parameters!$B:$B,MATCH(AD$3&amp;$C202,Parameters!$A:$A,0))*$AC202)</f>
        <v>0</v>
      </c>
      <c r="AE202" s="198">
        <f>IF(E202="Standard Access in ZG BT gebieden",0,-INDEX(Parameters!$B:$B,MATCH(AE$3,Parameters!$A:$A,0))*$AC202)</f>
        <v>0</v>
      </c>
      <c r="AF202" s="139">
        <f t="shared" si="407"/>
        <v>1000</v>
      </c>
      <c r="AG202" s="522">
        <f t="shared" si="408"/>
        <v>1016.6666666666666</v>
      </c>
      <c r="AH202" s="175"/>
      <c r="AI202" s="523">
        <f>IF(N202&lt;&gt;"nvt",MATCH($T202,'Tarieven W&amp;O'!$B:$B,0),"nvt")</f>
        <v>12</v>
      </c>
      <c r="AJ202" s="205">
        <f>IF(AI202&lt;&gt;"nvt",IF($D202="EoK",INDEX(Parameters!C:C,MATCH("NLSx EoK",Parameters!A:A,0)),INDEX('Tarieven W&amp;O'!$H:$H,$AI202)),0)*R202</f>
        <v>350</v>
      </c>
      <c r="AK202" s="204">
        <f>IF(AI202&lt;&gt;"nvt",INDEX('Tarieven W&amp;O'!$I:$I,$AI202),0)*R202</f>
        <v>75</v>
      </c>
      <c r="AL202" s="524">
        <f>IF(AI202&lt;&gt;"nvt",-INDEX(Parameters!$B:$B,MATCH(AL$3,Parameters!$A:$A,0))*(AJ202+AK202),0)</f>
        <v>0</v>
      </c>
      <c r="AM202" s="525"/>
      <c r="AN202" s="139">
        <f t="shared" si="409"/>
        <v>425</v>
      </c>
      <c r="AO202" s="205">
        <f>AN202/INDEX(Parameters!$B:$B,MATCH("AfschrijftermijnVVE"&amp;12*$C202,Parameters!$A:$A,0))</f>
        <v>7.083333333333333</v>
      </c>
      <c r="AP202" s="139">
        <f t="shared" si="410"/>
        <v>12</v>
      </c>
      <c r="AQ202" s="526">
        <f>IF(AP202&lt;&gt;"nvt",R202*INDEX('Tarieven W&amp;O'!$G:$G,$AP202),0)</f>
        <v>102.44</v>
      </c>
      <c r="AR202" s="524">
        <f>-INDEX(Parameters!$B:$B,MATCH(AR$3,Parameters!$A:$A,0))*(AQ202)</f>
        <v>0</v>
      </c>
      <c r="AS202" s="205">
        <f>IF(E202="straal access",'EDC Minus'!$H$192,IF(Q202&lt;&gt;"nvt",Q202*S202*'EDC Minus'!$H$292/590,0))</f>
        <v>0</v>
      </c>
      <c r="AT202" s="139"/>
      <c r="AU202" s="150">
        <f t="shared" si="411"/>
        <v>102.44</v>
      </c>
      <c r="AV202" s="150">
        <f t="shared" si="412"/>
        <v>109.52333333333333</v>
      </c>
      <c r="AX202" s="526">
        <f>Parameters!$B$6*AV202</f>
        <v>1.0952333333333333</v>
      </c>
      <c r="AY202" s="150">
        <v>0</v>
      </c>
      <c r="AZ202" s="150"/>
      <c r="BA202" s="150">
        <f t="shared" si="413"/>
        <v>1.0952333333333333</v>
      </c>
      <c r="BC202" s="522">
        <f t="shared" si="414"/>
        <v>110.61856666666667</v>
      </c>
      <c r="BD202" s="175"/>
      <c r="BE202" s="527">
        <f t="shared" si="415"/>
        <v>906.04809999999998</v>
      </c>
      <c r="BF202" s="181">
        <f t="shared" si="416"/>
        <v>0.89119485245901642</v>
      </c>
      <c r="BG202" s="520" t="b">
        <f t="shared" si="417"/>
        <v>0</v>
      </c>
      <c r="BI202" s="528" t="s">
        <v>2181</v>
      </c>
      <c r="BK202" s="151">
        <f>VLOOKUP(J202,'Tarieven ZM'!$B$136:$I$235,8,0)</f>
        <v>0</v>
      </c>
      <c r="BL202" s="151" t="str">
        <f>IF(M202="EoK",N202&amp;"AdvancedNLS type 1/2/3",IF(E202&lt;&gt;"Straal Access",INDEX(Mapping!J:J,MATCH(E202&amp;G202,Mapping!B:B,0)),E202))</f>
        <v>Copper Standard Access 15Mbit/sAdvancedNLS type 1/2/3</v>
      </c>
      <c r="BM202" s="184">
        <f>INDEX('inkoop ULL tbv EVPN'!J:J,MATCH($BL202,'inkoop ULL tbv EVPN'!$H:$H,0))</f>
        <v>78.97</v>
      </c>
      <c r="BN202" s="180">
        <f>BM202/INDEX(Parameters!$B:$B,MATCH("AfschrijftermijnVVE"&amp;12*$C202,Parameters!$A:$A,0))</f>
        <v>1.3161666666666667</v>
      </c>
      <c r="BO202" s="184">
        <f>INDEX('inkoop ULL tbv EVPN'!I:I,MATCH($BL202,'inkoop ULL tbv EVPN'!$H:$H,0))</f>
        <v>14.7296035</v>
      </c>
      <c r="BP202" s="184">
        <f t="shared" si="418"/>
        <v>16.045770166666667</v>
      </c>
      <c r="BR202" s="180">
        <f>Parameters!$B$12*AG202</f>
        <v>101.66666666666667</v>
      </c>
      <c r="BS202" s="180">
        <f>SUM(Distributievergoedingen!$F$12,Distributievergoedingen!$I$12,Distributievergoedingen!$L$12,Distributievergoedingen!$O$12)*AF202+SUM(Distributievergoedingen!$O$12*AA202+Distributievergoedingen!$R$12+Distributievergoedingen!$U$12+Distributievergoedingen!$X$12)/(MAX(36,12*C202))</f>
        <v>111.66666666666667</v>
      </c>
      <c r="BT202" s="150"/>
      <c r="BU202" s="150">
        <f t="shared" si="419"/>
        <v>213.33333333333334</v>
      </c>
      <c r="BW202" s="522">
        <f t="shared" si="420"/>
        <v>229.37910350000001</v>
      </c>
      <c r="BY202" s="527">
        <f t="shared" si="421"/>
        <v>787.28756316666659</v>
      </c>
      <c r="BZ202" s="181">
        <f t="shared" si="422"/>
        <v>0.77438120967213109</v>
      </c>
      <c r="CA202" s="520" t="b">
        <f t="shared" si="423"/>
        <v>0</v>
      </c>
    </row>
    <row r="203" spans="1:79" s="151" customFormat="1">
      <c r="A203" s="151" t="str">
        <f t="shared" si="401"/>
        <v>5EoKStandard Access koper 20mbMiddelOn-net (NLS1, 2)</v>
      </c>
      <c r="B203" s="151" t="str">
        <f t="shared" si="402"/>
        <v>5EoKStandard Access koper 20mbMiddelOn-net (NLS1, 2)</v>
      </c>
      <c r="C203" s="178">
        <v>5</v>
      </c>
      <c r="D203" s="415" t="s">
        <v>303</v>
      </c>
      <c r="E203" s="178" t="s">
        <v>279</v>
      </c>
      <c r="F203" s="107" t="s">
        <v>280</v>
      </c>
      <c r="G203" s="178" t="s">
        <v>281</v>
      </c>
      <c r="J203" s="520" t="str">
        <f t="shared" si="403"/>
        <v>EoKStandard Access koper 20mbMiddelOn-net (NLS1, 2)</v>
      </c>
      <c r="L203" s="204">
        <f>INDEX(Mapping!$H:$H,MATCH(C$3&amp;C203,Mapping!$B:$B,0))</f>
        <v>1</v>
      </c>
      <c r="M203" s="204" t="str">
        <f>INDEX(Mapping!$H:$H,MATCH(D$3&amp;D203,Mapping!$B:$B,0))</f>
        <v>EoK</v>
      </c>
      <c r="N203" s="204" t="str">
        <f>INDEX(Mapping!$H:$H,MATCH(E$3&amp;E203,Mapping!$B:$B,0))</f>
        <v>Copper Standard Access 20Mbit/s</v>
      </c>
      <c r="O203" s="204" t="str">
        <f>INDEX(Mapping!$H:$H,MATCH(E203&amp;F203,Mapping!$B:$B,0))</f>
        <v/>
      </c>
      <c r="P203" s="204" t="str">
        <f>INDEX(Mapping!$H:$H,MATCH($E203&amp;$G203,Mapping!$B:$B,0))</f>
        <v>On-net (NLS1, 2)</v>
      </c>
      <c r="Q203" s="204">
        <f>INDEX(Mapping!$H:$H,MATCH($E203&amp;$G203&amp;"graafafstand",Mapping!$B:$B,0))</f>
        <v>0</v>
      </c>
      <c r="R203" s="204">
        <f>INDEX(Mapping!$H:$H,MATCH(R$3&amp;$E203,Mapping!$B:$B,0))</f>
        <v>1</v>
      </c>
      <c r="S203" s="204">
        <f>INDEX(Mapping!$H:$H,MATCH(S$3&amp;$E203,Mapping!$B:$B,0))</f>
        <v>1</v>
      </c>
      <c r="T203" s="139" t="str">
        <f t="shared" si="404"/>
        <v>Copper Standard Access 20Mbit/sOn-net (NLS1, 2)</v>
      </c>
      <c r="U203" s="151" t="str">
        <f t="shared" si="405"/>
        <v>Copper Standard Access 20Mbit/sOn-net (NLS1, 2)</v>
      </c>
      <c r="W203" s="521">
        <f>MATCH($J203,'Tarieven ZM'!$B:$B,0)</f>
        <v>158</v>
      </c>
      <c r="X203" s="204">
        <f>INDEX('Tarieven ZM'!$H:$H,$W203)</f>
        <v>1000</v>
      </c>
      <c r="Y203" s="198">
        <f>IF(E203="Standard Access in ZG BT gebieden",0,-INDEX(Parameters!$B:$B,MATCH(Y$3&amp;$C203,Parameters!$A:$A,0))*$X203)</f>
        <v>0</v>
      </c>
      <c r="Z203" s="198">
        <f>IF(E203="Standard Access in ZG BT gebieden",0,MAX(-INDEX(Parameters!$B:$B,MATCH(Z$3&amp;$C203,Parameters!$A:$A,0))*$X203,-INDEX(Parameters!$B:$B,MATCH("FactorMaxSalesMandaat"&amp;E203,Parameters!$A:$A,0))*INDEX(Parameters!$B:$B,MATCH("MaxSalesMandaatAccessVVE"&amp;$C203,Parameters!$A:$A,0))))</f>
        <v>0</v>
      </c>
      <c r="AA203" s="139">
        <f t="shared" si="406"/>
        <v>1000</v>
      </c>
      <c r="AB203" s="205">
        <f>AA203/INDEX(Parameters!$B:$B,MATCH("AfschrijftermijnVVE"&amp;12*$C203,Parameters!$A:$A,0))</f>
        <v>16.666666666666668</v>
      </c>
      <c r="AC203" s="204">
        <f>INDEX('Tarieven ZM'!$G:$G,$W203)</f>
        <v>1000</v>
      </c>
      <c r="AD203" s="198">
        <f>IF(E203="Standard Access in ZG BT gebieden",0,-INDEX(Parameters!$B:$B,MATCH(AD$3&amp;$C203,Parameters!$A:$A,0))*$AC203)</f>
        <v>0</v>
      </c>
      <c r="AE203" s="198">
        <f>IF(E203="Standard Access in ZG BT gebieden",0,-INDEX(Parameters!$B:$B,MATCH(AE$3,Parameters!$A:$A,0))*$AC203)</f>
        <v>0</v>
      </c>
      <c r="AF203" s="139">
        <f t="shared" si="407"/>
        <v>1000</v>
      </c>
      <c r="AG203" s="522">
        <f t="shared" si="408"/>
        <v>1016.6666666666666</v>
      </c>
      <c r="AH203" s="175"/>
      <c r="AI203" s="523">
        <f>IF(N203&lt;&gt;"nvt",MATCH($T203,'Tarieven W&amp;O'!$B:$B,0),"nvt")</f>
        <v>13</v>
      </c>
      <c r="AJ203" s="205">
        <f>IF(AI203&lt;&gt;"nvt",IF($D203="EoK",INDEX(Parameters!C:C,MATCH("NLSx EoK",Parameters!A:A,0)),INDEX('Tarieven W&amp;O'!$H:$H,$AI203)),0)*R203</f>
        <v>350</v>
      </c>
      <c r="AK203" s="204">
        <f>IF(AI203&lt;&gt;"nvt",INDEX('Tarieven W&amp;O'!$I:$I,$AI203),0)*R203</f>
        <v>75</v>
      </c>
      <c r="AL203" s="524">
        <f>IF(AI203&lt;&gt;"nvt",-INDEX(Parameters!$B:$B,MATCH(AL$3,Parameters!$A:$A,0))*(AJ203+AK203),0)</f>
        <v>0</v>
      </c>
      <c r="AM203" s="525"/>
      <c r="AN203" s="139">
        <f t="shared" si="409"/>
        <v>425</v>
      </c>
      <c r="AO203" s="205">
        <f>AN203/INDEX(Parameters!$B:$B,MATCH("AfschrijftermijnVVE"&amp;12*$C203,Parameters!$A:$A,0))</f>
        <v>7.083333333333333</v>
      </c>
      <c r="AP203" s="139">
        <f t="shared" si="410"/>
        <v>13</v>
      </c>
      <c r="AQ203" s="526">
        <f>IF(AP203&lt;&gt;"nvt",R203*INDEX('Tarieven W&amp;O'!$G:$G,$AP203),0)</f>
        <v>121.28</v>
      </c>
      <c r="AR203" s="524">
        <f>-INDEX(Parameters!$B:$B,MATCH(AR$3,Parameters!$A:$A,0))*(AQ203)</f>
        <v>0</v>
      </c>
      <c r="AS203" s="205">
        <f>IF(E203="straal access",'EDC Minus'!$H$192,IF(Q203&lt;&gt;"nvt",Q203*S203*'EDC Minus'!$H$292/590,0))</f>
        <v>0</v>
      </c>
      <c r="AT203" s="139"/>
      <c r="AU203" s="150">
        <f t="shared" si="411"/>
        <v>121.28</v>
      </c>
      <c r="AV203" s="150">
        <f t="shared" si="412"/>
        <v>128.36333333333334</v>
      </c>
      <c r="AX203" s="526">
        <f>Parameters!$B$6*AV203</f>
        <v>1.2836333333333334</v>
      </c>
      <c r="AY203" s="150">
        <v>0</v>
      </c>
      <c r="AZ203" s="150"/>
      <c r="BA203" s="150">
        <f t="shared" si="413"/>
        <v>1.2836333333333334</v>
      </c>
      <c r="BC203" s="522">
        <f t="shared" si="414"/>
        <v>129.64696666666669</v>
      </c>
      <c r="BD203" s="175"/>
      <c r="BE203" s="527">
        <f t="shared" si="415"/>
        <v>887.01969999999994</v>
      </c>
      <c r="BF203" s="181">
        <f t="shared" si="416"/>
        <v>0.8724783934426229</v>
      </c>
      <c r="BG203" s="520" t="b">
        <f t="shared" si="417"/>
        <v>0</v>
      </c>
      <c r="BI203" s="528" t="s">
        <v>2181</v>
      </c>
      <c r="BK203" s="151">
        <f>VLOOKUP(J203,'Tarieven ZM'!$B$136:$I$235,8,0)</f>
        <v>0</v>
      </c>
      <c r="BL203" s="151" t="str">
        <f>IF(M203="EoK",N203&amp;"AdvancedNLS type 1/2/3",IF(E203&lt;&gt;"Straal Access",INDEX(Mapping!J:J,MATCH(E203&amp;G203,Mapping!B:B,0)),E203))</f>
        <v>Copper Standard Access 20Mbit/sAdvancedNLS type 1/2/3</v>
      </c>
      <c r="BM203" s="184">
        <f>INDEX('inkoop ULL tbv EVPN'!J:J,MATCH($BL203,'inkoop ULL tbv EVPN'!$H:$H,0))</f>
        <v>78.97</v>
      </c>
      <c r="BN203" s="180">
        <f>BM203/INDEX(Parameters!$B:$B,MATCH("AfschrijftermijnVVE"&amp;12*$C203,Parameters!$A:$A,0))</f>
        <v>1.3161666666666667</v>
      </c>
      <c r="BO203" s="184">
        <f>INDEX('inkoop ULL tbv EVPN'!I:I,MATCH($BL203,'inkoop ULL tbv EVPN'!$H:$H,0))</f>
        <v>14.7296035</v>
      </c>
      <c r="BP203" s="184">
        <f t="shared" si="418"/>
        <v>16.045770166666667</v>
      </c>
      <c r="BR203" s="180">
        <f>Parameters!$B$12*AG203</f>
        <v>101.66666666666667</v>
      </c>
      <c r="BS203" s="180">
        <f>SUM(Distributievergoedingen!$F$12,Distributievergoedingen!$I$12,Distributievergoedingen!$L$12,Distributievergoedingen!$O$12)*AF203+SUM(Distributievergoedingen!$O$12*AA203+Distributievergoedingen!$R$12+Distributievergoedingen!$U$12+Distributievergoedingen!$X$12)/(MAX(36,12*C203))</f>
        <v>111.66666666666667</v>
      </c>
      <c r="BT203" s="150"/>
      <c r="BU203" s="150">
        <f t="shared" si="419"/>
        <v>213.33333333333334</v>
      </c>
      <c r="BW203" s="522">
        <f t="shared" si="420"/>
        <v>229.37910350000001</v>
      </c>
      <c r="BY203" s="527">
        <f t="shared" si="421"/>
        <v>787.28756316666659</v>
      </c>
      <c r="BZ203" s="181">
        <f t="shared" si="422"/>
        <v>0.77438120967213109</v>
      </c>
      <c r="CA203" s="520" t="b">
        <f t="shared" si="423"/>
        <v>0</v>
      </c>
    </row>
    <row r="204" spans="1:79" s="151" customFormat="1">
      <c r="A204" s="151" t="str">
        <f t="shared" si="401"/>
        <v>5EoKStandard Access koper 3mbMiddelOn-net (NLS3)</v>
      </c>
      <c r="B204" s="151" t="str">
        <f t="shared" si="402"/>
        <v>5EoKStandard Access koper 3mbMiddelOn-net (NLS3)</v>
      </c>
      <c r="C204" s="178">
        <v>5</v>
      </c>
      <c r="D204" s="415" t="s">
        <v>303</v>
      </c>
      <c r="E204" s="178" t="s">
        <v>268</v>
      </c>
      <c r="F204" s="107" t="s">
        <v>280</v>
      </c>
      <c r="G204" s="178" t="s">
        <v>3398</v>
      </c>
      <c r="J204" s="520" t="str">
        <f t="shared" si="403"/>
        <v>EoKStandard Access koper 3mbMiddelOn-net (NLS3)</v>
      </c>
      <c r="L204" s="204">
        <f>INDEX(Mapping!$H:$H,MATCH(C$3&amp;C204,Mapping!$B:$B,0))</f>
        <v>1</v>
      </c>
      <c r="M204" s="204" t="str">
        <f>INDEX(Mapping!$H:$H,MATCH(D$3&amp;D204,Mapping!$B:$B,0))</f>
        <v>EoK</v>
      </c>
      <c r="N204" s="204" t="str">
        <f>INDEX(Mapping!$H:$H,MATCH(E$3&amp;E204,Mapping!$B:$B,0))</f>
        <v>Copper Standard Access 3Mbit/s</v>
      </c>
      <c r="O204" s="204" t="str">
        <f>INDEX(Mapping!$H:$H,MATCH(E204&amp;F204,Mapping!$B:$B,0))</f>
        <v/>
      </c>
      <c r="P204" s="204" t="str">
        <f>INDEX(Mapping!$H:$H,MATCH($E204&amp;$G204,Mapping!$B:$B,0))</f>
        <v>On-net (NLS3)</v>
      </c>
      <c r="Q204" s="204" t="str">
        <f>INDEX(Mapping!$H:$H,MATCH($E204&amp;$G204&amp;"graafafstand",Mapping!$B:$B,0))</f>
        <v>nvt</v>
      </c>
      <c r="R204" s="204">
        <f>INDEX(Mapping!$H:$H,MATCH(R$3&amp;$E204,Mapping!$B:$B,0))</f>
        <v>1</v>
      </c>
      <c r="S204" s="204">
        <f>INDEX(Mapping!$H:$H,MATCH(S$3&amp;$E204,Mapping!$B:$B,0))</f>
        <v>1</v>
      </c>
      <c r="T204" s="139" t="str">
        <f t="shared" si="404"/>
        <v>Copper Standard Access 3Mbit/sOn-net (NLS3)</v>
      </c>
      <c r="U204" s="151" t="str">
        <f t="shared" si="405"/>
        <v>Copper Standard Access 3Mbit/sOn-net (NLS3)</v>
      </c>
      <c r="W204" s="521">
        <f>MATCH($J204,'Tarieven ZM'!$B:$B,0)</f>
        <v>161</v>
      </c>
      <c r="X204" s="204">
        <f>INDEX('Tarieven ZM'!$H:$H,$W204)</f>
        <v>1000</v>
      </c>
      <c r="Y204" s="198">
        <f>IF(E204="Standard Access in ZG BT gebieden",0,-INDEX(Parameters!$B:$B,MATCH(Y$3&amp;$C204,Parameters!$A:$A,0))*$X204)</f>
        <v>0</v>
      </c>
      <c r="Z204" s="198">
        <f>IF(E204="Standard Access in ZG BT gebieden",0,MAX(-INDEX(Parameters!$B:$B,MATCH(Z$3&amp;$C204,Parameters!$A:$A,0))*$X204,-INDEX(Parameters!$B:$B,MATCH("FactorMaxSalesMandaat"&amp;E204,Parameters!$A:$A,0))*INDEX(Parameters!$B:$B,MATCH("MaxSalesMandaatAccessVVE"&amp;$C204,Parameters!$A:$A,0))))</f>
        <v>0</v>
      </c>
      <c r="AA204" s="139">
        <f t="shared" si="406"/>
        <v>1000</v>
      </c>
      <c r="AB204" s="205">
        <f>AA204/INDEX(Parameters!$B:$B,MATCH("AfschrijftermijnVVE"&amp;12*$C204,Parameters!$A:$A,0))</f>
        <v>16.666666666666668</v>
      </c>
      <c r="AC204" s="204">
        <f>INDEX('Tarieven ZM'!$G:$G,$W204)</f>
        <v>1000</v>
      </c>
      <c r="AD204" s="198">
        <f>IF(E204="Standard Access in ZG BT gebieden",0,-INDEX(Parameters!$B:$B,MATCH(AD$3&amp;$C204,Parameters!$A:$A,0))*$AC204)</f>
        <v>0</v>
      </c>
      <c r="AE204" s="198">
        <f>IF(E204="Standard Access in ZG BT gebieden",0,-INDEX(Parameters!$B:$B,MATCH(AE$3,Parameters!$A:$A,0))*$AC204)</f>
        <v>0</v>
      </c>
      <c r="AF204" s="139">
        <f t="shared" si="407"/>
        <v>1000</v>
      </c>
      <c r="AG204" s="522">
        <f t="shared" si="408"/>
        <v>1016.6666666666666</v>
      </c>
      <c r="AH204" s="175"/>
      <c r="AI204" s="523">
        <f>IF(N204&lt;&gt;"nvt",MATCH($T204,'Tarieven W&amp;O'!$B:$B,0),"nvt")</f>
        <v>16</v>
      </c>
      <c r="AJ204" s="205">
        <f>IF(AI204&lt;&gt;"nvt",IF($D204="EoK",INDEX(Parameters!C:C,MATCH("NLSx EoK",Parameters!A:A,0)),INDEX('Tarieven W&amp;O'!$H:$H,$AI204)),0)*R204</f>
        <v>350</v>
      </c>
      <c r="AK204" s="204">
        <f>IF(AI204&lt;&gt;"nvt",INDEX('Tarieven W&amp;O'!$I:$I,$AI204),0)*R204</f>
        <v>75</v>
      </c>
      <c r="AL204" s="524">
        <f>IF(AI204&lt;&gt;"nvt",-INDEX(Parameters!$B:$B,MATCH(AL$3,Parameters!$A:$A,0))*(AJ204+AK204),0)</f>
        <v>0</v>
      </c>
      <c r="AM204" s="525"/>
      <c r="AN204" s="139">
        <f t="shared" si="409"/>
        <v>425</v>
      </c>
      <c r="AO204" s="205">
        <f>AN204/INDEX(Parameters!$B:$B,MATCH("AfschrijftermijnVVE"&amp;12*$C204,Parameters!$A:$A,0))</f>
        <v>7.083333333333333</v>
      </c>
      <c r="AP204" s="139">
        <f t="shared" si="410"/>
        <v>16</v>
      </c>
      <c r="AQ204" s="526">
        <f>IF(AP204&lt;&gt;"nvt",R204*INDEX('Tarieven W&amp;O'!$G:$G,$AP204),0)</f>
        <v>41.5</v>
      </c>
      <c r="AR204" s="524">
        <f>-INDEX(Parameters!$B:$B,MATCH(AR$3,Parameters!$A:$A,0))*(AQ204)</f>
        <v>0</v>
      </c>
      <c r="AS204" s="205">
        <f>IF(E204="straal access",'EDC Minus'!$H$192,IF(Q204&lt;&gt;"nvt",Q204*S204*'EDC Minus'!$H$292/590,0))</f>
        <v>0</v>
      </c>
      <c r="AT204" s="139"/>
      <c r="AU204" s="150">
        <f t="shared" si="411"/>
        <v>41.5</v>
      </c>
      <c r="AV204" s="150">
        <f t="shared" si="412"/>
        <v>48.583333333333336</v>
      </c>
      <c r="AX204" s="526">
        <f>Parameters!$B$6*AV204</f>
        <v>0.48583333333333339</v>
      </c>
      <c r="AY204" s="150">
        <v>0</v>
      </c>
      <c r="AZ204" s="150"/>
      <c r="BA204" s="150">
        <f t="shared" si="413"/>
        <v>0.48583333333333339</v>
      </c>
      <c r="BC204" s="522">
        <f t="shared" si="414"/>
        <v>49.069166666666668</v>
      </c>
      <c r="BD204" s="175"/>
      <c r="BE204" s="527">
        <f t="shared" si="415"/>
        <v>967.59749999999997</v>
      </c>
      <c r="BF204" s="181">
        <f t="shared" si="416"/>
        <v>0.95173524590163938</v>
      </c>
      <c r="BG204" s="520" t="b">
        <f t="shared" si="417"/>
        <v>0</v>
      </c>
      <c r="BI204" s="528" t="s">
        <v>2181</v>
      </c>
      <c r="BK204" s="151">
        <f>VLOOKUP(J204,'Tarieven ZM'!$B$136:$I$235,8,0)</f>
        <v>0</v>
      </c>
      <c r="BL204" s="151" t="str">
        <f>IF(M204="EoK",N204&amp;"AdvancedNLS type 1/2/3",IF(E204&lt;&gt;"Straal Access",INDEX(Mapping!J:J,MATCH(E204&amp;G204,Mapping!B:B,0)),E204))</f>
        <v>Copper Standard Access 3Mbit/sAdvancedNLS type 1/2/3</v>
      </c>
      <c r="BM204" s="184">
        <f>INDEX('inkoop ULL tbv EVPN'!J:J,MATCH($BL204,'inkoop ULL tbv EVPN'!$H:$H,0))</f>
        <v>78.97</v>
      </c>
      <c r="BN204" s="180">
        <f>BM204/INDEX(Parameters!$B:$B,MATCH("AfschrijftermijnVVE"&amp;12*$C204,Parameters!$A:$A,0))</f>
        <v>1.3161666666666667</v>
      </c>
      <c r="BO204" s="184">
        <f>INDEX('inkoop ULL tbv EVPN'!I:I,MATCH($BL204,'inkoop ULL tbv EVPN'!$H:$H,0))</f>
        <v>14.7296035</v>
      </c>
      <c r="BP204" s="184">
        <f t="shared" si="418"/>
        <v>16.045770166666667</v>
      </c>
      <c r="BR204" s="180">
        <f>Parameters!$B$12*AG204</f>
        <v>101.66666666666667</v>
      </c>
      <c r="BS204" s="180">
        <f>SUM(Distributievergoedingen!$F$12,Distributievergoedingen!$I$12,Distributievergoedingen!$L$12,Distributievergoedingen!$O$12)*AF204+SUM(Distributievergoedingen!$O$12*AA204+Distributievergoedingen!$R$12+Distributievergoedingen!$U$12+Distributievergoedingen!$X$12)/(MAX(36,12*C204))</f>
        <v>111.66666666666667</v>
      </c>
      <c r="BT204" s="150"/>
      <c r="BU204" s="150">
        <f t="shared" si="419"/>
        <v>213.33333333333334</v>
      </c>
      <c r="BW204" s="522">
        <f t="shared" si="420"/>
        <v>229.37910350000001</v>
      </c>
      <c r="BY204" s="527">
        <f t="shared" si="421"/>
        <v>787.28756316666659</v>
      </c>
      <c r="BZ204" s="181">
        <f t="shared" si="422"/>
        <v>0.77438120967213109</v>
      </c>
      <c r="CA204" s="520" t="b">
        <f t="shared" si="423"/>
        <v>0</v>
      </c>
    </row>
    <row r="205" spans="1:79" s="151" customFormat="1">
      <c r="A205" s="151" t="str">
        <f t="shared" si="401"/>
        <v>5EoKStandard Access koper 5mbMiddelOn-net (NLS3)</v>
      </c>
      <c r="B205" s="151" t="str">
        <f t="shared" si="402"/>
        <v>5EoKStandard Access koper 5mbMiddelOn-net (NLS3)</v>
      </c>
      <c r="C205" s="178">
        <v>5</v>
      </c>
      <c r="D205" s="415" t="s">
        <v>303</v>
      </c>
      <c r="E205" s="178" t="s">
        <v>276</v>
      </c>
      <c r="F205" s="107" t="s">
        <v>280</v>
      </c>
      <c r="G205" s="178" t="s">
        <v>3398</v>
      </c>
      <c r="J205" s="520" t="str">
        <f t="shared" si="403"/>
        <v>EoKStandard Access koper 5mbMiddelOn-net (NLS3)</v>
      </c>
      <c r="L205" s="204">
        <f>INDEX(Mapping!$H:$H,MATCH(C$3&amp;C205,Mapping!$B:$B,0))</f>
        <v>1</v>
      </c>
      <c r="M205" s="204" t="str">
        <f>INDEX(Mapping!$H:$H,MATCH(D$3&amp;D205,Mapping!$B:$B,0))</f>
        <v>EoK</v>
      </c>
      <c r="N205" s="204" t="str">
        <f>INDEX(Mapping!$H:$H,MATCH(E$3&amp;E205,Mapping!$B:$B,0))</f>
        <v>Copper Standard Access 5Mbit/s</v>
      </c>
      <c r="O205" s="204" t="str">
        <f>INDEX(Mapping!$H:$H,MATCH(E205&amp;F205,Mapping!$B:$B,0))</f>
        <v/>
      </c>
      <c r="P205" s="204" t="str">
        <f>INDEX(Mapping!$H:$H,MATCH($E205&amp;$G205,Mapping!$B:$B,0))</f>
        <v>On-net (NLS3)</v>
      </c>
      <c r="Q205" s="204" t="str">
        <f>INDEX(Mapping!$H:$H,MATCH($E205&amp;$G205&amp;"graafafstand",Mapping!$B:$B,0))</f>
        <v>nvt</v>
      </c>
      <c r="R205" s="204">
        <f>INDEX(Mapping!$H:$H,MATCH(R$3&amp;$E205,Mapping!$B:$B,0))</f>
        <v>1</v>
      </c>
      <c r="S205" s="204">
        <f>INDEX(Mapping!$H:$H,MATCH(S$3&amp;$E205,Mapping!$B:$B,0))</f>
        <v>1</v>
      </c>
      <c r="T205" s="139" t="str">
        <f t="shared" si="404"/>
        <v>Copper Standard Access 5Mbit/sOn-net (NLS3)</v>
      </c>
      <c r="U205" s="151" t="str">
        <f t="shared" si="405"/>
        <v>Copper Standard Access 5Mbit/sOn-net (NLS3)</v>
      </c>
      <c r="W205" s="521">
        <f>MATCH($J205,'Tarieven ZM'!$B:$B,0)</f>
        <v>162</v>
      </c>
      <c r="X205" s="204">
        <f>INDEX('Tarieven ZM'!$H:$H,$W205)</f>
        <v>1000</v>
      </c>
      <c r="Y205" s="198">
        <f>IF(E205="Standard Access in ZG BT gebieden",0,-INDEX(Parameters!$B:$B,MATCH(Y$3&amp;$C205,Parameters!$A:$A,0))*$X205)</f>
        <v>0</v>
      </c>
      <c r="Z205" s="198">
        <f>IF(E205="Standard Access in ZG BT gebieden",0,MAX(-INDEX(Parameters!$B:$B,MATCH(Z$3&amp;$C205,Parameters!$A:$A,0))*$X205,-INDEX(Parameters!$B:$B,MATCH("FactorMaxSalesMandaat"&amp;E205,Parameters!$A:$A,0))*INDEX(Parameters!$B:$B,MATCH("MaxSalesMandaatAccessVVE"&amp;$C205,Parameters!$A:$A,0))))</f>
        <v>0</v>
      </c>
      <c r="AA205" s="139">
        <f t="shared" si="406"/>
        <v>1000</v>
      </c>
      <c r="AB205" s="205">
        <f>AA205/INDEX(Parameters!$B:$B,MATCH("AfschrijftermijnVVE"&amp;12*$C205,Parameters!$A:$A,0))</f>
        <v>16.666666666666668</v>
      </c>
      <c r="AC205" s="204">
        <f>INDEX('Tarieven ZM'!$G:$G,$W205)</f>
        <v>1000</v>
      </c>
      <c r="AD205" s="198">
        <f>IF(E205="Standard Access in ZG BT gebieden",0,-INDEX(Parameters!$B:$B,MATCH(AD$3&amp;$C205,Parameters!$A:$A,0))*$AC205)</f>
        <v>0</v>
      </c>
      <c r="AE205" s="198">
        <f>IF(E205="Standard Access in ZG BT gebieden",0,-INDEX(Parameters!$B:$B,MATCH(AE$3,Parameters!$A:$A,0))*$AC205)</f>
        <v>0</v>
      </c>
      <c r="AF205" s="139">
        <f t="shared" si="407"/>
        <v>1000</v>
      </c>
      <c r="AG205" s="522">
        <f t="shared" si="408"/>
        <v>1016.6666666666666</v>
      </c>
      <c r="AH205" s="175"/>
      <c r="AI205" s="523">
        <f>IF(N205&lt;&gt;"nvt",MATCH($T205,'Tarieven W&amp;O'!$B:$B,0),"nvt")</f>
        <v>17</v>
      </c>
      <c r="AJ205" s="205">
        <f>IF(AI205&lt;&gt;"nvt",IF($D205="EoK",INDEX(Parameters!C:C,MATCH("NLSx EoK",Parameters!A:A,0)),INDEX('Tarieven W&amp;O'!$H:$H,$AI205)),0)*R205</f>
        <v>350</v>
      </c>
      <c r="AK205" s="204">
        <f>IF(AI205&lt;&gt;"nvt",INDEX('Tarieven W&amp;O'!$I:$I,$AI205),0)*R205</f>
        <v>75</v>
      </c>
      <c r="AL205" s="524">
        <f>IF(AI205&lt;&gt;"nvt",-INDEX(Parameters!$B:$B,MATCH(AL$3,Parameters!$A:$A,0))*(AJ205+AK205),0)</f>
        <v>0</v>
      </c>
      <c r="AM205" s="525"/>
      <c r="AN205" s="139">
        <f t="shared" si="409"/>
        <v>425</v>
      </c>
      <c r="AO205" s="205">
        <f>AN205/INDEX(Parameters!$B:$B,MATCH("AfschrijftermijnVVE"&amp;12*$C205,Parameters!$A:$A,0))</f>
        <v>7.083333333333333</v>
      </c>
      <c r="AP205" s="139">
        <f t="shared" si="410"/>
        <v>17</v>
      </c>
      <c r="AQ205" s="526">
        <f>IF(AP205&lt;&gt;"nvt",R205*INDEX('Tarieven W&amp;O'!$G:$G,$AP205),0)</f>
        <v>60.97</v>
      </c>
      <c r="AR205" s="524">
        <f>-INDEX(Parameters!$B:$B,MATCH(AR$3,Parameters!$A:$A,0))*(AQ205)</f>
        <v>0</v>
      </c>
      <c r="AS205" s="205">
        <f>IF(E205="straal access",'EDC Minus'!$H$192,IF(Q205&lt;&gt;"nvt",Q205*S205*'EDC Minus'!$H$292/590,0))</f>
        <v>0</v>
      </c>
      <c r="AT205" s="139"/>
      <c r="AU205" s="150">
        <f t="shared" si="411"/>
        <v>60.97</v>
      </c>
      <c r="AV205" s="150">
        <f t="shared" si="412"/>
        <v>68.053333333333327</v>
      </c>
      <c r="AX205" s="526">
        <f>Parameters!$B$6*AV205</f>
        <v>0.68053333333333332</v>
      </c>
      <c r="AY205" s="150">
        <v>0</v>
      </c>
      <c r="AZ205" s="150"/>
      <c r="BA205" s="150">
        <f t="shared" si="413"/>
        <v>0.68053333333333332</v>
      </c>
      <c r="BC205" s="522">
        <f t="shared" si="414"/>
        <v>68.733866666666657</v>
      </c>
      <c r="BD205" s="175"/>
      <c r="BE205" s="527">
        <f t="shared" si="415"/>
        <v>947.93279999999993</v>
      </c>
      <c r="BF205" s="181">
        <f t="shared" si="416"/>
        <v>0.9323929180327869</v>
      </c>
      <c r="BG205" s="520" t="b">
        <f t="shared" si="417"/>
        <v>0</v>
      </c>
      <c r="BI205" s="528" t="s">
        <v>2181</v>
      </c>
      <c r="BK205" s="151">
        <f>VLOOKUP(J205,'Tarieven ZM'!$B$136:$I$235,8,0)</f>
        <v>0</v>
      </c>
      <c r="BL205" s="151" t="str">
        <f>IF(M205="EoK",N205&amp;"AdvancedNLS type 1/2/3",IF(E205&lt;&gt;"Straal Access",INDEX(Mapping!J:J,MATCH(E205&amp;G205,Mapping!B:B,0)),E205))</f>
        <v>Copper Standard Access 5Mbit/sAdvancedNLS type 1/2/3</v>
      </c>
      <c r="BM205" s="184">
        <f>INDEX('inkoop ULL tbv EVPN'!J:J,MATCH($BL205,'inkoop ULL tbv EVPN'!$H:$H,0))</f>
        <v>78.97</v>
      </c>
      <c r="BN205" s="180">
        <f>BM205/INDEX(Parameters!$B:$B,MATCH("AfschrijftermijnVVE"&amp;12*$C205,Parameters!$A:$A,0))</f>
        <v>1.3161666666666667</v>
      </c>
      <c r="BO205" s="184">
        <f>INDEX('inkoop ULL tbv EVPN'!I:I,MATCH($BL205,'inkoop ULL tbv EVPN'!$H:$H,0))</f>
        <v>14.7296035</v>
      </c>
      <c r="BP205" s="184">
        <f t="shared" si="418"/>
        <v>16.045770166666667</v>
      </c>
      <c r="BR205" s="180">
        <f>Parameters!$B$12*AG205</f>
        <v>101.66666666666667</v>
      </c>
      <c r="BS205" s="180">
        <f>SUM(Distributievergoedingen!$F$12,Distributievergoedingen!$I$12,Distributievergoedingen!$L$12,Distributievergoedingen!$O$12)*AF205+SUM(Distributievergoedingen!$O$12*AA205+Distributievergoedingen!$R$12+Distributievergoedingen!$U$12+Distributievergoedingen!$X$12)/(MAX(36,12*C205))</f>
        <v>111.66666666666667</v>
      </c>
      <c r="BT205" s="150"/>
      <c r="BU205" s="150">
        <f t="shared" si="419"/>
        <v>213.33333333333334</v>
      </c>
      <c r="BW205" s="522">
        <f t="shared" si="420"/>
        <v>229.37910350000001</v>
      </c>
      <c r="BY205" s="527">
        <f t="shared" si="421"/>
        <v>787.28756316666659</v>
      </c>
      <c r="BZ205" s="181">
        <f t="shared" si="422"/>
        <v>0.77438120967213109</v>
      </c>
      <c r="CA205" s="520" t="b">
        <f t="shared" si="423"/>
        <v>0</v>
      </c>
    </row>
    <row r="206" spans="1:79" s="151" customFormat="1">
      <c r="A206" s="151" t="str">
        <f t="shared" si="401"/>
        <v>5EoKStandard Access koper 10mbMiddelOn-net (NLS3)</v>
      </c>
      <c r="B206" s="151" t="str">
        <f t="shared" si="402"/>
        <v>5EoKStandard Access koper 10mbMiddelOn-net (NLS3)</v>
      </c>
      <c r="C206" s="178">
        <v>5</v>
      </c>
      <c r="D206" s="415" t="s">
        <v>303</v>
      </c>
      <c r="E206" s="178" t="s">
        <v>277</v>
      </c>
      <c r="F206" s="107" t="s">
        <v>280</v>
      </c>
      <c r="G206" s="178" t="s">
        <v>3398</v>
      </c>
      <c r="J206" s="520" t="str">
        <f t="shared" si="403"/>
        <v>EoKStandard Access koper 10mbMiddelOn-net (NLS3)</v>
      </c>
      <c r="L206" s="204">
        <f>INDEX(Mapping!$H:$H,MATCH(C$3&amp;C206,Mapping!$B:$B,0))</f>
        <v>1</v>
      </c>
      <c r="M206" s="204" t="str">
        <f>INDEX(Mapping!$H:$H,MATCH(D$3&amp;D206,Mapping!$B:$B,0))</f>
        <v>EoK</v>
      </c>
      <c r="N206" s="204" t="str">
        <f>INDEX(Mapping!$H:$H,MATCH(E$3&amp;E206,Mapping!$B:$B,0))</f>
        <v>Copper Standard Access 10Mbit/s</v>
      </c>
      <c r="O206" s="204" t="str">
        <f>INDEX(Mapping!$H:$H,MATCH(E206&amp;F206,Mapping!$B:$B,0))</f>
        <v/>
      </c>
      <c r="P206" s="204" t="str">
        <f>INDEX(Mapping!$H:$H,MATCH($E206&amp;$G206,Mapping!$B:$B,0))</f>
        <v>On-net (NLS3)</v>
      </c>
      <c r="Q206" s="204" t="str">
        <f>INDEX(Mapping!$H:$H,MATCH($E206&amp;$G206&amp;"graafafstand",Mapping!$B:$B,0))</f>
        <v>nvt</v>
      </c>
      <c r="R206" s="204">
        <f>INDEX(Mapping!$H:$H,MATCH(R$3&amp;$E206,Mapping!$B:$B,0))</f>
        <v>1</v>
      </c>
      <c r="S206" s="204">
        <f>INDEX(Mapping!$H:$H,MATCH(S$3&amp;$E206,Mapping!$B:$B,0))</f>
        <v>1</v>
      </c>
      <c r="T206" s="139" t="str">
        <f t="shared" si="404"/>
        <v>Copper Standard Access 10Mbit/sOn-net (NLS3)</v>
      </c>
      <c r="U206" s="151" t="str">
        <f t="shared" si="405"/>
        <v>Copper Standard Access 10Mbit/sOn-net (NLS3)</v>
      </c>
      <c r="W206" s="521">
        <f>MATCH($J206,'Tarieven ZM'!$B:$B,0)</f>
        <v>163</v>
      </c>
      <c r="X206" s="204">
        <f>INDEX('Tarieven ZM'!$H:$H,$W206)</f>
        <v>1000</v>
      </c>
      <c r="Y206" s="198">
        <f>IF(E206="Standard Access in ZG BT gebieden",0,-INDEX(Parameters!$B:$B,MATCH(Y$3&amp;$C206,Parameters!$A:$A,0))*$X206)</f>
        <v>0</v>
      </c>
      <c r="Z206" s="198">
        <f>IF(E206="Standard Access in ZG BT gebieden",0,MAX(-INDEX(Parameters!$B:$B,MATCH(Z$3&amp;$C206,Parameters!$A:$A,0))*$X206,-INDEX(Parameters!$B:$B,MATCH("FactorMaxSalesMandaat"&amp;E206,Parameters!$A:$A,0))*INDEX(Parameters!$B:$B,MATCH("MaxSalesMandaatAccessVVE"&amp;$C206,Parameters!$A:$A,0))))</f>
        <v>0</v>
      </c>
      <c r="AA206" s="139">
        <f t="shared" si="406"/>
        <v>1000</v>
      </c>
      <c r="AB206" s="205">
        <f>AA206/INDEX(Parameters!$B:$B,MATCH("AfschrijftermijnVVE"&amp;12*$C206,Parameters!$A:$A,0))</f>
        <v>16.666666666666668</v>
      </c>
      <c r="AC206" s="204">
        <f>INDEX('Tarieven ZM'!$G:$G,$W206)</f>
        <v>1000</v>
      </c>
      <c r="AD206" s="198">
        <f>IF(E206="Standard Access in ZG BT gebieden",0,-INDEX(Parameters!$B:$B,MATCH(AD$3&amp;$C206,Parameters!$A:$A,0))*$AC206)</f>
        <v>0</v>
      </c>
      <c r="AE206" s="198">
        <f>IF(E206="Standard Access in ZG BT gebieden",0,-INDEX(Parameters!$B:$B,MATCH(AE$3,Parameters!$A:$A,0))*$AC206)</f>
        <v>0</v>
      </c>
      <c r="AF206" s="139">
        <f t="shared" si="407"/>
        <v>1000</v>
      </c>
      <c r="AG206" s="522">
        <f t="shared" si="408"/>
        <v>1016.6666666666666</v>
      </c>
      <c r="AH206" s="175"/>
      <c r="AI206" s="523">
        <f>IF(N206&lt;&gt;"nvt",MATCH($T206,'Tarieven W&amp;O'!$B:$B,0),"nvt")</f>
        <v>18</v>
      </c>
      <c r="AJ206" s="205">
        <f>IF(AI206&lt;&gt;"nvt",IF($D206="EoK",INDEX(Parameters!C:C,MATCH("NLSx EoK",Parameters!A:A,0)),INDEX('Tarieven W&amp;O'!$H:$H,$AI206)),0)*R206</f>
        <v>350</v>
      </c>
      <c r="AK206" s="204">
        <f>IF(AI206&lt;&gt;"nvt",INDEX('Tarieven W&amp;O'!$I:$I,$AI206),0)*R206</f>
        <v>75</v>
      </c>
      <c r="AL206" s="524">
        <f>IF(AI206&lt;&gt;"nvt",-INDEX(Parameters!$B:$B,MATCH(AL$3,Parameters!$A:$A,0))*(AJ206+AK206),0)</f>
        <v>0</v>
      </c>
      <c r="AM206" s="525"/>
      <c r="AN206" s="139">
        <f t="shared" si="409"/>
        <v>425</v>
      </c>
      <c r="AO206" s="205">
        <f>AN206/INDEX(Parameters!$B:$B,MATCH("AfschrijftermijnVVE"&amp;12*$C206,Parameters!$A:$A,0))</f>
        <v>7.083333333333333</v>
      </c>
      <c r="AP206" s="139">
        <f t="shared" si="410"/>
        <v>18</v>
      </c>
      <c r="AQ206" s="526">
        <f>IF(AP206&lt;&gt;"nvt",R206*INDEX('Tarieven W&amp;O'!$G:$G,$AP206),0)</f>
        <v>83.59</v>
      </c>
      <c r="AR206" s="524">
        <f>-INDEX(Parameters!$B:$B,MATCH(AR$3,Parameters!$A:$A,0))*(AQ206)</f>
        <v>0</v>
      </c>
      <c r="AS206" s="205">
        <f>IF(E206="straal access",'EDC Minus'!$H$192,IF(Q206&lt;&gt;"nvt",Q206*S206*'EDC Minus'!$H$292/590,0))</f>
        <v>0</v>
      </c>
      <c r="AT206" s="139"/>
      <c r="AU206" s="150">
        <f t="shared" si="411"/>
        <v>83.59</v>
      </c>
      <c r="AV206" s="150">
        <f t="shared" si="412"/>
        <v>90.673333333333332</v>
      </c>
      <c r="AX206" s="526">
        <f>Parameters!$B$6*AV206</f>
        <v>0.90673333333333339</v>
      </c>
      <c r="AY206" s="150">
        <v>0</v>
      </c>
      <c r="AZ206" s="150"/>
      <c r="BA206" s="150">
        <f t="shared" si="413"/>
        <v>0.90673333333333339</v>
      </c>
      <c r="BC206" s="522">
        <f t="shared" si="414"/>
        <v>91.580066666666667</v>
      </c>
      <c r="BD206" s="175"/>
      <c r="BE206" s="527">
        <f t="shared" si="415"/>
        <v>925.08659999999998</v>
      </c>
      <c r="BF206" s="181">
        <f t="shared" si="416"/>
        <v>0.90992124590163936</v>
      </c>
      <c r="BG206" s="520" t="b">
        <f t="shared" si="417"/>
        <v>0</v>
      </c>
      <c r="BI206" s="528" t="s">
        <v>2181</v>
      </c>
      <c r="BK206" s="151">
        <f>VLOOKUP(J206,'Tarieven ZM'!$B$136:$I$235,8,0)</f>
        <v>0</v>
      </c>
      <c r="BL206" s="151" t="str">
        <f>IF(M206="EoK",N206&amp;"AdvancedNLS type 1/2/3",IF(E206&lt;&gt;"Straal Access",INDEX(Mapping!J:J,MATCH(E206&amp;G206,Mapping!B:B,0)),E206))</f>
        <v>Copper Standard Access 10Mbit/sAdvancedNLS type 1/2/3</v>
      </c>
      <c r="BM206" s="184">
        <f>INDEX('inkoop ULL tbv EVPN'!J:J,MATCH($BL206,'inkoop ULL tbv EVPN'!$H:$H,0))</f>
        <v>78.97</v>
      </c>
      <c r="BN206" s="180">
        <f>BM206/INDEX(Parameters!$B:$B,MATCH("AfschrijftermijnVVE"&amp;12*$C206,Parameters!$A:$A,0))</f>
        <v>1.3161666666666667</v>
      </c>
      <c r="BO206" s="184">
        <f>INDEX('inkoop ULL tbv EVPN'!I:I,MATCH($BL206,'inkoop ULL tbv EVPN'!$H:$H,0))</f>
        <v>14.7296035</v>
      </c>
      <c r="BP206" s="184">
        <f t="shared" si="418"/>
        <v>16.045770166666667</v>
      </c>
      <c r="BR206" s="180">
        <f>Parameters!$B$12*AG206</f>
        <v>101.66666666666667</v>
      </c>
      <c r="BS206" s="180">
        <f>SUM(Distributievergoedingen!$F$12,Distributievergoedingen!$I$12,Distributievergoedingen!$L$12,Distributievergoedingen!$O$12)*AF206+SUM(Distributievergoedingen!$O$12*AA206+Distributievergoedingen!$R$12+Distributievergoedingen!$U$12+Distributievergoedingen!$X$12)/(MAX(36,12*C206))</f>
        <v>111.66666666666667</v>
      </c>
      <c r="BT206" s="150"/>
      <c r="BU206" s="150">
        <f t="shared" si="419"/>
        <v>213.33333333333334</v>
      </c>
      <c r="BW206" s="522">
        <f t="shared" si="420"/>
        <v>229.37910350000001</v>
      </c>
      <c r="BY206" s="527">
        <f t="shared" si="421"/>
        <v>787.28756316666659</v>
      </c>
      <c r="BZ206" s="181">
        <f t="shared" si="422"/>
        <v>0.77438120967213109</v>
      </c>
      <c r="CA206" s="520" t="b">
        <f t="shared" si="423"/>
        <v>0</v>
      </c>
    </row>
    <row r="207" spans="1:79" s="151" customFormat="1">
      <c r="A207" s="151" t="str">
        <f t="shared" si="401"/>
        <v>5EoKStandard Access koper 15mbMiddelOn-net (NLS3)</v>
      </c>
      <c r="B207" s="151" t="str">
        <f t="shared" si="402"/>
        <v>5EoKStandard Access koper 15mbMiddelOn-net (NLS3)</v>
      </c>
      <c r="C207" s="178">
        <v>5</v>
      </c>
      <c r="D207" s="415" t="s">
        <v>303</v>
      </c>
      <c r="E207" s="178" t="s">
        <v>278</v>
      </c>
      <c r="F207" s="107" t="s">
        <v>280</v>
      </c>
      <c r="G207" s="178" t="s">
        <v>3398</v>
      </c>
      <c r="J207" s="520" t="str">
        <f t="shared" si="403"/>
        <v>EoKStandard Access koper 15mbMiddelOn-net (NLS3)</v>
      </c>
      <c r="L207" s="204">
        <f>INDEX(Mapping!$H:$H,MATCH(C$3&amp;C207,Mapping!$B:$B,0))</f>
        <v>1</v>
      </c>
      <c r="M207" s="204" t="str">
        <f>INDEX(Mapping!$H:$H,MATCH(D$3&amp;D207,Mapping!$B:$B,0))</f>
        <v>EoK</v>
      </c>
      <c r="N207" s="204" t="str">
        <f>INDEX(Mapping!$H:$H,MATCH(E$3&amp;E207,Mapping!$B:$B,0))</f>
        <v>Copper Standard Access 15Mbit/s</v>
      </c>
      <c r="O207" s="204" t="str">
        <f>INDEX(Mapping!$H:$H,MATCH(E207&amp;F207,Mapping!$B:$B,0))</f>
        <v/>
      </c>
      <c r="P207" s="204" t="str">
        <f>INDEX(Mapping!$H:$H,MATCH($E207&amp;$G207,Mapping!$B:$B,0))</f>
        <v>On-net (NLS3)</v>
      </c>
      <c r="Q207" s="204" t="str">
        <f>INDEX(Mapping!$H:$H,MATCH($E207&amp;$G207&amp;"graafafstand",Mapping!$B:$B,0))</f>
        <v>nvt</v>
      </c>
      <c r="R207" s="204">
        <f>INDEX(Mapping!$H:$H,MATCH(R$3&amp;$E207,Mapping!$B:$B,0))</f>
        <v>1</v>
      </c>
      <c r="S207" s="204">
        <f>INDEX(Mapping!$H:$H,MATCH(S$3&amp;$E207,Mapping!$B:$B,0))</f>
        <v>1</v>
      </c>
      <c r="T207" s="139" t="str">
        <f t="shared" si="404"/>
        <v>Copper Standard Access 15Mbit/sOn-net (NLS3)</v>
      </c>
      <c r="U207" s="151" t="str">
        <f t="shared" si="405"/>
        <v>Copper Standard Access 15Mbit/sOn-net (NLS3)</v>
      </c>
      <c r="W207" s="521">
        <f>MATCH($J207,'Tarieven ZM'!$B:$B,0)</f>
        <v>164</v>
      </c>
      <c r="X207" s="204">
        <f>INDEX('Tarieven ZM'!$H:$H,$W207)</f>
        <v>1000</v>
      </c>
      <c r="Y207" s="198">
        <f>IF(E207="Standard Access in ZG BT gebieden",0,-INDEX(Parameters!$B:$B,MATCH(Y$3&amp;$C207,Parameters!$A:$A,0))*$X207)</f>
        <v>0</v>
      </c>
      <c r="Z207" s="198">
        <f>IF(E207="Standard Access in ZG BT gebieden",0,MAX(-INDEX(Parameters!$B:$B,MATCH(Z$3&amp;$C207,Parameters!$A:$A,0))*$X207,-INDEX(Parameters!$B:$B,MATCH("FactorMaxSalesMandaat"&amp;E207,Parameters!$A:$A,0))*INDEX(Parameters!$B:$B,MATCH("MaxSalesMandaatAccessVVE"&amp;$C207,Parameters!$A:$A,0))))</f>
        <v>0</v>
      </c>
      <c r="AA207" s="139">
        <f t="shared" si="406"/>
        <v>1000</v>
      </c>
      <c r="AB207" s="205">
        <f>AA207/INDEX(Parameters!$B:$B,MATCH("AfschrijftermijnVVE"&amp;12*$C207,Parameters!$A:$A,0))</f>
        <v>16.666666666666668</v>
      </c>
      <c r="AC207" s="204">
        <f>INDEX('Tarieven ZM'!$G:$G,$W207)</f>
        <v>1000</v>
      </c>
      <c r="AD207" s="198">
        <f>IF(E207="Standard Access in ZG BT gebieden",0,-INDEX(Parameters!$B:$B,MATCH(AD$3&amp;$C207,Parameters!$A:$A,0))*$AC207)</f>
        <v>0</v>
      </c>
      <c r="AE207" s="198">
        <f>IF(E207="Standard Access in ZG BT gebieden",0,-INDEX(Parameters!$B:$B,MATCH(AE$3,Parameters!$A:$A,0))*$AC207)</f>
        <v>0</v>
      </c>
      <c r="AF207" s="139">
        <f t="shared" si="407"/>
        <v>1000</v>
      </c>
      <c r="AG207" s="522">
        <f t="shared" si="408"/>
        <v>1016.6666666666666</v>
      </c>
      <c r="AH207" s="175"/>
      <c r="AI207" s="523">
        <f>IF(N207&lt;&gt;"nvt",MATCH($T207,'Tarieven W&amp;O'!$B:$B,0),"nvt")</f>
        <v>19</v>
      </c>
      <c r="AJ207" s="205">
        <f>IF(AI207&lt;&gt;"nvt",IF($D207="EoK",INDEX(Parameters!C:C,MATCH("NLSx EoK",Parameters!A:A,0)),INDEX('Tarieven W&amp;O'!$H:$H,$AI207)),0)*R207</f>
        <v>350</v>
      </c>
      <c r="AK207" s="204">
        <f>IF(AI207&lt;&gt;"nvt",INDEX('Tarieven W&amp;O'!$I:$I,$AI207),0)*R207</f>
        <v>75</v>
      </c>
      <c r="AL207" s="524">
        <f>IF(AI207&lt;&gt;"nvt",-INDEX(Parameters!$B:$B,MATCH(AL$3,Parameters!$A:$A,0))*(AJ207+AK207),0)</f>
        <v>0</v>
      </c>
      <c r="AM207" s="525"/>
      <c r="AN207" s="139">
        <f t="shared" si="409"/>
        <v>425</v>
      </c>
      <c r="AO207" s="205">
        <f>AN207/INDEX(Parameters!$B:$B,MATCH("AfschrijftermijnVVE"&amp;12*$C207,Parameters!$A:$A,0))</f>
        <v>7.083333333333333</v>
      </c>
      <c r="AP207" s="139">
        <f t="shared" si="410"/>
        <v>19</v>
      </c>
      <c r="AQ207" s="526">
        <f>IF(AP207&lt;&gt;"nvt",R207*INDEX('Tarieven W&amp;O'!$G:$G,$AP207),0)</f>
        <v>102.44</v>
      </c>
      <c r="AR207" s="524">
        <f>-INDEX(Parameters!$B:$B,MATCH(AR$3,Parameters!$A:$A,0))*(AQ207)</f>
        <v>0</v>
      </c>
      <c r="AS207" s="205">
        <f>IF(E207="straal access",'EDC Minus'!$H$192,IF(Q207&lt;&gt;"nvt",Q207*S207*'EDC Minus'!$H$292/590,0))</f>
        <v>0</v>
      </c>
      <c r="AT207" s="139"/>
      <c r="AU207" s="150">
        <f t="shared" si="411"/>
        <v>102.44</v>
      </c>
      <c r="AV207" s="150">
        <f t="shared" si="412"/>
        <v>109.52333333333333</v>
      </c>
      <c r="AX207" s="526">
        <f>Parameters!$B$6*AV207</f>
        <v>1.0952333333333333</v>
      </c>
      <c r="AY207" s="150">
        <v>0</v>
      </c>
      <c r="AZ207" s="150"/>
      <c r="BA207" s="150">
        <f t="shared" si="413"/>
        <v>1.0952333333333333</v>
      </c>
      <c r="BC207" s="522">
        <f t="shared" si="414"/>
        <v>110.61856666666667</v>
      </c>
      <c r="BD207" s="175"/>
      <c r="BE207" s="527">
        <f t="shared" si="415"/>
        <v>906.04809999999998</v>
      </c>
      <c r="BF207" s="181">
        <f t="shared" si="416"/>
        <v>0.89119485245901642</v>
      </c>
      <c r="BG207" s="520" t="b">
        <f t="shared" si="417"/>
        <v>0</v>
      </c>
      <c r="BI207" s="528" t="s">
        <v>2181</v>
      </c>
      <c r="BK207" s="151">
        <f>VLOOKUP(J207,'Tarieven ZM'!$B$136:$I$235,8,0)</f>
        <v>0</v>
      </c>
      <c r="BL207" s="151" t="str">
        <f>IF(M207="EoK",N207&amp;"AdvancedNLS type 1/2/3",IF(E207&lt;&gt;"Straal Access",INDEX(Mapping!J:J,MATCH(E207&amp;G207,Mapping!B:B,0)),E207))</f>
        <v>Copper Standard Access 15Mbit/sAdvancedNLS type 1/2/3</v>
      </c>
      <c r="BM207" s="184">
        <f>INDEX('inkoop ULL tbv EVPN'!J:J,MATCH($BL207,'inkoop ULL tbv EVPN'!$H:$H,0))</f>
        <v>78.97</v>
      </c>
      <c r="BN207" s="180">
        <f>BM207/INDEX(Parameters!$B:$B,MATCH("AfschrijftermijnVVE"&amp;12*$C207,Parameters!$A:$A,0))</f>
        <v>1.3161666666666667</v>
      </c>
      <c r="BO207" s="184">
        <f>INDEX('inkoop ULL tbv EVPN'!I:I,MATCH($BL207,'inkoop ULL tbv EVPN'!$H:$H,0))</f>
        <v>14.7296035</v>
      </c>
      <c r="BP207" s="184">
        <f t="shared" si="418"/>
        <v>16.045770166666667</v>
      </c>
      <c r="BR207" s="180">
        <f>Parameters!$B$12*AG207</f>
        <v>101.66666666666667</v>
      </c>
      <c r="BS207" s="180">
        <f>SUM(Distributievergoedingen!$F$12,Distributievergoedingen!$I$12,Distributievergoedingen!$L$12,Distributievergoedingen!$O$12)*AF207+SUM(Distributievergoedingen!$O$12*AA207+Distributievergoedingen!$R$12+Distributievergoedingen!$U$12+Distributievergoedingen!$X$12)/(MAX(36,12*C207))</f>
        <v>111.66666666666667</v>
      </c>
      <c r="BT207" s="150"/>
      <c r="BU207" s="150">
        <f t="shared" si="419"/>
        <v>213.33333333333334</v>
      </c>
      <c r="BW207" s="522">
        <f t="shared" si="420"/>
        <v>229.37910350000001</v>
      </c>
      <c r="BY207" s="527">
        <f t="shared" si="421"/>
        <v>787.28756316666659</v>
      </c>
      <c r="BZ207" s="181">
        <f t="shared" si="422"/>
        <v>0.77438120967213109</v>
      </c>
      <c r="CA207" s="520" t="b">
        <f t="shared" si="423"/>
        <v>0</v>
      </c>
    </row>
    <row r="208" spans="1:79" s="151" customFormat="1">
      <c r="A208" s="151" t="str">
        <f t="shared" si="401"/>
        <v>5EoKStandard Access koper 20mbMiddelOn-net (NLS3)</v>
      </c>
      <c r="B208" s="151" t="str">
        <f t="shared" si="402"/>
        <v>5EoKStandard Access koper 20mbMiddelOn-net (NLS3)</v>
      </c>
      <c r="C208" s="178">
        <v>5</v>
      </c>
      <c r="D208" s="415" t="s">
        <v>303</v>
      </c>
      <c r="E208" s="178" t="s">
        <v>279</v>
      </c>
      <c r="F208" s="107" t="s">
        <v>280</v>
      </c>
      <c r="G208" s="178" t="s">
        <v>3398</v>
      </c>
      <c r="J208" s="520" t="str">
        <f t="shared" si="403"/>
        <v>EoKStandard Access koper 20mbMiddelOn-net (NLS3)</v>
      </c>
      <c r="L208" s="204">
        <f>INDEX(Mapping!$H:$H,MATCH(C$3&amp;C208,Mapping!$B:$B,0))</f>
        <v>1</v>
      </c>
      <c r="M208" s="204" t="str">
        <f>INDEX(Mapping!$H:$H,MATCH(D$3&amp;D208,Mapping!$B:$B,0))</f>
        <v>EoK</v>
      </c>
      <c r="N208" s="204" t="str">
        <f>INDEX(Mapping!$H:$H,MATCH(E$3&amp;E208,Mapping!$B:$B,0))</f>
        <v>Copper Standard Access 20Mbit/s</v>
      </c>
      <c r="O208" s="204" t="str">
        <f>INDEX(Mapping!$H:$H,MATCH(E208&amp;F208,Mapping!$B:$B,0))</f>
        <v/>
      </c>
      <c r="P208" s="204" t="str">
        <f>INDEX(Mapping!$H:$H,MATCH($E208&amp;$G208,Mapping!$B:$B,0))</f>
        <v>On-net (NLS3)</v>
      </c>
      <c r="Q208" s="204" t="str">
        <f>INDEX(Mapping!$H:$H,MATCH($E208&amp;$G208&amp;"graafafstand",Mapping!$B:$B,0))</f>
        <v>nvt</v>
      </c>
      <c r="R208" s="204">
        <f>INDEX(Mapping!$H:$H,MATCH(R$3&amp;$E208,Mapping!$B:$B,0))</f>
        <v>1</v>
      </c>
      <c r="S208" s="204">
        <f>INDEX(Mapping!$H:$H,MATCH(S$3&amp;$E208,Mapping!$B:$B,0))</f>
        <v>1</v>
      </c>
      <c r="T208" s="139" t="str">
        <f t="shared" si="404"/>
        <v>Copper Standard Access 20Mbit/sOn-net (NLS3)</v>
      </c>
      <c r="U208" s="151" t="str">
        <f t="shared" si="405"/>
        <v>Copper Standard Access 20Mbit/sOn-net (NLS3)</v>
      </c>
      <c r="W208" s="521">
        <f>MATCH($J208,'Tarieven ZM'!$B:$B,0)</f>
        <v>165</v>
      </c>
      <c r="X208" s="204">
        <f>INDEX('Tarieven ZM'!$H:$H,$W208)</f>
        <v>1000</v>
      </c>
      <c r="Y208" s="198">
        <f>IF(E208="Standard Access in ZG BT gebieden",0,-INDEX(Parameters!$B:$B,MATCH(Y$3&amp;$C208,Parameters!$A:$A,0))*$X208)</f>
        <v>0</v>
      </c>
      <c r="Z208" s="198">
        <f>IF(E208="Standard Access in ZG BT gebieden",0,MAX(-INDEX(Parameters!$B:$B,MATCH(Z$3&amp;$C208,Parameters!$A:$A,0))*$X208,-INDEX(Parameters!$B:$B,MATCH("FactorMaxSalesMandaat"&amp;E208,Parameters!$A:$A,0))*INDEX(Parameters!$B:$B,MATCH("MaxSalesMandaatAccessVVE"&amp;$C208,Parameters!$A:$A,0))))</f>
        <v>0</v>
      </c>
      <c r="AA208" s="139">
        <f t="shared" si="406"/>
        <v>1000</v>
      </c>
      <c r="AB208" s="205">
        <f>AA208/INDEX(Parameters!$B:$B,MATCH("AfschrijftermijnVVE"&amp;12*$C208,Parameters!$A:$A,0))</f>
        <v>16.666666666666668</v>
      </c>
      <c r="AC208" s="204">
        <f>INDEX('Tarieven ZM'!$G:$G,$W208)</f>
        <v>1000</v>
      </c>
      <c r="AD208" s="198">
        <f>IF(E208="Standard Access in ZG BT gebieden",0,-INDEX(Parameters!$B:$B,MATCH(AD$3&amp;$C208,Parameters!$A:$A,0))*$AC208)</f>
        <v>0</v>
      </c>
      <c r="AE208" s="198">
        <f>IF(E208="Standard Access in ZG BT gebieden",0,-INDEX(Parameters!$B:$B,MATCH(AE$3,Parameters!$A:$A,0))*$AC208)</f>
        <v>0</v>
      </c>
      <c r="AF208" s="139">
        <f t="shared" si="407"/>
        <v>1000</v>
      </c>
      <c r="AG208" s="522">
        <f t="shared" si="408"/>
        <v>1016.6666666666666</v>
      </c>
      <c r="AH208" s="175"/>
      <c r="AI208" s="523">
        <f>IF(N208&lt;&gt;"nvt",MATCH($T208,'Tarieven W&amp;O'!$B:$B,0),"nvt")</f>
        <v>20</v>
      </c>
      <c r="AJ208" s="205">
        <f>IF(AI208&lt;&gt;"nvt",IF($D208="EoK",INDEX(Parameters!C:C,MATCH("NLSx EoK",Parameters!A:A,0)),INDEX('Tarieven W&amp;O'!$H:$H,$AI208)),0)*R208</f>
        <v>350</v>
      </c>
      <c r="AK208" s="204">
        <f>IF(AI208&lt;&gt;"nvt",INDEX('Tarieven W&amp;O'!$I:$I,$AI208),0)*R208</f>
        <v>75</v>
      </c>
      <c r="AL208" s="524">
        <f>IF(AI208&lt;&gt;"nvt",-INDEX(Parameters!$B:$B,MATCH(AL$3,Parameters!$A:$A,0))*(AJ208+AK208),0)</f>
        <v>0</v>
      </c>
      <c r="AM208" s="525"/>
      <c r="AN208" s="139">
        <f t="shared" si="409"/>
        <v>425</v>
      </c>
      <c r="AO208" s="205">
        <f>AN208/INDEX(Parameters!$B:$B,MATCH("AfschrijftermijnVVE"&amp;12*$C208,Parameters!$A:$A,0))</f>
        <v>7.083333333333333</v>
      </c>
      <c r="AP208" s="139">
        <f t="shared" si="410"/>
        <v>20</v>
      </c>
      <c r="AQ208" s="526">
        <f>IF(AP208&lt;&gt;"nvt",R208*INDEX('Tarieven W&amp;O'!$G:$G,$AP208),0)</f>
        <v>121.28</v>
      </c>
      <c r="AR208" s="524">
        <f>-INDEX(Parameters!$B:$B,MATCH(AR$3,Parameters!$A:$A,0))*(AQ208)</f>
        <v>0</v>
      </c>
      <c r="AS208" s="205">
        <f>IF(E208="straal access",'EDC Minus'!$H$192,IF(Q208&lt;&gt;"nvt",Q208*S208*'EDC Minus'!$H$292/590,0))</f>
        <v>0</v>
      </c>
      <c r="AT208" s="139"/>
      <c r="AU208" s="150">
        <f t="shared" si="411"/>
        <v>121.28</v>
      </c>
      <c r="AV208" s="150">
        <f t="shared" si="412"/>
        <v>128.36333333333334</v>
      </c>
      <c r="AX208" s="526">
        <f>Parameters!$B$6*AV208</f>
        <v>1.2836333333333334</v>
      </c>
      <c r="AY208" s="150">
        <v>0</v>
      </c>
      <c r="AZ208" s="150"/>
      <c r="BA208" s="150">
        <f t="shared" si="413"/>
        <v>1.2836333333333334</v>
      </c>
      <c r="BC208" s="522">
        <f t="shared" si="414"/>
        <v>129.64696666666669</v>
      </c>
      <c r="BD208" s="175"/>
      <c r="BE208" s="527">
        <f t="shared" si="415"/>
        <v>887.01969999999994</v>
      </c>
      <c r="BF208" s="181">
        <f t="shared" si="416"/>
        <v>0.8724783934426229</v>
      </c>
      <c r="BG208" s="520" t="b">
        <f t="shared" si="417"/>
        <v>0</v>
      </c>
      <c r="BI208" s="528" t="s">
        <v>2181</v>
      </c>
      <c r="BK208" s="151">
        <f>VLOOKUP(J208,'Tarieven ZM'!$B$136:$I$235,8,0)</f>
        <v>0</v>
      </c>
      <c r="BL208" s="151" t="str">
        <f>IF(M208="EoK",N208&amp;"AdvancedNLS type 1/2/3",IF(E208&lt;&gt;"Straal Access",INDEX(Mapping!J:J,MATCH(E208&amp;G208,Mapping!B:B,0)),E208))</f>
        <v>Copper Standard Access 20Mbit/sAdvancedNLS type 1/2/3</v>
      </c>
      <c r="BM208" s="184">
        <f>INDEX('inkoop ULL tbv EVPN'!J:J,MATCH($BL208,'inkoop ULL tbv EVPN'!$H:$H,0))</f>
        <v>78.97</v>
      </c>
      <c r="BN208" s="180">
        <f>BM208/INDEX(Parameters!$B:$B,MATCH("AfschrijftermijnVVE"&amp;12*$C208,Parameters!$A:$A,0))</f>
        <v>1.3161666666666667</v>
      </c>
      <c r="BO208" s="184">
        <f>INDEX('inkoop ULL tbv EVPN'!I:I,MATCH($BL208,'inkoop ULL tbv EVPN'!$H:$H,0))</f>
        <v>14.7296035</v>
      </c>
      <c r="BP208" s="184">
        <f t="shared" si="418"/>
        <v>16.045770166666667</v>
      </c>
      <c r="BR208" s="180">
        <f>Parameters!$B$12*AG208</f>
        <v>101.66666666666667</v>
      </c>
      <c r="BS208" s="180">
        <f>SUM(Distributievergoedingen!$F$12,Distributievergoedingen!$I$12,Distributievergoedingen!$L$12,Distributievergoedingen!$O$12)*AF208+SUM(Distributievergoedingen!$O$12*AA208+Distributievergoedingen!$R$12+Distributievergoedingen!$U$12+Distributievergoedingen!$X$12)/(MAX(36,12*C208))</f>
        <v>111.66666666666667</v>
      </c>
      <c r="BT208" s="150"/>
      <c r="BU208" s="150">
        <f t="shared" si="419"/>
        <v>213.33333333333334</v>
      </c>
      <c r="BW208" s="522">
        <f t="shared" si="420"/>
        <v>229.37910350000001</v>
      </c>
      <c r="BY208" s="527">
        <f t="shared" si="421"/>
        <v>787.28756316666659</v>
      </c>
      <c r="BZ208" s="181">
        <f t="shared" si="422"/>
        <v>0.77438120967213109</v>
      </c>
      <c r="CA208" s="520" t="b">
        <f t="shared" si="423"/>
        <v>0</v>
      </c>
    </row>
    <row r="209" spans="1:79" s="151" customFormat="1">
      <c r="A209" s="151" t="str">
        <f t="shared" ref="A209:A225" si="424">C209&amp;D209&amp;E209&amp;F209&amp;G209</f>
        <v>5EoKStandard Access koper 3mbMiddel&lt; 250 meter</v>
      </c>
      <c r="B209" s="151" t="str">
        <f t="shared" ref="B209:B225" si="425">A209</f>
        <v>5EoKStandard Access koper 3mbMiddel&lt; 250 meter</v>
      </c>
      <c r="C209" s="178">
        <v>5</v>
      </c>
      <c r="D209" s="415" t="s">
        <v>303</v>
      </c>
      <c r="E209" s="178" t="s">
        <v>268</v>
      </c>
      <c r="F209" s="107" t="s">
        <v>280</v>
      </c>
      <c r="G209" s="178" t="s">
        <v>3397</v>
      </c>
      <c r="J209" s="520" t="str">
        <f t="shared" si="403"/>
        <v>EoKStandard Access koper 3mbMiddel&lt; 250 meter</v>
      </c>
      <c r="L209" s="204">
        <f>INDEX(Mapping!$H:$H,MATCH(C$3&amp;C209,Mapping!$B:$B,0))</f>
        <v>1</v>
      </c>
      <c r="M209" s="204" t="str">
        <f>INDEX(Mapping!$H:$H,MATCH(D$3&amp;D209,Mapping!$B:$B,0))</f>
        <v>EoK</v>
      </c>
      <c r="N209" s="204" t="str">
        <f>INDEX(Mapping!$H:$H,MATCH(E$3&amp;E209,Mapping!$B:$B,0))</f>
        <v>Copper Standard Access 3Mbit/s</v>
      </c>
      <c r="O209" s="204" t="str">
        <f>INDEX(Mapping!$H:$H,MATCH(E209&amp;F209,Mapping!$B:$B,0))</f>
        <v/>
      </c>
      <c r="P209" s="204" t="str">
        <f>INDEX(Mapping!$H:$H,MATCH($E209&amp;$G209,Mapping!$B:$B,0))</f>
        <v>Nearnet</v>
      </c>
      <c r="Q209" s="204" t="str">
        <f>INDEX(Mapping!$H:$H,MATCH($E209&amp;$G209&amp;"graafafstand",Mapping!$B:$B,0))</f>
        <v>nvt</v>
      </c>
      <c r="R209" s="204">
        <f>INDEX(Mapping!$H:$H,MATCH(R$3&amp;$E209,Mapping!$B:$B,0))</f>
        <v>1</v>
      </c>
      <c r="S209" s="204">
        <f>INDEX(Mapping!$H:$H,MATCH(S$3&amp;$E209,Mapping!$B:$B,0))</f>
        <v>1</v>
      </c>
      <c r="T209" s="139" t="str">
        <f t="shared" si="404"/>
        <v>Copper Standard Access 3Mbit/sNearnet</v>
      </c>
      <c r="U209" s="151" t="str">
        <f t="shared" si="405"/>
        <v>Copper Standard Access 3Mbit/sNearnet</v>
      </c>
      <c r="W209" s="521">
        <f>MATCH($J209,'Tarieven ZM'!$B:$B,0)</f>
        <v>166</v>
      </c>
      <c r="X209" s="204">
        <f>INDEX('Tarieven ZM'!$H:$H,$W209)</f>
        <v>1000</v>
      </c>
      <c r="Y209" s="198">
        <f>IF(E209="Standard Access in ZG BT gebieden",0,-INDEX(Parameters!$B:$B,MATCH(Y$3&amp;$C209,Parameters!$A:$A,0))*$X209)</f>
        <v>0</v>
      </c>
      <c r="Z209" s="198">
        <f>IF(E209="Standard Access in ZG BT gebieden",0,MAX(-INDEX(Parameters!$B:$B,MATCH(Z$3&amp;$C209,Parameters!$A:$A,0))*$X209,-INDEX(Parameters!$B:$B,MATCH("FactorMaxSalesMandaat"&amp;E209,Parameters!$A:$A,0))*INDEX(Parameters!$B:$B,MATCH("MaxSalesMandaatAccessVVE"&amp;$C209,Parameters!$A:$A,0))))</f>
        <v>0</v>
      </c>
      <c r="AA209" s="139">
        <f t="shared" si="406"/>
        <v>1000</v>
      </c>
      <c r="AB209" s="205">
        <f>AA209/INDEX(Parameters!$B:$B,MATCH("AfschrijftermijnVVE"&amp;12*$C209,Parameters!$A:$A,0))</f>
        <v>16.666666666666668</v>
      </c>
      <c r="AC209" s="204">
        <f>INDEX('Tarieven ZM'!$G:$G,$W209)</f>
        <v>1000</v>
      </c>
      <c r="AD209" s="198">
        <f>IF(E209="Standard Access in ZG BT gebieden",0,-INDEX(Parameters!$B:$B,MATCH(AD$3&amp;$C209,Parameters!$A:$A,0))*$AC209)</f>
        <v>0</v>
      </c>
      <c r="AE209" s="198">
        <f>IF(E209="Standard Access in ZG BT gebieden",0,-INDEX(Parameters!$B:$B,MATCH(AE$3,Parameters!$A:$A,0))*$AC209)</f>
        <v>0</v>
      </c>
      <c r="AF209" s="139">
        <f t="shared" si="407"/>
        <v>1000</v>
      </c>
      <c r="AG209" s="522">
        <f t="shared" si="408"/>
        <v>1016.6666666666666</v>
      </c>
      <c r="AH209" s="175"/>
      <c r="AI209" s="523">
        <f>IF(N209&lt;&gt;"nvt",MATCH($T209,'Tarieven W&amp;O'!$B:$B,0),"nvt")</f>
        <v>23</v>
      </c>
      <c r="AJ209" s="205">
        <f>IF(AI209&lt;&gt;"nvt",IF($D209="EoK",INDEX(Parameters!C:C,MATCH("NLSx EoK",Parameters!A:A,0)),INDEX('Tarieven W&amp;O'!$H:$H,$AI209)),0)*R209</f>
        <v>350</v>
      </c>
      <c r="AK209" s="204">
        <f>IF(AI209&lt;&gt;"nvt",INDEX('Tarieven W&amp;O'!$I:$I,$AI209),0)*R209</f>
        <v>75</v>
      </c>
      <c r="AL209" s="524">
        <f>IF(AI209&lt;&gt;"nvt",-INDEX(Parameters!$B:$B,MATCH(AL$3,Parameters!$A:$A,0))*(AJ209+AK209),0)</f>
        <v>0</v>
      </c>
      <c r="AM209" s="525"/>
      <c r="AN209" s="139">
        <f t="shared" si="409"/>
        <v>425</v>
      </c>
      <c r="AO209" s="205">
        <f>AN209/INDEX(Parameters!$B:$B,MATCH("AfschrijftermijnVVE"&amp;12*$C209,Parameters!$A:$A,0))</f>
        <v>7.083333333333333</v>
      </c>
      <c r="AP209" s="139">
        <f t="shared" si="410"/>
        <v>23</v>
      </c>
      <c r="AQ209" s="526">
        <f>IF(AP209&lt;&gt;"nvt",R209*INDEX('Tarieven W&amp;O'!$G:$G,$AP209),0)</f>
        <v>41.5</v>
      </c>
      <c r="AR209" s="524">
        <f>-INDEX(Parameters!$B:$B,MATCH(AR$3,Parameters!$A:$A,0))*(AQ209)</f>
        <v>0</v>
      </c>
      <c r="AS209" s="205">
        <f>IF(E209="straal access",'EDC Minus'!$H$192,IF(Q209&lt;&gt;"nvt",Q209*S209*'EDC Minus'!$H$292/590,0))</f>
        <v>0</v>
      </c>
      <c r="AT209" s="139"/>
      <c r="AU209" s="150">
        <f t="shared" si="411"/>
        <v>41.5</v>
      </c>
      <c r="AV209" s="150">
        <f t="shared" si="412"/>
        <v>48.583333333333336</v>
      </c>
      <c r="AX209" s="526">
        <f>Parameters!$B$6*AV209</f>
        <v>0.48583333333333339</v>
      </c>
      <c r="AY209" s="150">
        <v>0</v>
      </c>
      <c r="AZ209" s="150"/>
      <c r="BA209" s="150">
        <f t="shared" si="413"/>
        <v>0.48583333333333339</v>
      </c>
      <c r="BC209" s="522">
        <f t="shared" si="414"/>
        <v>49.069166666666668</v>
      </c>
      <c r="BD209" s="175"/>
      <c r="BE209" s="527">
        <f t="shared" si="415"/>
        <v>967.59749999999997</v>
      </c>
      <c r="BF209" s="181">
        <f t="shared" si="416"/>
        <v>0.95173524590163938</v>
      </c>
      <c r="BG209" s="520" t="b">
        <f t="shared" si="417"/>
        <v>0</v>
      </c>
      <c r="BI209" s="528" t="s">
        <v>2181</v>
      </c>
      <c r="BK209" s="151">
        <f>VLOOKUP(J209,'Tarieven ZM'!$B$136:$I$235,8,0)</f>
        <v>0</v>
      </c>
      <c r="BL209" s="151" t="str">
        <f>IF(M209="EoK",N209&amp;"AdvancedNLS type 1/2/3",IF(E209&lt;&gt;"Straal Access",INDEX(Mapping!J:J,MATCH(E209&amp;G209,Mapping!B:B,0)),E209))</f>
        <v>Copper Standard Access 3Mbit/sAdvancedNLS type 1/2/3</v>
      </c>
      <c r="BM209" s="184">
        <f>INDEX('inkoop ULL tbv EVPN'!J:J,MATCH($BL209,'inkoop ULL tbv EVPN'!$H:$H,0))</f>
        <v>78.97</v>
      </c>
      <c r="BN209" s="180">
        <f>BM209/INDEX(Parameters!$B:$B,MATCH("AfschrijftermijnVVE"&amp;12*$C209,Parameters!$A:$A,0))</f>
        <v>1.3161666666666667</v>
      </c>
      <c r="BO209" s="184">
        <f>INDEX('inkoop ULL tbv EVPN'!I:I,MATCH($BL209,'inkoop ULL tbv EVPN'!$H:$H,0))</f>
        <v>14.7296035</v>
      </c>
      <c r="BP209" s="184">
        <f t="shared" si="418"/>
        <v>16.045770166666667</v>
      </c>
      <c r="BR209" s="180">
        <f>Parameters!$B$12*AG209</f>
        <v>101.66666666666667</v>
      </c>
      <c r="BS209" s="180">
        <f>SUM(Distributievergoedingen!$F$12,Distributievergoedingen!$I$12,Distributievergoedingen!$L$12,Distributievergoedingen!$O$12)*AF209+SUM(Distributievergoedingen!$O$12*AA209+Distributievergoedingen!$R$12+Distributievergoedingen!$U$12+Distributievergoedingen!$X$12)/(MAX(36,12*C209))</f>
        <v>111.66666666666667</v>
      </c>
      <c r="BT209" s="150"/>
      <c r="BU209" s="150">
        <f t="shared" si="419"/>
        <v>213.33333333333334</v>
      </c>
      <c r="BW209" s="522">
        <f t="shared" si="420"/>
        <v>229.37910350000001</v>
      </c>
      <c r="BY209" s="527">
        <f t="shared" si="421"/>
        <v>787.28756316666659</v>
      </c>
      <c r="BZ209" s="181">
        <f t="shared" si="422"/>
        <v>0.77438120967213109</v>
      </c>
      <c r="CA209" s="520" t="b">
        <f t="shared" si="423"/>
        <v>0</v>
      </c>
    </row>
    <row r="210" spans="1:79" s="151" customFormat="1">
      <c r="A210" s="151" t="str">
        <f t="shared" si="424"/>
        <v>5EoKStandard Access koper 5mbMiddel&lt; 250 meter</v>
      </c>
      <c r="B210" s="151" t="str">
        <f t="shared" si="425"/>
        <v>5EoKStandard Access koper 5mbMiddel&lt; 250 meter</v>
      </c>
      <c r="C210" s="178">
        <v>5</v>
      </c>
      <c r="D210" s="415" t="s">
        <v>303</v>
      </c>
      <c r="E210" s="178" t="s">
        <v>276</v>
      </c>
      <c r="F210" s="107" t="s">
        <v>280</v>
      </c>
      <c r="G210" s="178" t="s">
        <v>3397</v>
      </c>
      <c r="J210" s="520" t="str">
        <f t="shared" si="403"/>
        <v>EoKStandard Access koper 5mbMiddel&lt; 250 meter</v>
      </c>
      <c r="L210" s="204">
        <f>INDEX(Mapping!$H:$H,MATCH(C$3&amp;C210,Mapping!$B:$B,0))</f>
        <v>1</v>
      </c>
      <c r="M210" s="204" t="str">
        <f>INDEX(Mapping!$H:$H,MATCH(D$3&amp;D210,Mapping!$B:$B,0))</f>
        <v>EoK</v>
      </c>
      <c r="N210" s="204" t="str">
        <f>INDEX(Mapping!$H:$H,MATCH(E$3&amp;E210,Mapping!$B:$B,0))</f>
        <v>Copper Standard Access 5Mbit/s</v>
      </c>
      <c r="O210" s="204" t="str">
        <f>INDEX(Mapping!$H:$H,MATCH(E210&amp;F210,Mapping!$B:$B,0))</f>
        <v/>
      </c>
      <c r="P210" s="204" t="str">
        <f>INDEX(Mapping!$H:$H,MATCH($E210&amp;$G210,Mapping!$B:$B,0))</f>
        <v>Nearnet</v>
      </c>
      <c r="Q210" s="204" t="str">
        <f>INDEX(Mapping!$H:$H,MATCH($E210&amp;$G210&amp;"graafafstand",Mapping!$B:$B,0))</f>
        <v>nvt</v>
      </c>
      <c r="R210" s="204">
        <f>INDEX(Mapping!$H:$H,MATCH(R$3&amp;$E210,Mapping!$B:$B,0))</f>
        <v>1</v>
      </c>
      <c r="S210" s="204">
        <f>INDEX(Mapping!$H:$H,MATCH(S$3&amp;$E210,Mapping!$B:$B,0))</f>
        <v>1</v>
      </c>
      <c r="T210" s="139" t="str">
        <f t="shared" si="404"/>
        <v>Copper Standard Access 5Mbit/sNearnet</v>
      </c>
      <c r="U210" s="151" t="str">
        <f t="shared" si="405"/>
        <v>Copper Standard Access 5Mbit/sNearnet</v>
      </c>
      <c r="W210" s="521">
        <f>MATCH($J210,'Tarieven ZM'!$B:$B,0)</f>
        <v>167</v>
      </c>
      <c r="X210" s="204">
        <f>INDEX('Tarieven ZM'!$H:$H,$W210)</f>
        <v>1000</v>
      </c>
      <c r="Y210" s="198">
        <f>IF(E210="Standard Access in ZG BT gebieden",0,-INDEX(Parameters!$B:$B,MATCH(Y$3&amp;$C210,Parameters!$A:$A,0))*$X210)</f>
        <v>0</v>
      </c>
      <c r="Z210" s="198">
        <f>IF(E210="Standard Access in ZG BT gebieden",0,MAX(-INDEX(Parameters!$B:$B,MATCH(Z$3&amp;$C210,Parameters!$A:$A,0))*$X210,-INDEX(Parameters!$B:$B,MATCH("FactorMaxSalesMandaat"&amp;E210,Parameters!$A:$A,0))*INDEX(Parameters!$B:$B,MATCH("MaxSalesMandaatAccessVVE"&amp;$C210,Parameters!$A:$A,0))))</f>
        <v>0</v>
      </c>
      <c r="AA210" s="139">
        <f t="shared" si="406"/>
        <v>1000</v>
      </c>
      <c r="AB210" s="205">
        <f>AA210/INDEX(Parameters!$B:$B,MATCH("AfschrijftermijnVVE"&amp;12*$C210,Parameters!$A:$A,0))</f>
        <v>16.666666666666668</v>
      </c>
      <c r="AC210" s="204">
        <f>INDEX('Tarieven ZM'!$G:$G,$W210)</f>
        <v>1000</v>
      </c>
      <c r="AD210" s="198">
        <f>IF(E210="Standard Access in ZG BT gebieden",0,-INDEX(Parameters!$B:$B,MATCH(AD$3&amp;$C210,Parameters!$A:$A,0))*$AC210)</f>
        <v>0</v>
      </c>
      <c r="AE210" s="198">
        <f>IF(E210="Standard Access in ZG BT gebieden",0,-INDEX(Parameters!$B:$B,MATCH(AE$3,Parameters!$A:$A,0))*$AC210)</f>
        <v>0</v>
      </c>
      <c r="AF210" s="139">
        <f t="shared" si="407"/>
        <v>1000</v>
      </c>
      <c r="AG210" s="522">
        <f t="shared" si="408"/>
        <v>1016.6666666666666</v>
      </c>
      <c r="AH210" s="175"/>
      <c r="AI210" s="523">
        <f>IF(N210&lt;&gt;"nvt",MATCH($T210,'Tarieven W&amp;O'!$B:$B,0),"nvt")</f>
        <v>24</v>
      </c>
      <c r="AJ210" s="205">
        <f>IF(AI210&lt;&gt;"nvt",IF($D210="EoK",INDEX(Parameters!C:C,MATCH("NLSx EoK",Parameters!A:A,0)),INDEX('Tarieven W&amp;O'!$H:$H,$AI210)),0)*R210</f>
        <v>350</v>
      </c>
      <c r="AK210" s="204">
        <f>IF(AI210&lt;&gt;"nvt",INDEX('Tarieven W&amp;O'!$I:$I,$AI210),0)*R210</f>
        <v>75</v>
      </c>
      <c r="AL210" s="524">
        <f>IF(AI210&lt;&gt;"nvt",-INDEX(Parameters!$B:$B,MATCH(AL$3,Parameters!$A:$A,0))*(AJ210+AK210),0)</f>
        <v>0</v>
      </c>
      <c r="AM210" s="525"/>
      <c r="AN210" s="139">
        <f t="shared" si="409"/>
        <v>425</v>
      </c>
      <c r="AO210" s="205">
        <f>AN210/INDEX(Parameters!$B:$B,MATCH("AfschrijftermijnVVE"&amp;12*$C210,Parameters!$A:$A,0))</f>
        <v>7.083333333333333</v>
      </c>
      <c r="AP210" s="139">
        <f t="shared" si="410"/>
        <v>24</v>
      </c>
      <c r="AQ210" s="526">
        <f>IF(AP210&lt;&gt;"nvt",R210*INDEX('Tarieven W&amp;O'!$G:$G,$AP210),0)</f>
        <v>60.97</v>
      </c>
      <c r="AR210" s="524">
        <f>-INDEX(Parameters!$B:$B,MATCH(AR$3,Parameters!$A:$A,0))*(AQ210)</f>
        <v>0</v>
      </c>
      <c r="AS210" s="205">
        <f>IF(E210="straal access",'EDC Minus'!$H$192,IF(Q210&lt;&gt;"nvt",Q210*S210*'EDC Minus'!$H$292/590,0))</f>
        <v>0</v>
      </c>
      <c r="AT210" s="139"/>
      <c r="AU210" s="150">
        <f t="shared" si="411"/>
        <v>60.97</v>
      </c>
      <c r="AV210" s="150">
        <f t="shared" si="412"/>
        <v>68.053333333333327</v>
      </c>
      <c r="AX210" s="526">
        <f>Parameters!$B$6*AV210</f>
        <v>0.68053333333333332</v>
      </c>
      <c r="AY210" s="150">
        <v>0</v>
      </c>
      <c r="AZ210" s="150"/>
      <c r="BA210" s="150">
        <f t="shared" si="413"/>
        <v>0.68053333333333332</v>
      </c>
      <c r="BC210" s="522">
        <f t="shared" si="414"/>
        <v>68.733866666666657</v>
      </c>
      <c r="BD210" s="175"/>
      <c r="BE210" s="527">
        <f t="shared" si="415"/>
        <v>947.93279999999993</v>
      </c>
      <c r="BF210" s="181">
        <f t="shared" si="416"/>
        <v>0.9323929180327869</v>
      </c>
      <c r="BG210" s="520" t="b">
        <f t="shared" si="417"/>
        <v>0</v>
      </c>
      <c r="BI210" s="528" t="s">
        <v>2181</v>
      </c>
      <c r="BK210" s="151">
        <f>VLOOKUP(J210,'Tarieven ZM'!$B$136:$I$235,8,0)</f>
        <v>0</v>
      </c>
      <c r="BL210" s="151" t="str">
        <f>IF(M210="EoK",N210&amp;"AdvancedNLS type 1/2/3",IF(E210&lt;&gt;"Straal Access",INDEX(Mapping!J:J,MATCH(E210&amp;G210,Mapping!B:B,0)),E210))</f>
        <v>Copper Standard Access 5Mbit/sAdvancedNLS type 1/2/3</v>
      </c>
      <c r="BM210" s="184">
        <f>INDEX('inkoop ULL tbv EVPN'!J:J,MATCH($BL210,'inkoop ULL tbv EVPN'!$H:$H,0))</f>
        <v>78.97</v>
      </c>
      <c r="BN210" s="180">
        <f>BM210/INDEX(Parameters!$B:$B,MATCH("AfschrijftermijnVVE"&amp;12*$C210,Parameters!$A:$A,0))</f>
        <v>1.3161666666666667</v>
      </c>
      <c r="BO210" s="184">
        <f>INDEX('inkoop ULL tbv EVPN'!I:I,MATCH($BL210,'inkoop ULL tbv EVPN'!$H:$H,0))</f>
        <v>14.7296035</v>
      </c>
      <c r="BP210" s="184">
        <f t="shared" si="418"/>
        <v>16.045770166666667</v>
      </c>
      <c r="BR210" s="180">
        <f>Parameters!$B$12*AG210</f>
        <v>101.66666666666667</v>
      </c>
      <c r="BS210" s="180">
        <f>SUM(Distributievergoedingen!$F$12,Distributievergoedingen!$I$12,Distributievergoedingen!$L$12,Distributievergoedingen!$O$12)*AF210+SUM(Distributievergoedingen!$O$12*AA210+Distributievergoedingen!$R$12+Distributievergoedingen!$U$12+Distributievergoedingen!$X$12)/(MAX(36,12*C210))</f>
        <v>111.66666666666667</v>
      </c>
      <c r="BT210" s="150"/>
      <c r="BU210" s="150">
        <f t="shared" si="419"/>
        <v>213.33333333333334</v>
      </c>
      <c r="BW210" s="522">
        <f t="shared" si="420"/>
        <v>229.37910350000001</v>
      </c>
      <c r="BY210" s="527">
        <f t="shared" si="421"/>
        <v>787.28756316666659</v>
      </c>
      <c r="BZ210" s="181">
        <f t="shared" si="422"/>
        <v>0.77438120967213109</v>
      </c>
      <c r="CA210" s="520" t="b">
        <f t="shared" si="423"/>
        <v>0</v>
      </c>
    </row>
    <row r="211" spans="1:79" s="151" customFormat="1">
      <c r="A211" s="151" t="str">
        <f t="shared" si="424"/>
        <v>5EoKStandard Access koper 10mbMiddel&lt; 250 meter</v>
      </c>
      <c r="B211" s="151" t="str">
        <f t="shared" si="425"/>
        <v>5EoKStandard Access koper 10mbMiddel&lt; 250 meter</v>
      </c>
      <c r="C211" s="178">
        <v>5</v>
      </c>
      <c r="D211" s="415" t="s">
        <v>303</v>
      </c>
      <c r="E211" s="178" t="s">
        <v>277</v>
      </c>
      <c r="F211" s="107" t="s">
        <v>280</v>
      </c>
      <c r="G211" s="178" t="s">
        <v>3397</v>
      </c>
      <c r="J211" s="520" t="str">
        <f t="shared" si="403"/>
        <v>EoKStandard Access koper 10mbMiddel&lt; 250 meter</v>
      </c>
      <c r="L211" s="204">
        <f>INDEX(Mapping!$H:$H,MATCH(C$3&amp;C211,Mapping!$B:$B,0))</f>
        <v>1</v>
      </c>
      <c r="M211" s="204" t="str">
        <f>INDEX(Mapping!$H:$H,MATCH(D$3&amp;D211,Mapping!$B:$B,0))</f>
        <v>EoK</v>
      </c>
      <c r="N211" s="204" t="str">
        <f>INDEX(Mapping!$H:$H,MATCH(E$3&amp;E211,Mapping!$B:$B,0))</f>
        <v>Copper Standard Access 10Mbit/s</v>
      </c>
      <c r="O211" s="204" t="str">
        <f>INDEX(Mapping!$H:$H,MATCH(E211&amp;F211,Mapping!$B:$B,0))</f>
        <v/>
      </c>
      <c r="P211" s="204" t="str">
        <f>INDEX(Mapping!$H:$H,MATCH($E211&amp;$G211,Mapping!$B:$B,0))</f>
        <v>Nearnet</v>
      </c>
      <c r="Q211" s="204" t="str">
        <f>INDEX(Mapping!$H:$H,MATCH($E211&amp;$G211&amp;"graafafstand",Mapping!$B:$B,0))</f>
        <v>nvt</v>
      </c>
      <c r="R211" s="204">
        <f>INDEX(Mapping!$H:$H,MATCH(R$3&amp;$E211,Mapping!$B:$B,0))</f>
        <v>1</v>
      </c>
      <c r="S211" s="204">
        <f>INDEX(Mapping!$H:$H,MATCH(S$3&amp;$E211,Mapping!$B:$B,0))</f>
        <v>1</v>
      </c>
      <c r="T211" s="139" t="str">
        <f t="shared" si="404"/>
        <v>Copper Standard Access 10Mbit/sNearnet</v>
      </c>
      <c r="U211" s="151" t="str">
        <f t="shared" si="405"/>
        <v>Copper Standard Access 10Mbit/sNearnet</v>
      </c>
      <c r="W211" s="521">
        <f>MATCH($J211,'Tarieven ZM'!$B:$B,0)</f>
        <v>168</v>
      </c>
      <c r="X211" s="204">
        <f>INDEX('Tarieven ZM'!$H:$H,$W211)</f>
        <v>1000</v>
      </c>
      <c r="Y211" s="198">
        <f>IF(E211="Standard Access in ZG BT gebieden",0,-INDEX(Parameters!$B:$B,MATCH(Y$3&amp;$C211,Parameters!$A:$A,0))*$X211)</f>
        <v>0</v>
      </c>
      <c r="Z211" s="198">
        <f>IF(E211="Standard Access in ZG BT gebieden",0,MAX(-INDEX(Parameters!$B:$B,MATCH(Z$3&amp;$C211,Parameters!$A:$A,0))*$X211,-INDEX(Parameters!$B:$B,MATCH("FactorMaxSalesMandaat"&amp;E211,Parameters!$A:$A,0))*INDEX(Parameters!$B:$B,MATCH("MaxSalesMandaatAccessVVE"&amp;$C211,Parameters!$A:$A,0))))</f>
        <v>0</v>
      </c>
      <c r="AA211" s="139">
        <f t="shared" si="406"/>
        <v>1000</v>
      </c>
      <c r="AB211" s="205">
        <f>AA211/INDEX(Parameters!$B:$B,MATCH("AfschrijftermijnVVE"&amp;12*$C211,Parameters!$A:$A,0))</f>
        <v>16.666666666666668</v>
      </c>
      <c r="AC211" s="204">
        <f>INDEX('Tarieven ZM'!$G:$G,$W211)</f>
        <v>1000</v>
      </c>
      <c r="AD211" s="198">
        <f>IF(E211="Standard Access in ZG BT gebieden",0,-INDEX(Parameters!$B:$B,MATCH(AD$3&amp;$C211,Parameters!$A:$A,0))*$AC211)</f>
        <v>0</v>
      </c>
      <c r="AE211" s="198">
        <f>IF(E211="Standard Access in ZG BT gebieden",0,-INDEX(Parameters!$B:$B,MATCH(AE$3,Parameters!$A:$A,0))*$AC211)</f>
        <v>0</v>
      </c>
      <c r="AF211" s="139">
        <f t="shared" si="407"/>
        <v>1000</v>
      </c>
      <c r="AG211" s="522">
        <f t="shared" si="408"/>
        <v>1016.6666666666666</v>
      </c>
      <c r="AH211" s="175"/>
      <c r="AI211" s="523">
        <f>IF(N211&lt;&gt;"nvt",MATCH($T211,'Tarieven W&amp;O'!$B:$B,0),"nvt")</f>
        <v>25</v>
      </c>
      <c r="AJ211" s="205">
        <f>IF(AI211&lt;&gt;"nvt",IF($D211="EoK",INDEX(Parameters!C:C,MATCH("NLSx EoK",Parameters!A:A,0)),INDEX('Tarieven W&amp;O'!$H:$H,$AI211)),0)*R211</f>
        <v>350</v>
      </c>
      <c r="AK211" s="204">
        <f>IF(AI211&lt;&gt;"nvt",INDEX('Tarieven W&amp;O'!$I:$I,$AI211),0)*R211</f>
        <v>75</v>
      </c>
      <c r="AL211" s="524">
        <f>IF(AI211&lt;&gt;"nvt",-INDEX(Parameters!$B:$B,MATCH(AL$3,Parameters!$A:$A,0))*(AJ211+AK211),0)</f>
        <v>0</v>
      </c>
      <c r="AM211" s="525"/>
      <c r="AN211" s="139">
        <f t="shared" si="409"/>
        <v>425</v>
      </c>
      <c r="AO211" s="205">
        <f>AN211/INDEX(Parameters!$B:$B,MATCH("AfschrijftermijnVVE"&amp;12*$C211,Parameters!$A:$A,0))</f>
        <v>7.083333333333333</v>
      </c>
      <c r="AP211" s="139">
        <f t="shared" si="410"/>
        <v>25</v>
      </c>
      <c r="AQ211" s="526">
        <f>IF(AP211&lt;&gt;"nvt",R211*INDEX('Tarieven W&amp;O'!$G:$G,$AP211),0)</f>
        <v>83.59</v>
      </c>
      <c r="AR211" s="524">
        <f>-INDEX(Parameters!$B:$B,MATCH(AR$3,Parameters!$A:$A,0))*(AQ211)</f>
        <v>0</v>
      </c>
      <c r="AS211" s="205">
        <f>IF(E211="straal access",'EDC Minus'!$H$192,IF(Q211&lt;&gt;"nvt",Q211*S211*'EDC Minus'!$H$292/590,0))</f>
        <v>0</v>
      </c>
      <c r="AT211" s="139"/>
      <c r="AU211" s="150">
        <f t="shared" si="411"/>
        <v>83.59</v>
      </c>
      <c r="AV211" s="150">
        <f t="shared" si="412"/>
        <v>90.673333333333332</v>
      </c>
      <c r="AX211" s="526">
        <f>Parameters!$B$6*AV211</f>
        <v>0.90673333333333339</v>
      </c>
      <c r="AY211" s="150">
        <v>0</v>
      </c>
      <c r="AZ211" s="150"/>
      <c r="BA211" s="150">
        <f t="shared" si="413"/>
        <v>0.90673333333333339</v>
      </c>
      <c r="BC211" s="522">
        <f t="shared" si="414"/>
        <v>91.580066666666667</v>
      </c>
      <c r="BD211" s="175"/>
      <c r="BE211" s="527">
        <f t="shared" si="415"/>
        <v>925.08659999999998</v>
      </c>
      <c r="BF211" s="181">
        <f t="shared" si="416"/>
        <v>0.90992124590163936</v>
      </c>
      <c r="BG211" s="520" t="b">
        <f t="shared" si="417"/>
        <v>0</v>
      </c>
      <c r="BI211" s="528" t="s">
        <v>2181</v>
      </c>
      <c r="BK211" s="151">
        <f>VLOOKUP(J211,'Tarieven ZM'!$B$136:$I$235,8,0)</f>
        <v>0</v>
      </c>
      <c r="BL211" s="151" t="str">
        <f>IF(M211="EoK",N211&amp;"AdvancedNLS type 1/2/3",IF(E211&lt;&gt;"Straal Access",INDEX(Mapping!J:J,MATCH(E211&amp;G211,Mapping!B:B,0)),E211))</f>
        <v>Copper Standard Access 10Mbit/sAdvancedNLS type 1/2/3</v>
      </c>
      <c r="BM211" s="184">
        <f>INDEX('inkoop ULL tbv EVPN'!J:J,MATCH($BL211,'inkoop ULL tbv EVPN'!$H:$H,0))</f>
        <v>78.97</v>
      </c>
      <c r="BN211" s="180">
        <f>BM211/INDEX(Parameters!$B:$B,MATCH("AfschrijftermijnVVE"&amp;12*$C211,Parameters!$A:$A,0))</f>
        <v>1.3161666666666667</v>
      </c>
      <c r="BO211" s="184">
        <f>INDEX('inkoop ULL tbv EVPN'!I:I,MATCH($BL211,'inkoop ULL tbv EVPN'!$H:$H,0))</f>
        <v>14.7296035</v>
      </c>
      <c r="BP211" s="184">
        <f t="shared" si="418"/>
        <v>16.045770166666667</v>
      </c>
      <c r="BR211" s="180">
        <f>Parameters!$B$12*AG211</f>
        <v>101.66666666666667</v>
      </c>
      <c r="BS211" s="180">
        <f>SUM(Distributievergoedingen!$F$12,Distributievergoedingen!$I$12,Distributievergoedingen!$L$12,Distributievergoedingen!$O$12)*AF211+SUM(Distributievergoedingen!$O$12*AA211+Distributievergoedingen!$R$12+Distributievergoedingen!$U$12+Distributievergoedingen!$X$12)/(MAX(36,12*C211))</f>
        <v>111.66666666666667</v>
      </c>
      <c r="BT211" s="150"/>
      <c r="BU211" s="150">
        <f t="shared" si="419"/>
        <v>213.33333333333334</v>
      </c>
      <c r="BW211" s="522">
        <f t="shared" si="420"/>
        <v>229.37910350000001</v>
      </c>
      <c r="BY211" s="527">
        <f t="shared" si="421"/>
        <v>787.28756316666659</v>
      </c>
      <c r="BZ211" s="181">
        <f t="shared" si="422"/>
        <v>0.77438120967213109</v>
      </c>
      <c r="CA211" s="520" t="b">
        <f t="shared" si="423"/>
        <v>0</v>
      </c>
    </row>
    <row r="212" spans="1:79" s="151" customFormat="1">
      <c r="A212" s="151" t="str">
        <f t="shared" si="424"/>
        <v>5EoKStandard Access koper 15mbMiddel&lt; 250 meter</v>
      </c>
      <c r="B212" s="151" t="str">
        <f t="shared" si="425"/>
        <v>5EoKStandard Access koper 15mbMiddel&lt; 250 meter</v>
      </c>
      <c r="C212" s="178">
        <v>5</v>
      </c>
      <c r="D212" s="415" t="s">
        <v>303</v>
      </c>
      <c r="E212" s="178" t="s">
        <v>278</v>
      </c>
      <c r="F212" s="107" t="s">
        <v>280</v>
      </c>
      <c r="G212" s="178" t="s">
        <v>3397</v>
      </c>
      <c r="J212" s="520" t="str">
        <f t="shared" si="403"/>
        <v>EoKStandard Access koper 15mbMiddel&lt; 250 meter</v>
      </c>
      <c r="L212" s="204">
        <f>INDEX(Mapping!$H:$H,MATCH(C$3&amp;C212,Mapping!$B:$B,0))</f>
        <v>1</v>
      </c>
      <c r="M212" s="204" t="str">
        <f>INDEX(Mapping!$H:$H,MATCH(D$3&amp;D212,Mapping!$B:$B,0))</f>
        <v>EoK</v>
      </c>
      <c r="N212" s="204" t="str">
        <f>INDEX(Mapping!$H:$H,MATCH(E$3&amp;E212,Mapping!$B:$B,0))</f>
        <v>Copper Standard Access 15Mbit/s</v>
      </c>
      <c r="O212" s="204" t="str">
        <f>INDEX(Mapping!$H:$H,MATCH(E212&amp;F212,Mapping!$B:$B,0))</f>
        <v/>
      </c>
      <c r="P212" s="204" t="str">
        <f>INDEX(Mapping!$H:$H,MATCH($E212&amp;$G212,Mapping!$B:$B,0))</f>
        <v>Nearnet</v>
      </c>
      <c r="Q212" s="204" t="str">
        <f>INDEX(Mapping!$H:$H,MATCH($E212&amp;$G212&amp;"graafafstand",Mapping!$B:$B,0))</f>
        <v>nvt</v>
      </c>
      <c r="R212" s="204">
        <f>INDEX(Mapping!$H:$H,MATCH(R$3&amp;$E212,Mapping!$B:$B,0))</f>
        <v>1</v>
      </c>
      <c r="S212" s="204">
        <f>INDEX(Mapping!$H:$H,MATCH(S$3&amp;$E212,Mapping!$B:$B,0))</f>
        <v>1</v>
      </c>
      <c r="T212" s="139" t="str">
        <f t="shared" si="404"/>
        <v>Copper Standard Access 15Mbit/sNearnet</v>
      </c>
      <c r="U212" s="151" t="str">
        <f t="shared" si="405"/>
        <v>Copper Standard Access 15Mbit/sNearnet</v>
      </c>
      <c r="W212" s="521">
        <f>MATCH($J212,'Tarieven ZM'!$B:$B,0)</f>
        <v>169</v>
      </c>
      <c r="X212" s="204">
        <f>INDEX('Tarieven ZM'!$H:$H,$W212)</f>
        <v>1000</v>
      </c>
      <c r="Y212" s="198">
        <f>IF(E212="Standard Access in ZG BT gebieden",0,-INDEX(Parameters!$B:$B,MATCH(Y$3&amp;$C212,Parameters!$A:$A,0))*$X212)</f>
        <v>0</v>
      </c>
      <c r="Z212" s="198">
        <f>IF(E212="Standard Access in ZG BT gebieden",0,MAX(-INDEX(Parameters!$B:$B,MATCH(Z$3&amp;$C212,Parameters!$A:$A,0))*$X212,-INDEX(Parameters!$B:$B,MATCH("FactorMaxSalesMandaat"&amp;E212,Parameters!$A:$A,0))*INDEX(Parameters!$B:$B,MATCH("MaxSalesMandaatAccessVVE"&amp;$C212,Parameters!$A:$A,0))))</f>
        <v>0</v>
      </c>
      <c r="AA212" s="139">
        <f t="shared" si="406"/>
        <v>1000</v>
      </c>
      <c r="AB212" s="205">
        <f>AA212/INDEX(Parameters!$B:$B,MATCH("AfschrijftermijnVVE"&amp;12*$C212,Parameters!$A:$A,0))</f>
        <v>16.666666666666668</v>
      </c>
      <c r="AC212" s="204">
        <f>INDEX('Tarieven ZM'!$G:$G,$W212)</f>
        <v>1000</v>
      </c>
      <c r="AD212" s="198">
        <f>IF(E212="Standard Access in ZG BT gebieden",0,-INDEX(Parameters!$B:$B,MATCH(AD$3&amp;$C212,Parameters!$A:$A,0))*$AC212)</f>
        <v>0</v>
      </c>
      <c r="AE212" s="198">
        <f>IF(E212="Standard Access in ZG BT gebieden",0,-INDEX(Parameters!$B:$B,MATCH(AE$3,Parameters!$A:$A,0))*$AC212)</f>
        <v>0</v>
      </c>
      <c r="AF212" s="139">
        <f t="shared" si="407"/>
        <v>1000</v>
      </c>
      <c r="AG212" s="522">
        <f t="shared" si="408"/>
        <v>1016.6666666666666</v>
      </c>
      <c r="AH212" s="175"/>
      <c r="AI212" s="523">
        <f>IF(N212&lt;&gt;"nvt",MATCH($T212,'Tarieven W&amp;O'!$B:$B,0),"nvt")</f>
        <v>26</v>
      </c>
      <c r="AJ212" s="205">
        <f>IF(AI212&lt;&gt;"nvt",IF($D212="EoK",INDEX(Parameters!C:C,MATCH("NLSx EoK",Parameters!A:A,0)),INDEX('Tarieven W&amp;O'!$H:$H,$AI212)),0)*R212</f>
        <v>350</v>
      </c>
      <c r="AK212" s="204">
        <f>IF(AI212&lt;&gt;"nvt",INDEX('Tarieven W&amp;O'!$I:$I,$AI212),0)*R212</f>
        <v>75</v>
      </c>
      <c r="AL212" s="524">
        <f>IF(AI212&lt;&gt;"nvt",-INDEX(Parameters!$B:$B,MATCH(AL$3,Parameters!$A:$A,0))*(AJ212+AK212),0)</f>
        <v>0</v>
      </c>
      <c r="AM212" s="525"/>
      <c r="AN212" s="139">
        <f t="shared" si="409"/>
        <v>425</v>
      </c>
      <c r="AO212" s="205">
        <f>AN212/INDEX(Parameters!$B:$B,MATCH("AfschrijftermijnVVE"&amp;12*$C212,Parameters!$A:$A,0))</f>
        <v>7.083333333333333</v>
      </c>
      <c r="AP212" s="139">
        <f t="shared" si="410"/>
        <v>26</v>
      </c>
      <c r="AQ212" s="526">
        <f>IF(AP212&lt;&gt;"nvt",R212*INDEX('Tarieven W&amp;O'!$G:$G,$AP212),0)</f>
        <v>102.44</v>
      </c>
      <c r="AR212" s="524">
        <f>-INDEX(Parameters!$B:$B,MATCH(AR$3,Parameters!$A:$A,0))*(AQ212)</f>
        <v>0</v>
      </c>
      <c r="AS212" s="205">
        <f>IF(E212="straal access",'EDC Minus'!$H$192,IF(Q212&lt;&gt;"nvt",Q212*S212*'EDC Minus'!$H$292/590,0))</f>
        <v>0</v>
      </c>
      <c r="AT212" s="139"/>
      <c r="AU212" s="150">
        <f t="shared" si="411"/>
        <v>102.44</v>
      </c>
      <c r="AV212" s="150">
        <f t="shared" si="412"/>
        <v>109.52333333333333</v>
      </c>
      <c r="AX212" s="526">
        <f>Parameters!$B$6*AV212</f>
        <v>1.0952333333333333</v>
      </c>
      <c r="AY212" s="150">
        <v>0</v>
      </c>
      <c r="AZ212" s="150"/>
      <c r="BA212" s="150">
        <f t="shared" si="413"/>
        <v>1.0952333333333333</v>
      </c>
      <c r="BC212" s="522">
        <f t="shared" si="414"/>
        <v>110.61856666666667</v>
      </c>
      <c r="BD212" s="175"/>
      <c r="BE212" s="527">
        <f t="shared" si="415"/>
        <v>906.04809999999998</v>
      </c>
      <c r="BF212" s="181">
        <f t="shared" si="416"/>
        <v>0.89119485245901642</v>
      </c>
      <c r="BG212" s="520" t="b">
        <f t="shared" si="417"/>
        <v>0</v>
      </c>
      <c r="BI212" s="528" t="s">
        <v>2181</v>
      </c>
      <c r="BK212" s="151">
        <f>VLOOKUP(J212,'Tarieven ZM'!$B$136:$I$235,8,0)</f>
        <v>0</v>
      </c>
      <c r="BL212" s="151" t="str">
        <f>IF(M212="EoK",N212&amp;"AdvancedNLS type 1/2/3",IF(E212&lt;&gt;"Straal Access",INDEX(Mapping!J:J,MATCH(E212&amp;G212,Mapping!B:B,0)),E212))</f>
        <v>Copper Standard Access 15Mbit/sAdvancedNLS type 1/2/3</v>
      </c>
      <c r="BM212" s="184">
        <f>INDEX('inkoop ULL tbv EVPN'!J:J,MATCH($BL212,'inkoop ULL tbv EVPN'!$H:$H,0))</f>
        <v>78.97</v>
      </c>
      <c r="BN212" s="180">
        <f>BM212/INDEX(Parameters!$B:$B,MATCH("AfschrijftermijnVVE"&amp;12*$C212,Parameters!$A:$A,0))</f>
        <v>1.3161666666666667</v>
      </c>
      <c r="BO212" s="184">
        <f>INDEX('inkoop ULL tbv EVPN'!I:I,MATCH($BL212,'inkoop ULL tbv EVPN'!$H:$H,0))</f>
        <v>14.7296035</v>
      </c>
      <c r="BP212" s="184">
        <f t="shared" si="418"/>
        <v>16.045770166666667</v>
      </c>
      <c r="BR212" s="180">
        <f>Parameters!$B$12*AG212</f>
        <v>101.66666666666667</v>
      </c>
      <c r="BS212" s="180">
        <f>SUM(Distributievergoedingen!$F$12,Distributievergoedingen!$I$12,Distributievergoedingen!$L$12,Distributievergoedingen!$O$12)*AF212+SUM(Distributievergoedingen!$O$12*AA212+Distributievergoedingen!$R$12+Distributievergoedingen!$U$12+Distributievergoedingen!$X$12)/(MAX(36,12*C212))</f>
        <v>111.66666666666667</v>
      </c>
      <c r="BT212" s="150"/>
      <c r="BU212" s="150">
        <f t="shared" si="419"/>
        <v>213.33333333333334</v>
      </c>
      <c r="BW212" s="522">
        <f t="shared" si="420"/>
        <v>229.37910350000001</v>
      </c>
      <c r="BY212" s="527">
        <f t="shared" si="421"/>
        <v>787.28756316666659</v>
      </c>
      <c r="BZ212" s="181">
        <f t="shared" si="422"/>
        <v>0.77438120967213109</v>
      </c>
      <c r="CA212" s="520" t="b">
        <f t="shared" si="423"/>
        <v>0</v>
      </c>
    </row>
    <row r="213" spans="1:79" s="151" customFormat="1">
      <c r="A213" s="151" t="str">
        <f t="shared" si="424"/>
        <v>5EoKStandard Access koper 20mbMiddel&lt; 250 meter</v>
      </c>
      <c r="B213" s="151" t="str">
        <f t="shared" si="425"/>
        <v>5EoKStandard Access koper 20mbMiddel&lt; 250 meter</v>
      </c>
      <c r="C213" s="178">
        <v>5</v>
      </c>
      <c r="D213" s="415" t="s">
        <v>303</v>
      </c>
      <c r="E213" s="178" t="s">
        <v>279</v>
      </c>
      <c r="F213" s="107" t="s">
        <v>280</v>
      </c>
      <c r="G213" s="178" t="s">
        <v>3397</v>
      </c>
      <c r="J213" s="520" t="str">
        <f t="shared" si="403"/>
        <v>EoKStandard Access koper 20mbMiddel&lt; 250 meter</v>
      </c>
      <c r="L213" s="204">
        <f>INDEX(Mapping!$H:$H,MATCH(C$3&amp;C213,Mapping!$B:$B,0))</f>
        <v>1</v>
      </c>
      <c r="M213" s="204" t="str">
        <f>INDEX(Mapping!$H:$H,MATCH(D$3&amp;D213,Mapping!$B:$B,0))</f>
        <v>EoK</v>
      </c>
      <c r="N213" s="204" t="str">
        <f>INDEX(Mapping!$H:$H,MATCH(E$3&amp;E213,Mapping!$B:$B,0))</f>
        <v>Copper Standard Access 20Mbit/s</v>
      </c>
      <c r="O213" s="204" t="str">
        <f>INDEX(Mapping!$H:$H,MATCH(E213&amp;F213,Mapping!$B:$B,0))</f>
        <v/>
      </c>
      <c r="P213" s="204" t="str">
        <f>INDEX(Mapping!$H:$H,MATCH($E213&amp;$G213,Mapping!$B:$B,0))</f>
        <v>Nearnet</v>
      </c>
      <c r="Q213" s="204" t="str">
        <f>INDEX(Mapping!$H:$H,MATCH($E213&amp;$G213&amp;"graafafstand",Mapping!$B:$B,0))</f>
        <v>nvt</v>
      </c>
      <c r="R213" s="204">
        <f>INDEX(Mapping!$H:$H,MATCH(R$3&amp;$E213,Mapping!$B:$B,0))</f>
        <v>1</v>
      </c>
      <c r="S213" s="204">
        <f>INDEX(Mapping!$H:$H,MATCH(S$3&amp;$E213,Mapping!$B:$B,0))</f>
        <v>1</v>
      </c>
      <c r="T213" s="139" t="str">
        <f t="shared" si="404"/>
        <v>Copper Standard Access 20Mbit/sNearnet</v>
      </c>
      <c r="U213" s="151" t="str">
        <f t="shared" si="405"/>
        <v>Copper Standard Access 20Mbit/sNearnet</v>
      </c>
      <c r="W213" s="521">
        <f>MATCH($J213,'Tarieven ZM'!$B:$B,0)</f>
        <v>170</v>
      </c>
      <c r="X213" s="204">
        <f>INDEX('Tarieven ZM'!$H:$H,$W213)</f>
        <v>1000</v>
      </c>
      <c r="Y213" s="198">
        <f>IF(E213="Standard Access in ZG BT gebieden",0,-INDEX(Parameters!$B:$B,MATCH(Y$3&amp;$C213,Parameters!$A:$A,0))*$X213)</f>
        <v>0</v>
      </c>
      <c r="Z213" s="198">
        <f>IF(E213="Standard Access in ZG BT gebieden",0,MAX(-INDEX(Parameters!$B:$B,MATCH(Z$3&amp;$C213,Parameters!$A:$A,0))*$X213,-INDEX(Parameters!$B:$B,MATCH("FactorMaxSalesMandaat"&amp;E213,Parameters!$A:$A,0))*INDEX(Parameters!$B:$B,MATCH("MaxSalesMandaatAccessVVE"&amp;$C213,Parameters!$A:$A,0))))</f>
        <v>0</v>
      </c>
      <c r="AA213" s="139">
        <f t="shared" si="406"/>
        <v>1000</v>
      </c>
      <c r="AB213" s="205">
        <f>AA213/INDEX(Parameters!$B:$B,MATCH("AfschrijftermijnVVE"&amp;12*$C213,Parameters!$A:$A,0))</f>
        <v>16.666666666666668</v>
      </c>
      <c r="AC213" s="204">
        <f>INDEX('Tarieven ZM'!$G:$G,$W213)</f>
        <v>1000</v>
      </c>
      <c r="AD213" s="198">
        <f>IF(E213="Standard Access in ZG BT gebieden",0,-INDEX(Parameters!$B:$B,MATCH(AD$3&amp;$C213,Parameters!$A:$A,0))*$AC213)</f>
        <v>0</v>
      </c>
      <c r="AE213" s="198">
        <f>IF(E213="Standard Access in ZG BT gebieden",0,-INDEX(Parameters!$B:$B,MATCH(AE$3,Parameters!$A:$A,0))*$AC213)</f>
        <v>0</v>
      </c>
      <c r="AF213" s="139">
        <f t="shared" si="407"/>
        <v>1000</v>
      </c>
      <c r="AG213" s="522">
        <f t="shared" si="408"/>
        <v>1016.6666666666666</v>
      </c>
      <c r="AH213" s="175"/>
      <c r="AI213" s="523">
        <f>IF(N213&lt;&gt;"nvt",MATCH($T213,'Tarieven W&amp;O'!$B:$B,0),"nvt")</f>
        <v>27</v>
      </c>
      <c r="AJ213" s="205">
        <f>IF(AI213&lt;&gt;"nvt",IF($D213="EoK",INDEX(Parameters!C:C,MATCH("NLSx EoK",Parameters!A:A,0)),INDEX('Tarieven W&amp;O'!$H:$H,$AI213)),0)*R213</f>
        <v>350</v>
      </c>
      <c r="AK213" s="204">
        <f>IF(AI213&lt;&gt;"nvt",INDEX('Tarieven W&amp;O'!$I:$I,$AI213),0)*R213</f>
        <v>75</v>
      </c>
      <c r="AL213" s="524">
        <f>IF(AI213&lt;&gt;"nvt",-INDEX(Parameters!$B:$B,MATCH(AL$3,Parameters!$A:$A,0))*(AJ213+AK213),0)</f>
        <v>0</v>
      </c>
      <c r="AM213" s="525"/>
      <c r="AN213" s="139">
        <f t="shared" si="409"/>
        <v>425</v>
      </c>
      <c r="AO213" s="205">
        <f>AN213/INDEX(Parameters!$B:$B,MATCH("AfschrijftermijnVVE"&amp;12*$C213,Parameters!$A:$A,0))</f>
        <v>7.083333333333333</v>
      </c>
      <c r="AP213" s="139">
        <f t="shared" si="410"/>
        <v>27</v>
      </c>
      <c r="AQ213" s="526">
        <f>IF(AP213&lt;&gt;"nvt",R213*INDEX('Tarieven W&amp;O'!$G:$G,$AP213),0)</f>
        <v>121.28</v>
      </c>
      <c r="AR213" s="524">
        <f>-INDEX(Parameters!$B:$B,MATCH(AR$3,Parameters!$A:$A,0))*(AQ213)</f>
        <v>0</v>
      </c>
      <c r="AS213" s="205">
        <f>IF(E213="straal access",'EDC Minus'!$H$192,IF(Q213&lt;&gt;"nvt",Q213*S213*'EDC Minus'!$H$292/590,0))</f>
        <v>0</v>
      </c>
      <c r="AT213" s="139"/>
      <c r="AU213" s="150">
        <f t="shared" si="411"/>
        <v>121.28</v>
      </c>
      <c r="AV213" s="150">
        <f t="shared" si="412"/>
        <v>128.36333333333334</v>
      </c>
      <c r="AX213" s="526">
        <f>Parameters!$B$6*AV213</f>
        <v>1.2836333333333334</v>
      </c>
      <c r="AY213" s="150">
        <v>0</v>
      </c>
      <c r="AZ213" s="150"/>
      <c r="BA213" s="150">
        <f t="shared" si="413"/>
        <v>1.2836333333333334</v>
      </c>
      <c r="BC213" s="522">
        <f t="shared" si="414"/>
        <v>129.64696666666669</v>
      </c>
      <c r="BD213" s="175"/>
      <c r="BE213" s="527">
        <f t="shared" si="415"/>
        <v>887.01969999999994</v>
      </c>
      <c r="BF213" s="181">
        <f t="shared" si="416"/>
        <v>0.8724783934426229</v>
      </c>
      <c r="BG213" s="520" t="b">
        <f t="shared" si="417"/>
        <v>0</v>
      </c>
      <c r="BI213" s="528" t="s">
        <v>2181</v>
      </c>
      <c r="BK213" s="151">
        <f>VLOOKUP(J213,'Tarieven ZM'!$B$136:$I$235,8,0)</f>
        <v>0</v>
      </c>
      <c r="BL213" s="151" t="str">
        <f>IF(M213="EoK",N213&amp;"AdvancedNLS type 1/2/3",IF(E213&lt;&gt;"Straal Access",INDEX(Mapping!J:J,MATCH(E213&amp;G213,Mapping!B:B,0)),E213))</f>
        <v>Copper Standard Access 20Mbit/sAdvancedNLS type 1/2/3</v>
      </c>
      <c r="BM213" s="184">
        <f>INDEX('inkoop ULL tbv EVPN'!J:J,MATCH($BL213,'inkoop ULL tbv EVPN'!$H:$H,0))</f>
        <v>78.97</v>
      </c>
      <c r="BN213" s="180">
        <f>BM213/INDEX(Parameters!$B:$B,MATCH("AfschrijftermijnVVE"&amp;12*$C213,Parameters!$A:$A,0))</f>
        <v>1.3161666666666667</v>
      </c>
      <c r="BO213" s="184">
        <f>INDEX('inkoop ULL tbv EVPN'!I:I,MATCH($BL213,'inkoop ULL tbv EVPN'!$H:$H,0))</f>
        <v>14.7296035</v>
      </c>
      <c r="BP213" s="184">
        <f t="shared" si="418"/>
        <v>16.045770166666667</v>
      </c>
      <c r="BR213" s="180">
        <f>Parameters!$B$12*AG213</f>
        <v>101.66666666666667</v>
      </c>
      <c r="BS213" s="180">
        <f>SUM(Distributievergoedingen!$F$12,Distributievergoedingen!$I$12,Distributievergoedingen!$L$12,Distributievergoedingen!$O$12)*AF213+SUM(Distributievergoedingen!$O$12*AA213+Distributievergoedingen!$R$12+Distributievergoedingen!$U$12+Distributievergoedingen!$X$12)/(MAX(36,12*C213))</f>
        <v>111.66666666666667</v>
      </c>
      <c r="BT213" s="150"/>
      <c r="BU213" s="150">
        <f t="shared" si="419"/>
        <v>213.33333333333334</v>
      </c>
      <c r="BW213" s="522">
        <f t="shared" si="420"/>
        <v>229.37910350000001</v>
      </c>
      <c r="BY213" s="527">
        <f t="shared" si="421"/>
        <v>787.28756316666659</v>
      </c>
      <c r="BZ213" s="181">
        <f t="shared" si="422"/>
        <v>0.77438120967213109</v>
      </c>
      <c r="CA213" s="520" t="b">
        <f t="shared" si="423"/>
        <v>0</v>
      </c>
    </row>
    <row r="214" spans="1:79" s="151" customFormat="1">
      <c r="A214" s="151" t="str">
        <f t="shared" si="424"/>
        <v>5EoKStandard Access koper 3mbLaagOn-net (NLS1, 2)</v>
      </c>
      <c r="B214" s="151" t="str">
        <f t="shared" si="425"/>
        <v>5EoKStandard Access koper 3mbLaagOn-net (NLS1, 2)</v>
      </c>
      <c r="C214" s="178">
        <v>5</v>
      </c>
      <c r="D214" s="415" t="s">
        <v>303</v>
      </c>
      <c r="E214" s="178" t="s">
        <v>268</v>
      </c>
      <c r="F214" s="107" t="s">
        <v>275</v>
      </c>
      <c r="G214" s="178" t="s">
        <v>281</v>
      </c>
      <c r="J214" s="520" t="str">
        <f t="shared" ref="J214:J228" si="426">D214&amp;E214&amp;F214&amp;G214</f>
        <v>EoKStandard Access koper 3mbLaagOn-net (NLS1, 2)</v>
      </c>
      <c r="L214" s="204">
        <f>INDEX(Mapping!$H:$H,MATCH(C$3&amp;C214,Mapping!$B:$B,0))</f>
        <v>1</v>
      </c>
      <c r="M214" s="204" t="str">
        <f>INDEX(Mapping!$H:$H,MATCH(D$3&amp;D214,Mapping!$B:$B,0))</f>
        <v>EoK</v>
      </c>
      <c r="N214" s="204" t="str">
        <f>INDEX(Mapping!$H:$H,MATCH(E$3&amp;E214,Mapping!$B:$B,0))</f>
        <v>Copper Standard Access 3Mbit/s</v>
      </c>
      <c r="O214" s="204" t="str">
        <f>INDEX(Mapping!$H:$H,MATCH(E214&amp;F214,Mapping!$B:$B,0))</f>
        <v/>
      </c>
      <c r="P214" s="204" t="str">
        <f>INDEX(Mapping!$H:$H,MATCH($E214&amp;$G214,Mapping!$B:$B,0))</f>
        <v>On-net (NLS1, 2)</v>
      </c>
      <c r="Q214" s="204">
        <f>INDEX(Mapping!$H:$H,MATCH($E214&amp;$G214&amp;"graafafstand",Mapping!$B:$B,0))</f>
        <v>0</v>
      </c>
      <c r="R214" s="204">
        <f>INDEX(Mapping!$H:$H,MATCH(R$3&amp;$E214,Mapping!$B:$B,0))</f>
        <v>1</v>
      </c>
      <c r="S214" s="204">
        <f>INDEX(Mapping!$H:$H,MATCH(S$3&amp;$E214,Mapping!$B:$B,0))</f>
        <v>1</v>
      </c>
      <c r="T214" s="139" t="str">
        <f t="shared" ref="T214:T228" si="427">N214&amp;O214&amp;P214</f>
        <v>Copper Standard Access 3Mbit/sOn-net (NLS1, 2)</v>
      </c>
      <c r="U214" s="151" t="str">
        <f t="shared" ref="U214:U228" si="428">T214</f>
        <v>Copper Standard Access 3Mbit/sOn-net (NLS1, 2)</v>
      </c>
      <c r="W214" s="521">
        <f>MATCH($J214,'Tarieven ZM'!$B:$B,0)</f>
        <v>171</v>
      </c>
      <c r="X214" s="204">
        <f>INDEX('Tarieven ZM'!$H:$H,$W214)</f>
        <v>1000</v>
      </c>
      <c r="Y214" s="198">
        <f>IF(E214="Standard Access in ZG BT gebieden",0,-INDEX(Parameters!$B:$B,MATCH(Y$3&amp;$C214,Parameters!$A:$A,0))*$X214)</f>
        <v>0</v>
      </c>
      <c r="Z214" s="198">
        <f>IF(E214="Standard Access in ZG BT gebieden",0,MAX(-INDEX(Parameters!$B:$B,MATCH(Z$3&amp;$C214,Parameters!$A:$A,0))*$X214,-INDEX(Parameters!$B:$B,MATCH("FactorMaxSalesMandaat"&amp;E214,Parameters!$A:$A,0))*INDEX(Parameters!$B:$B,MATCH("MaxSalesMandaatAccessVVE"&amp;$C214,Parameters!$A:$A,0))))</f>
        <v>0</v>
      </c>
      <c r="AA214" s="139">
        <f t="shared" ref="AA214:AA228" si="429">SUM(X214:Z214)</f>
        <v>1000</v>
      </c>
      <c r="AB214" s="205">
        <f>AA214/INDEX(Parameters!$B:$B,MATCH("AfschrijftermijnVVE"&amp;12*$C214,Parameters!$A:$A,0))</f>
        <v>16.666666666666668</v>
      </c>
      <c r="AC214" s="204">
        <f>INDEX('Tarieven ZM'!$G:$G,$W214)</f>
        <v>1000</v>
      </c>
      <c r="AD214" s="198">
        <f>IF(E214="Standard Access in ZG BT gebieden",0,-INDEX(Parameters!$B:$B,MATCH(AD$3&amp;$C214,Parameters!$A:$A,0))*$AC214)</f>
        <v>0</v>
      </c>
      <c r="AE214" s="198">
        <f>IF(E214="Standard Access in ZG BT gebieden",0,-INDEX(Parameters!$B:$B,MATCH(AE$3,Parameters!$A:$A,0))*$AC214)</f>
        <v>0</v>
      </c>
      <c r="AF214" s="139">
        <f t="shared" ref="AF214:AF228" si="430">SUM(AC214:AE214)</f>
        <v>1000</v>
      </c>
      <c r="AG214" s="522">
        <f t="shared" ref="AG214:AG228" si="431">SUM(AB214,AF214)</f>
        <v>1016.6666666666666</v>
      </c>
      <c r="AH214" s="175"/>
      <c r="AI214" s="523">
        <f>IF(N214&lt;&gt;"nvt",MATCH($T214,'Tarieven W&amp;O'!$B:$B,0),"nvt")</f>
        <v>9</v>
      </c>
      <c r="AJ214" s="205">
        <f>IF(AI214&lt;&gt;"nvt",IF($D214="EoK",INDEX(Parameters!C:C,MATCH("NLSx EoK",Parameters!A:A,0)),INDEX('Tarieven W&amp;O'!$H:$H,$AI214)),0)*R214</f>
        <v>350</v>
      </c>
      <c r="AK214" s="204">
        <f>IF(AI214&lt;&gt;"nvt",INDEX('Tarieven W&amp;O'!$I:$I,$AI214),0)*R214</f>
        <v>75</v>
      </c>
      <c r="AL214" s="524">
        <f>IF(AI214&lt;&gt;"nvt",-INDEX(Parameters!$B:$B,MATCH(AL$3,Parameters!$A:$A,0))*(AJ214+AK214),0)</f>
        <v>0</v>
      </c>
      <c r="AM214" s="525"/>
      <c r="AN214" s="139">
        <f t="shared" ref="AN214:AN228" si="432">SUM(AJ214:AM214)</f>
        <v>425</v>
      </c>
      <c r="AO214" s="205">
        <f>AN214/INDEX(Parameters!$B:$B,MATCH("AfschrijftermijnVVE"&amp;12*$C214,Parameters!$A:$A,0))</f>
        <v>7.083333333333333</v>
      </c>
      <c r="AP214" s="139">
        <f t="shared" ref="AP214:AP228" si="433">AI214</f>
        <v>9</v>
      </c>
      <c r="AQ214" s="526">
        <f>IF(AP214&lt;&gt;"nvt",R214*INDEX('Tarieven W&amp;O'!$G:$G,$AP214),0)</f>
        <v>41.5</v>
      </c>
      <c r="AR214" s="524">
        <f>-INDEX(Parameters!$B:$B,MATCH(AR$3,Parameters!$A:$A,0))*(AQ214)</f>
        <v>0</v>
      </c>
      <c r="AS214" s="205">
        <f>IF(E214="straal access",'EDC Minus'!$H$192,IF(Q214&lt;&gt;"nvt",Q214*S214*'EDC Minus'!$H$292/590,0))</f>
        <v>0</v>
      </c>
      <c r="AT214" s="139"/>
      <c r="AU214" s="150">
        <f t="shared" ref="AU214:AU228" si="434">SUM(AQ214:AT214)</f>
        <v>41.5</v>
      </c>
      <c r="AV214" s="150">
        <f t="shared" ref="AV214:AV228" si="435">SUM(AO214,AU214)</f>
        <v>48.583333333333336</v>
      </c>
      <c r="AX214" s="526">
        <f>Parameters!$B$6*AV214</f>
        <v>0.48583333333333339</v>
      </c>
      <c r="AY214" s="150">
        <v>0</v>
      </c>
      <c r="AZ214" s="150"/>
      <c r="BA214" s="150">
        <f t="shared" ref="BA214:BA228" si="436">SUM(AX214:AZ214)</f>
        <v>0.48583333333333339</v>
      </c>
      <c r="BC214" s="522">
        <f t="shared" ref="BC214:BC228" si="437">SUM(AV214,BA214)</f>
        <v>49.069166666666668</v>
      </c>
      <c r="BD214" s="175"/>
      <c r="BE214" s="527">
        <f t="shared" ref="BE214:BE228" si="438">AG214-BC214</f>
        <v>967.59749999999997</v>
      </c>
      <c r="BF214" s="181">
        <f t="shared" ref="BF214:BF228" si="439">IF(AG214=0,-999%,BE214/AG214)</f>
        <v>0.95173524590163938</v>
      </c>
      <c r="BG214" s="520" t="b">
        <f t="shared" ref="BG214:BG228" si="440">BF214&lt;0</f>
        <v>0</v>
      </c>
      <c r="BI214" s="528" t="s">
        <v>2181</v>
      </c>
      <c r="BK214" s="151">
        <f>VLOOKUP(J214,'Tarieven ZM'!$B$136:$I$235,8,0)</f>
        <v>0</v>
      </c>
      <c r="BL214" s="151" t="str">
        <f>IF(M214="EoK",N214&amp;"AdvancedNLS type 1/2/3",IF(E214&lt;&gt;"Straal Access",INDEX(Mapping!J:J,MATCH(E214&amp;G214,Mapping!B:B,0)),E214))</f>
        <v>Copper Standard Access 3Mbit/sAdvancedNLS type 1/2/3</v>
      </c>
      <c r="BM214" s="184">
        <f>INDEX('inkoop ULL tbv EVPN'!J:J,MATCH($BL214,'inkoop ULL tbv EVPN'!$H:$H,0))</f>
        <v>78.97</v>
      </c>
      <c r="BN214" s="180">
        <f>BM214/INDEX(Parameters!$B:$B,MATCH("AfschrijftermijnVVE"&amp;12*$C214,Parameters!$A:$A,0))</f>
        <v>1.3161666666666667</v>
      </c>
      <c r="BO214" s="184">
        <f>INDEX('inkoop ULL tbv EVPN'!I:I,MATCH($BL214,'inkoop ULL tbv EVPN'!$H:$H,0))</f>
        <v>14.7296035</v>
      </c>
      <c r="BP214" s="184">
        <f t="shared" ref="BP214:BP228" si="441">BN214+BO214</f>
        <v>16.045770166666667</v>
      </c>
      <c r="BR214" s="180">
        <f>Parameters!$B$12*AG214</f>
        <v>101.66666666666667</v>
      </c>
      <c r="BS214" s="180">
        <f>SUM(Distributievergoedingen!$F$12,Distributievergoedingen!$I$12,Distributievergoedingen!$L$12,Distributievergoedingen!$O$12)*AF214+SUM(Distributievergoedingen!$O$12*AA214+Distributievergoedingen!$R$12+Distributievergoedingen!$U$12+Distributievergoedingen!$X$12)/(MAX(36,12*C214))</f>
        <v>111.66666666666667</v>
      </c>
      <c r="BT214" s="150"/>
      <c r="BU214" s="150">
        <f t="shared" ref="BU214:BU228" si="442">SUM(BR214:BT214)</f>
        <v>213.33333333333334</v>
      </c>
      <c r="BW214" s="522">
        <f t="shared" ref="BW214:BW228" si="443">SUM(BP214,BU214)</f>
        <v>229.37910350000001</v>
      </c>
      <c r="BY214" s="527">
        <f t="shared" ref="BY214:BY228" si="444">AG214-BW214</f>
        <v>787.28756316666659</v>
      </c>
      <c r="BZ214" s="181">
        <f t="shared" ref="BZ214:BZ228" si="445">IF(AG214=0,-999%,BY214/AG214)</f>
        <v>0.77438120967213109</v>
      </c>
      <c r="CA214" s="520" t="b">
        <f t="shared" ref="CA214:CA228" si="446">BZ214&lt;0</f>
        <v>0</v>
      </c>
    </row>
    <row r="215" spans="1:79" s="151" customFormat="1">
      <c r="A215" s="151" t="str">
        <f t="shared" si="424"/>
        <v>5EoKStandard Access koper 5mbLaagOn-net (NLS1, 2)</v>
      </c>
      <c r="B215" s="151" t="str">
        <f t="shared" si="425"/>
        <v>5EoKStandard Access koper 5mbLaagOn-net (NLS1, 2)</v>
      </c>
      <c r="C215" s="178">
        <v>5</v>
      </c>
      <c r="D215" s="415" t="s">
        <v>303</v>
      </c>
      <c r="E215" s="178" t="s">
        <v>276</v>
      </c>
      <c r="F215" s="107" t="s">
        <v>275</v>
      </c>
      <c r="G215" s="178" t="s">
        <v>281</v>
      </c>
      <c r="J215" s="520" t="str">
        <f t="shared" si="426"/>
        <v>EoKStandard Access koper 5mbLaagOn-net (NLS1, 2)</v>
      </c>
      <c r="L215" s="204">
        <f>INDEX(Mapping!$H:$H,MATCH(C$3&amp;C215,Mapping!$B:$B,0))</f>
        <v>1</v>
      </c>
      <c r="M215" s="204" t="str">
        <f>INDEX(Mapping!$H:$H,MATCH(D$3&amp;D215,Mapping!$B:$B,0))</f>
        <v>EoK</v>
      </c>
      <c r="N215" s="204" t="str">
        <f>INDEX(Mapping!$H:$H,MATCH(E$3&amp;E215,Mapping!$B:$B,0))</f>
        <v>Copper Standard Access 5Mbit/s</v>
      </c>
      <c r="O215" s="204" t="str">
        <f>INDEX(Mapping!$H:$H,MATCH(E215&amp;F215,Mapping!$B:$B,0))</f>
        <v/>
      </c>
      <c r="P215" s="204" t="str">
        <f>INDEX(Mapping!$H:$H,MATCH($E215&amp;$G215,Mapping!$B:$B,0))</f>
        <v>On-net (NLS1, 2)</v>
      </c>
      <c r="Q215" s="204">
        <f>INDEX(Mapping!$H:$H,MATCH($E215&amp;$G215&amp;"graafafstand",Mapping!$B:$B,0))</f>
        <v>0</v>
      </c>
      <c r="R215" s="204">
        <f>INDEX(Mapping!$H:$H,MATCH(R$3&amp;$E215,Mapping!$B:$B,0))</f>
        <v>1</v>
      </c>
      <c r="S215" s="204">
        <f>INDEX(Mapping!$H:$H,MATCH(S$3&amp;$E215,Mapping!$B:$B,0))</f>
        <v>1</v>
      </c>
      <c r="T215" s="139" t="str">
        <f t="shared" si="427"/>
        <v>Copper Standard Access 5Mbit/sOn-net (NLS1, 2)</v>
      </c>
      <c r="U215" s="151" t="str">
        <f t="shared" si="428"/>
        <v>Copper Standard Access 5Mbit/sOn-net (NLS1, 2)</v>
      </c>
      <c r="W215" s="521">
        <f>MATCH($J215,'Tarieven ZM'!$B:$B,0)</f>
        <v>172</v>
      </c>
      <c r="X215" s="204">
        <f>INDEX('Tarieven ZM'!$H:$H,$W215)</f>
        <v>1000</v>
      </c>
      <c r="Y215" s="198">
        <f>IF(E215="Standard Access in ZG BT gebieden",0,-INDEX(Parameters!$B:$B,MATCH(Y$3&amp;$C215,Parameters!$A:$A,0))*$X215)</f>
        <v>0</v>
      </c>
      <c r="Z215" s="198">
        <f>IF(E215="Standard Access in ZG BT gebieden",0,MAX(-INDEX(Parameters!$B:$B,MATCH(Z$3&amp;$C215,Parameters!$A:$A,0))*$X215,-INDEX(Parameters!$B:$B,MATCH("FactorMaxSalesMandaat"&amp;E215,Parameters!$A:$A,0))*INDEX(Parameters!$B:$B,MATCH("MaxSalesMandaatAccessVVE"&amp;$C215,Parameters!$A:$A,0))))</f>
        <v>0</v>
      </c>
      <c r="AA215" s="139">
        <f t="shared" si="429"/>
        <v>1000</v>
      </c>
      <c r="AB215" s="205">
        <f>AA215/INDEX(Parameters!$B:$B,MATCH("AfschrijftermijnVVE"&amp;12*$C215,Parameters!$A:$A,0))</f>
        <v>16.666666666666668</v>
      </c>
      <c r="AC215" s="204">
        <f>INDEX('Tarieven ZM'!$G:$G,$W215)</f>
        <v>1000</v>
      </c>
      <c r="AD215" s="198">
        <f>IF(E215="Standard Access in ZG BT gebieden",0,-INDEX(Parameters!$B:$B,MATCH(AD$3&amp;$C215,Parameters!$A:$A,0))*$AC215)</f>
        <v>0</v>
      </c>
      <c r="AE215" s="198">
        <f>IF(E215="Standard Access in ZG BT gebieden",0,-INDEX(Parameters!$B:$B,MATCH(AE$3,Parameters!$A:$A,0))*$AC215)</f>
        <v>0</v>
      </c>
      <c r="AF215" s="139">
        <f t="shared" si="430"/>
        <v>1000</v>
      </c>
      <c r="AG215" s="522">
        <f t="shared" si="431"/>
        <v>1016.6666666666666</v>
      </c>
      <c r="AH215" s="175"/>
      <c r="AI215" s="523">
        <f>IF(N215&lt;&gt;"nvt",MATCH($T215,'Tarieven W&amp;O'!$B:$B,0),"nvt")</f>
        <v>10</v>
      </c>
      <c r="AJ215" s="205">
        <f>IF(AI215&lt;&gt;"nvt",IF($D215="EoK",INDEX(Parameters!C:C,MATCH("NLSx EoK",Parameters!A:A,0)),INDEX('Tarieven W&amp;O'!$H:$H,$AI215)),0)*R215</f>
        <v>350</v>
      </c>
      <c r="AK215" s="204">
        <f>IF(AI215&lt;&gt;"nvt",INDEX('Tarieven W&amp;O'!$I:$I,$AI215),0)*R215</f>
        <v>75</v>
      </c>
      <c r="AL215" s="524">
        <f>IF(AI215&lt;&gt;"nvt",-INDEX(Parameters!$B:$B,MATCH(AL$3,Parameters!$A:$A,0))*(AJ215+AK215),0)</f>
        <v>0</v>
      </c>
      <c r="AM215" s="525"/>
      <c r="AN215" s="139">
        <f t="shared" si="432"/>
        <v>425</v>
      </c>
      <c r="AO215" s="205">
        <f>AN215/INDEX(Parameters!$B:$B,MATCH("AfschrijftermijnVVE"&amp;12*$C215,Parameters!$A:$A,0))</f>
        <v>7.083333333333333</v>
      </c>
      <c r="AP215" s="139">
        <f t="shared" si="433"/>
        <v>10</v>
      </c>
      <c r="AQ215" s="526">
        <f>IF(AP215&lt;&gt;"nvt",R215*INDEX('Tarieven W&amp;O'!$G:$G,$AP215),0)</f>
        <v>60.97</v>
      </c>
      <c r="AR215" s="524">
        <f>-INDEX(Parameters!$B:$B,MATCH(AR$3,Parameters!$A:$A,0))*(AQ215)</f>
        <v>0</v>
      </c>
      <c r="AS215" s="205">
        <f>IF(E215="straal access",'EDC Minus'!$H$192,IF(Q215&lt;&gt;"nvt",Q215*S215*'EDC Minus'!$H$292/590,0))</f>
        <v>0</v>
      </c>
      <c r="AT215" s="139"/>
      <c r="AU215" s="150">
        <f t="shared" si="434"/>
        <v>60.97</v>
      </c>
      <c r="AV215" s="150">
        <f t="shared" si="435"/>
        <v>68.053333333333327</v>
      </c>
      <c r="AX215" s="526">
        <f>Parameters!$B$6*AV215</f>
        <v>0.68053333333333332</v>
      </c>
      <c r="AY215" s="150">
        <v>0</v>
      </c>
      <c r="AZ215" s="150"/>
      <c r="BA215" s="150">
        <f t="shared" si="436"/>
        <v>0.68053333333333332</v>
      </c>
      <c r="BC215" s="522">
        <f t="shared" si="437"/>
        <v>68.733866666666657</v>
      </c>
      <c r="BD215" s="175"/>
      <c r="BE215" s="527">
        <f t="shared" si="438"/>
        <v>947.93279999999993</v>
      </c>
      <c r="BF215" s="181">
        <f t="shared" si="439"/>
        <v>0.9323929180327869</v>
      </c>
      <c r="BG215" s="520" t="b">
        <f t="shared" si="440"/>
        <v>0</v>
      </c>
      <c r="BI215" s="528" t="s">
        <v>2181</v>
      </c>
      <c r="BK215" s="151">
        <f>VLOOKUP(J215,'Tarieven ZM'!$B$136:$I$235,8,0)</f>
        <v>0</v>
      </c>
      <c r="BL215" s="151" t="str">
        <f>IF(M215="EoK",N215&amp;"AdvancedNLS type 1/2/3",IF(E215&lt;&gt;"Straal Access",INDEX(Mapping!J:J,MATCH(E215&amp;G215,Mapping!B:B,0)),E215))</f>
        <v>Copper Standard Access 5Mbit/sAdvancedNLS type 1/2/3</v>
      </c>
      <c r="BM215" s="184">
        <f>INDEX('inkoop ULL tbv EVPN'!J:J,MATCH($BL215,'inkoop ULL tbv EVPN'!$H:$H,0))</f>
        <v>78.97</v>
      </c>
      <c r="BN215" s="180">
        <f>BM215/INDEX(Parameters!$B:$B,MATCH("AfschrijftermijnVVE"&amp;12*$C215,Parameters!$A:$A,0))</f>
        <v>1.3161666666666667</v>
      </c>
      <c r="BO215" s="184">
        <f>INDEX('inkoop ULL tbv EVPN'!I:I,MATCH($BL215,'inkoop ULL tbv EVPN'!$H:$H,0))</f>
        <v>14.7296035</v>
      </c>
      <c r="BP215" s="184">
        <f t="shared" si="441"/>
        <v>16.045770166666667</v>
      </c>
      <c r="BR215" s="180">
        <f>Parameters!$B$12*AG215</f>
        <v>101.66666666666667</v>
      </c>
      <c r="BS215" s="180">
        <f>SUM(Distributievergoedingen!$F$12,Distributievergoedingen!$I$12,Distributievergoedingen!$L$12,Distributievergoedingen!$O$12)*AF215+SUM(Distributievergoedingen!$O$12*AA215+Distributievergoedingen!$R$12+Distributievergoedingen!$U$12+Distributievergoedingen!$X$12)/(MAX(36,12*C215))</f>
        <v>111.66666666666667</v>
      </c>
      <c r="BT215" s="150"/>
      <c r="BU215" s="150">
        <f t="shared" si="442"/>
        <v>213.33333333333334</v>
      </c>
      <c r="BW215" s="522">
        <f t="shared" si="443"/>
        <v>229.37910350000001</v>
      </c>
      <c r="BY215" s="527">
        <f t="shared" si="444"/>
        <v>787.28756316666659</v>
      </c>
      <c r="BZ215" s="181">
        <f t="shared" si="445"/>
        <v>0.77438120967213109</v>
      </c>
      <c r="CA215" s="520" t="b">
        <f t="shared" si="446"/>
        <v>0</v>
      </c>
    </row>
    <row r="216" spans="1:79" s="151" customFormat="1">
      <c r="A216" s="151" t="str">
        <f t="shared" si="424"/>
        <v>5EoKStandard Access koper 10mbLaagOn-net (NLS1, 2)</v>
      </c>
      <c r="B216" s="151" t="str">
        <f t="shared" si="425"/>
        <v>5EoKStandard Access koper 10mbLaagOn-net (NLS1, 2)</v>
      </c>
      <c r="C216" s="178">
        <v>5</v>
      </c>
      <c r="D216" s="415" t="s">
        <v>303</v>
      </c>
      <c r="E216" s="178" t="s">
        <v>277</v>
      </c>
      <c r="F216" s="107" t="s">
        <v>275</v>
      </c>
      <c r="G216" s="178" t="s">
        <v>281</v>
      </c>
      <c r="J216" s="520" t="str">
        <f t="shared" si="426"/>
        <v>EoKStandard Access koper 10mbLaagOn-net (NLS1, 2)</v>
      </c>
      <c r="L216" s="204">
        <f>INDEX(Mapping!$H:$H,MATCH(C$3&amp;C216,Mapping!$B:$B,0))</f>
        <v>1</v>
      </c>
      <c r="M216" s="204" t="str">
        <f>INDEX(Mapping!$H:$H,MATCH(D$3&amp;D216,Mapping!$B:$B,0))</f>
        <v>EoK</v>
      </c>
      <c r="N216" s="204" t="str">
        <f>INDEX(Mapping!$H:$H,MATCH(E$3&amp;E216,Mapping!$B:$B,0))</f>
        <v>Copper Standard Access 10Mbit/s</v>
      </c>
      <c r="O216" s="204" t="str">
        <f>INDEX(Mapping!$H:$H,MATCH(E216&amp;F216,Mapping!$B:$B,0))</f>
        <v/>
      </c>
      <c r="P216" s="204" t="str">
        <f>INDEX(Mapping!$H:$H,MATCH($E216&amp;$G216,Mapping!$B:$B,0))</f>
        <v>On-net (NLS1, 2)</v>
      </c>
      <c r="Q216" s="204">
        <f>INDEX(Mapping!$H:$H,MATCH($E216&amp;$G216&amp;"graafafstand",Mapping!$B:$B,0))</f>
        <v>0</v>
      </c>
      <c r="R216" s="204">
        <f>INDEX(Mapping!$H:$H,MATCH(R$3&amp;$E216,Mapping!$B:$B,0))</f>
        <v>1</v>
      </c>
      <c r="S216" s="204">
        <f>INDEX(Mapping!$H:$H,MATCH(S$3&amp;$E216,Mapping!$B:$B,0))</f>
        <v>1</v>
      </c>
      <c r="T216" s="139" t="str">
        <f t="shared" si="427"/>
        <v>Copper Standard Access 10Mbit/sOn-net (NLS1, 2)</v>
      </c>
      <c r="U216" s="151" t="str">
        <f t="shared" si="428"/>
        <v>Copper Standard Access 10Mbit/sOn-net (NLS1, 2)</v>
      </c>
      <c r="W216" s="521">
        <f>MATCH($J216,'Tarieven ZM'!$B:$B,0)</f>
        <v>173</v>
      </c>
      <c r="X216" s="204">
        <f>INDEX('Tarieven ZM'!$H:$H,$W216)</f>
        <v>1000</v>
      </c>
      <c r="Y216" s="198">
        <f>IF(E216="Standard Access in ZG BT gebieden",0,-INDEX(Parameters!$B:$B,MATCH(Y$3&amp;$C216,Parameters!$A:$A,0))*$X216)</f>
        <v>0</v>
      </c>
      <c r="Z216" s="198">
        <f>IF(E216="Standard Access in ZG BT gebieden",0,MAX(-INDEX(Parameters!$B:$B,MATCH(Z$3&amp;$C216,Parameters!$A:$A,0))*$X216,-INDEX(Parameters!$B:$B,MATCH("FactorMaxSalesMandaat"&amp;E216,Parameters!$A:$A,0))*INDEX(Parameters!$B:$B,MATCH("MaxSalesMandaatAccessVVE"&amp;$C216,Parameters!$A:$A,0))))</f>
        <v>0</v>
      </c>
      <c r="AA216" s="139">
        <f t="shared" si="429"/>
        <v>1000</v>
      </c>
      <c r="AB216" s="205">
        <f>AA216/INDEX(Parameters!$B:$B,MATCH("AfschrijftermijnVVE"&amp;12*$C216,Parameters!$A:$A,0))</f>
        <v>16.666666666666668</v>
      </c>
      <c r="AC216" s="204">
        <f>INDEX('Tarieven ZM'!$G:$G,$W216)</f>
        <v>1000</v>
      </c>
      <c r="AD216" s="198">
        <f>IF(E216="Standard Access in ZG BT gebieden",0,-INDEX(Parameters!$B:$B,MATCH(AD$3&amp;$C216,Parameters!$A:$A,0))*$AC216)</f>
        <v>0</v>
      </c>
      <c r="AE216" s="198">
        <f>IF(E216="Standard Access in ZG BT gebieden",0,-INDEX(Parameters!$B:$B,MATCH(AE$3,Parameters!$A:$A,0))*$AC216)</f>
        <v>0</v>
      </c>
      <c r="AF216" s="139">
        <f t="shared" si="430"/>
        <v>1000</v>
      </c>
      <c r="AG216" s="522">
        <f t="shared" si="431"/>
        <v>1016.6666666666666</v>
      </c>
      <c r="AH216" s="175"/>
      <c r="AI216" s="523">
        <f>IF(N216&lt;&gt;"nvt",MATCH($T216,'Tarieven W&amp;O'!$B:$B,0),"nvt")</f>
        <v>11</v>
      </c>
      <c r="AJ216" s="205">
        <f>IF(AI216&lt;&gt;"nvt",IF($D216="EoK",INDEX(Parameters!C:C,MATCH("NLSx EoK",Parameters!A:A,0)),INDEX('Tarieven W&amp;O'!$H:$H,$AI216)),0)*R216</f>
        <v>350</v>
      </c>
      <c r="AK216" s="204">
        <f>IF(AI216&lt;&gt;"nvt",INDEX('Tarieven W&amp;O'!$I:$I,$AI216),0)*R216</f>
        <v>75</v>
      </c>
      <c r="AL216" s="524">
        <f>IF(AI216&lt;&gt;"nvt",-INDEX(Parameters!$B:$B,MATCH(AL$3,Parameters!$A:$A,0))*(AJ216+AK216),0)</f>
        <v>0</v>
      </c>
      <c r="AM216" s="525"/>
      <c r="AN216" s="139">
        <f t="shared" si="432"/>
        <v>425</v>
      </c>
      <c r="AO216" s="205">
        <f>AN216/INDEX(Parameters!$B:$B,MATCH("AfschrijftermijnVVE"&amp;12*$C216,Parameters!$A:$A,0))</f>
        <v>7.083333333333333</v>
      </c>
      <c r="AP216" s="139">
        <f t="shared" si="433"/>
        <v>11</v>
      </c>
      <c r="AQ216" s="526">
        <f>IF(AP216&lt;&gt;"nvt",R216*INDEX('Tarieven W&amp;O'!$G:$G,$AP216),0)</f>
        <v>83.59</v>
      </c>
      <c r="AR216" s="524">
        <f>-INDEX(Parameters!$B:$B,MATCH(AR$3,Parameters!$A:$A,0))*(AQ216)</f>
        <v>0</v>
      </c>
      <c r="AS216" s="205">
        <f>IF(E216="straal access",'EDC Minus'!$H$192,IF(Q216&lt;&gt;"nvt",Q216*S216*'EDC Minus'!$H$292/590,0))</f>
        <v>0</v>
      </c>
      <c r="AT216" s="139"/>
      <c r="AU216" s="150">
        <f t="shared" si="434"/>
        <v>83.59</v>
      </c>
      <c r="AV216" s="150">
        <f t="shared" si="435"/>
        <v>90.673333333333332</v>
      </c>
      <c r="AX216" s="526">
        <f>Parameters!$B$6*AV216</f>
        <v>0.90673333333333339</v>
      </c>
      <c r="AY216" s="150">
        <v>0</v>
      </c>
      <c r="AZ216" s="150"/>
      <c r="BA216" s="150">
        <f t="shared" si="436"/>
        <v>0.90673333333333339</v>
      </c>
      <c r="BC216" s="522">
        <f t="shared" si="437"/>
        <v>91.580066666666667</v>
      </c>
      <c r="BD216" s="175"/>
      <c r="BE216" s="527">
        <f t="shared" si="438"/>
        <v>925.08659999999998</v>
      </c>
      <c r="BF216" s="181">
        <f t="shared" si="439"/>
        <v>0.90992124590163936</v>
      </c>
      <c r="BG216" s="520" t="b">
        <f t="shared" si="440"/>
        <v>0</v>
      </c>
      <c r="BI216" s="528" t="s">
        <v>2181</v>
      </c>
      <c r="BK216" s="151">
        <f>VLOOKUP(J216,'Tarieven ZM'!$B$136:$I$235,8,0)</f>
        <v>0</v>
      </c>
      <c r="BL216" s="151" t="str">
        <f>IF(M216="EoK",N216&amp;"AdvancedNLS type 1/2/3",IF(E216&lt;&gt;"Straal Access",INDEX(Mapping!J:J,MATCH(E216&amp;G216,Mapping!B:B,0)),E216))</f>
        <v>Copper Standard Access 10Mbit/sAdvancedNLS type 1/2/3</v>
      </c>
      <c r="BM216" s="184">
        <f>INDEX('inkoop ULL tbv EVPN'!J:J,MATCH($BL216,'inkoop ULL tbv EVPN'!$H:$H,0))</f>
        <v>78.97</v>
      </c>
      <c r="BN216" s="180">
        <f>BM216/INDEX(Parameters!$B:$B,MATCH("AfschrijftermijnVVE"&amp;12*$C216,Parameters!$A:$A,0))</f>
        <v>1.3161666666666667</v>
      </c>
      <c r="BO216" s="184">
        <f>INDEX('inkoop ULL tbv EVPN'!I:I,MATCH($BL216,'inkoop ULL tbv EVPN'!$H:$H,0))</f>
        <v>14.7296035</v>
      </c>
      <c r="BP216" s="184">
        <f t="shared" si="441"/>
        <v>16.045770166666667</v>
      </c>
      <c r="BR216" s="180">
        <f>Parameters!$B$12*AG216</f>
        <v>101.66666666666667</v>
      </c>
      <c r="BS216" s="180">
        <f>SUM(Distributievergoedingen!$F$12,Distributievergoedingen!$I$12,Distributievergoedingen!$L$12,Distributievergoedingen!$O$12)*AF216+SUM(Distributievergoedingen!$O$12*AA216+Distributievergoedingen!$R$12+Distributievergoedingen!$U$12+Distributievergoedingen!$X$12)/(MAX(36,12*C216))</f>
        <v>111.66666666666667</v>
      </c>
      <c r="BT216" s="150"/>
      <c r="BU216" s="150">
        <f t="shared" si="442"/>
        <v>213.33333333333334</v>
      </c>
      <c r="BW216" s="522">
        <f t="shared" si="443"/>
        <v>229.37910350000001</v>
      </c>
      <c r="BY216" s="527">
        <f t="shared" si="444"/>
        <v>787.28756316666659</v>
      </c>
      <c r="BZ216" s="181">
        <f t="shared" si="445"/>
        <v>0.77438120967213109</v>
      </c>
      <c r="CA216" s="520" t="b">
        <f t="shared" si="446"/>
        <v>0</v>
      </c>
    </row>
    <row r="217" spans="1:79" s="151" customFormat="1">
      <c r="A217" s="151" t="str">
        <f t="shared" si="424"/>
        <v>5EoKStandard Access koper 15mbLaagOn-net (NLS1, 2)</v>
      </c>
      <c r="B217" s="151" t="str">
        <f t="shared" si="425"/>
        <v>5EoKStandard Access koper 15mbLaagOn-net (NLS1, 2)</v>
      </c>
      <c r="C217" s="178">
        <v>5</v>
      </c>
      <c r="D217" s="415" t="s">
        <v>303</v>
      </c>
      <c r="E217" s="178" t="s">
        <v>278</v>
      </c>
      <c r="F217" s="107" t="s">
        <v>275</v>
      </c>
      <c r="G217" s="178" t="s">
        <v>281</v>
      </c>
      <c r="J217" s="520" t="str">
        <f t="shared" si="426"/>
        <v>EoKStandard Access koper 15mbLaagOn-net (NLS1, 2)</v>
      </c>
      <c r="L217" s="204">
        <f>INDEX(Mapping!$H:$H,MATCH(C$3&amp;C217,Mapping!$B:$B,0))</f>
        <v>1</v>
      </c>
      <c r="M217" s="204" t="str">
        <f>INDEX(Mapping!$H:$H,MATCH(D$3&amp;D217,Mapping!$B:$B,0))</f>
        <v>EoK</v>
      </c>
      <c r="N217" s="204" t="str">
        <f>INDEX(Mapping!$H:$H,MATCH(E$3&amp;E217,Mapping!$B:$B,0))</f>
        <v>Copper Standard Access 15Mbit/s</v>
      </c>
      <c r="O217" s="204" t="str">
        <f>INDEX(Mapping!$H:$H,MATCH(E217&amp;F217,Mapping!$B:$B,0))</f>
        <v/>
      </c>
      <c r="P217" s="204" t="str">
        <f>INDEX(Mapping!$H:$H,MATCH($E217&amp;$G217,Mapping!$B:$B,0))</f>
        <v>On-net (NLS1, 2)</v>
      </c>
      <c r="Q217" s="204">
        <f>INDEX(Mapping!$H:$H,MATCH($E217&amp;$G217&amp;"graafafstand",Mapping!$B:$B,0))</f>
        <v>0</v>
      </c>
      <c r="R217" s="204">
        <f>INDEX(Mapping!$H:$H,MATCH(R$3&amp;$E217,Mapping!$B:$B,0))</f>
        <v>1</v>
      </c>
      <c r="S217" s="204">
        <f>INDEX(Mapping!$H:$H,MATCH(S$3&amp;$E217,Mapping!$B:$B,0))</f>
        <v>1</v>
      </c>
      <c r="T217" s="139" t="str">
        <f t="shared" si="427"/>
        <v>Copper Standard Access 15Mbit/sOn-net (NLS1, 2)</v>
      </c>
      <c r="U217" s="151" t="str">
        <f t="shared" si="428"/>
        <v>Copper Standard Access 15Mbit/sOn-net (NLS1, 2)</v>
      </c>
      <c r="W217" s="521">
        <f>MATCH($J217,'Tarieven ZM'!$B:$B,0)</f>
        <v>174</v>
      </c>
      <c r="X217" s="204">
        <f>INDEX('Tarieven ZM'!$H:$H,$W217)</f>
        <v>1000</v>
      </c>
      <c r="Y217" s="198">
        <f>IF(E217="Standard Access in ZG BT gebieden",0,-INDEX(Parameters!$B:$B,MATCH(Y$3&amp;$C217,Parameters!$A:$A,0))*$X217)</f>
        <v>0</v>
      </c>
      <c r="Z217" s="198">
        <f>IF(E217="Standard Access in ZG BT gebieden",0,MAX(-INDEX(Parameters!$B:$B,MATCH(Z$3&amp;$C217,Parameters!$A:$A,0))*$X217,-INDEX(Parameters!$B:$B,MATCH("FactorMaxSalesMandaat"&amp;E217,Parameters!$A:$A,0))*INDEX(Parameters!$B:$B,MATCH("MaxSalesMandaatAccessVVE"&amp;$C217,Parameters!$A:$A,0))))</f>
        <v>0</v>
      </c>
      <c r="AA217" s="139">
        <f t="shared" si="429"/>
        <v>1000</v>
      </c>
      <c r="AB217" s="205">
        <f>AA217/INDEX(Parameters!$B:$B,MATCH("AfschrijftermijnVVE"&amp;12*$C217,Parameters!$A:$A,0))</f>
        <v>16.666666666666668</v>
      </c>
      <c r="AC217" s="204">
        <f>INDEX('Tarieven ZM'!$G:$G,$W217)</f>
        <v>1000</v>
      </c>
      <c r="AD217" s="198">
        <f>IF(E217="Standard Access in ZG BT gebieden",0,-INDEX(Parameters!$B:$B,MATCH(AD$3&amp;$C217,Parameters!$A:$A,0))*$AC217)</f>
        <v>0</v>
      </c>
      <c r="AE217" s="198">
        <f>IF(E217="Standard Access in ZG BT gebieden",0,-INDEX(Parameters!$B:$B,MATCH(AE$3,Parameters!$A:$A,0))*$AC217)</f>
        <v>0</v>
      </c>
      <c r="AF217" s="139">
        <f t="shared" si="430"/>
        <v>1000</v>
      </c>
      <c r="AG217" s="522">
        <f t="shared" si="431"/>
        <v>1016.6666666666666</v>
      </c>
      <c r="AH217" s="175"/>
      <c r="AI217" s="523">
        <f>IF(N217&lt;&gt;"nvt",MATCH($T217,'Tarieven W&amp;O'!$B:$B,0),"nvt")</f>
        <v>12</v>
      </c>
      <c r="AJ217" s="205">
        <f>IF(AI217&lt;&gt;"nvt",IF($D217="EoK",INDEX(Parameters!C:C,MATCH("NLSx EoK",Parameters!A:A,0)),INDEX('Tarieven W&amp;O'!$H:$H,$AI217)),0)*R217</f>
        <v>350</v>
      </c>
      <c r="AK217" s="204">
        <f>IF(AI217&lt;&gt;"nvt",INDEX('Tarieven W&amp;O'!$I:$I,$AI217),0)*R217</f>
        <v>75</v>
      </c>
      <c r="AL217" s="524">
        <f>IF(AI217&lt;&gt;"nvt",-INDEX(Parameters!$B:$B,MATCH(AL$3,Parameters!$A:$A,0))*(AJ217+AK217),0)</f>
        <v>0</v>
      </c>
      <c r="AM217" s="525"/>
      <c r="AN217" s="139">
        <f t="shared" si="432"/>
        <v>425</v>
      </c>
      <c r="AO217" s="205">
        <f>AN217/INDEX(Parameters!$B:$B,MATCH("AfschrijftermijnVVE"&amp;12*$C217,Parameters!$A:$A,0))</f>
        <v>7.083333333333333</v>
      </c>
      <c r="AP217" s="139">
        <f t="shared" si="433"/>
        <v>12</v>
      </c>
      <c r="AQ217" s="526">
        <f>IF(AP217&lt;&gt;"nvt",R217*INDEX('Tarieven W&amp;O'!$G:$G,$AP217),0)</f>
        <v>102.44</v>
      </c>
      <c r="AR217" s="524">
        <f>-INDEX(Parameters!$B:$B,MATCH(AR$3,Parameters!$A:$A,0))*(AQ217)</f>
        <v>0</v>
      </c>
      <c r="AS217" s="205">
        <f>IF(E217="straal access",'EDC Minus'!$H$192,IF(Q217&lt;&gt;"nvt",Q217*S217*'EDC Minus'!$H$292/590,0))</f>
        <v>0</v>
      </c>
      <c r="AT217" s="139"/>
      <c r="AU217" s="150">
        <f t="shared" si="434"/>
        <v>102.44</v>
      </c>
      <c r="AV217" s="150">
        <f t="shared" si="435"/>
        <v>109.52333333333333</v>
      </c>
      <c r="AX217" s="526">
        <f>Parameters!$B$6*AV217</f>
        <v>1.0952333333333333</v>
      </c>
      <c r="AY217" s="150">
        <v>0</v>
      </c>
      <c r="AZ217" s="150"/>
      <c r="BA217" s="150">
        <f t="shared" si="436"/>
        <v>1.0952333333333333</v>
      </c>
      <c r="BC217" s="522">
        <f t="shared" si="437"/>
        <v>110.61856666666667</v>
      </c>
      <c r="BD217" s="175"/>
      <c r="BE217" s="527">
        <f t="shared" si="438"/>
        <v>906.04809999999998</v>
      </c>
      <c r="BF217" s="181">
        <f t="shared" si="439"/>
        <v>0.89119485245901642</v>
      </c>
      <c r="BG217" s="520" t="b">
        <f t="shared" si="440"/>
        <v>0</v>
      </c>
      <c r="BI217" s="528" t="s">
        <v>2181</v>
      </c>
      <c r="BK217" s="151">
        <f>VLOOKUP(J217,'Tarieven ZM'!$B$136:$I$235,8,0)</f>
        <v>0</v>
      </c>
      <c r="BL217" s="151" t="str">
        <f>IF(M217="EoK",N217&amp;"AdvancedNLS type 1/2/3",IF(E217&lt;&gt;"Straal Access",INDEX(Mapping!J:J,MATCH(E217&amp;G217,Mapping!B:B,0)),E217))</f>
        <v>Copper Standard Access 15Mbit/sAdvancedNLS type 1/2/3</v>
      </c>
      <c r="BM217" s="184">
        <f>INDEX('inkoop ULL tbv EVPN'!J:J,MATCH($BL217,'inkoop ULL tbv EVPN'!$H:$H,0))</f>
        <v>78.97</v>
      </c>
      <c r="BN217" s="180">
        <f>BM217/INDEX(Parameters!$B:$B,MATCH("AfschrijftermijnVVE"&amp;12*$C217,Parameters!$A:$A,0))</f>
        <v>1.3161666666666667</v>
      </c>
      <c r="BO217" s="184">
        <f>INDEX('inkoop ULL tbv EVPN'!I:I,MATCH($BL217,'inkoop ULL tbv EVPN'!$H:$H,0))</f>
        <v>14.7296035</v>
      </c>
      <c r="BP217" s="184">
        <f t="shared" si="441"/>
        <v>16.045770166666667</v>
      </c>
      <c r="BR217" s="180">
        <f>Parameters!$B$12*AG217</f>
        <v>101.66666666666667</v>
      </c>
      <c r="BS217" s="180">
        <f>SUM(Distributievergoedingen!$F$12,Distributievergoedingen!$I$12,Distributievergoedingen!$L$12,Distributievergoedingen!$O$12)*AF217+SUM(Distributievergoedingen!$O$12*AA217+Distributievergoedingen!$R$12+Distributievergoedingen!$U$12+Distributievergoedingen!$X$12)/(MAX(36,12*C217))</f>
        <v>111.66666666666667</v>
      </c>
      <c r="BT217" s="150"/>
      <c r="BU217" s="150">
        <f t="shared" si="442"/>
        <v>213.33333333333334</v>
      </c>
      <c r="BW217" s="522">
        <f t="shared" si="443"/>
        <v>229.37910350000001</v>
      </c>
      <c r="BY217" s="527">
        <f t="shared" si="444"/>
        <v>787.28756316666659</v>
      </c>
      <c r="BZ217" s="181">
        <f t="shared" si="445"/>
        <v>0.77438120967213109</v>
      </c>
      <c r="CA217" s="520" t="b">
        <f t="shared" si="446"/>
        <v>0</v>
      </c>
    </row>
    <row r="218" spans="1:79" s="151" customFormat="1">
      <c r="A218" s="151" t="str">
        <f t="shared" si="424"/>
        <v>5EoKStandard Access koper 20mbLaagOn-net (NLS1, 2)</v>
      </c>
      <c r="B218" s="151" t="str">
        <f t="shared" si="425"/>
        <v>5EoKStandard Access koper 20mbLaagOn-net (NLS1, 2)</v>
      </c>
      <c r="C218" s="178">
        <v>5</v>
      </c>
      <c r="D218" s="415" t="s">
        <v>303</v>
      </c>
      <c r="E218" s="178" t="s">
        <v>279</v>
      </c>
      <c r="F218" s="107" t="s">
        <v>275</v>
      </c>
      <c r="G218" s="178" t="s">
        <v>281</v>
      </c>
      <c r="J218" s="520" t="str">
        <f t="shared" si="426"/>
        <v>EoKStandard Access koper 20mbLaagOn-net (NLS1, 2)</v>
      </c>
      <c r="L218" s="204">
        <f>INDEX(Mapping!$H:$H,MATCH(C$3&amp;C218,Mapping!$B:$B,0))</f>
        <v>1</v>
      </c>
      <c r="M218" s="204" t="str">
        <f>INDEX(Mapping!$H:$H,MATCH(D$3&amp;D218,Mapping!$B:$B,0))</f>
        <v>EoK</v>
      </c>
      <c r="N218" s="204" t="str">
        <f>INDEX(Mapping!$H:$H,MATCH(E$3&amp;E218,Mapping!$B:$B,0))</f>
        <v>Copper Standard Access 20Mbit/s</v>
      </c>
      <c r="O218" s="204" t="str">
        <f>INDEX(Mapping!$H:$H,MATCH(E218&amp;F218,Mapping!$B:$B,0))</f>
        <v/>
      </c>
      <c r="P218" s="204" t="str">
        <f>INDEX(Mapping!$H:$H,MATCH($E218&amp;$G218,Mapping!$B:$B,0))</f>
        <v>On-net (NLS1, 2)</v>
      </c>
      <c r="Q218" s="204">
        <f>INDEX(Mapping!$H:$H,MATCH($E218&amp;$G218&amp;"graafafstand",Mapping!$B:$B,0))</f>
        <v>0</v>
      </c>
      <c r="R218" s="204">
        <f>INDEX(Mapping!$H:$H,MATCH(R$3&amp;$E218,Mapping!$B:$B,0))</f>
        <v>1</v>
      </c>
      <c r="S218" s="204">
        <f>INDEX(Mapping!$H:$H,MATCH(S$3&amp;$E218,Mapping!$B:$B,0))</f>
        <v>1</v>
      </c>
      <c r="T218" s="139" t="str">
        <f t="shared" si="427"/>
        <v>Copper Standard Access 20Mbit/sOn-net (NLS1, 2)</v>
      </c>
      <c r="U218" s="151" t="str">
        <f t="shared" si="428"/>
        <v>Copper Standard Access 20Mbit/sOn-net (NLS1, 2)</v>
      </c>
      <c r="W218" s="521">
        <f>MATCH($J218,'Tarieven ZM'!$B:$B,0)</f>
        <v>175</v>
      </c>
      <c r="X218" s="204">
        <f>INDEX('Tarieven ZM'!$H:$H,$W218)</f>
        <v>1000</v>
      </c>
      <c r="Y218" s="198">
        <f>IF(E218="Standard Access in ZG BT gebieden",0,-INDEX(Parameters!$B:$B,MATCH(Y$3&amp;$C218,Parameters!$A:$A,0))*$X218)</f>
        <v>0</v>
      </c>
      <c r="Z218" s="198">
        <f>IF(E218="Standard Access in ZG BT gebieden",0,MAX(-INDEX(Parameters!$B:$B,MATCH(Z$3&amp;$C218,Parameters!$A:$A,0))*$X218,-INDEX(Parameters!$B:$B,MATCH("FactorMaxSalesMandaat"&amp;E218,Parameters!$A:$A,0))*INDEX(Parameters!$B:$B,MATCH("MaxSalesMandaatAccessVVE"&amp;$C218,Parameters!$A:$A,0))))</f>
        <v>0</v>
      </c>
      <c r="AA218" s="139">
        <f t="shared" si="429"/>
        <v>1000</v>
      </c>
      <c r="AB218" s="205">
        <f>AA218/INDEX(Parameters!$B:$B,MATCH("AfschrijftermijnVVE"&amp;12*$C218,Parameters!$A:$A,0))</f>
        <v>16.666666666666668</v>
      </c>
      <c r="AC218" s="204">
        <f>INDEX('Tarieven ZM'!$G:$G,$W218)</f>
        <v>1000</v>
      </c>
      <c r="AD218" s="198">
        <f>IF(E218="Standard Access in ZG BT gebieden",0,-INDEX(Parameters!$B:$B,MATCH(AD$3&amp;$C218,Parameters!$A:$A,0))*$AC218)</f>
        <v>0</v>
      </c>
      <c r="AE218" s="198">
        <f>IF(E218="Standard Access in ZG BT gebieden",0,-INDEX(Parameters!$B:$B,MATCH(AE$3,Parameters!$A:$A,0))*$AC218)</f>
        <v>0</v>
      </c>
      <c r="AF218" s="139">
        <f t="shared" si="430"/>
        <v>1000</v>
      </c>
      <c r="AG218" s="522">
        <f t="shared" si="431"/>
        <v>1016.6666666666666</v>
      </c>
      <c r="AH218" s="175"/>
      <c r="AI218" s="523">
        <f>IF(N218&lt;&gt;"nvt",MATCH($T218,'Tarieven W&amp;O'!$B:$B,0),"nvt")</f>
        <v>13</v>
      </c>
      <c r="AJ218" s="205">
        <f>IF(AI218&lt;&gt;"nvt",IF($D218="EoK",INDEX(Parameters!C:C,MATCH("NLSx EoK",Parameters!A:A,0)),INDEX('Tarieven W&amp;O'!$H:$H,$AI218)),0)*R218</f>
        <v>350</v>
      </c>
      <c r="AK218" s="204">
        <f>IF(AI218&lt;&gt;"nvt",INDEX('Tarieven W&amp;O'!$I:$I,$AI218),0)*R218</f>
        <v>75</v>
      </c>
      <c r="AL218" s="524">
        <f>IF(AI218&lt;&gt;"nvt",-INDEX(Parameters!$B:$B,MATCH(AL$3,Parameters!$A:$A,0))*(AJ218+AK218),0)</f>
        <v>0</v>
      </c>
      <c r="AM218" s="525"/>
      <c r="AN218" s="139">
        <f t="shared" si="432"/>
        <v>425</v>
      </c>
      <c r="AO218" s="205">
        <f>AN218/INDEX(Parameters!$B:$B,MATCH("AfschrijftermijnVVE"&amp;12*$C218,Parameters!$A:$A,0))</f>
        <v>7.083333333333333</v>
      </c>
      <c r="AP218" s="139">
        <f t="shared" si="433"/>
        <v>13</v>
      </c>
      <c r="AQ218" s="526">
        <f>IF(AP218&lt;&gt;"nvt",R218*INDEX('Tarieven W&amp;O'!$G:$G,$AP218),0)</f>
        <v>121.28</v>
      </c>
      <c r="AR218" s="524">
        <f>-INDEX(Parameters!$B:$B,MATCH(AR$3,Parameters!$A:$A,0))*(AQ218)</f>
        <v>0</v>
      </c>
      <c r="AS218" s="205">
        <f>IF(E218="straal access",'EDC Minus'!$H$192,IF(Q218&lt;&gt;"nvt",Q218*S218*'EDC Minus'!$H$292/590,0))</f>
        <v>0</v>
      </c>
      <c r="AT218" s="139"/>
      <c r="AU218" s="150">
        <f t="shared" si="434"/>
        <v>121.28</v>
      </c>
      <c r="AV218" s="150">
        <f t="shared" si="435"/>
        <v>128.36333333333334</v>
      </c>
      <c r="AX218" s="526">
        <f>Parameters!$B$6*AV218</f>
        <v>1.2836333333333334</v>
      </c>
      <c r="AY218" s="150">
        <v>0</v>
      </c>
      <c r="AZ218" s="150"/>
      <c r="BA218" s="150">
        <f t="shared" si="436"/>
        <v>1.2836333333333334</v>
      </c>
      <c r="BC218" s="522">
        <f t="shared" si="437"/>
        <v>129.64696666666669</v>
      </c>
      <c r="BD218" s="175"/>
      <c r="BE218" s="527">
        <f t="shared" si="438"/>
        <v>887.01969999999994</v>
      </c>
      <c r="BF218" s="181">
        <f t="shared" si="439"/>
        <v>0.8724783934426229</v>
      </c>
      <c r="BG218" s="520" t="b">
        <f t="shared" si="440"/>
        <v>0</v>
      </c>
      <c r="BI218" s="528" t="s">
        <v>2181</v>
      </c>
      <c r="BK218" s="151">
        <f>VLOOKUP(J218,'Tarieven ZM'!$B$136:$I$235,8,0)</f>
        <v>0</v>
      </c>
      <c r="BL218" s="151" t="str">
        <f>IF(M218="EoK",N218&amp;"AdvancedNLS type 1/2/3",IF(E218&lt;&gt;"Straal Access",INDEX(Mapping!J:J,MATCH(E218&amp;G218,Mapping!B:B,0)),E218))</f>
        <v>Copper Standard Access 20Mbit/sAdvancedNLS type 1/2/3</v>
      </c>
      <c r="BM218" s="184">
        <f>INDEX('inkoop ULL tbv EVPN'!J:J,MATCH($BL218,'inkoop ULL tbv EVPN'!$H:$H,0))</f>
        <v>78.97</v>
      </c>
      <c r="BN218" s="180">
        <f>BM218/INDEX(Parameters!$B:$B,MATCH("AfschrijftermijnVVE"&amp;12*$C218,Parameters!$A:$A,0))</f>
        <v>1.3161666666666667</v>
      </c>
      <c r="BO218" s="184">
        <f>INDEX('inkoop ULL tbv EVPN'!I:I,MATCH($BL218,'inkoop ULL tbv EVPN'!$H:$H,0))</f>
        <v>14.7296035</v>
      </c>
      <c r="BP218" s="184">
        <f t="shared" si="441"/>
        <v>16.045770166666667</v>
      </c>
      <c r="BR218" s="180">
        <f>Parameters!$B$12*AG218</f>
        <v>101.66666666666667</v>
      </c>
      <c r="BS218" s="180">
        <f>SUM(Distributievergoedingen!$F$12,Distributievergoedingen!$I$12,Distributievergoedingen!$L$12,Distributievergoedingen!$O$12)*AF218+SUM(Distributievergoedingen!$O$12*AA218+Distributievergoedingen!$R$12+Distributievergoedingen!$U$12+Distributievergoedingen!$X$12)/(MAX(36,12*C218))</f>
        <v>111.66666666666667</v>
      </c>
      <c r="BT218" s="150"/>
      <c r="BU218" s="150">
        <f t="shared" si="442"/>
        <v>213.33333333333334</v>
      </c>
      <c r="BW218" s="522">
        <f t="shared" si="443"/>
        <v>229.37910350000001</v>
      </c>
      <c r="BY218" s="527">
        <f t="shared" si="444"/>
        <v>787.28756316666659</v>
      </c>
      <c r="BZ218" s="181">
        <f t="shared" si="445"/>
        <v>0.77438120967213109</v>
      </c>
      <c r="CA218" s="520" t="b">
        <f t="shared" si="446"/>
        <v>0</v>
      </c>
    </row>
    <row r="219" spans="1:79" s="151" customFormat="1">
      <c r="A219" s="151" t="str">
        <f t="shared" si="424"/>
        <v>5EoKStandard Access koper 3mbLaagOn-net (NLS3)</v>
      </c>
      <c r="B219" s="151" t="str">
        <f t="shared" si="425"/>
        <v>5EoKStandard Access koper 3mbLaagOn-net (NLS3)</v>
      </c>
      <c r="C219" s="178">
        <v>5</v>
      </c>
      <c r="D219" s="415" t="s">
        <v>303</v>
      </c>
      <c r="E219" s="178" t="s">
        <v>268</v>
      </c>
      <c r="F219" s="107" t="s">
        <v>275</v>
      </c>
      <c r="G219" s="178" t="s">
        <v>3398</v>
      </c>
      <c r="J219" s="520" t="str">
        <f t="shared" si="426"/>
        <v>EoKStandard Access koper 3mbLaagOn-net (NLS3)</v>
      </c>
      <c r="L219" s="204">
        <f>INDEX(Mapping!$H:$H,MATCH(C$3&amp;C219,Mapping!$B:$B,0))</f>
        <v>1</v>
      </c>
      <c r="M219" s="204" t="str">
        <f>INDEX(Mapping!$H:$H,MATCH(D$3&amp;D219,Mapping!$B:$B,0))</f>
        <v>EoK</v>
      </c>
      <c r="N219" s="204" t="str">
        <f>INDEX(Mapping!$H:$H,MATCH(E$3&amp;E219,Mapping!$B:$B,0))</f>
        <v>Copper Standard Access 3Mbit/s</v>
      </c>
      <c r="O219" s="204" t="str">
        <f>INDEX(Mapping!$H:$H,MATCH(E219&amp;F219,Mapping!$B:$B,0))</f>
        <v/>
      </c>
      <c r="P219" s="204" t="str">
        <f>INDEX(Mapping!$H:$H,MATCH($E219&amp;$G219,Mapping!$B:$B,0))</f>
        <v>On-net (NLS3)</v>
      </c>
      <c r="Q219" s="204" t="str">
        <f>INDEX(Mapping!$H:$H,MATCH($E219&amp;$G219&amp;"graafafstand",Mapping!$B:$B,0))</f>
        <v>nvt</v>
      </c>
      <c r="R219" s="204">
        <f>INDEX(Mapping!$H:$H,MATCH(R$3&amp;$E219,Mapping!$B:$B,0))</f>
        <v>1</v>
      </c>
      <c r="S219" s="204">
        <f>INDEX(Mapping!$H:$H,MATCH(S$3&amp;$E219,Mapping!$B:$B,0))</f>
        <v>1</v>
      </c>
      <c r="T219" s="139" t="str">
        <f t="shared" si="427"/>
        <v>Copper Standard Access 3Mbit/sOn-net (NLS3)</v>
      </c>
      <c r="U219" s="151" t="str">
        <f t="shared" si="428"/>
        <v>Copper Standard Access 3Mbit/sOn-net (NLS3)</v>
      </c>
      <c r="W219" s="521">
        <f>MATCH($J219,'Tarieven ZM'!$B:$B,0)</f>
        <v>178</v>
      </c>
      <c r="X219" s="204">
        <f>INDEX('Tarieven ZM'!$H:$H,$W219)</f>
        <v>1000</v>
      </c>
      <c r="Y219" s="198">
        <f>IF(E219="Standard Access in ZG BT gebieden",0,-INDEX(Parameters!$B:$B,MATCH(Y$3&amp;$C219,Parameters!$A:$A,0))*$X219)</f>
        <v>0</v>
      </c>
      <c r="Z219" s="198">
        <f>IF(E219="Standard Access in ZG BT gebieden",0,MAX(-INDEX(Parameters!$B:$B,MATCH(Z$3&amp;$C219,Parameters!$A:$A,0))*$X219,-INDEX(Parameters!$B:$B,MATCH("FactorMaxSalesMandaat"&amp;E219,Parameters!$A:$A,0))*INDEX(Parameters!$B:$B,MATCH("MaxSalesMandaatAccessVVE"&amp;$C219,Parameters!$A:$A,0))))</f>
        <v>0</v>
      </c>
      <c r="AA219" s="139">
        <f t="shared" si="429"/>
        <v>1000</v>
      </c>
      <c r="AB219" s="205">
        <f>AA219/INDEX(Parameters!$B:$B,MATCH("AfschrijftermijnVVE"&amp;12*$C219,Parameters!$A:$A,0))</f>
        <v>16.666666666666668</v>
      </c>
      <c r="AC219" s="204">
        <f>INDEX('Tarieven ZM'!$G:$G,$W219)</f>
        <v>1000</v>
      </c>
      <c r="AD219" s="198">
        <f>IF(E219="Standard Access in ZG BT gebieden",0,-INDEX(Parameters!$B:$B,MATCH(AD$3&amp;$C219,Parameters!$A:$A,0))*$AC219)</f>
        <v>0</v>
      </c>
      <c r="AE219" s="198">
        <f>IF(E219="Standard Access in ZG BT gebieden",0,-INDEX(Parameters!$B:$B,MATCH(AE$3,Parameters!$A:$A,0))*$AC219)</f>
        <v>0</v>
      </c>
      <c r="AF219" s="139">
        <f t="shared" si="430"/>
        <v>1000</v>
      </c>
      <c r="AG219" s="522">
        <f t="shared" si="431"/>
        <v>1016.6666666666666</v>
      </c>
      <c r="AH219" s="175"/>
      <c r="AI219" s="523">
        <f>IF(N219&lt;&gt;"nvt",MATCH($T219,'Tarieven W&amp;O'!$B:$B,0),"nvt")</f>
        <v>16</v>
      </c>
      <c r="AJ219" s="205">
        <f>IF(AI219&lt;&gt;"nvt",IF($D219="EoK",INDEX(Parameters!C:C,MATCH("NLSx EoK",Parameters!A:A,0)),INDEX('Tarieven W&amp;O'!$H:$H,$AI219)),0)*R219</f>
        <v>350</v>
      </c>
      <c r="AK219" s="204">
        <f>IF(AI219&lt;&gt;"nvt",INDEX('Tarieven W&amp;O'!$I:$I,$AI219),0)*R219</f>
        <v>75</v>
      </c>
      <c r="AL219" s="524">
        <f>IF(AI219&lt;&gt;"nvt",-INDEX(Parameters!$B:$B,MATCH(AL$3,Parameters!$A:$A,0))*(AJ219+AK219),0)</f>
        <v>0</v>
      </c>
      <c r="AM219" s="525"/>
      <c r="AN219" s="139">
        <f t="shared" si="432"/>
        <v>425</v>
      </c>
      <c r="AO219" s="205">
        <f>AN219/INDEX(Parameters!$B:$B,MATCH("AfschrijftermijnVVE"&amp;12*$C219,Parameters!$A:$A,0))</f>
        <v>7.083333333333333</v>
      </c>
      <c r="AP219" s="139">
        <f t="shared" si="433"/>
        <v>16</v>
      </c>
      <c r="AQ219" s="526">
        <f>IF(AP219&lt;&gt;"nvt",R219*INDEX('Tarieven W&amp;O'!$G:$G,$AP219),0)</f>
        <v>41.5</v>
      </c>
      <c r="AR219" s="524">
        <f>-INDEX(Parameters!$B:$B,MATCH(AR$3,Parameters!$A:$A,0))*(AQ219)</f>
        <v>0</v>
      </c>
      <c r="AS219" s="205">
        <f>IF(E219="straal access",'EDC Minus'!$H$192,IF(Q219&lt;&gt;"nvt",Q219*S219*'EDC Minus'!$H$292/590,0))</f>
        <v>0</v>
      </c>
      <c r="AT219" s="139"/>
      <c r="AU219" s="150">
        <f t="shared" si="434"/>
        <v>41.5</v>
      </c>
      <c r="AV219" s="150">
        <f t="shared" si="435"/>
        <v>48.583333333333336</v>
      </c>
      <c r="AX219" s="526">
        <f>Parameters!$B$6*AV219</f>
        <v>0.48583333333333339</v>
      </c>
      <c r="AY219" s="150">
        <v>0</v>
      </c>
      <c r="AZ219" s="150"/>
      <c r="BA219" s="150">
        <f t="shared" si="436"/>
        <v>0.48583333333333339</v>
      </c>
      <c r="BC219" s="522">
        <f t="shared" si="437"/>
        <v>49.069166666666668</v>
      </c>
      <c r="BD219" s="175"/>
      <c r="BE219" s="527">
        <f t="shared" si="438"/>
        <v>967.59749999999997</v>
      </c>
      <c r="BF219" s="181">
        <f t="shared" si="439"/>
        <v>0.95173524590163938</v>
      </c>
      <c r="BG219" s="520" t="b">
        <f t="shared" si="440"/>
        <v>0</v>
      </c>
      <c r="BI219" s="528" t="s">
        <v>2181</v>
      </c>
      <c r="BK219" s="151">
        <f>VLOOKUP(J219,'Tarieven ZM'!$B$136:$I$235,8,0)</f>
        <v>0</v>
      </c>
      <c r="BL219" s="151" t="str">
        <f>IF(M219="EoK",N219&amp;"AdvancedNLS type 1/2/3",IF(E219&lt;&gt;"Straal Access",INDEX(Mapping!J:J,MATCH(E219&amp;G219,Mapping!B:B,0)),E219))</f>
        <v>Copper Standard Access 3Mbit/sAdvancedNLS type 1/2/3</v>
      </c>
      <c r="BM219" s="184">
        <f>INDEX('inkoop ULL tbv EVPN'!J:J,MATCH($BL219,'inkoop ULL tbv EVPN'!$H:$H,0))</f>
        <v>78.97</v>
      </c>
      <c r="BN219" s="180">
        <f>BM219/INDEX(Parameters!$B:$B,MATCH("AfschrijftermijnVVE"&amp;12*$C219,Parameters!$A:$A,0))</f>
        <v>1.3161666666666667</v>
      </c>
      <c r="BO219" s="184">
        <f>INDEX('inkoop ULL tbv EVPN'!I:I,MATCH($BL219,'inkoop ULL tbv EVPN'!$H:$H,0))</f>
        <v>14.7296035</v>
      </c>
      <c r="BP219" s="184">
        <f t="shared" si="441"/>
        <v>16.045770166666667</v>
      </c>
      <c r="BR219" s="180">
        <f>Parameters!$B$12*AG219</f>
        <v>101.66666666666667</v>
      </c>
      <c r="BS219" s="180">
        <f>SUM(Distributievergoedingen!$F$12,Distributievergoedingen!$I$12,Distributievergoedingen!$L$12,Distributievergoedingen!$O$12)*AF219+SUM(Distributievergoedingen!$O$12*AA219+Distributievergoedingen!$R$12+Distributievergoedingen!$U$12+Distributievergoedingen!$X$12)/(MAX(36,12*C219))</f>
        <v>111.66666666666667</v>
      </c>
      <c r="BT219" s="150"/>
      <c r="BU219" s="150">
        <f t="shared" si="442"/>
        <v>213.33333333333334</v>
      </c>
      <c r="BW219" s="522">
        <f t="shared" si="443"/>
        <v>229.37910350000001</v>
      </c>
      <c r="BY219" s="527">
        <f t="shared" si="444"/>
        <v>787.28756316666659</v>
      </c>
      <c r="BZ219" s="181">
        <f t="shared" si="445"/>
        <v>0.77438120967213109</v>
      </c>
      <c r="CA219" s="520" t="b">
        <f t="shared" si="446"/>
        <v>0</v>
      </c>
    </row>
    <row r="220" spans="1:79" s="151" customFormat="1">
      <c r="A220" s="151" t="str">
        <f t="shared" si="424"/>
        <v>5EoKStandard Access koper 5mbLaagOn-net (NLS3)</v>
      </c>
      <c r="B220" s="151" t="str">
        <f t="shared" si="425"/>
        <v>5EoKStandard Access koper 5mbLaagOn-net (NLS3)</v>
      </c>
      <c r="C220" s="178">
        <v>5</v>
      </c>
      <c r="D220" s="415" t="s">
        <v>303</v>
      </c>
      <c r="E220" s="178" t="s">
        <v>276</v>
      </c>
      <c r="F220" s="107" t="s">
        <v>275</v>
      </c>
      <c r="G220" s="178" t="s">
        <v>3398</v>
      </c>
      <c r="J220" s="520" t="str">
        <f t="shared" si="426"/>
        <v>EoKStandard Access koper 5mbLaagOn-net (NLS3)</v>
      </c>
      <c r="L220" s="204">
        <f>INDEX(Mapping!$H:$H,MATCH(C$3&amp;C220,Mapping!$B:$B,0))</f>
        <v>1</v>
      </c>
      <c r="M220" s="204" t="str">
        <f>INDEX(Mapping!$H:$H,MATCH(D$3&amp;D220,Mapping!$B:$B,0))</f>
        <v>EoK</v>
      </c>
      <c r="N220" s="204" t="str">
        <f>INDEX(Mapping!$H:$H,MATCH(E$3&amp;E220,Mapping!$B:$B,0))</f>
        <v>Copper Standard Access 5Mbit/s</v>
      </c>
      <c r="O220" s="204" t="str">
        <f>INDEX(Mapping!$H:$H,MATCH(E220&amp;F220,Mapping!$B:$B,0))</f>
        <v/>
      </c>
      <c r="P220" s="204" t="str">
        <f>INDEX(Mapping!$H:$H,MATCH($E220&amp;$G220,Mapping!$B:$B,0))</f>
        <v>On-net (NLS3)</v>
      </c>
      <c r="Q220" s="204" t="str">
        <f>INDEX(Mapping!$H:$H,MATCH($E220&amp;$G220&amp;"graafafstand",Mapping!$B:$B,0))</f>
        <v>nvt</v>
      </c>
      <c r="R220" s="204">
        <f>INDEX(Mapping!$H:$H,MATCH(R$3&amp;$E220,Mapping!$B:$B,0))</f>
        <v>1</v>
      </c>
      <c r="S220" s="204">
        <f>INDEX(Mapping!$H:$H,MATCH(S$3&amp;$E220,Mapping!$B:$B,0))</f>
        <v>1</v>
      </c>
      <c r="T220" s="139" t="str">
        <f t="shared" si="427"/>
        <v>Copper Standard Access 5Mbit/sOn-net (NLS3)</v>
      </c>
      <c r="U220" s="151" t="str">
        <f t="shared" si="428"/>
        <v>Copper Standard Access 5Mbit/sOn-net (NLS3)</v>
      </c>
      <c r="W220" s="521">
        <f>MATCH($J220,'Tarieven ZM'!$B:$B,0)</f>
        <v>179</v>
      </c>
      <c r="X220" s="204">
        <f>INDEX('Tarieven ZM'!$H:$H,$W220)</f>
        <v>1000</v>
      </c>
      <c r="Y220" s="198">
        <f>IF(E220="Standard Access in ZG BT gebieden",0,-INDEX(Parameters!$B:$B,MATCH(Y$3&amp;$C220,Parameters!$A:$A,0))*$X220)</f>
        <v>0</v>
      </c>
      <c r="Z220" s="198">
        <f>IF(E220="Standard Access in ZG BT gebieden",0,MAX(-INDEX(Parameters!$B:$B,MATCH(Z$3&amp;$C220,Parameters!$A:$A,0))*$X220,-INDEX(Parameters!$B:$B,MATCH("FactorMaxSalesMandaat"&amp;E220,Parameters!$A:$A,0))*INDEX(Parameters!$B:$B,MATCH("MaxSalesMandaatAccessVVE"&amp;$C220,Parameters!$A:$A,0))))</f>
        <v>0</v>
      </c>
      <c r="AA220" s="139">
        <f t="shared" si="429"/>
        <v>1000</v>
      </c>
      <c r="AB220" s="205">
        <f>AA220/INDEX(Parameters!$B:$B,MATCH("AfschrijftermijnVVE"&amp;12*$C220,Parameters!$A:$A,0))</f>
        <v>16.666666666666668</v>
      </c>
      <c r="AC220" s="204">
        <f>INDEX('Tarieven ZM'!$G:$G,$W220)</f>
        <v>1000</v>
      </c>
      <c r="AD220" s="198">
        <f>IF(E220="Standard Access in ZG BT gebieden",0,-INDEX(Parameters!$B:$B,MATCH(AD$3&amp;$C220,Parameters!$A:$A,0))*$AC220)</f>
        <v>0</v>
      </c>
      <c r="AE220" s="198">
        <f>IF(E220="Standard Access in ZG BT gebieden",0,-INDEX(Parameters!$B:$B,MATCH(AE$3,Parameters!$A:$A,0))*$AC220)</f>
        <v>0</v>
      </c>
      <c r="AF220" s="139">
        <f t="shared" si="430"/>
        <v>1000</v>
      </c>
      <c r="AG220" s="522">
        <f t="shared" si="431"/>
        <v>1016.6666666666666</v>
      </c>
      <c r="AH220" s="175"/>
      <c r="AI220" s="523">
        <f>IF(N220&lt;&gt;"nvt",MATCH($T220,'Tarieven W&amp;O'!$B:$B,0),"nvt")</f>
        <v>17</v>
      </c>
      <c r="AJ220" s="205">
        <f>IF(AI220&lt;&gt;"nvt",IF($D220="EoK",INDEX(Parameters!C:C,MATCH("NLSx EoK",Parameters!A:A,0)),INDEX('Tarieven W&amp;O'!$H:$H,$AI220)),0)*R220</f>
        <v>350</v>
      </c>
      <c r="AK220" s="204">
        <f>IF(AI220&lt;&gt;"nvt",INDEX('Tarieven W&amp;O'!$I:$I,$AI220),0)*R220</f>
        <v>75</v>
      </c>
      <c r="AL220" s="524">
        <f>IF(AI220&lt;&gt;"nvt",-INDEX(Parameters!$B:$B,MATCH(AL$3,Parameters!$A:$A,0))*(AJ220+AK220),0)</f>
        <v>0</v>
      </c>
      <c r="AM220" s="525"/>
      <c r="AN220" s="139">
        <f t="shared" si="432"/>
        <v>425</v>
      </c>
      <c r="AO220" s="205">
        <f>AN220/INDEX(Parameters!$B:$B,MATCH("AfschrijftermijnVVE"&amp;12*$C220,Parameters!$A:$A,0))</f>
        <v>7.083333333333333</v>
      </c>
      <c r="AP220" s="139">
        <f t="shared" si="433"/>
        <v>17</v>
      </c>
      <c r="AQ220" s="526">
        <f>IF(AP220&lt;&gt;"nvt",R220*INDEX('Tarieven W&amp;O'!$G:$G,$AP220),0)</f>
        <v>60.97</v>
      </c>
      <c r="AR220" s="524">
        <f>-INDEX(Parameters!$B:$B,MATCH(AR$3,Parameters!$A:$A,0))*(AQ220)</f>
        <v>0</v>
      </c>
      <c r="AS220" s="205">
        <f>IF(E220="straal access",'EDC Minus'!$H$192,IF(Q220&lt;&gt;"nvt",Q220*S220*'EDC Minus'!$H$292/590,0))</f>
        <v>0</v>
      </c>
      <c r="AT220" s="139"/>
      <c r="AU220" s="150">
        <f t="shared" si="434"/>
        <v>60.97</v>
      </c>
      <c r="AV220" s="150">
        <f t="shared" si="435"/>
        <v>68.053333333333327</v>
      </c>
      <c r="AX220" s="526">
        <f>Parameters!$B$6*AV220</f>
        <v>0.68053333333333332</v>
      </c>
      <c r="AY220" s="150">
        <v>0</v>
      </c>
      <c r="AZ220" s="150"/>
      <c r="BA220" s="150">
        <f t="shared" si="436"/>
        <v>0.68053333333333332</v>
      </c>
      <c r="BC220" s="522">
        <f t="shared" si="437"/>
        <v>68.733866666666657</v>
      </c>
      <c r="BD220" s="175"/>
      <c r="BE220" s="527">
        <f t="shared" si="438"/>
        <v>947.93279999999993</v>
      </c>
      <c r="BF220" s="181">
        <f t="shared" si="439"/>
        <v>0.9323929180327869</v>
      </c>
      <c r="BG220" s="520" t="b">
        <f t="shared" si="440"/>
        <v>0</v>
      </c>
      <c r="BI220" s="528" t="s">
        <v>2181</v>
      </c>
      <c r="BK220" s="151">
        <f>VLOOKUP(J220,'Tarieven ZM'!$B$136:$I$235,8,0)</f>
        <v>0</v>
      </c>
      <c r="BL220" s="151" t="str">
        <f>IF(M220="EoK",N220&amp;"AdvancedNLS type 1/2/3",IF(E220&lt;&gt;"Straal Access",INDEX(Mapping!J:J,MATCH(E220&amp;G220,Mapping!B:B,0)),E220))</f>
        <v>Copper Standard Access 5Mbit/sAdvancedNLS type 1/2/3</v>
      </c>
      <c r="BM220" s="184">
        <f>INDEX('inkoop ULL tbv EVPN'!J:J,MATCH($BL220,'inkoop ULL tbv EVPN'!$H:$H,0))</f>
        <v>78.97</v>
      </c>
      <c r="BN220" s="180">
        <f>BM220/INDEX(Parameters!$B:$B,MATCH("AfschrijftermijnVVE"&amp;12*$C220,Parameters!$A:$A,0))</f>
        <v>1.3161666666666667</v>
      </c>
      <c r="BO220" s="184">
        <f>INDEX('inkoop ULL tbv EVPN'!I:I,MATCH($BL220,'inkoop ULL tbv EVPN'!$H:$H,0))</f>
        <v>14.7296035</v>
      </c>
      <c r="BP220" s="184">
        <f t="shared" si="441"/>
        <v>16.045770166666667</v>
      </c>
      <c r="BR220" s="180">
        <f>Parameters!$B$12*AG220</f>
        <v>101.66666666666667</v>
      </c>
      <c r="BS220" s="180">
        <f>SUM(Distributievergoedingen!$F$12,Distributievergoedingen!$I$12,Distributievergoedingen!$L$12,Distributievergoedingen!$O$12)*AF220+SUM(Distributievergoedingen!$O$12*AA220+Distributievergoedingen!$R$12+Distributievergoedingen!$U$12+Distributievergoedingen!$X$12)/(MAX(36,12*C220))</f>
        <v>111.66666666666667</v>
      </c>
      <c r="BT220" s="150"/>
      <c r="BU220" s="150">
        <f t="shared" si="442"/>
        <v>213.33333333333334</v>
      </c>
      <c r="BW220" s="522">
        <f t="shared" si="443"/>
        <v>229.37910350000001</v>
      </c>
      <c r="BY220" s="527">
        <f t="shared" si="444"/>
        <v>787.28756316666659</v>
      </c>
      <c r="BZ220" s="181">
        <f t="shared" si="445"/>
        <v>0.77438120967213109</v>
      </c>
      <c r="CA220" s="520" t="b">
        <f t="shared" si="446"/>
        <v>0</v>
      </c>
    </row>
    <row r="221" spans="1:79" s="151" customFormat="1">
      <c r="A221" s="151" t="str">
        <f t="shared" si="424"/>
        <v>5EoKStandard Access koper 10mbLaagOn-net (NLS3)</v>
      </c>
      <c r="B221" s="151" t="str">
        <f t="shared" si="425"/>
        <v>5EoKStandard Access koper 10mbLaagOn-net (NLS3)</v>
      </c>
      <c r="C221" s="178">
        <v>5</v>
      </c>
      <c r="D221" s="415" t="s">
        <v>303</v>
      </c>
      <c r="E221" s="178" t="s">
        <v>277</v>
      </c>
      <c r="F221" s="107" t="s">
        <v>275</v>
      </c>
      <c r="G221" s="178" t="s">
        <v>3398</v>
      </c>
      <c r="J221" s="520" t="str">
        <f t="shared" si="426"/>
        <v>EoKStandard Access koper 10mbLaagOn-net (NLS3)</v>
      </c>
      <c r="L221" s="204">
        <f>INDEX(Mapping!$H:$H,MATCH(C$3&amp;C221,Mapping!$B:$B,0))</f>
        <v>1</v>
      </c>
      <c r="M221" s="204" t="str">
        <f>INDEX(Mapping!$H:$H,MATCH(D$3&amp;D221,Mapping!$B:$B,0))</f>
        <v>EoK</v>
      </c>
      <c r="N221" s="204" t="str">
        <f>INDEX(Mapping!$H:$H,MATCH(E$3&amp;E221,Mapping!$B:$B,0))</f>
        <v>Copper Standard Access 10Mbit/s</v>
      </c>
      <c r="O221" s="204" t="str">
        <f>INDEX(Mapping!$H:$H,MATCH(E221&amp;F221,Mapping!$B:$B,0))</f>
        <v/>
      </c>
      <c r="P221" s="204" t="str">
        <f>INDEX(Mapping!$H:$H,MATCH($E221&amp;$G221,Mapping!$B:$B,0))</f>
        <v>On-net (NLS3)</v>
      </c>
      <c r="Q221" s="204" t="str">
        <f>INDEX(Mapping!$H:$H,MATCH($E221&amp;$G221&amp;"graafafstand",Mapping!$B:$B,0))</f>
        <v>nvt</v>
      </c>
      <c r="R221" s="204">
        <f>INDEX(Mapping!$H:$H,MATCH(R$3&amp;$E221,Mapping!$B:$B,0))</f>
        <v>1</v>
      </c>
      <c r="S221" s="204">
        <f>INDEX(Mapping!$H:$H,MATCH(S$3&amp;$E221,Mapping!$B:$B,0))</f>
        <v>1</v>
      </c>
      <c r="T221" s="139" t="str">
        <f t="shared" si="427"/>
        <v>Copper Standard Access 10Mbit/sOn-net (NLS3)</v>
      </c>
      <c r="U221" s="151" t="str">
        <f t="shared" si="428"/>
        <v>Copper Standard Access 10Mbit/sOn-net (NLS3)</v>
      </c>
      <c r="W221" s="521">
        <f>MATCH($J221,'Tarieven ZM'!$B:$B,0)</f>
        <v>180</v>
      </c>
      <c r="X221" s="204">
        <f>INDEX('Tarieven ZM'!$H:$H,$W221)</f>
        <v>1000</v>
      </c>
      <c r="Y221" s="198">
        <f>IF(E221="Standard Access in ZG BT gebieden",0,-INDEX(Parameters!$B:$B,MATCH(Y$3&amp;$C221,Parameters!$A:$A,0))*$X221)</f>
        <v>0</v>
      </c>
      <c r="Z221" s="198">
        <f>IF(E221="Standard Access in ZG BT gebieden",0,MAX(-INDEX(Parameters!$B:$B,MATCH(Z$3&amp;$C221,Parameters!$A:$A,0))*$X221,-INDEX(Parameters!$B:$B,MATCH("FactorMaxSalesMandaat"&amp;E221,Parameters!$A:$A,0))*INDEX(Parameters!$B:$B,MATCH("MaxSalesMandaatAccessVVE"&amp;$C221,Parameters!$A:$A,0))))</f>
        <v>0</v>
      </c>
      <c r="AA221" s="139">
        <f t="shared" si="429"/>
        <v>1000</v>
      </c>
      <c r="AB221" s="205">
        <f>AA221/INDEX(Parameters!$B:$B,MATCH("AfschrijftermijnVVE"&amp;12*$C221,Parameters!$A:$A,0))</f>
        <v>16.666666666666668</v>
      </c>
      <c r="AC221" s="204">
        <f>INDEX('Tarieven ZM'!$G:$G,$W221)</f>
        <v>1000</v>
      </c>
      <c r="AD221" s="198">
        <f>IF(E221="Standard Access in ZG BT gebieden",0,-INDEX(Parameters!$B:$B,MATCH(AD$3&amp;$C221,Parameters!$A:$A,0))*$AC221)</f>
        <v>0</v>
      </c>
      <c r="AE221" s="198">
        <f>IF(E221="Standard Access in ZG BT gebieden",0,-INDEX(Parameters!$B:$B,MATCH(AE$3,Parameters!$A:$A,0))*$AC221)</f>
        <v>0</v>
      </c>
      <c r="AF221" s="139">
        <f t="shared" si="430"/>
        <v>1000</v>
      </c>
      <c r="AG221" s="522">
        <f t="shared" si="431"/>
        <v>1016.6666666666666</v>
      </c>
      <c r="AH221" s="175"/>
      <c r="AI221" s="523">
        <f>IF(N221&lt;&gt;"nvt",MATCH($T221,'Tarieven W&amp;O'!$B:$B,0),"nvt")</f>
        <v>18</v>
      </c>
      <c r="AJ221" s="205">
        <f>IF(AI221&lt;&gt;"nvt",IF($D221="EoK",INDEX(Parameters!C:C,MATCH("NLSx EoK",Parameters!A:A,0)),INDEX('Tarieven W&amp;O'!$H:$H,$AI221)),0)*R221</f>
        <v>350</v>
      </c>
      <c r="AK221" s="204">
        <f>IF(AI221&lt;&gt;"nvt",INDEX('Tarieven W&amp;O'!$I:$I,$AI221),0)*R221</f>
        <v>75</v>
      </c>
      <c r="AL221" s="524">
        <f>IF(AI221&lt;&gt;"nvt",-INDEX(Parameters!$B:$B,MATCH(AL$3,Parameters!$A:$A,0))*(AJ221+AK221),0)</f>
        <v>0</v>
      </c>
      <c r="AM221" s="525"/>
      <c r="AN221" s="139">
        <f t="shared" si="432"/>
        <v>425</v>
      </c>
      <c r="AO221" s="205">
        <f>AN221/INDEX(Parameters!$B:$B,MATCH("AfschrijftermijnVVE"&amp;12*$C221,Parameters!$A:$A,0))</f>
        <v>7.083333333333333</v>
      </c>
      <c r="AP221" s="139">
        <f t="shared" si="433"/>
        <v>18</v>
      </c>
      <c r="AQ221" s="526">
        <f>IF(AP221&lt;&gt;"nvt",R221*INDEX('Tarieven W&amp;O'!$G:$G,$AP221),0)</f>
        <v>83.59</v>
      </c>
      <c r="AR221" s="524">
        <f>-INDEX(Parameters!$B:$B,MATCH(AR$3,Parameters!$A:$A,0))*(AQ221)</f>
        <v>0</v>
      </c>
      <c r="AS221" s="205">
        <f>IF(E221="straal access",'EDC Minus'!$H$192,IF(Q221&lt;&gt;"nvt",Q221*S221*'EDC Minus'!$H$292/590,0))</f>
        <v>0</v>
      </c>
      <c r="AT221" s="139"/>
      <c r="AU221" s="150">
        <f t="shared" si="434"/>
        <v>83.59</v>
      </c>
      <c r="AV221" s="150">
        <f t="shared" si="435"/>
        <v>90.673333333333332</v>
      </c>
      <c r="AX221" s="526">
        <f>Parameters!$B$6*AV221</f>
        <v>0.90673333333333339</v>
      </c>
      <c r="AY221" s="150">
        <v>0</v>
      </c>
      <c r="AZ221" s="150"/>
      <c r="BA221" s="150">
        <f t="shared" si="436"/>
        <v>0.90673333333333339</v>
      </c>
      <c r="BC221" s="522">
        <f t="shared" si="437"/>
        <v>91.580066666666667</v>
      </c>
      <c r="BD221" s="175"/>
      <c r="BE221" s="527">
        <f t="shared" si="438"/>
        <v>925.08659999999998</v>
      </c>
      <c r="BF221" s="181">
        <f t="shared" si="439"/>
        <v>0.90992124590163936</v>
      </c>
      <c r="BG221" s="520" t="b">
        <f t="shared" si="440"/>
        <v>0</v>
      </c>
      <c r="BI221" s="528" t="s">
        <v>2181</v>
      </c>
      <c r="BK221" s="151">
        <f>VLOOKUP(J221,'Tarieven ZM'!$B$136:$I$235,8,0)</f>
        <v>0</v>
      </c>
      <c r="BL221" s="151" t="str">
        <f>IF(M221="EoK",N221&amp;"AdvancedNLS type 1/2/3",IF(E221&lt;&gt;"Straal Access",INDEX(Mapping!J:J,MATCH(E221&amp;G221,Mapping!B:B,0)),E221))</f>
        <v>Copper Standard Access 10Mbit/sAdvancedNLS type 1/2/3</v>
      </c>
      <c r="BM221" s="184">
        <f>INDEX('inkoop ULL tbv EVPN'!J:J,MATCH($BL221,'inkoop ULL tbv EVPN'!$H:$H,0))</f>
        <v>78.97</v>
      </c>
      <c r="BN221" s="180">
        <f>BM221/INDEX(Parameters!$B:$B,MATCH("AfschrijftermijnVVE"&amp;12*$C221,Parameters!$A:$A,0))</f>
        <v>1.3161666666666667</v>
      </c>
      <c r="BO221" s="184">
        <f>INDEX('inkoop ULL tbv EVPN'!I:I,MATCH($BL221,'inkoop ULL tbv EVPN'!$H:$H,0))</f>
        <v>14.7296035</v>
      </c>
      <c r="BP221" s="184">
        <f t="shared" si="441"/>
        <v>16.045770166666667</v>
      </c>
      <c r="BR221" s="180">
        <f>Parameters!$B$12*AG221</f>
        <v>101.66666666666667</v>
      </c>
      <c r="BS221" s="180">
        <f>SUM(Distributievergoedingen!$F$12,Distributievergoedingen!$I$12,Distributievergoedingen!$L$12,Distributievergoedingen!$O$12)*AF221+SUM(Distributievergoedingen!$O$12*AA221+Distributievergoedingen!$R$12+Distributievergoedingen!$U$12+Distributievergoedingen!$X$12)/(MAX(36,12*C221))</f>
        <v>111.66666666666667</v>
      </c>
      <c r="BT221" s="150"/>
      <c r="BU221" s="150">
        <f t="shared" si="442"/>
        <v>213.33333333333334</v>
      </c>
      <c r="BW221" s="522">
        <f t="shared" si="443"/>
        <v>229.37910350000001</v>
      </c>
      <c r="BY221" s="527">
        <f t="shared" si="444"/>
        <v>787.28756316666659</v>
      </c>
      <c r="BZ221" s="181">
        <f t="shared" si="445"/>
        <v>0.77438120967213109</v>
      </c>
      <c r="CA221" s="520" t="b">
        <f t="shared" si="446"/>
        <v>0</v>
      </c>
    </row>
    <row r="222" spans="1:79" s="151" customFormat="1">
      <c r="A222" s="151" t="str">
        <f t="shared" si="424"/>
        <v>5EoKStandard Access koper 15mbLaagOn-net (NLS3)</v>
      </c>
      <c r="B222" s="151" t="str">
        <f t="shared" si="425"/>
        <v>5EoKStandard Access koper 15mbLaagOn-net (NLS3)</v>
      </c>
      <c r="C222" s="178">
        <v>5</v>
      </c>
      <c r="D222" s="415" t="s">
        <v>303</v>
      </c>
      <c r="E222" s="178" t="s">
        <v>278</v>
      </c>
      <c r="F222" s="107" t="s">
        <v>275</v>
      </c>
      <c r="G222" s="178" t="s">
        <v>3398</v>
      </c>
      <c r="J222" s="520" t="str">
        <f t="shared" si="426"/>
        <v>EoKStandard Access koper 15mbLaagOn-net (NLS3)</v>
      </c>
      <c r="L222" s="204">
        <f>INDEX(Mapping!$H:$H,MATCH(C$3&amp;C222,Mapping!$B:$B,0))</f>
        <v>1</v>
      </c>
      <c r="M222" s="204" t="str">
        <f>INDEX(Mapping!$H:$H,MATCH(D$3&amp;D222,Mapping!$B:$B,0))</f>
        <v>EoK</v>
      </c>
      <c r="N222" s="204" t="str">
        <f>INDEX(Mapping!$H:$H,MATCH(E$3&amp;E222,Mapping!$B:$B,0))</f>
        <v>Copper Standard Access 15Mbit/s</v>
      </c>
      <c r="O222" s="204" t="str">
        <f>INDEX(Mapping!$H:$H,MATCH(E222&amp;F222,Mapping!$B:$B,0))</f>
        <v/>
      </c>
      <c r="P222" s="204" t="str">
        <f>INDEX(Mapping!$H:$H,MATCH($E222&amp;$G222,Mapping!$B:$B,0))</f>
        <v>On-net (NLS3)</v>
      </c>
      <c r="Q222" s="204" t="str">
        <f>INDEX(Mapping!$H:$H,MATCH($E222&amp;$G222&amp;"graafafstand",Mapping!$B:$B,0))</f>
        <v>nvt</v>
      </c>
      <c r="R222" s="204">
        <f>INDEX(Mapping!$H:$H,MATCH(R$3&amp;$E222,Mapping!$B:$B,0))</f>
        <v>1</v>
      </c>
      <c r="S222" s="204">
        <f>INDEX(Mapping!$H:$H,MATCH(S$3&amp;$E222,Mapping!$B:$B,0))</f>
        <v>1</v>
      </c>
      <c r="T222" s="139" t="str">
        <f t="shared" si="427"/>
        <v>Copper Standard Access 15Mbit/sOn-net (NLS3)</v>
      </c>
      <c r="U222" s="151" t="str">
        <f t="shared" si="428"/>
        <v>Copper Standard Access 15Mbit/sOn-net (NLS3)</v>
      </c>
      <c r="W222" s="521">
        <f>MATCH($J222,'Tarieven ZM'!$B:$B,0)</f>
        <v>181</v>
      </c>
      <c r="X222" s="204">
        <f>INDEX('Tarieven ZM'!$H:$H,$W222)</f>
        <v>1000</v>
      </c>
      <c r="Y222" s="198">
        <f>IF(E222="Standard Access in ZG BT gebieden",0,-INDEX(Parameters!$B:$B,MATCH(Y$3&amp;$C222,Parameters!$A:$A,0))*$X222)</f>
        <v>0</v>
      </c>
      <c r="Z222" s="198">
        <f>IF(E222="Standard Access in ZG BT gebieden",0,MAX(-INDEX(Parameters!$B:$B,MATCH(Z$3&amp;$C222,Parameters!$A:$A,0))*$X222,-INDEX(Parameters!$B:$B,MATCH("FactorMaxSalesMandaat"&amp;E222,Parameters!$A:$A,0))*INDEX(Parameters!$B:$B,MATCH("MaxSalesMandaatAccessVVE"&amp;$C222,Parameters!$A:$A,0))))</f>
        <v>0</v>
      </c>
      <c r="AA222" s="139">
        <f t="shared" si="429"/>
        <v>1000</v>
      </c>
      <c r="AB222" s="205">
        <f>AA222/INDEX(Parameters!$B:$B,MATCH("AfschrijftermijnVVE"&amp;12*$C222,Parameters!$A:$A,0))</f>
        <v>16.666666666666668</v>
      </c>
      <c r="AC222" s="204">
        <f>INDEX('Tarieven ZM'!$G:$G,$W222)</f>
        <v>1000</v>
      </c>
      <c r="AD222" s="198">
        <f>IF(E222="Standard Access in ZG BT gebieden",0,-INDEX(Parameters!$B:$B,MATCH(AD$3&amp;$C222,Parameters!$A:$A,0))*$AC222)</f>
        <v>0</v>
      </c>
      <c r="AE222" s="198">
        <f>IF(E222="Standard Access in ZG BT gebieden",0,-INDEX(Parameters!$B:$B,MATCH(AE$3,Parameters!$A:$A,0))*$AC222)</f>
        <v>0</v>
      </c>
      <c r="AF222" s="139">
        <f t="shared" si="430"/>
        <v>1000</v>
      </c>
      <c r="AG222" s="522">
        <f t="shared" si="431"/>
        <v>1016.6666666666666</v>
      </c>
      <c r="AH222" s="175"/>
      <c r="AI222" s="523">
        <f>IF(N222&lt;&gt;"nvt",MATCH($T222,'Tarieven W&amp;O'!$B:$B,0),"nvt")</f>
        <v>19</v>
      </c>
      <c r="AJ222" s="205">
        <f>IF(AI222&lt;&gt;"nvt",IF($D222="EoK",INDEX(Parameters!C:C,MATCH("NLSx EoK",Parameters!A:A,0)),INDEX('Tarieven W&amp;O'!$H:$H,$AI222)),0)*R222</f>
        <v>350</v>
      </c>
      <c r="AK222" s="204">
        <f>IF(AI222&lt;&gt;"nvt",INDEX('Tarieven W&amp;O'!$I:$I,$AI222),0)*R222</f>
        <v>75</v>
      </c>
      <c r="AL222" s="524">
        <f>IF(AI222&lt;&gt;"nvt",-INDEX(Parameters!$B:$B,MATCH(AL$3,Parameters!$A:$A,0))*(AJ222+AK222),0)</f>
        <v>0</v>
      </c>
      <c r="AM222" s="525"/>
      <c r="AN222" s="139">
        <f t="shared" si="432"/>
        <v>425</v>
      </c>
      <c r="AO222" s="205">
        <f>AN222/INDEX(Parameters!$B:$B,MATCH("AfschrijftermijnVVE"&amp;12*$C222,Parameters!$A:$A,0))</f>
        <v>7.083333333333333</v>
      </c>
      <c r="AP222" s="139">
        <f t="shared" si="433"/>
        <v>19</v>
      </c>
      <c r="AQ222" s="526">
        <f>IF(AP222&lt;&gt;"nvt",R222*INDEX('Tarieven W&amp;O'!$G:$G,$AP222),0)</f>
        <v>102.44</v>
      </c>
      <c r="AR222" s="524">
        <f>-INDEX(Parameters!$B:$B,MATCH(AR$3,Parameters!$A:$A,0))*(AQ222)</f>
        <v>0</v>
      </c>
      <c r="AS222" s="205">
        <f>IF(E222="straal access",'EDC Minus'!$H$192,IF(Q222&lt;&gt;"nvt",Q222*S222*'EDC Minus'!$H$292/590,0))</f>
        <v>0</v>
      </c>
      <c r="AT222" s="139"/>
      <c r="AU222" s="150">
        <f t="shared" si="434"/>
        <v>102.44</v>
      </c>
      <c r="AV222" s="150">
        <f t="shared" si="435"/>
        <v>109.52333333333333</v>
      </c>
      <c r="AX222" s="526">
        <f>Parameters!$B$6*AV222</f>
        <v>1.0952333333333333</v>
      </c>
      <c r="AY222" s="150">
        <v>0</v>
      </c>
      <c r="AZ222" s="150"/>
      <c r="BA222" s="150">
        <f t="shared" si="436"/>
        <v>1.0952333333333333</v>
      </c>
      <c r="BC222" s="522">
        <f t="shared" si="437"/>
        <v>110.61856666666667</v>
      </c>
      <c r="BD222" s="175"/>
      <c r="BE222" s="527">
        <f t="shared" si="438"/>
        <v>906.04809999999998</v>
      </c>
      <c r="BF222" s="181">
        <f t="shared" si="439"/>
        <v>0.89119485245901642</v>
      </c>
      <c r="BG222" s="520" t="b">
        <f t="shared" si="440"/>
        <v>0</v>
      </c>
      <c r="BI222" s="528" t="s">
        <v>2181</v>
      </c>
      <c r="BK222" s="151">
        <f>VLOOKUP(J222,'Tarieven ZM'!$B$136:$I$235,8,0)</f>
        <v>0</v>
      </c>
      <c r="BL222" s="151" t="str">
        <f>IF(M222="EoK",N222&amp;"AdvancedNLS type 1/2/3",IF(E222&lt;&gt;"Straal Access",INDEX(Mapping!J:J,MATCH(E222&amp;G222,Mapping!B:B,0)),E222))</f>
        <v>Copper Standard Access 15Mbit/sAdvancedNLS type 1/2/3</v>
      </c>
      <c r="BM222" s="184">
        <f>INDEX('inkoop ULL tbv EVPN'!J:J,MATCH($BL222,'inkoop ULL tbv EVPN'!$H:$H,0))</f>
        <v>78.97</v>
      </c>
      <c r="BN222" s="180">
        <f>BM222/INDEX(Parameters!$B:$B,MATCH("AfschrijftermijnVVE"&amp;12*$C222,Parameters!$A:$A,0))</f>
        <v>1.3161666666666667</v>
      </c>
      <c r="BO222" s="184">
        <f>INDEX('inkoop ULL tbv EVPN'!I:I,MATCH($BL222,'inkoop ULL tbv EVPN'!$H:$H,0))</f>
        <v>14.7296035</v>
      </c>
      <c r="BP222" s="184">
        <f t="shared" si="441"/>
        <v>16.045770166666667</v>
      </c>
      <c r="BR222" s="180">
        <f>Parameters!$B$12*AG222</f>
        <v>101.66666666666667</v>
      </c>
      <c r="BS222" s="180">
        <f>SUM(Distributievergoedingen!$F$12,Distributievergoedingen!$I$12,Distributievergoedingen!$L$12,Distributievergoedingen!$O$12)*AF222+SUM(Distributievergoedingen!$O$12*AA222+Distributievergoedingen!$R$12+Distributievergoedingen!$U$12+Distributievergoedingen!$X$12)/(MAX(36,12*C222))</f>
        <v>111.66666666666667</v>
      </c>
      <c r="BT222" s="150"/>
      <c r="BU222" s="150">
        <f t="shared" si="442"/>
        <v>213.33333333333334</v>
      </c>
      <c r="BW222" s="522">
        <f t="shared" si="443"/>
        <v>229.37910350000001</v>
      </c>
      <c r="BY222" s="527">
        <f t="shared" si="444"/>
        <v>787.28756316666659</v>
      </c>
      <c r="BZ222" s="181">
        <f t="shared" si="445"/>
        <v>0.77438120967213109</v>
      </c>
      <c r="CA222" s="520" t="b">
        <f t="shared" si="446"/>
        <v>0</v>
      </c>
    </row>
    <row r="223" spans="1:79" s="151" customFormat="1">
      <c r="A223" s="151" t="str">
        <f t="shared" si="424"/>
        <v>5EoKStandard Access koper 20mbLaagOn-net (NLS3)</v>
      </c>
      <c r="B223" s="151" t="str">
        <f t="shared" si="425"/>
        <v>5EoKStandard Access koper 20mbLaagOn-net (NLS3)</v>
      </c>
      <c r="C223" s="178">
        <v>5</v>
      </c>
      <c r="D223" s="415" t="s">
        <v>303</v>
      </c>
      <c r="E223" s="178" t="s">
        <v>279</v>
      </c>
      <c r="F223" s="107" t="s">
        <v>275</v>
      </c>
      <c r="G223" s="178" t="s">
        <v>3398</v>
      </c>
      <c r="J223" s="520" t="str">
        <f t="shared" si="426"/>
        <v>EoKStandard Access koper 20mbLaagOn-net (NLS3)</v>
      </c>
      <c r="L223" s="204">
        <f>INDEX(Mapping!$H:$H,MATCH(C$3&amp;C223,Mapping!$B:$B,0))</f>
        <v>1</v>
      </c>
      <c r="M223" s="204" t="str">
        <f>INDEX(Mapping!$H:$H,MATCH(D$3&amp;D223,Mapping!$B:$B,0))</f>
        <v>EoK</v>
      </c>
      <c r="N223" s="204" t="str">
        <f>INDEX(Mapping!$H:$H,MATCH(E$3&amp;E223,Mapping!$B:$B,0))</f>
        <v>Copper Standard Access 20Mbit/s</v>
      </c>
      <c r="O223" s="204" t="str">
        <f>INDEX(Mapping!$H:$H,MATCH(E223&amp;F223,Mapping!$B:$B,0))</f>
        <v/>
      </c>
      <c r="P223" s="204" t="str">
        <f>INDEX(Mapping!$H:$H,MATCH($E223&amp;$G223,Mapping!$B:$B,0))</f>
        <v>On-net (NLS3)</v>
      </c>
      <c r="Q223" s="204" t="str">
        <f>INDEX(Mapping!$H:$H,MATCH($E223&amp;$G223&amp;"graafafstand",Mapping!$B:$B,0))</f>
        <v>nvt</v>
      </c>
      <c r="R223" s="204">
        <f>INDEX(Mapping!$H:$H,MATCH(R$3&amp;$E223,Mapping!$B:$B,0))</f>
        <v>1</v>
      </c>
      <c r="S223" s="204">
        <f>INDEX(Mapping!$H:$H,MATCH(S$3&amp;$E223,Mapping!$B:$B,0))</f>
        <v>1</v>
      </c>
      <c r="T223" s="139" t="str">
        <f t="shared" si="427"/>
        <v>Copper Standard Access 20Mbit/sOn-net (NLS3)</v>
      </c>
      <c r="U223" s="151" t="str">
        <f t="shared" si="428"/>
        <v>Copper Standard Access 20Mbit/sOn-net (NLS3)</v>
      </c>
      <c r="W223" s="521">
        <f>MATCH($J223,'Tarieven ZM'!$B:$B,0)</f>
        <v>182</v>
      </c>
      <c r="X223" s="204">
        <f>INDEX('Tarieven ZM'!$H:$H,$W223)</f>
        <v>1000</v>
      </c>
      <c r="Y223" s="198">
        <f>IF(E223="Standard Access in ZG BT gebieden",0,-INDEX(Parameters!$B:$B,MATCH(Y$3&amp;$C223,Parameters!$A:$A,0))*$X223)</f>
        <v>0</v>
      </c>
      <c r="Z223" s="198">
        <f>IF(E223="Standard Access in ZG BT gebieden",0,MAX(-INDEX(Parameters!$B:$B,MATCH(Z$3&amp;$C223,Parameters!$A:$A,0))*$X223,-INDEX(Parameters!$B:$B,MATCH("FactorMaxSalesMandaat"&amp;E223,Parameters!$A:$A,0))*INDEX(Parameters!$B:$B,MATCH("MaxSalesMandaatAccessVVE"&amp;$C223,Parameters!$A:$A,0))))</f>
        <v>0</v>
      </c>
      <c r="AA223" s="139">
        <f t="shared" si="429"/>
        <v>1000</v>
      </c>
      <c r="AB223" s="205">
        <f>AA223/INDEX(Parameters!$B:$B,MATCH("AfschrijftermijnVVE"&amp;12*$C223,Parameters!$A:$A,0))</f>
        <v>16.666666666666668</v>
      </c>
      <c r="AC223" s="204">
        <f>INDEX('Tarieven ZM'!$G:$G,$W223)</f>
        <v>1000</v>
      </c>
      <c r="AD223" s="198">
        <f>IF(E223="Standard Access in ZG BT gebieden",0,-INDEX(Parameters!$B:$B,MATCH(AD$3&amp;$C223,Parameters!$A:$A,0))*$AC223)</f>
        <v>0</v>
      </c>
      <c r="AE223" s="198">
        <f>IF(E223="Standard Access in ZG BT gebieden",0,-INDEX(Parameters!$B:$B,MATCH(AE$3,Parameters!$A:$A,0))*$AC223)</f>
        <v>0</v>
      </c>
      <c r="AF223" s="139">
        <f t="shared" si="430"/>
        <v>1000</v>
      </c>
      <c r="AG223" s="522">
        <f t="shared" si="431"/>
        <v>1016.6666666666666</v>
      </c>
      <c r="AH223" s="175"/>
      <c r="AI223" s="523">
        <f>IF(N223&lt;&gt;"nvt",MATCH($T223,'Tarieven W&amp;O'!$B:$B,0),"nvt")</f>
        <v>20</v>
      </c>
      <c r="AJ223" s="205">
        <f>IF(AI223&lt;&gt;"nvt",IF($D223="EoK",INDEX(Parameters!C:C,MATCH("NLSx EoK",Parameters!A:A,0)),INDEX('Tarieven W&amp;O'!$H:$H,$AI223)),0)*R223</f>
        <v>350</v>
      </c>
      <c r="AK223" s="204">
        <f>IF(AI223&lt;&gt;"nvt",INDEX('Tarieven W&amp;O'!$I:$I,$AI223),0)*R223</f>
        <v>75</v>
      </c>
      <c r="AL223" s="524">
        <f>IF(AI223&lt;&gt;"nvt",-INDEX(Parameters!$B:$B,MATCH(AL$3,Parameters!$A:$A,0))*(AJ223+AK223),0)</f>
        <v>0</v>
      </c>
      <c r="AM223" s="525"/>
      <c r="AN223" s="139">
        <f t="shared" si="432"/>
        <v>425</v>
      </c>
      <c r="AO223" s="205">
        <f>AN223/INDEX(Parameters!$B:$B,MATCH("AfschrijftermijnVVE"&amp;12*$C223,Parameters!$A:$A,0))</f>
        <v>7.083333333333333</v>
      </c>
      <c r="AP223" s="139">
        <f t="shared" si="433"/>
        <v>20</v>
      </c>
      <c r="AQ223" s="526">
        <f>IF(AP223&lt;&gt;"nvt",R223*INDEX('Tarieven W&amp;O'!$G:$G,$AP223),0)</f>
        <v>121.28</v>
      </c>
      <c r="AR223" s="524">
        <f>-INDEX(Parameters!$B:$B,MATCH(AR$3,Parameters!$A:$A,0))*(AQ223)</f>
        <v>0</v>
      </c>
      <c r="AS223" s="205">
        <f>IF(E223="straal access",'EDC Minus'!$H$192,IF(Q223&lt;&gt;"nvt",Q223*S223*'EDC Minus'!$H$292/590,0))</f>
        <v>0</v>
      </c>
      <c r="AT223" s="139"/>
      <c r="AU223" s="150">
        <f t="shared" si="434"/>
        <v>121.28</v>
      </c>
      <c r="AV223" s="150">
        <f t="shared" si="435"/>
        <v>128.36333333333334</v>
      </c>
      <c r="AX223" s="526">
        <f>Parameters!$B$6*AV223</f>
        <v>1.2836333333333334</v>
      </c>
      <c r="AY223" s="150">
        <v>0</v>
      </c>
      <c r="AZ223" s="150"/>
      <c r="BA223" s="150">
        <f t="shared" si="436"/>
        <v>1.2836333333333334</v>
      </c>
      <c r="BC223" s="522">
        <f t="shared" si="437"/>
        <v>129.64696666666669</v>
      </c>
      <c r="BD223" s="175"/>
      <c r="BE223" s="527">
        <f t="shared" si="438"/>
        <v>887.01969999999994</v>
      </c>
      <c r="BF223" s="181">
        <f t="shared" si="439"/>
        <v>0.8724783934426229</v>
      </c>
      <c r="BG223" s="520" t="b">
        <f t="shared" si="440"/>
        <v>0</v>
      </c>
      <c r="BI223" s="528" t="s">
        <v>2181</v>
      </c>
      <c r="BK223" s="151">
        <f>VLOOKUP(J223,'Tarieven ZM'!$B$136:$I$235,8,0)</f>
        <v>0</v>
      </c>
      <c r="BL223" s="151" t="str">
        <f>IF(M223="EoK",N223&amp;"AdvancedNLS type 1/2/3",IF(E223&lt;&gt;"Straal Access",INDEX(Mapping!J:J,MATCH(E223&amp;G223,Mapping!B:B,0)),E223))</f>
        <v>Copper Standard Access 20Mbit/sAdvancedNLS type 1/2/3</v>
      </c>
      <c r="BM223" s="184">
        <f>INDEX('inkoop ULL tbv EVPN'!J:J,MATCH($BL223,'inkoop ULL tbv EVPN'!$H:$H,0))</f>
        <v>78.97</v>
      </c>
      <c r="BN223" s="180">
        <f>BM223/INDEX(Parameters!$B:$B,MATCH("AfschrijftermijnVVE"&amp;12*$C223,Parameters!$A:$A,0))</f>
        <v>1.3161666666666667</v>
      </c>
      <c r="BO223" s="184">
        <f>INDEX('inkoop ULL tbv EVPN'!I:I,MATCH($BL223,'inkoop ULL tbv EVPN'!$H:$H,0))</f>
        <v>14.7296035</v>
      </c>
      <c r="BP223" s="184">
        <f t="shared" si="441"/>
        <v>16.045770166666667</v>
      </c>
      <c r="BR223" s="180">
        <f>Parameters!$B$12*AG223</f>
        <v>101.66666666666667</v>
      </c>
      <c r="BS223" s="180">
        <f>SUM(Distributievergoedingen!$F$12,Distributievergoedingen!$I$12,Distributievergoedingen!$L$12,Distributievergoedingen!$O$12)*AF223+SUM(Distributievergoedingen!$O$12*AA223+Distributievergoedingen!$R$12+Distributievergoedingen!$U$12+Distributievergoedingen!$X$12)/(MAX(36,12*C223))</f>
        <v>111.66666666666667</v>
      </c>
      <c r="BT223" s="150"/>
      <c r="BU223" s="150">
        <f t="shared" si="442"/>
        <v>213.33333333333334</v>
      </c>
      <c r="BW223" s="522">
        <f t="shared" si="443"/>
        <v>229.37910350000001</v>
      </c>
      <c r="BY223" s="527">
        <f t="shared" si="444"/>
        <v>787.28756316666659</v>
      </c>
      <c r="BZ223" s="181">
        <f t="shared" si="445"/>
        <v>0.77438120967213109</v>
      </c>
      <c r="CA223" s="520" t="b">
        <f t="shared" si="446"/>
        <v>0</v>
      </c>
    </row>
    <row r="224" spans="1:79" s="151" customFormat="1">
      <c r="A224" s="151" t="str">
        <f t="shared" si="424"/>
        <v>5EoKStandard Access koper 3mbLaag&lt; 250 meter</v>
      </c>
      <c r="B224" s="151" t="str">
        <f t="shared" si="425"/>
        <v>5EoKStandard Access koper 3mbLaag&lt; 250 meter</v>
      </c>
      <c r="C224" s="178">
        <v>5</v>
      </c>
      <c r="D224" s="415" t="s">
        <v>303</v>
      </c>
      <c r="E224" s="178" t="s">
        <v>268</v>
      </c>
      <c r="F224" s="107" t="s">
        <v>275</v>
      </c>
      <c r="G224" s="178" t="s">
        <v>3397</v>
      </c>
      <c r="J224" s="520" t="str">
        <f t="shared" si="426"/>
        <v>EoKStandard Access koper 3mbLaag&lt; 250 meter</v>
      </c>
      <c r="L224" s="204">
        <f>INDEX(Mapping!$H:$H,MATCH(C$3&amp;C224,Mapping!$B:$B,0))</f>
        <v>1</v>
      </c>
      <c r="M224" s="204" t="str">
        <f>INDEX(Mapping!$H:$H,MATCH(D$3&amp;D224,Mapping!$B:$B,0))</f>
        <v>EoK</v>
      </c>
      <c r="N224" s="204" t="str">
        <f>INDEX(Mapping!$H:$H,MATCH(E$3&amp;E224,Mapping!$B:$B,0))</f>
        <v>Copper Standard Access 3Mbit/s</v>
      </c>
      <c r="O224" s="204" t="str">
        <f>INDEX(Mapping!$H:$H,MATCH(E224&amp;F224,Mapping!$B:$B,0))</f>
        <v/>
      </c>
      <c r="P224" s="204" t="str">
        <f>INDEX(Mapping!$H:$H,MATCH($E224&amp;$G224,Mapping!$B:$B,0))</f>
        <v>Nearnet</v>
      </c>
      <c r="Q224" s="204" t="str">
        <f>INDEX(Mapping!$H:$H,MATCH($E224&amp;$G224&amp;"graafafstand",Mapping!$B:$B,0))</f>
        <v>nvt</v>
      </c>
      <c r="R224" s="204">
        <f>INDEX(Mapping!$H:$H,MATCH(R$3&amp;$E224,Mapping!$B:$B,0))</f>
        <v>1</v>
      </c>
      <c r="S224" s="204">
        <f>INDEX(Mapping!$H:$H,MATCH(S$3&amp;$E224,Mapping!$B:$B,0))</f>
        <v>1</v>
      </c>
      <c r="T224" s="139" t="str">
        <f t="shared" si="427"/>
        <v>Copper Standard Access 3Mbit/sNearnet</v>
      </c>
      <c r="U224" s="151" t="str">
        <f t="shared" si="428"/>
        <v>Copper Standard Access 3Mbit/sNearnet</v>
      </c>
      <c r="W224" s="521">
        <f>MATCH($J224,'Tarieven ZM'!$B:$B,0)</f>
        <v>183</v>
      </c>
      <c r="X224" s="204">
        <f>INDEX('Tarieven ZM'!$H:$H,$W224)</f>
        <v>1000</v>
      </c>
      <c r="Y224" s="198">
        <f>IF(E224="Standard Access in ZG BT gebieden",0,-INDEX(Parameters!$B:$B,MATCH(Y$3&amp;$C224,Parameters!$A:$A,0))*$X224)</f>
        <v>0</v>
      </c>
      <c r="Z224" s="198">
        <f>IF(E224="Standard Access in ZG BT gebieden",0,MAX(-INDEX(Parameters!$B:$B,MATCH(Z$3&amp;$C224,Parameters!$A:$A,0))*$X224,-INDEX(Parameters!$B:$B,MATCH("FactorMaxSalesMandaat"&amp;E224,Parameters!$A:$A,0))*INDEX(Parameters!$B:$B,MATCH("MaxSalesMandaatAccessVVE"&amp;$C224,Parameters!$A:$A,0))))</f>
        <v>0</v>
      </c>
      <c r="AA224" s="139">
        <f t="shared" si="429"/>
        <v>1000</v>
      </c>
      <c r="AB224" s="205">
        <f>AA224/INDEX(Parameters!$B:$B,MATCH("AfschrijftermijnVVE"&amp;12*$C224,Parameters!$A:$A,0))</f>
        <v>16.666666666666668</v>
      </c>
      <c r="AC224" s="204">
        <f>INDEX('Tarieven ZM'!$G:$G,$W224)</f>
        <v>1000</v>
      </c>
      <c r="AD224" s="198">
        <f>IF(E224="Standard Access in ZG BT gebieden",0,-INDEX(Parameters!$B:$B,MATCH(AD$3&amp;$C224,Parameters!$A:$A,0))*$AC224)</f>
        <v>0</v>
      </c>
      <c r="AE224" s="198">
        <f>IF(E224="Standard Access in ZG BT gebieden",0,-INDEX(Parameters!$B:$B,MATCH(AE$3,Parameters!$A:$A,0))*$AC224)</f>
        <v>0</v>
      </c>
      <c r="AF224" s="139">
        <f t="shared" si="430"/>
        <v>1000</v>
      </c>
      <c r="AG224" s="522">
        <f t="shared" si="431"/>
        <v>1016.6666666666666</v>
      </c>
      <c r="AH224" s="175"/>
      <c r="AI224" s="523">
        <f>IF(N224&lt;&gt;"nvt",MATCH($T224,'Tarieven W&amp;O'!$B:$B,0),"nvt")</f>
        <v>23</v>
      </c>
      <c r="AJ224" s="205">
        <f>IF(AI224&lt;&gt;"nvt",IF($D224="EoK",INDEX(Parameters!C:C,MATCH("NLSx EoK",Parameters!A:A,0)),INDEX('Tarieven W&amp;O'!$H:$H,$AI224)),0)*R224</f>
        <v>350</v>
      </c>
      <c r="AK224" s="204">
        <f>IF(AI224&lt;&gt;"nvt",INDEX('Tarieven W&amp;O'!$I:$I,$AI224),0)*R224</f>
        <v>75</v>
      </c>
      <c r="AL224" s="524">
        <f>IF(AI224&lt;&gt;"nvt",-INDEX(Parameters!$B:$B,MATCH(AL$3,Parameters!$A:$A,0))*(AJ224+AK224),0)</f>
        <v>0</v>
      </c>
      <c r="AM224" s="525"/>
      <c r="AN224" s="139">
        <f t="shared" si="432"/>
        <v>425</v>
      </c>
      <c r="AO224" s="205">
        <f>AN224/INDEX(Parameters!$B:$B,MATCH("AfschrijftermijnVVE"&amp;12*$C224,Parameters!$A:$A,0))</f>
        <v>7.083333333333333</v>
      </c>
      <c r="AP224" s="139">
        <f t="shared" si="433"/>
        <v>23</v>
      </c>
      <c r="AQ224" s="526">
        <f>IF(AP224&lt;&gt;"nvt",R224*INDEX('Tarieven W&amp;O'!$G:$G,$AP224),0)</f>
        <v>41.5</v>
      </c>
      <c r="AR224" s="524">
        <f>-INDEX(Parameters!$B:$B,MATCH(AR$3,Parameters!$A:$A,0))*(AQ224)</f>
        <v>0</v>
      </c>
      <c r="AS224" s="205">
        <f>IF(E224="straal access",'EDC Minus'!$H$192,IF(Q224&lt;&gt;"nvt",Q224*S224*'EDC Minus'!$H$292/590,0))</f>
        <v>0</v>
      </c>
      <c r="AT224" s="139"/>
      <c r="AU224" s="150">
        <f t="shared" si="434"/>
        <v>41.5</v>
      </c>
      <c r="AV224" s="150">
        <f t="shared" si="435"/>
        <v>48.583333333333336</v>
      </c>
      <c r="AX224" s="526">
        <f>Parameters!$B$6*AV224</f>
        <v>0.48583333333333339</v>
      </c>
      <c r="AY224" s="150">
        <v>0</v>
      </c>
      <c r="AZ224" s="150"/>
      <c r="BA224" s="150">
        <f t="shared" si="436"/>
        <v>0.48583333333333339</v>
      </c>
      <c r="BC224" s="522">
        <f t="shared" si="437"/>
        <v>49.069166666666668</v>
      </c>
      <c r="BD224" s="175"/>
      <c r="BE224" s="527">
        <f t="shared" si="438"/>
        <v>967.59749999999997</v>
      </c>
      <c r="BF224" s="181">
        <f t="shared" si="439"/>
        <v>0.95173524590163938</v>
      </c>
      <c r="BG224" s="520" t="b">
        <f t="shared" si="440"/>
        <v>0</v>
      </c>
      <c r="BI224" s="528" t="s">
        <v>2181</v>
      </c>
      <c r="BK224" s="151">
        <f>VLOOKUP(J224,'Tarieven ZM'!$B$136:$I$235,8,0)</f>
        <v>0</v>
      </c>
      <c r="BL224" s="151" t="str">
        <f>IF(M224="EoK",N224&amp;"AdvancedNLS type 1/2/3",IF(E224&lt;&gt;"Straal Access",INDEX(Mapping!J:J,MATCH(E224&amp;G224,Mapping!B:B,0)),E224))</f>
        <v>Copper Standard Access 3Mbit/sAdvancedNLS type 1/2/3</v>
      </c>
      <c r="BM224" s="184">
        <f>INDEX('inkoop ULL tbv EVPN'!J:J,MATCH($BL224,'inkoop ULL tbv EVPN'!$H:$H,0))</f>
        <v>78.97</v>
      </c>
      <c r="BN224" s="180">
        <f>BM224/INDEX(Parameters!$B:$B,MATCH("AfschrijftermijnVVE"&amp;12*$C224,Parameters!$A:$A,0))</f>
        <v>1.3161666666666667</v>
      </c>
      <c r="BO224" s="184">
        <f>INDEX('inkoop ULL tbv EVPN'!I:I,MATCH($BL224,'inkoop ULL tbv EVPN'!$H:$H,0))</f>
        <v>14.7296035</v>
      </c>
      <c r="BP224" s="184">
        <f t="shared" si="441"/>
        <v>16.045770166666667</v>
      </c>
      <c r="BR224" s="180">
        <f>Parameters!$B$12*AG224</f>
        <v>101.66666666666667</v>
      </c>
      <c r="BS224" s="180">
        <f>SUM(Distributievergoedingen!$F$12,Distributievergoedingen!$I$12,Distributievergoedingen!$L$12,Distributievergoedingen!$O$12)*AF224+SUM(Distributievergoedingen!$O$12*AA224+Distributievergoedingen!$R$12+Distributievergoedingen!$U$12+Distributievergoedingen!$X$12)/(MAX(36,12*C224))</f>
        <v>111.66666666666667</v>
      </c>
      <c r="BT224" s="150"/>
      <c r="BU224" s="150">
        <f t="shared" si="442"/>
        <v>213.33333333333334</v>
      </c>
      <c r="BW224" s="522">
        <f t="shared" si="443"/>
        <v>229.37910350000001</v>
      </c>
      <c r="BY224" s="527">
        <f t="shared" si="444"/>
        <v>787.28756316666659</v>
      </c>
      <c r="BZ224" s="181">
        <f t="shared" si="445"/>
        <v>0.77438120967213109</v>
      </c>
      <c r="CA224" s="520" t="b">
        <f t="shared" si="446"/>
        <v>0</v>
      </c>
    </row>
    <row r="225" spans="1:79" s="151" customFormat="1">
      <c r="A225" s="151" t="str">
        <f t="shared" si="424"/>
        <v>5EoKStandard Access koper 5mbLaag&lt; 250 meter</v>
      </c>
      <c r="B225" s="151" t="str">
        <f t="shared" si="425"/>
        <v>5EoKStandard Access koper 5mbLaag&lt; 250 meter</v>
      </c>
      <c r="C225" s="178">
        <v>5</v>
      </c>
      <c r="D225" s="415" t="s">
        <v>303</v>
      </c>
      <c r="E225" s="178" t="s">
        <v>276</v>
      </c>
      <c r="F225" s="107" t="s">
        <v>275</v>
      </c>
      <c r="G225" s="178" t="s">
        <v>3397</v>
      </c>
      <c r="J225" s="520" t="str">
        <f t="shared" si="426"/>
        <v>EoKStandard Access koper 5mbLaag&lt; 250 meter</v>
      </c>
      <c r="L225" s="204">
        <f>INDEX(Mapping!$H:$H,MATCH(C$3&amp;C225,Mapping!$B:$B,0))</f>
        <v>1</v>
      </c>
      <c r="M225" s="204" t="str">
        <f>INDEX(Mapping!$H:$H,MATCH(D$3&amp;D225,Mapping!$B:$B,0))</f>
        <v>EoK</v>
      </c>
      <c r="N225" s="204" t="str">
        <f>INDEX(Mapping!$H:$H,MATCH(E$3&amp;E225,Mapping!$B:$B,0))</f>
        <v>Copper Standard Access 5Mbit/s</v>
      </c>
      <c r="O225" s="204" t="str">
        <f>INDEX(Mapping!$H:$H,MATCH(E225&amp;F225,Mapping!$B:$B,0))</f>
        <v/>
      </c>
      <c r="P225" s="204" t="str">
        <f>INDEX(Mapping!$H:$H,MATCH($E225&amp;$G225,Mapping!$B:$B,0))</f>
        <v>Nearnet</v>
      </c>
      <c r="Q225" s="204" t="str">
        <f>INDEX(Mapping!$H:$H,MATCH($E225&amp;$G225&amp;"graafafstand",Mapping!$B:$B,0))</f>
        <v>nvt</v>
      </c>
      <c r="R225" s="204">
        <f>INDEX(Mapping!$H:$H,MATCH(R$3&amp;$E225,Mapping!$B:$B,0))</f>
        <v>1</v>
      </c>
      <c r="S225" s="204">
        <f>INDEX(Mapping!$H:$H,MATCH(S$3&amp;$E225,Mapping!$B:$B,0))</f>
        <v>1</v>
      </c>
      <c r="T225" s="139" t="str">
        <f t="shared" si="427"/>
        <v>Copper Standard Access 5Mbit/sNearnet</v>
      </c>
      <c r="U225" s="151" t="str">
        <f t="shared" si="428"/>
        <v>Copper Standard Access 5Mbit/sNearnet</v>
      </c>
      <c r="W225" s="521">
        <f>MATCH($J225,'Tarieven ZM'!$B:$B,0)</f>
        <v>184</v>
      </c>
      <c r="X225" s="204">
        <f>INDEX('Tarieven ZM'!$H:$H,$W225)</f>
        <v>1000</v>
      </c>
      <c r="Y225" s="198">
        <f>IF(E225="Standard Access in ZG BT gebieden",0,-INDEX(Parameters!$B:$B,MATCH(Y$3&amp;$C225,Parameters!$A:$A,0))*$X225)</f>
        <v>0</v>
      </c>
      <c r="Z225" s="198">
        <f>IF(E225="Standard Access in ZG BT gebieden",0,MAX(-INDEX(Parameters!$B:$B,MATCH(Z$3&amp;$C225,Parameters!$A:$A,0))*$X225,-INDEX(Parameters!$B:$B,MATCH("FactorMaxSalesMandaat"&amp;E225,Parameters!$A:$A,0))*INDEX(Parameters!$B:$B,MATCH("MaxSalesMandaatAccessVVE"&amp;$C225,Parameters!$A:$A,0))))</f>
        <v>0</v>
      </c>
      <c r="AA225" s="139">
        <f t="shared" si="429"/>
        <v>1000</v>
      </c>
      <c r="AB225" s="205">
        <f>AA225/INDEX(Parameters!$B:$B,MATCH("AfschrijftermijnVVE"&amp;12*$C225,Parameters!$A:$A,0))</f>
        <v>16.666666666666668</v>
      </c>
      <c r="AC225" s="204">
        <f>INDEX('Tarieven ZM'!$G:$G,$W225)</f>
        <v>1000</v>
      </c>
      <c r="AD225" s="198">
        <f>IF(E225="Standard Access in ZG BT gebieden",0,-INDEX(Parameters!$B:$B,MATCH(AD$3&amp;$C225,Parameters!$A:$A,0))*$AC225)</f>
        <v>0</v>
      </c>
      <c r="AE225" s="198">
        <f>IF(E225="Standard Access in ZG BT gebieden",0,-INDEX(Parameters!$B:$B,MATCH(AE$3,Parameters!$A:$A,0))*$AC225)</f>
        <v>0</v>
      </c>
      <c r="AF225" s="139">
        <f t="shared" si="430"/>
        <v>1000</v>
      </c>
      <c r="AG225" s="522">
        <f t="shared" si="431"/>
        <v>1016.6666666666666</v>
      </c>
      <c r="AH225" s="175"/>
      <c r="AI225" s="523">
        <f>IF(N225&lt;&gt;"nvt",MATCH($T225,'Tarieven W&amp;O'!$B:$B,0),"nvt")</f>
        <v>24</v>
      </c>
      <c r="AJ225" s="205">
        <f>IF(AI225&lt;&gt;"nvt",IF($D225="EoK",INDEX(Parameters!C:C,MATCH("NLSx EoK",Parameters!A:A,0)),INDEX('Tarieven W&amp;O'!$H:$H,$AI225)),0)*R225</f>
        <v>350</v>
      </c>
      <c r="AK225" s="204">
        <f>IF(AI225&lt;&gt;"nvt",INDEX('Tarieven W&amp;O'!$I:$I,$AI225),0)*R225</f>
        <v>75</v>
      </c>
      <c r="AL225" s="524">
        <f>IF(AI225&lt;&gt;"nvt",-INDEX(Parameters!$B:$B,MATCH(AL$3,Parameters!$A:$A,0))*(AJ225+AK225),0)</f>
        <v>0</v>
      </c>
      <c r="AM225" s="525"/>
      <c r="AN225" s="139">
        <f t="shared" si="432"/>
        <v>425</v>
      </c>
      <c r="AO225" s="205">
        <f>AN225/INDEX(Parameters!$B:$B,MATCH("AfschrijftermijnVVE"&amp;12*$C225,Parameters!$A:$A,0))</f>
        <v>7.083333333333333</v>
      </c>
      <c r="AP225" s="139">
        <f t="shared" si="433"/>
        <v>24</v>
      </c>
      <c r="AQ225" s="526">
        <f>IF(AP225&lt;&gt;"nvt",R225*INDEX('Tarieven W&amp;O'!$G:$G,$AP225),0)</f>
        <v>60.97</v>
      </c>
      <c r="AR225" s="524">
        <f>-INDEX(Parameters!$B:$B,MATCH(AR$3,Parameters!$A:$A,0))*(AQ225)</f>
        <v>0</v>
      </c>
      <c r="AS225" s="205">
        <f>IF(E225="straal access",'EDC Minus'!$H$192,IF(Q225&lt;&gt;"nvt",Q225*S225*'EDC Minus'!$H$292/590,0))</f>
        <v>0</v>
      </c>
      <c r="AT225" s="139"/>
      <c r="AU225" s="150">
        <f t="shared" si="434"/>
        <v>60.97</v>
      </c>
      <c r="AV225" s="150">
        <f t="shared" si="435"/>
        <v>68.053333333333327</v>
      </c>
      <c r="AX225" s="526">
        <f>Parameters!$B$6*AV225</f>
        <v>0.68053333333333332</v>
      </c>
      <c r="AY225" s="150">
        <v>0</v>
      </c>
      <c r="AZ225" s="150"/>
      <c r="BA225" s="150">
        <f t="shared" si="436"/>
        <v>0.68053333333333332</v>
      </c>
      <c r="BC225" s="522">
        <f t="shared" si="437"/>
        <v>68.733866666666657</v>
      </c>
      <c r="BD225" s="175"/>
      <c r="BE225" s="527">
        <f t="shared" si="438"/>
        <v>947.93279999999993</v>
      </c>
      <c r="BF225" s="181">
        <f t="shared" si="439"/>
        <v>0.9323929180327869</v>
      </c>
      <c r="BG225" s="520" t="b">
        <f t="shared" si="440"/>
        <v>0</v>
      </c>
      <c r="BI225" s="528" t="s">
        <v>2181</v>
      </c>
      <c r="BK225" s="151">
        <f>VLOOKUP(J225,'Tarieven ZM'!$B$136:$I$235,8,0)</f>
        <v>0</v>
      </c>
      <c r="BL225" s="151" t="str">
        <f>IF(M225="EoK",N225&amp;"AdvancedNLS type 1/2/3",IF(E225&lt;&gt;"Straal Access",INDEX(Mapping!J:J,MATCH(E225&amp;G225,Mapping!B:B,0)),E225))</f>
        <v>Copper Standard Access 5Mbit/sAdvancedNLS type 1/2/3</v>
      </c>
      <c r="BM225" s="184">
        <f>INDEX('inkoop ULL tbv EVPN'!J:J,MATCH($BL225,'inkoop ULL tbv EVPN'!$H:$H,0))</f>
        <v>78.97</v>
      </c>
      <c r="BN225" s="180">
        <f>BM225/INDEX(Parameters!$B:$B,MATCH("AfschrijftermijnVVE"&amp;12*$C225,Parameters!$A:$A,0))</f>
        <v>1.3161666666666667</v>
      </c>
      <c r="BO225" s="184">
        <f>INDEX('inkoop ULL tbv EVPN'!I:I,MATCH($BL225,'inkoop ULL tbv EVPN'!$H:$H,0))</f>
        <v>14.7296035</v>
      </c>
      <c r="BP225" s="184">
        <f t="shared" si="441"/>
        <v>16.045770166666667</v>
      </c>
      <c r="BR225" s="180">
        <f>Parameters!$B$12*AG225</f>
        <v>101.66666666666667</v>
      </c>
      <c r="BS225" s="180">
        <f>SUM(Distributievergoedingen!$F$12,Distributievergoedingen!$I$12,Distributievergoedingen!$L$12,Distributievergoedingen!$O$12)*AF225+SUM(Distributievergoedingen!$O$12*AA225+Distributievergoedingen!$R$12+Distributievergoedingen!$U$12+Distributievergoedingen!$X$12)/(MAX(36,12*C225))</f>
        <v>111.66666666666667</v>
      </c>
      <c r="BT225" s="150"/>
      <c r="BU225" s="150">
        <f t="shared" si="442"/>
        <v>213.33333333333334</v>
      </c>
      <c r="BW225" s="522">
        <f t="shared" si="443"/>
        <v>229.37910350000001</v>
      </c>
      <c r="BY225" s="527">
        <f t="shared" si="444"/>
        <v>787.28756316666659</v>
      </c>
      <c r="BZ225" s="181">
        <f t="shared" si="445"/>
        <v>0.77438120967213109</v>
      </c>
      <c r="CA225" s="520" t="b">
        <f t="shared" si="446"/>
        <v>0</v>
      </c>
    </row>
    <row r="226" spans="1:79" s="151" customFormat="1">
      <c r="A226" s="151" t="str">
        <f t="shared" ref="A226:A228" si="447">C226&amp;D226&amp;E226&amp;F226&amp;G226</f>
        <v>5EoKStandard Access koper 10mbLaag&lt; 250 meter</v>
      </c>
      <c r="B226" s="151" t="str">
        <f t="shared" ref="B226:B228" si="448">A226</f>
        <v>5EoKStandard Access koper 10mbLaag&lt; 250 meter</v>
      </c>
      <c r="C226" s="178">
        <v>5</v>
      </c>
      <c r="D226" s="415" t="s">
        <v>303</v>
      </c>
      <c r="E226" s="178" t="s">
        <v>277</v>
      </c>
      <c r="F226" s="107" t="s">
        <v>275</v>
      </c>
      <c r="G226" s="178" t="s">
        <v>3397</v>
      </c>
      <c r="J226" s="520" t="str">
        <f t="shared" si="426"/>
        <v>EoKStandard Access koper 10mbLaag&lt; 250 meter</v>
      </c>
      <c r="L226" s="204">
        <f>INDEX(Mapping!$H:$H,MATCH(C$3&amp;C226,Mapping!$B:$B,0))</f>
        <v>1</v>
      </c>
      <c r="M226" s="204" t="str">
        <f>INDEX(Mapping!$H:$H,MATCH(D$3&amp;D226,Mapping!$B:$B,0))</f>
        <v>EoK</v>
      </c>
      <c r="N226" s="204" t="str">
        <f>INDEX(Mapping!$H:$H,MATCH(E$3&amp;E226,Mapping!$B:$B,0))</f>
        <v>Copper Standard Access 10Mbit/s</v>
      </c>
      <c r="O226" s="204" t="str">
        <f>INDEX(Mapping!$H:$H,MATCH(E226&amp;F226,Mapping!$B:$B,0))</f>
        <v/>
      </c>
      <c r="P226" s="204" t="str">
        <f>INDEX(Mapping!$H:$H,MATCH($E226&amp;$G226,Mapping!$B:$B,0))</f>
        <v>Nearnet</v>
      </c>
      <c r="Q226" s="204" t="str">
        <f>INDEX(Mapping!$H:$H,MATCH($E226&amp;$G226&amp;"graafafstand",Mapping!$B:$B,0))</f>
        <v>nvt</v>
      </c>
      <c r="R226" s="204">
        <f>INDEX(Mapping!$H:$H,MATCH(R$3&amp;$E226,Mapping!$B:$B,0))</f>
        <v>1</v>
      </c>
      <c r="S226" s="204">
        <f>INDEX(Mapping!$H:$H,MATCH(S$3&amp;$E226,Mapping!$B:$B,0))</f>
        <v>1</v>
      </c>
      <c r="T226" s="139" t="str">
        <f t="shared" si="427"/>
        <v>Copper Standard Access 10Mbit/sNearnet</v>
      </c>
      <c r="U226" s="151" t="str">
        <f t="shared" si="428"/>
        <v>Copper Standard Access 10Mbit/sNearnet</v>
      </c>
      <c r="W226" s="521">
        <f>MATCH($J226,'Tarieven ZM'!$B:$B,0)</f>
        <v>185</v>
      </c>
      <c r="X226" s="204">
        <f>INDEX('Tarieven ZM'!$H:$H,$W226)</f>
        <v>1000</v>
      </c>
      <c r="Y226" s="198">
        <f>IF(E226="Standard Access in ZG BT gebieden",0,-INDEX(Parameters!$B:$B,MATCH(Y$3&amp;$C226,Parameters!$A:$A,0))*$X226)</f>
        <v>0</v>
      </c>
      <c r="Z226" s="198">
        <f>IF(E226="Standard Access in ZG BT gebieden",0,MAX(-INDEX(Parameters!$B:$B,MATCH(Z$3&amp;$C226,Parameters!$A:$A,0))*$X226,-INDEX(Parameters!$B:$B,MATCH("FactorMaxSalesMandaat"&amp;E226,Parameters!$A:$A,0))*INDEX(Parameters!$B:$B,MATCH("MaxSalesMandaatAccessVVE"&amp;$C226,Parameters!$A:$A,0))))</f>
        <v>0</v>
      </c>
      <c r="AA226" s="139">
        <f t="shared" si="429"/>
        <v>1000</v>
      </c>
      <c r="AB226" s="205">
        <f>AA226/INDEX(Parameters!$B:$B,MATCH("AfschrijftermijnVVE"&amp;12*$C226,Parameters!$A:$A,0))</f>
        <v>16.666666666666668</v>
      </c>
      <c r="AC226" s="204">
        <f>INDEX('Tarieven ZM'!$G:$G,$W226)</f>
        <v>1000</v>
      </c>
      <c r="AD226" s="198">
        <f>IF(E226="Standard Access in ZG BT gebieden",0,-INDEX(Parameters!$B:$B,MATCH(AD$3&amp;$C226,Parameters!$A:$A,0))*$AC226)</f>
        <v>0</v>
      </c>
      <c r="AE226" s="198">
        <f>IF(E226="Standard Access in ZG BT gebieden",0,-INDEX(Parameters!$B:$B,MATCH(AE$3,Parameters!$A:$A,0))*$AC226)</f>
        <v>0</v>
      </c>
      <c r="AF226" s="139">
        <f t="shared" si="430"/>
        <v>1000</v>
      </c>
      <c r="AG226" s="522">
        <f t="shared" si="431"/>
        <v>1016.6666666666666</v>
      </c>
      <c r="AH226" s="175"/>
      <c r="AI226" s="523">
        <f>IF(N226&lt;&gt;"nvt",MATCH($T226,'Tarieven W&amp;O'!$B:$B,0),"nvt")</f>
        <v>25</v>
      </c>
      <c r="AJ226" s="205">
        <f>IF(AI226&lt;&gt;"nvt",IF($D226="EoK",INDEX(Parameters!C:C,MATCH("NLSx EoK",Parameters!A:A,0)),INDEX('Tarieven W&amp;O'!$H:$H,$AI226)),0)*R226</f>
        <v>350</v>
      </c>
      <c r="AK226" s="204">
        <f>IF(AI226&lt;&gt;"nvt",INDEX('Tarieven W&amp;O'!$I:$I,$AI226),0)*R226</f>
        <v>75</v>
      </c>
      <c r="AL226" s="524">
        <f>IF(AI226&lt;&gt;"nvt",-INDEX(Parameters!$B:$B,MATCH(AL$3,Parameters!$A:$A,0))*(AJ226+AK226),0)</f>
        <v>0</v>
      </c>
      <c r="AM226" s="525"/>
      <c r="AN226" s="139">
        <f t="shared" si="432"/>
        <v>425</v>
      </c>
      <c r="AO226" s="205">
        <f>AN226/INDEX(Parameters!$B:$B,MATCH("AfschrijftermijnVVE"&amp;12*$C226,Parameters!$A:$A,0))</f>
        <v>7.083333333333333</v>
      </c>
      <c r="AP226" s="139">
        <f t="shared" si="433"/>
        <v>25</v>
      </c>
      <c r="AQ226" s="526">
        <f>IF(AP226&lt;&gt;"nvt",R226*INDEX('Tarieven W&amp;O'!$G:$G,$AP226),0)</f>
        <v>83.59</v>
      </c>
      <c r="AR226" s="524">
        <f>-INDEX(Parameters!$B:$B,MATCH(AR$3,Parameters!$A:$A,0))*(AQ226)</f>
        <v>0</v>
      </c>
      <c r="AS226" s="205">
        <f>IF(E226="straal access",'EDC Minus'!$H$192,IF(Q226&lt;&gt;"nvt",Q226*S226*'EDC Minus'!$H$292/590,0))</f>
        <v>0</v>
      </c>
      <c r="AT226" s="139"/>
      <c r="AU226" s="150">
        <f t="shared" si="434"/>
        <v>83.59</v>
      </c>
      <c r="AV226" s="150">
        <f t="shared" si="435"/>
        <v>90.673333333333332</v>
      </c>
      <c r="AX226" s="526">
        <f>Parameters!$B$6*AV226</f>
        <v>0.90673333333333339</v>
      </c>
      <c r="AY226" s="150">
        <v>0</v>
      </c>
      <c r="AZ226" s="150"/>
      <c r="BA226" s="150">
        <f t="shared" si="436"/>
        <v>0.90673333333333339</v>
      </c>
      <c r="BC226" s="522">
        <f t="shared" si="437"/>
        <v>91.580066666666667</v>
      </c>
      <c r="BD226" s="175"/>
      <c r="BE226" s="527">
        <f t="shared" si="438"/>
        <v>925.08659999999998</v>
      </c>
      <c r="BF226" s="181">
        <f t="shared" si="439"/>
        <v>0.90992124590163936</v>
      </c>
      <c r="BG226" s="520" t="b">
        <f t="shared" si="440"/>
        <v>0</v>
      </c>
      <c r="BI226" s="528" t="s">
        <v>2181</v>
      </c>
      <c r="BK226" s="151">
        <f>VLOOKUP(J226,'Tarieven ZM'!$B$136:$I$235,8,0)</f>
        <v>0</v>
      </c>
      <c r="BL226" s="151" t="str">
        <f>IF(M226="EoK",N226&amp;"AdvancedNLS type 1/2/3",IF(E226&lt;&gt;"Straal Access",INDEX(Mapping!J:J,MATCH(E226&amp;G226,Mapping!B:B,0)),E226))</f>
        <v>Copper Standard Access 10Mbit/sAdvancedNLS type 1/2/3</v>
      </c>
      <c r="BM226" s="184">
        <f>INDEX('inkoop ULL tbv EVPN'!J:J,MATCH($BL226,'inkoop ULL tbv EVPN'!$H:$H,0))</f>
        <v>78.97</v>
      </c>
      <c r="BN226" s="180">
        <f>BM226/INDEX(Parameters!$B:$B,MATCH("AfschrijftermijnVVE"&amp;12*$C226,Parameters!$A:$A,0))</f>
        <v>1.3161666666666667</v>
      </c>
      <c r="BO226" s="184">
        <f>INDEX('inkoop ULL tbv EVPN'!I:I,MATCH($BL226,'inkoop ULL tbv EVPN'!$H:$H,0))</f>
        <v>14.7296035</v>
      </c>
      <c r="BP226" s="184">
        <f t="shared" si="441"/>
        <v>16.045770166666667</v>
      </c>
      <c r="BR226" s="180">
        <f>Parameters!$B$12*AG226</f>
        <v>101.66666666666667</v>
      </c>
      <c r="BS226" s="180">
        <f>SUM(Distributievergoedingen!$F$12,Distributievergoedingen!$I$12,Distributievergoedingen!$L$12,Distributievergoedingen!$O$12)*AF226+SUM(Distributievergoedingen!$O$12*AA226+Distributievergoedingen!$R$12+Distributievergoedingen!$U$12+Distributievergoedingen!$X$12)/(MAX(36,12*C226))</f>
        <v>111.66666666666667</v>
      </c>
      <c r="BT226" s="150"/>
      <c r="BU226" s="150">
        <f t="shared" si="442"/>
        <v>213.33333333333334</v>
      </c>
      <c r="BW226" s="522">
        <f t="shared" si="443"/>
        <v>229.37910350000001</v>
      </c>
      <c r="BY226" s="527">
        <f t="shared" si="444"/>
        <v>787.28756316666659</v>
      </c>
      <c r="BZ226" s="181">
        <f t="shared" si="445"/>
        <v>0.77438120967213109</v>
      </c>
      <c r="CA226" s="520" t="b">
        <f t="shared" si="446"/>
        <v>0</v>
      </c>
    </row>
    <row r="227" spans="1:79" s="151" customFormat="1">
      <c r="A227" s="151" t="str">
        <f t="shared" si="447"/>
        <v>5EoKStandard Access koper 15mbLaag&lt; 250 meter</v>
      </c>
      <c r="B227" s="151" t="str">
        <f t="shared" si="448"/>
        <v>5EoKStandard Access koper 15mbLaag&lt; 250 meter</v>
      </c>
      <c r="C227" s="178">
        <v>5</v>
      </c>
      <c r="D227" s="415" t="s">
        <v>303</v>
      </c>
      <c r="E227" s="178" t="s">
        <v>278</v>
      </c>
      <c r="F227" s="107" t="s">
        <v>275</v>
      </c>
      <c r="G227" s="178" t="s">
        <v>3397</v>
      </c>
      <c r="J227" s="520" t="str">
        <f t="shared" si="426"/>
        <v>EoKStandard Access koper 15mbLaag&lt; 250 meter</v>
      </c>
      <c r="L227" s="204">
        <f>INDEX(Mapping!$H:$H,MATCH(C$3&amp;C227,Mapping!$B:$B,0))</f>
        <v>1</v>
      </c>
      <c r="M227" s="204" t="str">
        <f>INDEX(Mapping!$H:$H,MATCH(D$3&amp;D227,Mapping!$B:$B,0))</f>
        <v>EoK</v>
      </c>
      <c r="N227" s="204" t="str">
        <f>INDEX(Mapping!$H:$H,MATCH(E$3&amp;E227,Mapping!$B:$B,0))</f>
        <v>Copper Standard Access 15Mbit/s</v>
      </c>
      <c r="O227" s="204" t="str">
        <f>INDEX(Mapping!$H:$H,MATCH(E227&amp;F227,Mapping!$B:$B,0))</f>
        <v/>
      </c>
      <c r="P227" s="204" t="str">
        <f>INDEX(Mapping!$H:$H,MATCH($E227&amp;$G227,Mapping!$B:$B,0))</f>
        <v>Nearnet</v>
      </c>
      <c r="Q227" s="204" t="str">
        <f>INDEX(Mapping!$H:$H,MATCH($E227&amp;$G227&amp;"graafafstand",Mapping!$B:$B,0))</f>
        <v>nvt</v>
      </c>
      <c r="R227" s="204">
        <f>INDEX(Mapping!$H:$H,MATCH(R$3&amp;$E227,Mapping!$B:$B,0))</f>
        <v>1</v>
      </c>
      <c r="S227" s="204">
        <f>INDEX(Mapping!$H:$H,MATCH(S$3&amp;$E227,Mapping!$B:$B,0))</f>
        <v>1</v>
      </c>
      <c r="T227" s="139" t="str">
        <f t="shared" si="427"/>
        <v>Copper Standard Access 15Mbit/sNearnet</v>
      </c>
      <c r="U227" s="151" t="str">
        <f t="shared" si="428"/>
        <v>Copper Standard Access 15Mbit/sNearnet</v>
      </c>
      <c r="W227" s="521">
        <f>MATCH($J227,'Tarieven ZM'!$B:$B,0)</f>
        <v>186</v>
      </c>
      <c r="X227" s="204">
        <f>INDEX('Tarieven ZM'!$H:$H,$W227)</f>
        <v>1000</v>
      </c>
      <c r="Y227" s="198">
        <f>IF(E227="Standard Access in ZG BT gebieden",0,-INDEX(Parameters!$B:$B,MATCH(Y$3&amp;$C227,Parameters!$A:$A,0))*$X227)</f>
        <v>0</v>
      </c>
      <c r="Z227" s="198">
        <f>IF(E227="Standard Access in ZG BT gebieden",0,MAX(-INDEX(Parameters!$B:$B,MATCH(Z$3&amp;$C227,Parameters!$A:$A,0))*$X227,-INDEX(Parameters!$B:$B,MATCH("FactorMaxSalesMandaat"&amp;E227,Parameters!$A:$A,0))*INDEX(Parameters!$B:$B,MATCH("MaxSalesMandaatAccessVVE"&amp;$C227,Parameters!$A:$A,0))))</f>
        <v>0</v>
      </c>
      <c r="AA227" s="139">
        <f t="shared" si="429"/>
        <v>1000</v>
      </c>
      <c r="AB227" s="205">
        <f>AA227/INDEX(Parameters!$B:$B,MATCH("AfschrijftermijnVVE"&amp;12*$C227,Parameters!$A:$A,0))</f>
        <v>16.666666666666668</v>
      </c>
      <c r="AC227" s="204">
        <f>INDEX('Tarieven ZM'!$G:$G,$W227)</f>
        <v>1000</v>
      </c>
      <c r="AD227" s="198">
        <f>IF(E227="Standard Access in ZG BT gebieden",0,-INDEX(Parameters!$B:$B,MATCH(AD$3&amp;$C227,Parameters!$A:$A,0))*$AC227)</f>
        <v>0</v>
      </c>
      <c r="AE227" s="198">
        <f>IF(E227="Standard Access in ZG BT gebieden",0,-INDEX(Parameters!$B:$B,MATCH(AE$3,Parameters!$A:$A,0))*$AC227)</f>
        <v>0</v>
      </c>
      <c r="AF227" s="139">
        <f t="shared" si="430"/>
        <v>1000</v>
      </c>
      <c r="AG227" s="522">
        <f t="shared" si="431"/>
        <v>1016.6666666666666</v>
      </c>
      <c r="AH227" s="175"/>
      <c r="AI227" s="523">
        <f>IF(N227&lt;&gt;"nvt",MATCH($T227,'Tarieven W&amp;O'!$B:$B,0),"nvt")</f>
        <v>26</v>
      </c>
      <c r="AJ227" s="205">
        <f>IF(AI227&lt;&gt;"nvt",IF($D227="EoK",INDEX(Parameters!C:C,MATCH("NLSx EoK",Parameters!A:A,0)),INDEX('Tarieven W&amp;O'!$H:$H,$AI227)),0)*R227</f>
        <v>350</v>
      </c>
      <c r="AK227" s="204">
        <f>IF(AI227&lt;&gt;"nvt",INDEX('Tarieven W&amp;O'!$I:$I,$AI227),0)*R227</f>
        <v>75</v>
      </c>
      <c r="AL227" s="524">
        <f>IF(AI227&lt;&gt;"nvt",-INDEX(Parameters!$B:$B,MATCH(AL$3,Parameters!$A:$A,0))*(AJ227+AK227),0)</f>
        <v>0</v>
      </c>
      <c r="AM227" s="525"/>
      <c r="AN227" s="139">
        <f t="shared" si="432"/>
        <v>425</v>
      </c>
      <c r="AO227" s="205">
        <f>AN227/INDEX(Parameters!$B:$B,MATCH("AfschrijftermijnVVE"&amp;12*$C227,Parameters!$A:$A,0))</f>
        <v>7.083333333333333</v>
      </c>
      <c r="AP227" s="139">
        <f t="shared" si="433"/>
        <v>26</v>
      </c>
      <c r="AQ227" s="526">
        <f>IF(AP227&lt;&gt;"nvt",R227*INDEX('Tarieven W&amp;O'!$G:$G,$AP227),0)</f>
        <v>102.44</v>
      </c>
      <c r="AR227" s="524">
        <f>-INDEX(Parameters!$B:$B,MATCH(AR$3,Parameters!$A:$A,0))*(AQ227)</f>
        <v>0</v>
      </c>
      <c r="AS227" s="205">
        <f>IF(E227="straal access",'EDC Minus'!$H$192,IF(Q227&lt;&gt;"nvt",Q227*S227*'EDC Minus'!$H$292/590,0))</f>
        <v>0</v>
      </c>
      <c r="AT227" s="139"/>
      <c r="AU227" s="150">
        <f t="shared" si="434"/>
        <v>102.44</v>
      </c>
      <c r="AV227" s="150">
        <f t="shared" si="435"/>
        <v>109.52333333333333</v>
      </c>
      <c r="AX227" s="526">
        <f>Parameters!$B$6*AV227</f>
        <v>1.0952333333333333</v>
      </c>
      <c r="AY227" s="150">
        <v>0</v>
      </c>
      <c r="AZ227" s="150"/>
      <c r="BA227" s="150">
        <f t="shared" si="436"/>
        <v>1.0952333333333333</v>
      </c>
      <c r="BC227" s="522">
        <f t="shared" si="437"/>
        <v>110.61856666666667</v>
      </c>
      <c r="BD227" s="175"/>
      <c r="BE227" s="527">
        <f t="shared" si="438"/>
        <v>906.04809999999998</v>
      </c>
      <c r="BF227" s="181">
        <f t="shared" si="439"/>
        <v>0.89119485245901642</v>
      </c>
      <c r="BG227" s="520" t="b">
        <f t="shared" si="440"/>
        <v>0</v>
      </c>
      <c r="BI227" s="528" t="s">
        <v>2181</v>
      </c>
      <c r="BK227" s="151">
        <f>VLOOKUP(J227,'Tarieven ZM'!$B$136:$I$235,8,0)</f>
        <v>0</v>
      </c>
      <c r="BL227" s="151" t="str">
        <f>IF(M227="EoK",N227&amp;"AdvancedNLS type 1/2/3",IF(E227&lt;&gt;"Straal Access",INDEX(Mapping!J:J,MATCH(E227&amp;G227,Mapping!B:B,0)),E227))</f>
        <v>Copper Standard Access 15Mbit/sAdvancedNLS type 1/2/3</v>
      </c>
      <c r="BM227" s="184">
        <f>INDEX('inkoop ULL tbv EVPN'!J:J,MATCH($BL227,'inkoop ULL tbv EVPN'!$H:$H,0))</f>
        <v>78.97</v>
      </c>
      <c r="BN227" s="180">
        <f>BM227/INDEX(Parameters!$B:$B,MATCH("AfschrijftermijnVVE"&amp;12*$C227,Parameters!$A:$A,0))</f>
        <v>1.3161666666666667</v>
      </c>
      <c r="BO227" s="184">
        <f>INDEX('inkoop ULL tbv EVPN'!I:I,MATCH($BL227,'inkoop ULL tbv EVPN'!$H:$H,0))</f>
        <v>14.7296035</v>
      </c>
      <c r="BP227" s="184">
        <f t="shared" si="441"/>
        <v>16.045770166666667</v>
      </c>
      <c r="BR227" s="180">
        <f>Parameters!$B$12*AG227</f>
        <v>101.66666666666667</v>
      </c>
      <c r="BS227" s="180">
        <f>SUM(Distributievergoedingen!$F$12,Distributievergoedingen!$I$12,Distributievergoedingen!$L$12,Distributievergoedingen!$O$12)*AF227+SUM(Distributievergoedingen!$O$12*AA227+Distributievergoedingen!$R$12+Distributievergoedingen!$U$12+Distributievergoedingen!$X$12)/(MAX(36,12*C227))</f>
        <v>111.66666666666667</v>
      </c>
      <c r="BT227" s="150"/>
      <c r="BU227" s="150">
        <f t="shared" si="442"/>
        <v>213.33333333333334</v>
      </c>
      <c r="BW227" s="522">
        <f t="shared" si="443"/>
        <v>229.37910350000001</v>
      </c>
      <c r="BY227" s="527">
        <f t="shared" si="444"/>
        <v>787.28756316666659</v>
      </c>
      <c r="BZ227" s="181">
        <f t="shared" si="445"/>
        <v>0.77438120967213109</v>
      </c>
      <c r="CA227" s="520" t="b">
        <f t="shared" si="446"/>
        <v>0</v>
      </c>
    </row>
    <row r="228" spans="1:79" s="151" customFormat="1">
      <c r="A228" s="151" t="str">
        <f t="shared" si="447"/>
        <v>5EoKStandard Access koper 20mbLaag&lt; 250 meter</v>
      </c>
      <c r="B228" s="151" t="str">
        <f t="shared" si="448"/>
        <v>5EoKStandard Access koper 20mbLaag&lt; 250 meter</v>
      </c>
      <c r="C228" s="178">
        <v>5</v>
      </c>
      <c r="D228" s="415" t="s">
        <v>303</v>
      </c>
      <c r="E228" s="178" t="s">
        <v>279</v>
      </c>
      <c r="F228" s="107" t="s">
        <v>275</v>
      </c>
      <c r="G228" s="178" t="s">
        <v>3397</v>
      </c>
      <c r="J228" s="520" t="str">
        <f t="shared" si="426"/>
        <v>EoKStandard Access koper 20mbLaag&lt; 250 meter</v>
      </c>
      <c r="L228" s="204">
        <f>INDEX(Mapping!$H:$H,MATCH(C$3&amp;C228,Mapping!$B:$B,0))</f>
        <v>1</v>
      </c>
      <c r="M228" s="204" t="str">
        <f>INDEX(Mapping!$H:$H,MATCH(D$3&amp;D228,Mapping!$B:$B,0))</f>
        <v>EoK</v>
      </c>
      <c r="N228" s="204" t="str">
        <f>INDEX(Mapping!$H:$H,MATCH(E$3&amp;E228,Mapping!$B:$B,0))</f>
        <v>Copper Standard Access 20Mbit/s</v>
      </c>
      <c r="O228" s="204" t="str">
        <f>INDEX(Mapping!$H:$H,MATCH(E228&amp;F228,Mapping!$B:$B,0))</f>
        <v/>
      </c>
      <c r="P228" s="204" t="str">
        <f>INDEX(Mapping!$H:$H,MATCH($E228&amp;$G228,Mapping!$B:$B,0))</f>
        <v>Nearnet</v>
      </c>
      <c r="Q228" s="204" t="str">
        <f>INDEX(Mapping!$H:$H,MATCH($E228&amp;$G228&amp;"graafafstand",Mapping!$B:$B,0))</f>
        <v>nvt</v>
      </c>
      <c r="R228" s="204">
        <f>INDEX(Mapping!$H:$H,MATCH(R$3&amp;$E228,Mapping!$B:$B,0))</f>
        <v>1</v>
      </c>
      <c r="S228" s="204">
        <f>INDEX(Mapping!$H:$H,MATCH(S$3&amp;$E228,Mapping!$B:$B,0))</f>
        <v>1</v>
      </c>
      <c r="T228" s="139" t="str">
        <f t="shared" si="427"/>
        <v>Copper Standard Access 20Mbit/sNearnet</v>
      </c>
      <c r="U228" s="151" t="str">
        <f t="shared" si="428"/>
        <v>Copper Standard Access 20Mbit/sNearnet</v>
      </c>
      <c r="W228" s="521">
        <f>MATCH($J228,'Tarieven ZM'!$B:$B,0)</f>
        <v>187</v>
      </c>
      <c r="X228" s="204">
        <f>INDEX('Tarieven ZM'!$H:$H,$W228)</f>
        <v>1000</v>
      </c>
      <c r="Y228" s="198">
        <f>IF(E228="Standard Access in ZG BT gebieden",0,-INDEX(Parameters!$B:$B,MATCH(Y$3&amp;$C228,Parameters!$A:$A,0))*$X228)</f>
        <v>0</v>
      </c>
      <c r="Z228" s="198">
        <f>IF(E228="Standard Access in ZG BT gebieden",0,MAX(-INDEX(Parameters!$B:$B,MATCH(Z$3&amp;$C228,Parameters!$A:$A,0))*$X228,-INDEX(Parameters!$B:$B,MATCH("FactorMaxSalesMandaat"&amp;E228,Parameters!$A:$A,0))*INDEX(Parameters!$B:$B,MATCH("MaxSalesMandaatAccessVVE"&amp;$C228,Parameters!$A:$A,0))))</f>
        <v>0</v>
      </c>
      <c r="AA228" s="139">
        <f t="shared" si="429"/>
        <v>1000</v>
      </c>
      <c r="AB228" s="205">
        <f>AA228/INDEX(Parameters!$B:$B,MATCH("AfschrijftermijnVVE"&amp;12*$C228,Parameters!$A:$A,0))</f>
        <v>16.666666666666668</v>
      </c>
      <c r="AC228" s="204">
        <f>INDEX('Tarieven ZM'!$G:$G,$W228)</f>
        <v>1000</v>
      </c>
      <c r="AD228" s="198">
        <f>IF(E228="Standard Access in ZG BT gebieden",0,-INDEX(Parameters!$B:$B,MATCH(AD$3&amp;$C228,Parameters!$A:$A,0))*$AC228)</f>
        <v>0</v>
      </c>
      <c r="AE228" s="198">
        <f>IF(E228="Standard Access in ZG BT gebieden",0,-INDEX(Parameters!$B:$B,MATCH(AE$3,Parameters!$A:$A,0))*$AC228)</f>
        <v>0</v>
      </c>
      <c r="AF228" s="139">
        <f t="shared" si="430"/>
        <v>1000</v>
      </c>
      <c r="AG228" s="522">
        <f t="shared" si="431"/>
        <v>1016.6666666666666</v>
      </c>
      <c r="AH228" s="175"/>
      <c r="AI228" s="523">
        <f>IF(N228&lt;&gt;"nvt",MATCH($T228,'Tarieven W&amp;O'!$B:$B,0),"nvt")</f>
        <v>27</v>
      </c>
      <c r="AJ228" s="205">
        <f>IF(AI228&lt;&gt;"nvt",IF($D228="EoK",INDEX(Parameters!C:C,MATCH("NLSx EoK",Parameters!A:A,0)),INDEX('Tarieven W&amp;O'!$H:$H,$AI228)),0)*R228</f>
        <v>350</v>
      </c>
      <c r="AK228" s="204">
        <f>IF(AI228&lt;&gt;"nvt",INDEX('Tarieven W&amp;O'!$I:$I,$AI228),0)*R228</f>
        <v>75</v>
      </c>
      <c r="AL228" s="524">
        <f>IF(AI228&lt;&gt;"nvt",-INDEX(Parameters!$B:$B,MATCH(AL$3,Parameters!$A:$A,0))*(AJ228+AK228),0)</f>
        <v>0</v>
      </c>
      <c r="AM228" s="525"/>
      <c r="AN228" s="139">
        <f t="shared" si="432"/>
        <v>425</v>
      </c>
      <c r="AO228" s="205">
        <f>AN228/INDEX(Parameters!$B:$B,MATCH("AfschrijftermijnVVE"&amp;12*$C228,Parameters!$A:$A,0))</f>
        <v>7.083333333333333</v>
      </c>
      <c r="AP228" s="139">
        <f t="shared" si="433"/>
        <v>27</v>
      </c>
      <c r="AQ228" s="526">
        <f>IF(AP228&lt;&gt;"nvt",R228*INDEX('Tarieven W&amp;O'!$G:$G,$AP228),0)</f>
        <v>121.28</v>
      </c>
      <c r="AR228" s="524">
        <f>-INDEX(Parameters!$B:$B,MATCH(AR$3,Parameters!$A:$A,0))*(AQ228)</f>
        <v>0</v>
      </c>
      <c r="AS228" s="205">
        <f>IF(E228="straal access",'EDC Minus'!$H$192,IF(Q228&lt;&gt;"nvt",Q228*S228*'EDC Minus'!$H$292/590,0))</f>
        <v>0</v>
      </c>
      <c r="AT228" s="139"/>
      <c r="AU228" s="150">
        <f t="shared" si="434"/>
        <v>121.28</v>
      </c>
      <c r="AV228" s="150">
        <f t="shared" si="435"/>
        <v>128.36333333333334</v>
      </c>
      <c r="AX228" s="526">
        <f>Parameters!$B$6*AV228</f>
        <v>1.2836333333333334</v>
      </c>
      <c r="AY228" s="150">
        <v>0</v>
      </c>
      <c r="AZ228" s="150"/>
      <c r="BA228" s="150">
        <f t="shared" si="436"/>
        <v>1.2836333333333334</v>
      </c>
      <c r="BC228" s="522">
        <f t="shared" si="437"/>
        <v>129.64696666666669</v>
      </c>
      <c r="BD228" s="175"/>
      <c r="BE228" s="527">
        <f t="shared" si="438"/>
        <v>887.01969999999994</v>
      </c>
      <c r="BF228" s="181">
        <f t="shared" si="439"/>
        <v>0.8724783934426229</v>
      </c>
      <c r="BG228" s="520" t="b">
        <f t="shared" si="440"/>
        <v>0</v>
      </c>
      <c r="BI228" s="528" t="s">
        <v>2181</v>
      </c>
      <c r="BK228" s="151">
        <f>VLOOKUP(J228,'Tarieven ZM'!$B$136:$I$235,8,0)</f>
        <v>0</v>
      </c>
      <c r="BL228" s="151" t="str">
        <f>IF(M228="EoK",N228&amp;"AdvancedNLS type 1/2/3",IF(E228&lt;&gt;"Straal Access",INDEX(Mapping!J:J,MATCH(E228&amp;G228,Mapping!B:B,0)),E228))</f>
        <v>Copper Standard Access 20Mbit/sAdvancedNLS type 1/2/3</v>
      </c>
      <c r="BM228" s="184">
        <f>INDEX('inkoop ULL tbv EVPN'!J:J,MATCH($BL228,'inkoop ULL tbv EVPN'!$H:$H,0))</f>
        <v>78.97</v>
      </c>
      <c r="BN228" s="180">
        <f>BM228/INDEX(Parameters!$B:$B,MATCH("AfschrijftermijnVVE"&amp;12*$C228,Parameters!$A:$A,0))</f>
        <v>1.3161666666666667</v>
      </c>
      <c r="BO228" s="184">
        <f>INDEX('inkoop ULL tbv EVPN'!I:I,MATCH($BL228,'inkoop ULL tbv EVPN'!$H:$H,0))</f>
        <v>14.7296035</v>
      </c>
      <c r="BP228" s="184">
        <f t="shared" si="441"/>
        <v>16.045770166666667</v>
      </c>
      <c r="BR228" s="180">
        <f>Parameters!$B$12*AG228</f>
        <v>101.66666666666667</v>
      </c>
      <c r="BS228" s="180">
        <f>SUM(Distributievergoedingen!$F$12,Distributievergoedingen!$I$12,Distributievergoedingen!$L$12,Distributievergoedingen!$O$12)*AF228+SUM(Distributievergoedingen!$O$12*AA228+Distributievergoedingen!$R$12+Distributievergoedingen!$U$12+Distributievergoedingen!$X$12)/(MAX(36,12*C228))</f>
        <v>111.66666666666667</v>
      </c>
      <c r="BT228" s="150"/>
      <c r="BU228" s="150">
        <f t="shared" si="442"/>
        <v>213.33333333333334</v>
      </c>
      <c r="BW228" s="522">
        <f t="shared" si="443"/>
        <v>229.37910350000001</v>
      </c>
      <c r="BY228" s="527">
        <f t="shared" si="444"/>
        <v>787.28756316666659</v>
      </c>
      <c r="BZ228" s="181">
        <f t="shared" si="445"/>
        <v>0.77438120967213109</v>
      </c>
      <c r="CA228" s="520" t="b">
        <f t="shared" si="446"/>
        <v>0</v>
      </c>
    </row>
  </sheetData>
  <autoFilter ref="A3:CA228"/>
  <mergeCells count="13">
    <mergeCell ref="BM1:BP1"/>
    <mergeCell ref="BR1:BU1"/>
    <mergeCell ref="BY1:CA1"/>
    <mergeCell ref="C2:J2"/>
    <mergeCell ref="BE1:BG1"/>
    <mergeCell ref="L2:U2"/>
    <mergeCell ref="W1:AG1"/>
    <mergeCell ref="AP2:AU2"/>
    <mergeCell ref="AC2:AF2"/>
    <mergeCell ref="W2:AB2"/>
    <mergeCell ref="AI2:AO2"/>
    <mergeCell ref="AI1:AV1"/>
    <mergeCell ref="AX1:BA1"/>
  </mergeCells>
  <conditionalFormatting sqref="BI4:BI228">
    <cfRule type="containsText" dxfId="5" priority="95" operator="containsText" text="nee">
      <formula>NOT(ISERROR(SEARCH("nee",BI4)))</formula>
    </cfRule>
    <cfRule type="containsText" dxfId="4" priority="96" operator="containsText" text="ja">
      <formula>NOT(ISERROR(SEARCH("ja",BI4)))</formula>
    </cfRule>
  </conditionalFormatting>
  <pageMargins left="0.7" right="0.7" top="0.75" bottom="0.75" header="0.3" footer="0.3"/>
  <pageSetup paperSize="9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10">
    <tabColor theme="3" tint="0.59999389629810485"/>
  </sheetPr>
  <dimension ref="A1:CA573"/>
  <sheetViews>
    <sheetView workbookViewId="0"/>
  </sheetViews>
  <sheetFormatPr defaultRowHeight="15"/>
  <cols>
    <col min="1" max="1" width="25.7109375" customWidth="1"/>
    <col min="2" max="2" width="25.28515625" bestFit="1" customWidth="1"/>
    <col min="4" max="4" width="7.85546875" customWidth="1"/>
    <col min="7" max="7" width="11.85546875" customWidth="1"/>
    <col min="8" max="9" width="2.5703125" customWidth="1"/>
    <col min="10" max="10" width="22.7109375" customWidth="1"/>
    <col min="11" max="11" width="5.28515625" customWidth="1"/>
    <col min="13" max="13" width="11.42578125" customWidth="1"/>
    <col min="14" max="14" width="14.5703125" customWidth="1"/>
    <col min="17" max="17" width="18.85546875" customWidth="1"/>
    <col min="18" max="18" width="13.28515625" customWidth="1"/>
    <col min="19" max="19" width="14" customWidth="1"/>
    <col min="20" max="20" width="11.5703125" customWidth="1"/>
    <col min="21" max="21" width="20.85546875" customWidth="1"/>
    <col min="25" max="25" width="10.85546875" customWidth="1"/>
    <col min="33" max="33" width="10.5703125" bestFit="1" customWidth="1"/>
    <col min="43" max="43" width="15.42578125" customWidth="1"/>
    <col min="44" max="44" width="11.42578125" style="166" customWidth="1"/>
    <col min="49" max="49" width="4.140625" customWidth="1"/>
    <col min="52" max="52" width="1.5703125" customWidth="1"/>
    <col min="54" max="54" width="2.42578125" customWidth="1"/>
    <col min="55" max="55" width="9.85546875" customWidth="1"/>
    <col min="60" max="60" width="4.5703125" customWidth="1"/>
    <col min="61" max="61" width="17" customWidth="1"/>
    <col min="62" max="62" width="31.140625" customWidth="1"/>
    <col min="63" max="63" width="9.140625" customWidth="1"/>
    <col min="64" max="64" width="28" customWidth="1"/>
    <col min="72" max="72" width="1.42578125" customWidth="1"/>
  </cols>
  <sheetData>
    <row r="1" spans="1:79" s="95" customFormat="1">
      <c r="A1" s="109"/>
      <c r="B1" s="127"/>
      <c r="C1" s="110"/>
      <c r="D1" s="110"/>
      <c r="E1" s="110"/>
      <c r="F1" s="110"/>
      <c r="G1" s="110"/>
      <c r="H1" s="110"/>
      <c r="I1" s="110"/>
      <c r="J1" s="127"/>
      <c r="K1" s="110"/>
      <c r="L1" s="109"/>
      <c r="M1" s="110"/>
      <c r="N1" s="110"/>
      <c r="O1" s="110"/>
      <c r="P1" s="110"/>
      <c r="Q1" s="110"/>
      <c r="R1" s="110"/>
      <c r="S1" s="110"/>
      <c r="T1" s="110"/>
      <c r="U1" s="127"/>
      <c r="V1" s="110"/>
      <c r="W1" s="635" t="s">
        <v>191</v>
      </c>
      <c r="X1" s="636"/>
      <c r="Y1" s="636"/>
      <c r="Z1" s="636"/>
      <c r="AA1" s="636"/>
      <c r="AB1" s="636"/>
      <c r="AC1" s="636"/>
      <c r="AD1" s="636"/>
      <c r="AE1" s="636"/>
      <c r="AF1" s="636"/>
      <c r="AG1" s="637"/>
      <c r="AH1" s="188"/>
      <c r="AI1" s="641" t="s">
        <v>192</v>
      </c>
      <c r="AJ1" s="642"/>
      <c r="AK1" s="642"/>
      <c r="AL1" s="642"/>
      <c r="AM1" s="642"/>
      <c r="AN1" s="642"/>
      <c r="AO1" s="642"/>
      <c r="AP1" s="642"/>
      <c r="AQ1" s="642"/>
      <c r="AR1" s="642"/>
      <c r="AS1" s="642"/>
      <c r="AT1" s="642"/>
      <c r="AU1" s="642"/>
      <c r="AV1" s="642"/>
      <c r="AW1"/>
      <c r="AX1" s="626" t="s">
        <v>375</v>
      </c>
      <c r="AY1" s="626"/>
      <c r="AZ1" s="626"/>
      <c r="BA1" s="626"/>
      <c r="BB1"/>
      <c r="BC1" s="168"/>
      <c r="BD1" s="169"/>
      <c r="BE1" s="627" t="s">
        <v>193</v>
      </c>
      <c r="BF1" s="633"/>
      <c r="BG1" s="634"/>
      <c r="BH1" s="136"/>
      <c r="BI1" s="140" t="s">
        <v>244</v>
      </c>
      <c r="BJ1" s="141"/>
      <c r="BK1" s="132"/>
      <c r="BM1" s="625" t="s">
        <v>3323</v>
      </c>
      <c r="BN1" s="625"/>
      <c r="BO1" s="625"/>
      <c r="BP1" s="625"/>
      <c r="BR1" s="626" t="s">
        <v>3324</v>
      </c>
      <c r="BS1" s="626"/>
      <c r="BT1" s="626"/>
      <c r="BU1" s="626"/>
      <c r="BW1" s="170" t="s">
        <v>3325</v>
      </c>
      <c r="BY1" s="627" t="s">
        <v>3326</v>
      </c>
      <c r="BZ1" s="628"/>
      <c r="CA1" s="629"/>
    </row>
    <row r="2" spans="1:79" s="95" customFormat="1">
      <c r="A2" s="111"/>
      <c r="B2" s="149"/>
      <c r="C2" s="631" t="s">
        <v>236</v>
      </c>
      <c r="D2" s="631"/>
      <c r="E2" s="631"/>
      <c r="F2" s="631"/>
      <c r="G2" s="631"/>
      <c r="H2" s="631"/>
      <c r="I2" s="631"/>
      <c r="J2" s="632"/>
      <c r="K2" s="187"/>
      <c r="L2" s="630" t="s">
        <v>237</v>
      </c>
      <c r="M2" s="631"/>
      <c r="N2" s="631"/>
      <c r="O2" s="631"/>
      <c r="P2" s="631"/>
      <c r="Q2" s="631"/>
      <c r="R2" s="631"/>
      <c r="S2" s="631"/>
      <c r="T2" s="631"/>
      <c r="U2" s="632"/>
      <c r="V2" s="187"/>
      <c r="W2" s="639" t="s">
        <v>188</v>
      </c>
      <c r="X2" s="638"/>
      <c r="Y2" s="638"/>
      <c r="Z2" s="638"/>
      <c r="AA2" s="638"/>
      <c r="AB2" s="638"/>
      <c r="AC2" s="638" t="s">
        <v>187</v>
      </c>
      <c r="AD2" s="638"/>
      <c r="AE2" s="638"/>
      <c r="AF2" s="638"/>
      <c r="AG2" s="124" t="s">
        <v>201</v>
      </c>
      <c r="AH2" s="112"/>
      <c r="AI2" s="640" t="s">
        <v>188</v>
      </c>
      <c r="AJ2" s="625"/>
      <c r="AK2" s="625"/>
      <c r="AL2" s="625"/>
      <c r="AM2" s="625"/>
      <c r="AN2" s="625"/>
      <c r="AO2" s="625"/>
      <c r="AP2" s="625" t="s">
        <v>187</v>
      </c>
      <c r="AQ2" s="625"/>
      <c r="AR2" s="625"/>
      <c r="AS2" s="625"/>
      <c r="AT2" s="625"/>
      <c r="AU2" s="625"/>
      <c r="AV2" s="170" t="s">
        <v>376</v>
      </c>
      <c r="AW2"/>
      <c r="AX2" s="595"/>
      <c r="AY2" s="595"/>
      <c r="AZ2" s="595"/>
      <c r="BA2" s="595"/>
      <c r="BB2"/>
      <c r="BC2" s="171" t="s">
        <v>377</v>
      </c>
      <c r="BD2" s="137"/>
      <c r="BE2" s="121"/>
      <c r="BF2" s="113"/>
      <c r="BG2" s="114"/>
      <c r="BH2" s="137"/>
      <c r="BI2" s="134"/>
      <c r="BJ2" s="135"/>
      <c r="BK2" s="132"/>
      <c r="BM2" s="170"/>
      <c r="BN2" s="170"/>
      <c r="BO2" s="170"/>
      <c r="BP2" s="170"/>
      <c r="BQ2" s="402"/>
      <c r="BR2" s="595"/>
      <c r="BS2" s="595"/>
      <c r="BT2" s="595"/>
      <c r="BU2" s="595"/>
      <c r="BV2" s="402"/>
      <c r="BW2" s="171" t="s">
        <v>377</v>
      </c>
      <c r="BX2" s="137"/>
      <c r="BY2" s="121"/>
      <c r="BZ2" s="113"/>
      <c r="CA2" s="114"/>
    </row>
    <row r="3" spans="1:79" s="108" customFormat="1" ht="75">
      <c r="A3" s="115" t="s">
        <v>251</v>
      </c>
      <c r="B3" s="128" t="s">
        <v>252</v>
      </c>
      <c r="C3" s="116" t="s">
        <v>180</v>
      </c>
      <c r="D3" s="116" t="s">
        <v>181</v>
      </c>
      <c r="E3" s="116" t="s">
        <v>212</v>
      </c>
      <c r="F3" s="116" t="s">
        <v>241</v>
      </c>
      <c r="G3" s="116" t="s">
        <v>301</v>
      </c>
      <c r="H3" s="116"/>
      <c r="I3" s="116"/>
      <c r="J3" s="128" t="s">
        <v>202</v>
      </c>
      <c r="K3" s="116"/>
      <c r="L3" s="115" t="s">
        <v>184</v>
      </c>
      <c r="M3" s="116" t="s">
        <v>185</v>
      </c>
      <c r="N3" s="116" t="s">
        <v>247</v>
      </c>
      <c r="O3" s="116" t="s">
        <v>238</v>
      </c>
      <c r="P3" s="116" t="s">
        <v>239</v>
      </c>
      <c r="Q3" s="116" t="s">
        <v>428</v>
      </c>
      <c r="R3" s="116" t="s">
        <v>298</v>
      </c>
      <c r="S3" s="116" t="s">
        <v>3081</v>
      </c>
      <c r="T3" s="116"/>
      <c r="U3" s="128" t="s">
        <v>216</v>
      </c>
      <c r="V3" s="116"/>
      <c r="W3" s="125" t="s">
        <v>220</v>
      </c>
      <c r="X3" s="117" t="s">
        <v>188</v>
      </c>
      <c r="Y3" s="117" t="s">
        <v>243</v>
      </c>
      <c r="Z3" s="117" t="s">
        <v>429</v>
      </c>
      <c r="AA3" s="117" t="s">
        <v>222</v>
      </c>
      <c r="AB3" s="117" t="s">
        <v>250</v>
      </c>
      <c r="AC3" s="117" t="s">
        <v>187</v>
      </c>
      <c r="AD3" s="117" t="s">
        <v>248</v>
      </c>
      <c r="AE3" s="117" t="s">
        <v>341</v>
      </c>
      <c r="AF3" s="117" t="s">
        <v>195</v>
      </c>
      <c r="AG3" s="126" t="s">
        <v>196</v>
      </c>
      <c r="AH3" s="117"/>
      <c r="AI3" s="123" t="s">
        <v>232</v>
      </c>
      <c r="AJ3" s="118" t="s">
        <v>189</v>
      </c>
      <c r="AK3" s="118" t="s">
        <v>190</v>
      </c>
      <c r="AL3" s="118" t="s">
        <v>234</v>
      </c>
      <c r="AM3" s="118" t="s">
        <v>249</v>
      </c>
      <c r="AN3" s="118" t="s">
        <v>222</v>
      </c>
      <c r="AO3" s="118" t="s">
        <v>250</v>
      </c>
      <c r="AP3" s="118" t="s">
        <v>233</v>
      </c>
      <c r="AQ3" s="118" t="s">
        <v>2152</v>
      </c>
      <c r="AR3" s="186" t="s">
        <v>2151</v>
      </c>
      <c r="AS3" s="118" t="s">
        <v>235</v>
      </c>
      <c r="AT3" s="118" t="s">
        <v>242</v>
      </c>
      <c r="AU3" s="118" t="s">
        <v>195</v>
      </c>
      <c r="AV3" s="118" t="s">
        <v>196</v>
      </c>
      <c r="AW3"/>
      <c r="AX3" s="172" t="s">
        <v>197</v>
      </c>
      <c r="AY3" s="172" t="s">
        <v>378</v>
      </c>
      <c r="AZ3" s="172"/>
      <c r="BA3" s="172" t="s">
        <v>379</v>
      </c>
      <c r="BB3" s="173"/>
      <c r="BC3" s="174" t="s">
        <v>380</v>
      </c>
      <c r="BD3" s="173"/>
      <c r="BE3" s="122" t="s">
        <v>199</v>
      </c>
      <c r="BF3" s="119" t="s">
        <v>200</v>
      </c>
      <c r="BG3" s="120" t="s">
        <v>198</v>
      </c>
      <c r="BH3" s="138"/>
      <c r="BI3" s="142" t="s">
        <v>245</v>
      </c>
      <c r="BJ3" s="143" t="s">
        <v>246</v>
      </c>
      <c r="BK3" s="133"/>
      <c r="BL3" s="108" t="s">
        <v>3327</v>
      </c>
      <c r="BM3" s="403" t="s">
        <v>222</v>
      </c>
      <c r="BN3" s="403" t="s">
        <v>250</v>
      </c>
      <c r="BO3" s="403" t="s">
        <v>195</v>
      </c>
      <c r="BP3" s="403" t="s">
        <v>3328</v>
      </c>
      <c r="BQ3" s="173"/>
      <c r="BR3" s="172" t="s">
        <v>3329</v>
      </c>
      <c r="BS3" s="172" t="s">
        <v>378</v>
      </c>
      <c r="BT3" s="172"/>
      <c r="BU3" s="172" t="s">
        <v>379</v>
      </c>
      <c r="BV3" s="173"/>
      <c r="BW3" s="174" t="s">
        <v>3330</v>
      </c>
      <c r="BX3" s="173"/>
      <c r="BY3" s="122" t="s">
        <v>199</v>
      </c>
      <c r="BZ3" s="119" t="s">
        <v>200</v>
      </c>
      <c r="CA3" s="120" t="s">
        <v>198</v>
      </c>
    </row>
    <row r="4" spans="1:79" s="151" customFormat="1">
      <c r="A4" s="151" t="str">
        <f t="shared" ref="A4:A18" si="0">C4&amp;D4&amp;E4&amp;F4&amp;G4&amp;H4</f>
        <v>1EoKEntryCity1</v>
      </c>
      <c r="B4" s="520" t="str">
        <f>A4</f>
        <v>1EoKEntryCity1</v>
      </c>
      <c r="C4" s="179">
        <v>1</v>
      </c>
      <c r="D4" s="179" t="s">
        <v>303</v>
      </c>
      <c r="E4" s="178" t="s">
        <v>45</v>
      </c>
      <c r="F4" s="178" t="s">
        <v>262</v>
      </c>
      <c r="G4" s="185" t="s">
        <v>362</v>
      </c>
      <c r="J4" s="520" t="str">
        <f t="shared" ref="J4:J9" si="1">E4&amp;F4&amp;G4&amp;H4</f>
        <v>EntryCity1</v>
      </c>
      <c r="L4" s="204">
        <f>INDEX(Mapping!$H:$H,MATCH(C$3&amp;C4,Mapping!$B:$B,0))</f>
        <v>1</v>
      </c>
      <c r="M4" s="204" t="str">
        <f>INDEX(Mapping!$H:$H,MATCH(D$3&amp;$D4,Mapping!$B:$B,0))</f>
        <v>EoK</v>
      </c>
      <c r="N4" s="204" t="str">
        <f>INDEX(Mapping!$H:$H,MATCH(E$3&amp;E4,Mapping!$B:$B,0))</f>
        <v>Lite</v>
      </c>
      <c r="O4" s="204" t="str">
        <f>INDEX(Mapping!$H:$H,MATCH(F$3&amp;F4,Mapping!$B:$B,0))</f>
        <v>Metro</v>
      </c>
      <c r="P4" s="204">
        <f>INDEX(Mapping!$H:$H,MATCH(G$3&amp;G4,Mapping!$B:$B,0))</f>
        <v>1</v>
      </c>
      <c r="Q4" s="204" t="str">
        <f>INDEX(Mapping!$H:$H,MATCH(Q$3&amp;$F4,Mapping!$B:$B,0))</f>
        <v>Metro - Regionaal</v>
      </c>
      <c r="R4" s="204" t="str">
        <f>INDEX(Mapping!$H:$H,MATCH("ZM VPN Service Level"&amp;E4,Mapping!$B:$B,0))</f>
        <v>Advanced</v>
      </c>
      <c r="S4" s="139" t="b">
        <f>IF($D4="EoK",INDEX(Mapping!$I:$I,MATCH($G$3&amp;$G4,Mapping!B:B,0)),FALSE)</f>
        <v>1</v>
      </c>
      <c r="T4" s="139"/>
      <c r="U4" s="520" t="str">
        <f t="shared" ref="U4:U9" si="2">N4&amp;O4&amp;P4</f>
        <v>LiteMetro1</v>
      </c>
      <c r="W4" s="521">
        <f>MATCH($J4,'Tarieven ZM'!$B:$B,0)</f>
        <v>8</v>
      </c>
      <c r="X4" s="204">
        <f>INDEX('Tarieven ZM'!$H:$H,$W4)</f>
        <v>1000</v>
      </c>
      <c r="Y4" s="198">
        <f>-INDEX(Parameters!$B:$B,MATCH(Y$3&amp;$C4,Parameters!$A:$A,0))*$X4</f>
        <v>0</v>
      </c>
      <c r="Z4" s="198">
        <f>-INDEX(Parameters!$B:$B,MATCH(Z$3&amp;$C4,Parameters!$A:$A,0))*$X4</f>
        <v>0</v>
      </c>
      <c r="AA4" s="139">
        <f t="shared" ref="AA4:AA13" si="3">SUM(X4:Z4)</f>
        <v>1000</v>
      </c>
      <c r="AB4" s="205">
        <f>AA4/INDEX(Parameters!$B:$B,MATCH("AfschrijftermijnVVE"&amp;12*$C4,Parameters!$A:$A,0))</f>
        <v>27.777777777777779</v>
      </c>
      <c r="AC4" s="204">
        <f>INDEX('Tarieven ZM'!$G:$G,$W4)</f>
        <v>1000</v>
      </c>
      <c r="AD4" s="198">
        <f>-INDEX(Parameters!$B:$B,MATCH(AD$3&amp;$C4,Parameters!$A:$A,0))*$AC4</f>
        <v>0</v>
      </c>
      <c r="AE4" s="198">
        <f>-INDEX(Parameters!$B:$B,MATCH(AE$3,Parameters!$A:$A,0))*$AC4</f>
        <v>0</v>
      </c>
      <c r="AF4" s="139">
        <f t="shared" ref="AF4:AF13" si="4">SUM(AC4:AE4)</f>
        <v>1000</v>
      </c>
      <c r="AG4" s="522">
        <f t="shared" ref="AG4:AG13" si="5">SUM(AB4,AF4)</f>
        <v>1027.7777777777778</v>
      </c>
      <c r="AH4" s="175"/>
      <c r="AI4" s="523">
        <f>MATCH($U4,'Tarieven W&amp;O'!$B:$B,0)</f>
        <v>36</v>
      </c>
      <c r="AJ4" s="204">
        <f>IF(AI4&lt;&gt;"nvt",INDEX('Tarieven W&amp;O'!$H:$H,$AI4),0)</f>
        <v>0</v>
      </c>
      <c r="AK4" s="204">
        <f>IF(AI4&lt;&gt;"nvt",INDEX('Tarieven W&amp;O'!$I:$I,$AI4),0)</f>
        <v>25</v>
      </c>
      <c r="AL4" s="524">
        <f>IF(AI4&lt;&gt;"nvt",-INDEX(Parameters!$B:$B,MATCH(AL$3,Parameters!$A:$A,0))*(AJ4+AK4),0)</f>
        <v>0</v>
      </c>
      <c r="AM4" s="525"/>
      <c r="AN4" s="139">
        <f t="shared" ref="AN4:AN13" si="6">SUM(AJ4:AM4)</f>
        <v>25</v>
      </c>
      <c r="AO4" s="205">
        <f>AN4/INDEX(Parameters!$B:$B,MATCH("AfschrijftermijnVVE"&amp;12*$C4,Parameters!$A:$A,0))</f>
        <v>0.69444444444444442</v>
      </c>
      <c r="AP4" s="139">
        <f t="shared" ref="AP4:AP13" si="7">AI4</f>
        <v>36</v>
      </c>
      <c r="AQ4" s="526">
        <f>IF(AP4&lt;&gt;"nvt",INDEX('Tarieven W&amp;O'!$G:$G,$AP4),0)</f>
        <v>14.29</v>
      </c>
      <c r="AR4" s="251">
        <f>IF($S4,INDEX('Tarieven W&amp;O'!$G:$G,MATCH(N4&amp;R4,'Tarieven W&amp;O'!$B:$B,0)),0)</f>
        <v>5.25</v>
      </c>
      <c r="AS4" s="205">
        <f>-INDEX(Parameters!$B:$B,MATCH(AS$3,Parameters!$A:$A,0))*(AQ4+AR4)</f>
        <v>0</v>
      </c>
      <c r="AT4" s="205">
        <f>INDEX(hulpblad!$E:$E,MATCH(M4&amp;Q4,hulpblad!$B:$B,0))</f>
        <v>1</v>
      </c>
      <c r="AU4" s="150">
        <f t="shared" ref="AU4:AU17" si="8">SUM(AQ4:AT4)</f>
        <v>20.54</v>
      </c>
      <c r="AV4" s="150">
        <f t="shared" ref="AV4:AV17" si="9">SUM(AO4,AU4)</f>
        <v>21.234444444444442</v>
      </c>
      <c r="AX4" s="526">
        <f>Parameters!$B$6*AV4</f>
        <v>0.21234444444444442</v>
      </c>
      <c r="AY4" s="150">
        <v>0</v>
      </c>
      <c r="AZ4" s="150"/>
      <c r="BA4" s="150">
        <f t="shared" ref="BA4:BA13" si="10">SUM(AX4:AZ4)</f>
        <v>0.21234444444444442</v>
      </c>
      <c r="BB4" s="150"/>
      <c r="BC4" s="522">
        <f t="shared" ref="BC4:BC13" si="11">SUM(AV4,BA4)</f>
        <v>21.446788888888886</v>
      </c>
      <c r="BD4" s="175"/>
      <c r="BE4" s="527">
        <f t="shared" ref="BE4:BE17" si="12">AG4-BC4</f>
        <v>1006.3309888888889</v>
      </c>
      <c r="BF4" s="181">
        <f t="shared" ref="BF4:BF17" si="13">IF(AG4=0,-999%,BE4/AG4)</f>
        <v>0.97913285405405404</v>
      </c>
      <c r="BG4" s="520" t="b">
        <f t="shared" ref="BG4:BG9" si="14">BF4&lt;0</f>
        <v>0</v>
      </c>
      <c r="BI4" s="528" t="s">
        <v>2181</v>
      </c>
      <c r="BL4" s="151" t="str">
        <f t="shared" ref="BL4:BL18" si="15">M4&amp;Q4</f>
        <v>EoKMetro - Regionaal</v>
      </c>
      <c r="BM4" s="529">
        <v>0</v>
      </c>
      <c r="BN4" s="180">
        <f>BM4/INDEX(Parameters!$B:$B,MATCH("AfschrijftermijnVVE"&amp;12*$C4,Parameters!$A:$A,0))</f>
        <v>0</v>
      </c>
      <c r="BO4" s="184">
        <f>INDEX('inkoop ULL tbv EVPN'!I:I,MATCH(BL4,'inkoop ULL tbv EVPN'!H:H,0))</f>
        <v>2</v>
      </c>
      <c r="BP4" s="184">
        <f t="shared" ref="BP4:BP18" si="16">BN4+BO4</f>
        <v>2</v>
      </c>
      <c r="BR4" s="180">
        <f>Parameters!$B$12*AG4</f>
        <v>102.77777777777779</v>
      </c>
      <c r="BS4" s="180">
        <f>SUM(Distributievergoedingen!$F$12,Distributievergoedingen!$I$12,Distributievergoedingen!$L$12,Distributievergoedingen!$O$12)*AF4+SUM(Distributievergoedingen!$O$12*AA4+Distributievergoedingen!$R$12+Distributievergoedingen!$U$12+Distributievergoedingen!$X$12)/(MAX(36,12*C4))</f>
        <v>112.77777777777777</v>
      </c>
      <c r="BT4" s="150"/>
      <c r="BU4" s="150">
        <f t="shared" ref="BU4:BU18" si="17">SUM(BR4:BT4)</f>
        <v>215.55555555555554</v>
      </c>
      <c r="BW4" s="522">
        <f t="shared" ref="BW4:BW18" si="18">SUM(BP4,BU4)</f>
        <v>217.55555555555554</v>
      </c>
      <c r="BY4" s="527">
        <f t="shared" ref="BY4:BY18" si="19">AG4-BW4</f>
        <v>810.22222222222229</v>
      </c>
      <c r="BZ4" s="181">
        <f t="shared" ref="BZ4:BZ18" si="20">IF(AG4=0,-999%,BY4/AG4)</f>
        <v>0.78832432432432431</v>
      </c>
      <c r="CA4" s="520" t="b">
        <f t="shared" ref="CA4:CA18" si="21">BZ4&lt;0</f>
        <v>0</v>
      </c>
    </row>
    <row r="5" spans="1:79" s="151" customFormat="1">
      <c r="A5" s="151" t="str">
        <f t="shared" si="0"/>
        <v>1EoKEntryCity2</v>
      </c>
      <c r="B5" s="520" t="str">
        <f>A5</f>
        <v>1EoKEntryCity2</v>
      </c>
      <c r="C5" s="179">
        <v>1</v>
      </c>
      <c r="D5" s="179" t="s">
        <v>303</v>
      </c>
      <c r="E5" s="178" t="s">
        <v>45</v>
      </c>
      <c r="F5" s="178" t="s">
        <v>262</v>
      </c>
      <c r="G5" s="185" t="s">
        <v>363</v>
      </c>
      <c r="J5" s="520" t="str">
        <f t="shared" si="1"/>
        <v>EntryCity2</v>
      </c>
      <c r="L5" s="204">
        <f>INDEX(Mapping!$H:$H,MATCH(C$3&amp;C5,Mapping!$B:$B,0))</f>
        <v>1</v>
      </c>
      <c r="M5" s="204" t="str">
        <f>INDEX(Mapping!$H:$H,MATCH(D$3&amp;$D5,Mapping!$B:$B,0))</f>
        <v>EoK</v>
      </c>
      <c r="N5" s="204" t="str">
        <f>INDEX(Mapping!$H:$H,MATCH(E$3&amp;E5,Mapping!$B:$B,0))</f>
        <v>Lite</v>
      </c>
      <c r="O5" s="204" t="str">
        <f>INDEX(Mapping!$H:$H,MATCH(F$3&amp;F5,Mapping!$B:$B,0))</f>
        <v>Metro</v>
      </c>
      <c r="P5" s="204">
        <f>INDEX(Mapping!$H:$H,MATCH(G$3&amp;G5,Mapping!$B:$B,0))</f>
        <v>2</v>
      </c>
      <c r="Q5" s="204" t="str">
        <f>INDEX(Mapping!$H:$H,MATCH(Q$3&amp;$F5,Mapping!$B:$B,0))</f>
        <v>Metro - Regionaal</v>
      </c>
      <c r="R5" s="204" t="str">
        <f>INDEX(Mapping!$H:$H,MATCH("ZM VPN Service Level"&amp;E5,Mapping!$B:$B,0))</f>
        <v>Advanced</v>
      </c>
      <c r="S5" s="139" t="b">
        <f>IF($D5="EoK",INDEX(Mapping!$I:$I,MATCH($G$3&amp;$G5,Mapping!B:B,0)),FALSE)</f>
        <v>1</v>
      </c>
      <c r="T5" s="139"/>
      <c r="U5" s="520" t="str">
        <f t="shared" si="2"/>
        <v>LiteMetro2</v>
      </c>
      <c r="W5" s="521">
        <f>MATCH($J5,'Tarieven ZM'!$B:$B,0)</f>
        <v>9</v>
      </c>
      <c r="X5" s="204">
        <f>INDEX('Tarieven ZM'!$H:$H,$W5)</f>
        <v>1000</v>
      </c>
      <c r="Y5" s="198">
        <f>-INDEX(Parameters!$B:$B,MATCH(Y$3&amp;$C5,Parameters!$A:$A,0))*$X5</f>
        <v>0</v>
      </c>
      <c r="Z5" s="198">
        <f>-INDEX(Parameters!$B:$B,MATCH(Z$3&amp;$C5,Parameters!$A:$A,0))*$X5</f>
        <v>0</v>
      </c>
      <c r="AA5" s="139">
        <f t="shared" si="3"/>
        <v>1000</v>
      </c>
      <c r="AB5" s="205">
        <f>AA5/INDEX(Parameters!$B:$B,MATCH("AfschrijftermijnVVE"&amp;12*$C5,Parameters!$A:$A,0))</f>
        <v>27.777777777777779</v>
      </c>
      <c r="AC5" s="204">
        <f>INDEX('Tarieven ZM'!$G:$G,$W5)</f>
        <v>1000</v>
      </c>
      <c r="AD5" s="198">
        <f>-INDEX(Parameters!$B:$B,MATCH(AD$3&amp;$C5,Parameters!$A:$A,0))*$AC5</f>
        <v>0</v>
      </c>
      <c r="AE5" s="198">
        <f>-INDEX(Parameters!$B:$B,MATCH(AE$3,Parameters!$A:$A,0))*$AC5</f>
        <v>0</v>
      </c>
      <c r="AF5" s="139">
        <f t="shared" si="4"/>
        <v>1000</v>
      </c>
      <c r="AG5" s="522">
        <f t="shared" si="5"/>
        <v>1027.7777777777778</v>
      </c>
      <c r="AH5" s="175"/>
      <c r="AI5" s="523">
        <f>MATCH($U5,'Tarieven W&amp;O'!$B:$B,0)</f>
        <v>37</v>
      </c>
      <c r="AJ5" s="204">
        <f>IF(AI5&lt;&gt;"nvt",INDEX('Tarieven W&amp;O'!$H:$H,$AI5),0)</f>
        <v>0</v>
      </c>
      <c r="AK5" s="204">
        <f>IF(AI5&lt;&gt;"nvt",INDEX('Tarieven W&amp;O'!$I:$I,$AI5),0)</f>
        <v>25</v>
      </c>
      <c r="AL5" s="524">
        <f>IF(AI5&lt;&gt;"nvt",-INDEX(Parameters!$B:$B,MATCH(AL$3,Parameters!$A:$A,0))*(AJ5+AK5),0)</f>
        <v>0</v>
      </c>
      <c r="AM5" s="525"/>
      <c r="AN5" s="139">
        <f t="shared" si="6"/>
        <v>25</v>
      </c>
      <c r="AO5" s="205">
        <f>AN5/INDEX(Parameters!$B:$B,MATCH("AfschrijftermijnVVE"&amp;12*$C5,Parameters!$A:$A,0))</f>
        <v>0.69444444444444442</v>
      </c>
      <c r="AP5" s="139">
        <f t="shared" si="7"/>
        <v>37</v>
      </c>
      <c r="AQ5" s="526">
        <f>IF(AP5&lt;&gt;"nvt",INDEX('Tarieven W&amp;O'!$G:$G,$AP5),0)</f>
        <v>16.55</v>
      </c>
      <c r="AR5" s="251">
        <f>IF($S5,INDEX('Tarieven W&amp;O'!$G:$G,MATCH(N5&amp;R5,'Tarieven W&amp;O'!$B:$B,0)),0)</f>
        <v>5.25</v>
      </c>
      <c r="AS5" s="205">
        <f>-INDEX(Parameters!$B:$B,MATCH(AS$3,Parameters!$A:$A,0))*(AQ5+AR5)</f>
        <v>0</v>
      </c>
      <c r="AT5" s="205">
        <f>INDEX(hulpblad!$E:$E,MATCH(M5&amp;Q5,hulpblad!$B:$B,0))</f>
        <v>1</v>
      </c>
      <c r="AU5" s="150">
        <f t="shared" si="8"/>
        <v>22.8</v>
      </c>
      <c r="AV5" s="150">
        <f t="shared" si="9"/>
        <v>23.494444444444444</v>
      </c>
      <c r="AX5" s="526">
        <f>Parameters!$B$6*AV5</f>
        <v>0.23494444444444443</v>
      </c>
      <c r="AY5" s="150">
        <v>0</v>
      </c>
      <c r="AZ5" s="150"/>
      <c r="BA5" s="150">
        <f t="shared" si="10"/>
        <v>0.23494444444444443</v>
      </c>
      <c r="BB5" s="150"/>
      <c r="BC5" s="522">
        <f t="shared" si="11"/>
        <v>23.729388888888888</v>
      </c>
      <c r="BD5" s="175"/>
      <c r="BE5" s="527">
        <f t="shared" si="12"/>
        <v>1004.0483888888889</v>
      </c>
      <c r="BF5" s="181">
        <f t="shared" si="13"/>
        <v>0.97691194594594588</v>
      </c>
      <c r="BG5" s="520" t="b">
        <f t="shared" si="14"/>
        <v>0</v>
      </c>
      <c r="BI5" s="528" t="s">
        <v>2181</v>
      </c>
      <c r="BL5" s="151" t="str">
        <f t="shared" si="15"/>
        <v>EoKMetro - Regionaal</v>
      </c>
      <c r="BM5" s="529">
        <v>0</v>
      </c>
      <c r="BN5" s="180">
        <f>BM5/INDEX(Parameters!$B:$B,MATCH("AfschrijftermijnVVE"&amp;12*$C5,Parameters!$A:$A,0))</f>
        <v>0</v>
      </c>
      <c r="BO5" s="184">
        <f>INDEX('inkoop ULL tbv EVPN'!I:I,MATCH(BL5,'inkoop ULL tbv EVPN'!H:H,0))</f>
        <v>2</v>
      </c>
      <c r="BP5" s="184">
        <f t="shared" si="16"/>
        <v>2</v>
      </c>
      <c r="BR5" s="180">
        <f>Parameters!$B$12*AG5</f>
        <v>102.77777777777779</v>
      </c>
      <c r="BS5" s="180">
        <f>SUM(Distributievergoedingen!$F$12,Distributievergoedingen!$I$12,Distributievergoedingen!$L$12,Distributievergoedingen!$O$12)*AF5+SUM(Distributievergoedingen!$O$12*AA5+Distributievergoedingen!$R$12+Distributievergoedingen!$U$12+Distributievergoedingen!$X$12)/(MAX(36,12*C5))</f>
        <v>112.77777777777777</v>
      </c>
      <c r="BT5" s="150"/>
      <c r="BU5" s="150">
        <f t="shared" si="17"/>
        <v>215.55555555555554</v>
      </c>
      <c r="BW5" s="522">
        <f t="shared" si="18"/>
        <v>217.55555555555554</v>
      </c>
      <c r="BY5" s="527">
        <f t="shared" si="19"/>
        <v>810.22222222222229</v>
      </c>
      <c r="BZ5" s="181">
        <f t="shared" si="20"/>
        <v>0.78832432432432431</v>
      </c>
      <c r="CA5" s="520" t="b">
        <f t="shared" si="21"/>
        <v>0</v>
      </c>
    </row>
    <row r="6" spans="1:79" s="151" customFormat="1">
      <c r="A6" s="151" t="str">
        <f t="shared" si="0"/>
        <v>1EoKEntryCity3</v>
      </c>
      <c r="B6" s="520" t="str">
        <f t="shared" ref="B6:B69" si="22">A6</f>
        <v>1EoKEntryCity3</v>
      </c>
      <c r="C6" s="179">
        <v>1</v>
      </c>
      <c r="D6" s="179" t="s">
        <v>303</v>
      </c>
      <c r="E6" s="178" t="s">
        <v>45</v>
      </c>
      <c r="F6" s="178" t="s">
        <v>262</v>
      </c>
      <c r="G6" s="185" t="s">
        <v>407</v>
      </c>
      <c r="J6" s="520" t="str">
        <f t="shared" si="1"/>
        <v>EntryCity3</v>
      </c>
      <c r="L6" s="204">
        <f>INDEX(Mapping!$H:$H,MATCH(C$3&amp;C6,Mapping!$B:$B,0))</f>
        <v>1</v>
      </c>
      <c r="M6" s="204" t="str">
        <f>INDEX(Mapping!$H:$H,MATCH(D$3&amp;$D6,Mapping!$B:$B,0))</f>
        <v>EoK</v>
      </c>
      <c r="N6" s="204" t="str">
        <f>INDEX(Mapping!$H:$H,MATCH(E$3&amp;E6,Mapping!$B:$B,0))</f>
        <v>Lite</v>
      </c>
      <c r="O6" s="204" t="str">
        <f>INDEX(Mapping!$H:$H,MATCH(F$3&amp;F6,Mapping!$B:$B,0))</f>
        <v>Metro</v>
      </c>
      <c r="P6" s="204">
        <f>INDEX(Mapping!$H:$H,MATCH(G$3&amp;G6,Mapping!$B:$B,0))</f>
        <v>3</v>
      </c>
      <c r="Q6" s="204" t="str">
        <f>INDEX(Mapping!$H:$H,MATCH(Q$3&amp;$F6,Mapping!$B:$B,0))</f>
        <v>Metro - Regionaal</v>
      </c>
      <c r="R6" s="204" t="str">
        <f>INDEX(Mapping!$H:$H,MATCH("ZM VPN Service Level"&amp;E6,Mapping!$B:$B,0))</f>
        <v>Advanced</v>
      </c>
      <c r="S6" s="139" t="b">
        <f>IF($D6="EoK",INDEX(Mapping!$I:$I,MATCH($G$3&amp;$G6,Mapping!B:B,0)),FALSE)</f>
        <v>0</v>
      </c>
      <c r="T6" s="139"/>
      <c r="U6" s="520" t="str">
        <f t="shared" si="2"/>
        <v>LiteMetro3</v>
      </c>
      <c r="W6" s="521">
        <f>MATCH($J6,'Tarieven ZM'!$B:$B,0)</f>
        <v>10</v>
      </c>
      <c r="X6" s="204">
        <f>INDEX('Tarieven ZM'!$H:$H,$W6)</f>
        <v>1000</v>
      </c>
      <c r="Y6" s="198">
        <f>-INDEX(Parameters!$B:$B,MATCH(Y$3&amp;$C6,Parameters!$A:$A,0))*$X6</f>
        <v>0</v>
      </c>
      <c r="Z6" s="198">
        <f>-INDEX(Parameters!$B:$B,MATCH(Z$3&amp;$C6,Parameters!$A:$A,0))*$X6</f>
        <v>0</v>
      </c>
      <c r="AA6" s="139">
        <f t="shared" si="3"/>
        <v>1000</v>
      </c>
      <c r="AB6" s="205">
        <f>AA6/INDEX(Parameters!$B:$B,MATCH("AfschrijftermijnVVE"&amp;12*$C6,Parameters!$A:$A,0))</f>
        <v>27.777777777777779</v>
      </c>
      <c r="AC6" s="204">
        <f>INDEX('Tarieven ZM'!$G:$G,$W6)</f>
        <v>1000</v>
      </c>
      <c r="AD6" s="198">
        <f>-INDEX(Parameters!$B:$B,MATCH(AD$3&amp;$C6,Parameters!$A:$A,0))*$AC6</f>
        <v>0</v>
      </c>
      <c r="AE6" s="198">
        <f>-INDEX(Parameters!$B:$B,MATCH(AE$3,Parameters!$A:$A,0))*$AC6</f>
        <v>0</v>
      </c>
      <c r="AF6" s="139">
        <f t="shared" si="4"/>
        <v>1000</v>
      </c>
      <c r="AG6" s="522">
        <f t="shared" si="5"/>
        <v>1027.7777777777778</v>
      </c>
      <c r="AH6" s="175"/>
      <c r="AI6" s="523">
        <f>MATCH($U6,'Tarieven W&amp;O'!$B:$B,0)</f>
        <v>38</v>
      </c>
      <c r="AJ6" s="204">
        <f>IF(AI6&lt;&gt;"nvt",INDEX('Tarieven W&amp;O'!$H:$H,$AI6),0)</f>
        <v>0</v>
      </c>
      <c r="AK6" s="204">
        <f>IF(AI6&lt;&gt;"nvt",INDEX('Tarieven W&amp;O'!$I:$I,$AI6),0)</f>
        <v>25</v>
      </c>
      <c r="AL6" s="524">
        <f>IF(AI6&lt;&gt;"nvt",-INDEX(Parameters!$B:$B,MATCH(AL$3,Parameters!$A:$A,0))*(AJ6+AK6),0)</f>
        <v>0</v>
      </c>
      <c r="AM6" s="525"/>
      <c r="AN6" s="139">
        <f t="shared" si="6"/>
        <v>25</v>
      </c>
      <c r="AO6" s="205">
        <f>AN6/INDEX(Parameters!$B:$B,MATCH("AfschrijftermijnVVE"&amp;12*$C6,Parameters!$A:$A,0))</f>
        <v>0.69444444444444442</v>
      </c>
      <c r="AP6" s="139">
        <f t="shared" si="7"/>
        <v>38</v>
      </c>
      <c r="AQ6" s="526">
        <f>IF(AP6&lt;&gt;"nvt",INDEX('Tarieven W&amp;O'!$G:$G,$AP6),0)</f>
        <v>18.47</v>
      </c>
      <c r="AR6" s="251">
        <f>IF($S6,INDEX('Tarieven W&amp;O'!$G:$G,MATCH(N6&amp;R6,'Tarieven W&amp;O'!$B:$B,0)),0)</f>
        <v>0</v>
      </c>
      <c r="AS6" s="205">
        <f>-INDEX(Parameters!$B:$B,MATCH(AS$3,Parameters!$A:$A,0))*(AQ6+AR6)</f>
        <v>0</v>
      </c>
      <c r="AT6" s="205">
        <f>INDEX(hulpblad!$E:$E,MATCH(M6&amp;Q6,hulpblad!$B:$B,0))</f>
        <v>1</v>
      </c>
      <c r="AU6" s="150">
        <f t="shared" si="8"/>
        <v>19.47</v>
      </c>
      <c r="AV6" s="150">
        <f t="shared" si="9"/>
        <v>20.164444444444442</v>
      </c>
      <c r="AX6" s="526">
        <f>Parameters!$B$6*AV6</f>
        <v>0.20164444444444443</v>
      </c>
      <c r="AY6" s="150">
        <v>0</v>
      </c>
      <c r="AZ6" s="150"/>
      <c r="BA6" s="150">
        <f t="shared" si="10"/>
        <v>0.20164444444444443</v>
      </c>
      <c r="BB6" s="150"/>
      <c r="BC6" s="522">
        <f t="shared" si="11"/>
        <v>20.366088888888886</v>
      </c>
      <c r="BD6" s="175"/>
      <c r="BE6" s="527">
        <f t="shared" si="12"/>
        <v>1007.411688888889</v>
      </c>
      <c r="BF6" s="181">
        <f t="shared" si="13"/>
        <v>0.98018434594594595</v>
      </c>
      <c r="BG6" s="520" t="b">
        <f t="shared" si="14"/>
        <v>0</v>
      </c>
      <c r="BI6" s="528" t="s">
        <v>2181</v>
      </c>
      <c r="BL6" s="151" t="str">
        <f t="shared" si="15"/>
        <v>EoKMetro - Regionaal</v>
      </c>
      <c r="BM6" s="529">
        <v>0</v>
      </c>
      <c r="BN6" s="180">
        <f>BM6/INDEX(Parameters!$B:$B,MATCH("AfschrijftermijnVVE"&amp;12*$C6,Parameters!$A:$A,0))</f>
        <v>0</v>
      </c>
      <c r="BO6" s="184">
        <f>INDEX('inkoop ULL tbv EVPN'!I:I,MATCH(BL6,'inkoop ULL tbv EVPN'!H:H,0))</f>
        <v>2</v>
      </c>
      <c r="BP6" s="184">
        <f t="shared" si="16"/>
        <v>2</v>
      </c>
      <c r="BR6" s="180">
        <f>Parameters!$B$12*AG6</f>
        <v>102.77777777777779</v>
      </c>
      <c r="BS6" s="180">
        <f>SUM(Distributievergoedingen!$F$12,Distributievergoedingen!$I$12,Distributievergoedingen!$L$12,Distributievergoedingen!$O$12)*AF6+SUM(Distributievergoedingen!$O$12*AA6+Distributievergoedingen!$R$12+Distributievergoedingen!$U$12+Distributievergoedingen!$X$12)/(MAX(36,12*C6))</f>
        <v>112.77777777777777</v>
      </c>
      <c r="BT6" s="150"/>
      <c r="BU6" s="150">
        <f t="shared" si="17"/>
        <v>215.55555555555554</v>
      </c>
      <c r="BW6" s="522">
        <f t="shared" si="18"/>
        <v>217.55555555555554</v>
      </c>
      <c r="BY6" s="527">
        <f t="shared" si="19"/>
        <v>810.22222222222229</v>
      </c>
      <c r="BZ6" s="181">
        <f t="shared" si="20"/>
        <v>0.78832432432432431</v>
      </c>
      <c r="CA6" s="520" t="b">
        <f t="shared" si="21"/>
        <v>0</v>
      </c>
    </row>
    <row r="7" spans="1:79" s="151" customFormat="1">
      <c r="A7" s="151" t="str">
        <f t="shared" si="0"/>
        <v>1EoKEntryCity4</v>
      </c>
      <c r="B7" s="520" t="str">
        <f t="shared" si="22"/>
        <v>1EoKEntryCity4</v>
      </c>
      <c r="C7" s="179">
        <v>1</v>
      </c>
      <c r="D7" s="179" t="s">
        <v>303</v>
      </c>
      <c r="E7" s="178" t="s">
        <v>45</v>
      </c>
      <c r="F7" s="178" t="s">
        <v>262</v>
      </c>
      <c r="G7" s="185" t="s">
        <v>408</v>
      </c>
      <c r="J7" s="520" t="str">
        <f t="shared" si="1"/>
        <v>EntryCity4</v>
      </c>
      <c r="L7" s="204">
        <f>INDEX(Mapping!$H:$H,MATCH(C$3&amp;C7,Mapping!$B:$B,0))</f>
        <v>1</v>
      </c>
      <c r="M7" s="204" t="str">
        <f>INDEX(Mapping!$H:$H,MATCH(D$3&amp;$D7,Mapping!$B:$B,0))</f>
        <v>EoK</v>
      </c>
      <c r="N7" s="204" t="str">
        <f>INDEX(Mapping!$H:$H,MATCH(E$3&amp;E7,Mapping!$B:$B,0))</f>
        <v>Lite</v>
      </c>
      <c r="O7" s="204" t="str">
        <f>INDEX(Mapping!$H:$H,MATCH(F$3&amp;F7,Mapping!$B:$B,0))</f>
        <v>Metro</v>
      </c>
      <c r="P7" s="204">
        <f>INDEX(Mapping!$H:$H,MATCH(G$3&amp;G7,Mapping!$B:$B,0))</f>
        <v>4</v>
      </c>
      <c r="Q7" s="204" t="str">
        <f>INDEX(Mapping!$H:$H,MATCH(Q$3&amp;$F7,Mapping!$B:$B,0))</f>
        <v>Metro - Regionaal</v>
      </c>
      <c r="R7" s="204" t="str">
        <f>INDEX(Mapping!$H:$H,MATCH("ZM VPN Service Level"&amp;E7,Mapping!$B:$B,0))</f>
        <v>Advanced</v>
      </c>
      <c r="S7" s="139" t="b">
        <f>IF($D7="EoK",INDEX(Mapping!$I:$I,MATCH($G$3&amp;$G7,Mapping!B:B,0)),FALSE)</f>
        <v>0</v>
      </c>
      <c r="T7" s="139"/>
      <c r="U7" s="520" t="str">
        <f t="shared" si="2"/>
        <v>LiteMetro4</v>
      </c>
      <c r="W7" s="521">
        <f>MATCH($J7,'Tarieven ZM'!$B:$B,0)</f>
        <v>11</v>
      </c>
      <c r="X7" s="204">
        <f>INDEX('Tarieven ZM'!$H:$H,$W7)</f>
        <v>1000</v>
      </c>
      <c r="Y7" s="198">
        <f>-INDEX(Parameters!$B:$B,MATCH(Y$3&amp;$C7,Parameters!$A:$A,0))*$X7</f>
        <v>0</v>
      </c>
      <c r="Z7" s="198">
        <f>-INDEX(Parameters!$B:$B,MATCH(Z$3&amp;$C7,Parameters!$A:$A,0))*$X7</f>
        <v>0</v>
      </c>
      <c r="AA7" s="139">
        <f t="shared" si="3"/>
        <v>1000</v>
      </c>
      <c r="AB7" s="205">
        <f>AA7/INDEX(Parameters!$B:$B,MATCH("AfschrijftermijnVVE"&amp;12*$C7,Parameters!$A:$A,0))</f>
        <v>27.777777777777779</v>
      </c>
      <c r="AC7" s="204">
        <f>INDEX('Tarieven ZM'!$G:$G,$W7)</f>
        <v>1000</v>
      </c>
      <c r="AD7" s="198">
        <f>-INDEX(Parameters!$B:$B,MATCH(AD$3&amp;$C7,Parameters!$A:$A,0))*$AC7</f>
        <v>0</v>
      </c>
      <c r="AE7" s="198">
        <f>-INDEX(Parameters!$B:$B,MATCH(AE$3,Parameters!$A:$A,0))*$AC7</f>
        <v>0</v>
      </c>
      <c r="AF7" s="139">
        <f t="shared" si="4"/>
        <v>1000</v>
      </c>
      <c r="AG7" s="522">
        <f t="shared" si="5"/>
        <v>1027.7777777777778</v>
      </c>
      <c r="AH7" s="175"/>
      <c r="AI7" s="523">
        <f>MATCH($U7,'Tarieven W&amp;O'!$B:$B,0)</f>
        <v>39</v>
      </c>
      <c r="AJ7" s="204">
        <f>IF(AI7&lt;&gt;"nvt",INDEX('Tarieven W&amp;O'!$H:$H,$AI7),0)</f>
        <v>0</v>
      </c>
      <c r="AK7" s="204">
        <f>IF(AI7&lt;&gt;"nvt",INDEX('Tarieven W&amp;O'!$I:$I,$AI7),0)</f>
        <v>25</v>
      </c>
      <c r="AL7" s="524">
        <f>IF(AI7&lt;&gt;"nvt",-INDEX(Parameters!$B:$B,MATCH(AL$3,Parameters!$A:$A,0))*(AJ7+AK7),0)</f>
        <v>0</v>
      </c>
      <c r="AM7" s="525"/>
      <c r="AN7" s="139">
        <f t="shared" si="6"/>
        <v>25</v>
      </c>
      <c r="AO7" s="205">
        <f>AN7/INDEX(Parameters!$B:$B,MATCH("AfschrijftermijnVVE"&amp;12*$C7,Parameters!$A:$A,0))</f>
        <v>0.69444444444444442</v>
      </c>
      <c r="AP7" s="139">
        <f t="shared" si="7"/>
        <v>39</v>
      </c>
      <c r="AQ7" s="526">
        <f>IF(AP7&lt;&gt;"nvt",INDEX('Tarieven W&amp;O'!$G:$G,$AP7),0)</f>
        <v>18.47</v>
      </c>
      <c r="AR7" s="251">
        <f>IF($S7,INDEX('Tarieven W&amp;O'!$G:$G,MATCH(N7&amp;R7,'Tarieven W&amp;O'!$B:$B,0)),0)</f>
        <v>0</v>
      </c>
      <c r="AS7" s="205">
        <f>-INDEX(Parameters!$B:$B,MATCH(AS$3,Parameters!$A:$A,0))*(AQ7+AR7)</f>
        <v>0</v>
      </c>
      <c r="AT7" s="205">
        <f>INDEX(hulpblad!$E:$E,MATCH(M7&amp;Q7,hulpblad!$B:$B,0))</f>
        <v>1</v>
      </c>
      <c r="AU7" s="150">
        <f t="shared" si="8"/>
        <v>19.47</v>
      </c>
      <c r="AV7" s="150">
        <f t="shared" si="9"/>
        <v>20.164444444444442</v>
      </c>
      <c r="AX7" s="526">
        <f>Parameters!$B$6*AV7</f>
        <v>0.20164444444444443</v>
      </c>
      <c r="AY7" s="150">
        <v>0</v>
      </c>
      <c r="AZ7" s="150"/>
      <c r="BA7" s="150">
        <f t="shared" si="10"/>
        <v>0.20164444444444443</v>
      </c>
      <c r="BB7" s="150"/>
      <c r="BC7" s="522">
        <f t="shared" si="11"/>
        <v>20.366088888888886</v>
      </c>
      <c r="BD7" s="175"/>
      <c r="BE7" s="527">
        <f t="shared" si="12"/>
        <v>1007.411688888889</v>
      </c>
      <c r="BF7" s="181">
        <f t="shared" si="13"/>
        <v>0.98018434594594595</v>
      </c>
      <c r="BG7" s="520" t="b">
        <f t="shared" si="14"/>
        <v>0</v>
      </c>
      <c r="BI7" s="528" t="s">
        <v>2181</v>
      </c>
      <c r="BL7" s="151" t="str">
        <f t="shared" si="15"/>
        <v>EoKMetro - Regionaal</v>
      </c>
      <c r="BM7" s="529">
        <v>0</v>
      </c>
      <c r="BN7" s="180">
        <f>BM7/INDEX(Parameters!$B:$B,MATCH("AfschrijftermijnVVE"&amp;12*$C7,Parameters!$A:$A,0))</f>
        <v>0</v>
      </c>
      <c r="BO7" s="184">
        <f>INDEX('inkoop ULL tbv EVPN'!I:I,MATCH(BL7,'inkoop ULL tbv EVPN'!H:H,0))</f>
        <v>2</v>
      </c>
      <c r="BP7" s="184">
        <f t="shared" si="16"/>
        <v>2</v>
      </c>
      <c r="BR7" s="180">
        <f>Parameters!$B$12*AG7</f>
        <v>102.77777777777779</v>
      </c>
      <c r="BS7" s="180">
        <f>SUM(Distributievergoedingen!$F$12,Distributievergoedingen!$I$12,Distributievergoedingen!$L$12,Distributievergoedingen!$O$12)*AF7+SUM(Distributievergoedingen!$O$12*AA7+Distributievergoedingen!$R$12+Distributievergoedingen!$U$12+Distributievergoedingen!$X$12)/(MAX(36,12*C7))</f>
        <v>112.77777777777777</v>
      </c>
      <c r="BT7" s="150"/>
      <c r="BU7" s="150">
        <f t="shared" si="17"/>
        <v>215.55555555555554</v>
      </c>
      <c r="BW7" s="522">
        <f t="shared" si="18"/>
        <v>217.55555555555554</v>
      </c>
      <c r="BY7" s="527">
        <f t="shared" si="19"/>
        <v>810.22222222222229</v>
      </c>
      <c r="BZ7" s="181">
        <f t="shared" si="20"/>
        <v>0.78832432432432431</v>
      </c>
      <c r="CA7" s="520" t="b">
        <f t="shared" si="21"/>
        <v>0</v>
      </c>
    </row>
    <row r="8" spans="1:79" s="151" customFormat="1">
      <c r="A8" s="151" t="str">
        <f t="shared" si="0"/>
        <v>1EoKEntryCity5</v>
      </c>
      <c r="B8" s="520" t="str">
        <f t="shared" si="22"/>
        <v>1EoKEntryCity5</v>
      </c>
      <c r="C8" s="179">
        <v>1</v>
      </c>
      <c r="D8" s="179" t="s">
        <v>303</v>
      </c>
      <c r="E8" s="178" t="s">
        <v>45</v>
      </c>
      <c r="F8" s="178" t="s">
        <v>262</v>
      </c>
      <c r="G8" s="185" t="s">
        <v>409</v>
      </c>
      <c r="J8" s="520" t="str">
        <f t="shared" si="1"/>
        <v>EntryCity5</v>
      </c>
      <c r="L8" s="204">
        <f>INDEX(Mapping!$H:$H,MATCH(C$3&amp;C8,Mapping!$B:$B,0))</f>
        <v>1</v>
      </c>
      <c r="M8" s="204" t="str">
        <f>INDEX(Mapping!$H:$H,MATCH(D$3&amp;$D8,Mapping!$B:$B,0))</f>
        <v>EoK</v>
      </c>
      <c r="N8" s="204" t="str">
        <f>INDEX(Mapping!$H:$H,MATCH(E$3&amp;E8,Mapping!$B:$B,0))</f>
        <v>Lite</v>
      </c>
      <c r="O8" s="204" t="str">
        <f>INDEX(Mapping!$H:$H,MATCH(F$3&amp;F8,Mapping!$B:$B,0))</f>
        <v>Metro</v>
      </c>
      <c r="P8" s="204">
        <f>INDEX(Mapping!$H:$H,MATCH(G$3&amp;G8,Mapping!$B:$B,0))</f>
        <v>5</v>
      </c>
      <c r="Q8" s="204" t="str">
        <f>INDEX(Mapping!$H:$H,MATCH(Q$3&amp;$F8,Mapping!$B:$B,0))</f>
        <v>Metro - Regionaal</v>
      </c>
      <c r="R8" s="204" t="str">
        <f>INDEX(Mapping!$H:$H,MATCH("ZM VPN Service Level"&amp;E8,Mapping!$B:$B,0))</f>
        <v>Advanced</v>
      </c>
      <c r="S8" s="139" t="b">
        <f>IF($D8="EoK",INDEX(Mapping!$I:$I,MATCH($G$3&amp;$G8,Mapping!B:B,0)),FALSE)</f>
        <v>0</v>
      </c>
      <c r="T8" s="139"/>
      <c r="U8" s="520" t="str">
        <f t="shared" si="2"/>
        <v>LiteMetro5</v>
      </c>
      <c r="W8" s="521">
        <f>MATCH($J8,'Tarieven ZM'!$B:$B,0)</f>
        <v>12</v>
      </c>
      <c r="X8" s="204">
        <f>INDEX('Tarieven ZM'!$H:$H,$W8)</f>
        <v>1000</v>
      </c>
      <c r="Y8" s="198">
        <f>-INDEX(Parameters!$B:$B,MATCH(Y$3&amp;$C8,Parameters!$A:$A,0))*$X8</f>
        <v>0</v>
      </c>
      <c r="Z8" s="198">
        <f>-INDEX(Parameters!$B:$B,MATCH(Z$3&amp;$C8,Parameters!$A:$A,0))*$X8</f>
        <v>0</v>
      </c>
      <c r="AA8" s="139">
        <f t="shared" si="3"/>
        <v>1000</v>
      </c>
      <c r="AB8" s="205">
        <f>AA8/INDEX(Parameters!$B:$B,MATCH("AfschrijftermijnVVE"&amp;12*$C8,Parameters!$A:$A,0))</f>
        <v>27.777777777777779</v>
      </c>
      <c r="AC8" s="204">
        <f>INDEX('Tarieven ZM'!$G:$G,$W8)</f>
        <v>1000</v>
      </c>
      <c r="AD8" s="198">
        <f>-INDEX(Parameters!$B:$B,MATCH(AD$3&amp;$C8,Parameters!$A:$A,0))*$AC8</f>
        <v>0</v>
      </c>
      <c r="AE8" s="198">
        <f>-INDEX(Parameters!$B:$B,MATCH(AE$3,Parameters!$A:$A,0))*$AC8</f>
        <v>0</v>
      </c>
      <c r="AF8" s="139">
        <f t="shared" si="4"/>
        <v>1000</v>
      </c>
      <c r="AG8" s="522">
        <f t="shared" si="5"/>
        <v>1027.7777777777778</v>
      </c>
      <c r="AH8" s="175"/>
      <c r="AI8" s="523">
        <f>MATCH($U8,'Tarieven W&amp;O'!$B:$B,0)</f>
        <v>40</v>
      </c>
      <c r="AJ8" s="204">
        <f>IF(AI8&lt;&gt;"nvt",INDEX('Tarieven W&amp;O'!$H:$H,$AI8),0)</f>
        <v>0</v>
      </c>
      <c r="AK8" s="204">
        <f>IF(AI8&lt;&gt;"nvt",INDEX('Tarieven W&amp;O'!$I:$I,$AI8),0)</f>
        <v>25</v>
      </c>
      <c r="AL8" s="524">
        <f>IF(AI8&lt;&gt;"nvt",-INDEX(Parameters!$B:$B,MATCH(AL$3,Parameters!$A:$A,0))*(AJ8+AK8),0)</f>
        <v>0</v>
      </c>
      <c r="AM8" s="525"/>
      <c r="AN8" s="139">
        <f t="shared" si="6"/>
        <v>25</v>
      </c>
      <c r="AO8" s="205">
        <f>AN8/INDEX(Parameters!$B:$B,MATCH("AfschrijftermijnVVE"&amp;12*$C8,Parameters!$A:$A,0))</f>
        <v>0.69444444444444442</v>
      </c>
      <c r="AP8" s="139">
        <f t="shared" si="7"/>
        <v>40</v>
      </c>
      <c r="AQ8" s="526">
        <f>IF(AP8&lt;&gt;"nvt",INDEX('Tarieven W&amp;O'!$G:$G,$AP8),0)</f>
        <v>18.47</v>
      </c>
      <c r="AR8" s="251">
        <f>IF($S8,INDEX('Tarieven W&amp;O'!$G:$G,MATCH(N8&amp;R8,'Tarieven W&amp;O'!$B:$B,0)),0)</f>
        <v>0</v>
      </c>
      <c r="AS8" s="205">
        <f>-INDEX(Parameters!$B:$B,MATCH(AS$3,Parameters!$A:$A,0))*(AQ8+AR8)</f>
        <v>0</v>
      </c>
      <c r="AT8" s="205">
        <f>INDEX(hulpblad!$E:$E,MATCH(M8&amp;Q8,hulpblad!$B:$B,0))</f>
        <v>1</v>
      </c>
      <c r="AU8" s="150">
        <f t="shared" si="8"/>
        <v>19.47</v>
      </c>
      <c r="AV8" s="150">
        <f t="shared" si="9"/>
        <v>20.164444444444442</v>
      </c>
      <c r="AX8" s="526">
        <f>Parameters!$B$6*AV8</f>
        <v>0.20164444444444443</v>
      </c>
      <c r="AY8" s="150">
        <v>0</v>
      </c>
      <c r="AZ8" s="150"/>
      <c r="BA8" s="150">
        <f t="shared" si="10"/>
        <v>0.20164444444444443</v>
      </c>
      <c r="BB8" s="150"/>
      <c r="BC8" s="522">
        <f t="shared" si="11"/>
        <v>20.366088888888886</v>
      </c>
      <c r="BD8" s="175"/>
      <c r="BE8" s="527">
        <f t="shared" si="12"/>
        <v>1007.411688888889</v>
      </c>
      <c r="BF8" s="181">
        <f t="shared" si="13"/>
        <v>0.98018434594594595</v>
      </c>
      <c r="BG8" s="520" t="b">
        <f t="shared" si="14"/>
        <v>0</v>
      </c>
      <c r="BI8" s="528" t="s">
        <v>2181</v>
      </c>
      <c r="BL8" s="151" t="str">
        <f t="shared" si="15"/>
        <v>EoKMetro - Regionaal</v>
      </c>
      <c r="BM8" s="529">
        <v>0</v>
      </c>
      <c r="BN8" s="180">
        <f>BM8/INDEX(Parameters!$B:$B,MATCH("AfschrijftermijnVVE"&amp;12*$C8,Parameters!$A:$A,0))</f>
        <v>0</v>
      </c>
      <c r="BO8" s="184">
        <f>INDEX('inkoop ULL tbv EVPN'!I:I,MATCH(BL8,'inkoop ULL tbv EVPN'!H:H,0))</f>
        <v>2</v>
      </c>
      <c r="BP8" s="184">
        <f t="shared" si="16"/>
        <v>2</v>
      </c>
      <c r="BR8" s="180">
        <f>Parameters!$B$12*AG8</f>
        <v>102.77777777777779</v>
      </c>
      <c r="BS8" s="180">
        <f>SUM(Distributievergoedingen!$F$12,Distributievergoedingen!$I$12,Distributievergoedingen!$L$12,Distributievergoedingen!$O$12)*AF8+SUM(Distributievergoedingen!$O$12*AA8+Distributievergoedingen!$R$12+Distributievergoedingen!$U$12+Distributievergoedingen!$X$12)/(MAX(36,12*C8))</f>
        <v>112.77777777777777</v>
      </c>
      <c r="BT8" s="150"/>
      <c r="BU8" s="150">
        <f t="shared" si="17"/>
        <v>215.55555555555554</v>
      </c>
      <c r="BW8" s="522">
        <f t="shared" si="18"/>
        <v>217.55555555555554</v>
      </c>
      <c r="BY8" s="527">
        <f t="shared" si="19"/>
        <v>810.22222222222229</v>
      </c>
      <c r="BZ8" s="181">
        <f t="shared" si="20"/>
        <v>0.78832432432432431</v>
      </c>
      <c r="CA8" s="520" t="b">
        <f t="shared" si="21"/>
        <v>0</v>
      </c>
    </row>
    <row r="9" spans="1:79" s="151" customFormat="1">
      <c r="A9" s="151" t="str">
        <f t="shared" si="0"/>
        <v>1EoKEntryCity6</v>
      </c>
      <c r="B9" s="520" t="str">
        <f t="shared" si="22"/>
        <v>1EoKEntryCity6</v>
      </c>
      <c r="C9" s="179">
        <v>1</v>
      </c>
      <c r="D9" s="179" t="s">
        <v>303</v>
      </c>
      <c r="E9" s="178" t="s">
        <v>45</v>
      </c>
      <c r="F9" s="178" t="s">
        <v>262</v>
      </c>
      <c r="G9" s="185" t="s">
        <v>410</v>
      </c>
      <c r="J9" s="520" t="str">
        <f t="shared" si="1"/>
        <v>EntryCity6</v>
      </c>
      <c r="L9" s="204">
        <f>INDEX(Mapping!$H:$H,MATCH(C$3&amp;C9,Mapping!$B:$B,0))</f>
        <v>1</v>
      </c>
      <c r="M9" s="204" t="str">
        <f>INDEX(Mapping!$H:$H,MATCH(D$3&amp;$D9,Mapping!$B:$B,0))</f>
        <v>EoK</v>
      </c>
      <c r="N9" s="204" t="str">
        <f>INDEX(Mapping!$H:$H,MATCH(E$3&amp;E9,Mapping!$B:$B,0))</f>
        <v>Lite</v>
      </c>
      <c r="O9" s="204" t="str">
        <f>INDEX(Mapping!$H:$H,MATCH(F$3&amp;F9,Mapping!$B:$B,0))</f>
        <v>Metro</v>
      </c>
      <c r="P9" s="204">
        <f>INDEX(Mapping!$H:$H,MATCH(G$3&amp;G9,Mapping!$B:$B,0))</f>
        <v>6</v>
      </c>
      <c r="Q9" s="204" t="str">
        <f>INDEX(Mapping!$H:$H,MATCH(Q$3&amp;$F9,Mapping!$B:$B,0))</f>
        <v>Metro - Regionaal</v>
      </c>
      <c r="R9" s="204" t="str">
        <f>INDEX(Mapping!$H:$H,MATCH("ZM VPN Service Level"&amp;E9,Mapping!$B:$B,0))</f>
        <v>Advanced</v>
      </c>
      <c r="S9" s="139" t="b">
        <f>IF($D9="EoK",INDEX(Mapping!$I:$I,MATCH($G$3&amp;$G9,Mapping!B:B,0)),FALSE)</f>
        <v>0</v>
      </c>
      <c r="T9" s="139"/>
      <c r="U9" s="520" t="str">
        <f t="shared" si="2"/>
        <v>LiteMetro6</v>
      </c>
      <c r="W9" s="521">
        <f>MATCH($J9,'Tarieven ZM'!$B:$B,0)</f>
        <v>13</v>
      </c>
      <c r="X9" s="204">
        <f>INDEX('Tarieven ZM'!$H:$H,$W9)</f>
        <v>1000</v>
      </c>
      <c r="Y9" s="198">
        <f>-INDEX(Parameters!$B:$B,MATCH(Y$3&amp;$C9,Parameters!$A:$A,0))*$X9</f>
        <v>0</v>
      </c>
      <c r="Z9" s="198">
        <f>-INDEX(Parameters!$B:$B,MATCH(Z$3&amp;$C9,Parameters!$A:$A,0))*$X9</f>
        <v>0</v>
      </c>
      <c r="AA9" s="139">
        <f t="shared" si="3"/>
        <v>1000</v>
      </c>
      <c r="AB9" s="205">
        <f>AA9/INDEX(Parameters!$B:$B,MATCH("AfschrijftermijnVVE"&amp;12*$C9,Parameters!$A:$A,0))</f>
        <v>27.777777777777779</v>
      </c>
      <c r="AC9" s="204">
        <f>INDEX('Tarieven ZM'!$G:$G,$W9)</f>
        <v>1000</v>
      </c>
      <c r="AD9" s="198">
        <f>-INDEX(Parameters!$B:$B,MATCH(AD$3&amp;$C9,Parameters!$A:$A,0))*$AC9</f>
        <v>0</v>
      </c>
      <c r="AE9" s="198">
        <f>-INDEX(Parameters!$B:$B,MATCH(AE$3,Parameters!$A:$A,0))*$AC9</f>
        <v>0</v>
      </c>
      <c r="AF9" s="139">
        <f t="shared" si="4"/>
        <v>1000</v>
      </c>
      <c r="AG9" s="522">
        <f t="shared" si="5"/>
        <v>1027.7777777777778</v>
      </c>
      <c r="AH9" s="175"/>
      <c r="AI9" s="523">
        <f>MATCH($U9,'Tarieven W&amp;O'!$B:$B,0)</f>
        <v>41</v>
      </c>
      <c r="AJ9" s="204">
        <f>IF(AI9&lt;&gt;"nvt",INDEX('Tarieven W&amp;O'!$H:$H,$AI9),0)</f>
        <v>0</v>
      </c>
      <c r="AK9" s="204">
        <f>IF(AI9&lt;&gt;"nvt",INDEX('Tarieven W&amp;O'!$I:$I,$AI9),0)</f>
        <v>25</v>
      </c>
      <c r="AL9" s="524">
        <f>IF(AI9&lt;&gt;"nvt",-INDEX(Parameters!$B:$B,MATCH(AL$3,Parameters!$A:$A,0))*(AJ9+AK9),0)</f>
        <v>0</v>
      </c>
      <c r="AM9" s="525"/>
      <c r="AN9" s="139">
        <f t="shared" si="6"/>
        <v>25</v>
      </c>
      <c r="AO9" s="205">
        <f>AN9/INDEX(Parameters!$B:$B,MATCH("AfschrijftermijnVVE"&amp;12*$C9,Parameters!$A:$A,0))</f>
        <v>0.69444444444444442</v>
      </c>
      <c r="AP9" s="139">
        <f t="shared" si="7"/>
        <v>41</v>
      </c>
      <c r="AQ9" s="526">
        <f>IF(AP9&lt;&gt;"nvt",INDEX('Tarieven W&amp;O'!$G:$G,$AP9),0)</f>
        <v>18.47</v>
      </c>
      <c r="AR9" s="251">
        <f>IF($S9,INDEX('Tarieven W&amp;O'!$G:$G,MATCH(N9&amp;R9,'Tarieven W&amp;O'!$B:$B,0)),0)</f>
        <v>0</v>
      </c>
      <c r="AS9" s="205">
        <f>-INDEX(Parameters!$B:$B,MATCH(AS$3,Parameters!$A:$A,0))*(AQ9+AR9)</f>
        <v>0</v>
      </c>
      <c r="AT9" s="205">
        <f>INDEX(hulpblad!$E:$E,MATCH(M9&amp;Q9,hulpblad!$B:$B,0))</f>
        <v>1</v>
      </c>
      <c r="AU9" s="150">
        <f t="shared" si="8"/>
        <v>19.47</v>
      </c>
      <c r="AV9" s="150">
        <f t="shared" si="9"/>
        <v>20.164444444444442</v>
      </c>
      <c r="AX9" s="526">
        <f>Parameters!$B$6*AV9</f>
        <v>0.20164444444444443</v>
      </c>
      <c r="AY9" s="150">
        <v>0</v>
      </c>
      <c r="AZ9" s="150"/>
      <c r="BA9" s="150">
        <f t="shared" si="10"/>
        <v>0.20164444444444443</v>
      </c>
      <c r="BB9" s="150"/>
      <c r="BC9" s="522">
        <f t="shared" si="11"/>
        <v>20.366088888888886</v>
      </c>
      <c r="BD9" s="175"/>
      <c r="BE9" s="527">
        <f t="shared" si="12"/>
        <v>1007.411688888889</v>
      </c>
      <c r="BF9" s="181">
        <f t="shared" si="13"/>
        <v>0.98018434594594595</v>
      </c>
      <c r="BG9" s="520" t="b">
        <f t="shared" si="14"/>
        <v>0</v>
      </c>
      <c r="BI9" s="528" t="s">
        <v>2181</v>
      </c>
      <c r="BL9" s="151" t="str">
        <f t="shared" si="15"/>
        <v>EoKMetro - Regionaal</v>
      </c>
      <c r="BM9" s="529">
        <v>0</v>
      </c>
      <c r="BN9" s="180">
        <f>BM9/INDEX(Parameters!$B:$B,MATCH("AfschrijftermijnVVE"&amp;12*$C9,Parameters!$A:$A,0))</f>
        <v>0</v>
      </c>
      <c r="BO9" s="184">
        <f>INDEX('inkoop ULL tbv EVPN'!I:I,MATCH(BL9,'inkoop ULL tbv EVPN'!H:H,0))</f>
        <v>2</v>
      </c>
      <c r="BP9" s="184">
        <f t="shared" si="16"/>
        <v>2</v>
      </c>
      <c r="BR9" s="180">
        <f>Parameters!$B$12*AG9</f>
        <v>102.77777777777779</v>
      </c>
      <c r="BS9" s="180">
        <f>SUM(Distributievergoedingen!$F$12,Distributievergoedingen!$I$12,Distributievergoedingen!$L$12,Distributievergoedingen!$O$12)*AF9+SUM(Distributievergoedingen!$O$12*AA9+Distributievergoedingen!$R$12+Distributievergoedingen!$U$12+Distributievergoedingen!$X$12)/(MAX(36,12*C9))</f>
        <v>112.77777777777777</v>
      </c>
      <c r="BT9" s="150"/>
      <c r="BU9" s="150">
        <f t="shared" si="17"/>
        <v>215.55555555555554</v>
      </c>
      <c r="BW9" s="522">
        <f t="shared" si="18"/>
        <v>217.55555555555554</v>
      </c>
      <c r="BY9" s="527">
        <f t="shared" si="19"/>
        <v>810.22222222222229</v>
      </c>
      <c r="BZ9" s="181">
        <f t="shared" si="20"/>
        <v>0.78832432432432431</v>
      </c>
      <c r="CA9" s="520" t="b">
        <f t="shared" si="21"/>
        <v>0</v>
      </c>
    </row>
    <row r="10" spans="1:79" s="151" customFormat="1">
      <c r="A10" s="151" t="str">
        <f t="shared" si="0"/>
        <v>1EoKEntryCity8</v>
      </c>
      <c r="B10" s="520" t="str">
        <f t="shared" si="22"/>
        <v>1EoKEntryCity8</v>
      </c>
      <c r="C10" s="179">
        <v>1</v>
      </c>
      <c r="D10" s="179" t="s">
        <v>303</v>
      </c>
      <c r="E10" s="178" t="s">
        <v>45</v>
      </c>
      <c r="F10" s="178" t="s">
        <v>262</v>
      </c>
      <c r="G10" s="185" t="s">
        <v>411</v>
      </c>
      <c r="J10" s="520" t="str">
        <f t="shared" ref="J10:J73" si="23">E10&amp;F10&amp;G10&amp;H10</f>
        <v>EntryCity8</v>
      </c>
      <c r="L10" s="204">
        <f>INDEX(Mapping!$H:$H,MATCH(C$3&amp;C10,Mapping!$B:$B,0))</f>
        <v>1</v>
      </c>
      <c r="M10" s="204" t="str">
        <f>INDEX(Mapping!$H:$H,MATCH(D$3&amp;$D10,Mapping!$B:$B,0))</f>
        <v>EoK</v>
      </c>
      <c r="N10" s="204" t="str">
        <f>INDEX(Mapping!$H:$H,MATCH(E$3&amp;E10,Mapping!$B:$B,0))</f>
        <v>Lite</v>
      </c>
      <c r="O10" s="204" t="str">
        <f>INDEX(Mapping!$H:$H,MATCH(F$3&amp;F10,Mapping!$B:$B,0))</f>
        <v>Metro</v>
      </c>
      <c r="P10" s="204">
        <f>INDEX(Mapping!$H:$H,MATCH(G$3&amp;G10,Mapping!$B:$B,0))</f>
        <v>8</v>
      </c>
      <c r="Q10" s="204" t="str">
        <f>INDEX(Mapping!$H:$H,MATCH(Q$3&amp;$F10,Mapping!$B:$B,0))</f>
        <v>Metro - Regionaal</v>
      </c>
      <c r="R10" s="204" t="str">
        <f>INDEX(Mapping!$H:$H,MATCH("ZM VPN Service Level"&amp;E10,Mapping!$B:$B,0))</f>
        <v>Advanced</v>
      </c>
      <c r="S10" s="139" t="b">
        <f>IF($D10="EoK",INDEX(Mapping!$I:$I,MATCH($G$3&amp;$G10,Mapping!B:B,0)),FALSE)</f>
        <v>0</v>
      </c>
      <c r="T10" s="139"/>
      <c r="U10" s="520" t="str">
        <f t="shared" ref="U10:U73" si="24">N10&amp;O10&amp;P10</f>
        <v>LiteMetro8</v>
      </c>
      <c r="W10" s="521">
        <f>MATCH($J10,'Tarieven ZM'!$B:$B,0)</f>
        <v>14</v>
      </c>
      <c r="X10" s="204">
        <f>INDEX('Tarieven ZM'!$H:$H,$W10)</f>
        <v>1000</v>
      </c>
      <c r="Y10" s="198">
        <f>-INDEX(Parameters!$B:$B,MATCH(Y$3&amp;$C10,Parameters!$A:$A,0))*$X10</f>
        <v>0</v>
      </c>
      <c r="Z10" s="198">
        <f>-INDEX(Parameters!$B:$B,MATCH(Z$3&amp;$C10,Parameters!$A:$A,0))*$X10</f>
        <v>0</v>
      </c>
      <c r="AA10" s="139">
        <f t="shared" si="3"/>
        <v>1000</v>
      </c>
      <c r="AB10" s="205">
        <f>AA10/INDEX(Parameters!$B:$B,MATCH("AfschrijftermijnVVE"&amp;12*$C10,Parameters!$A:$A,0))</f>
        <v>27.777777777777779</v>
      </c>
      <c r="AC10" s="204">
        <f>INDEX('Tarieven ZM'!$G:$G,$W10)</f>
        <v>1000</v>
      </c>
      <c r="AD10" s="198">
        <f>-INDEX(Parameters!$B:$B,MATCH(AD$3&amp;$C10,Parameters!$A:$A,0))*$AC10</f>
        <v>0</v>
      </c>
      <c r="AE10" s="198">
        <f>-INDEX(Parameters!$B:$B,MATCH(AE$3,Parameters!$A:$A,0))*$AC10</f>
        <v>0</v>
      </c>
      <c r="AF10" s="139">
        <f t="shared" si="4"/>
        <v>1000</v>
      </c>
      <c r="AG10" s="522">
        <f t="shared" si="5"/>
        <v>1027.7777777777778</v>
      </c>
      <c r="AH10" s="175"/>
      <c r="AI10" s="523">
        <f>MATCH($U10,'Tarieven W&amp;O'!$B:$B,0)</f>
        <v>42</v>
      </c>
      <c r="AJ10" s="204">
        <f>IF(AI10&lt;&gt;"nvt",INDEX('Tarieven W&amp;O'!$H:$H,$AI10),0)</f>
        <v>0</v>
      </c>
      <c r="AK10" s="204">
        <f>IF(AI10&lt;&gt;"nvt",INDEX('Tarieven W&amp;O'!$I:$I,$AI10),0)</f>
        <v>25</v>
      </c>
      <c r="AL10" s="524">
        <f>IF(AI10&lt;&gt;"nvt",-INDEX(Parameters!$B:$B,MATCH(AL$3,Parameters!$A:$A,0))*(AJ10+AK10),0)</f>
        <v>0</v>
      </c>
      <c r="AM10" s="525"/>
      <c r="AN10" s="139">
        <f t="shared" si="6"/>
        <v>25</v>
      </c>
      <c r="AO10" s="205">
        <f>AN10/INDEX(Parameters!$B:$B,MATCH("AfschrijftermijnVVE"&amp;12*$C10,Parameters!$A:$A,0))</f>
        <v>0.69444444444444442</v>
      </c>
      <c r="AP10" s="139">
        <f t="shared" si="7"/>
        <v>42</v>
      </c>
      <c r="AQ10" s="526">
        <f>IF(AP10&lt;&gt;"nvt",INDEX('Tarieven W&amp;O'!$G:$G,$AP10),0)</f>
        <v>18.47</v>
      </c>
      <c r="AR10" s="251">
        <f>IF($S10,INDEX('Tarieven W&amp;O'!$G:$G,MATCH(N10&amp;R10,'Tarieven W&amp;O'!$B:$B,0)),0)</f>
        <v>0</v>
      </c>
      <c r="AS10" s="205">
        <f>-INDEX(Parameters!$B:$B,MATCH(AS$3,Parameters!$A:$A,0))*(AQ10+AR10)</f>
        <v>0</v>
      </c>
      <c r="AT10" s="205">
        <f>INDEX(hulpblad!$E:$E,MATCH(M10&amp;Q10,hulpblad!$B:$B,0))</f>
        <v>1</v>
      </c>
      <c r="AU10" s="150">
        <f t="shared" si="8"/>
        <v>19.47</v>
      </c>
      <c r="AV10" s="150">
        <f t="shared" si="9"/>
        <v>20.164444444444442</v>
      </c>
      <c r="AX10" s="526">
        <f>Parameters!$B$6*AV10</f>
        <v>0.20164444444444443</v>
      </c>
      <c r="AY10" s="150">
        <v>0</v>
      </c>
      <c r="AZ10" s="150"/>
      <c r="BA10" s="150">
        <f t="shared" si="10"/>
        <v>0.20164444444444443</v>
      </c>
      <c r="BB10" s="150"/>
      <c r="BC10" s="522">
        <f t="shared" si="11"/>
        <v>20.366088888888886</v>
      </c>
      <c r="BD10" s="175"/>
      <c r="BE10" s="527">
        <f t="shared" si="12"/>
        <v>1007.411688888889</v>
      </c>
      <c r="BF10" s="181">
        <f t="shared" si="13"/>
        <v>0.98018434594594595</v>
      </c>
      <c r="BG10" s="520" t="b">
        <f t="shared" ref="BG10:BG73" si="25">BF10&lt;0</f>
        <v>0</v>
      </c>
      <c r="BI10" s="528" t="s">
        <v>2181</v>
      </c>
      <c r="BL10" s="151" t="str">
        <f t="shared" si="15"/>
        <v>EoKMetro - Regionaal</v>
      </c>
      <c r="BM10" s="529">
        <v>0</v>
      </c>
      <c r="BN10" s="180">
        <f>BM10/INDEX(Parameters!$B:$B,MATCH("AfschrijftermijnVVE"&amp;12*$C10,Parameters!$A:$A,0))</f>
        <v>0</v>
      </c>
      <c r="BO10" s="184">
        <f>INDEX('inkoop ULL tbv EVPN'!I:I,MATCH(BL10,'inkoop ULL tbv EVPN'!H:H,0))</f>
        <v>2</v>
      </c>
      <c r="BP10" s="184">
        <f t="shared" si="16"/>
        <v>2</v>
      </c>
      <c r="BR10" s="180">
        <f>Parameters!$B$12*AG10</f>
        <v>102.77777777777779</v>
      </c>
      <c r="BS10" s="180">
        <f>SUM(Distributievergoedingen!$F$12,Distributievergoedingen!$I$12,Distributievergoedingen!$L$12,Distributievergoedingen!$O$12)*AF10+SUM(Distributievergoedingen!$O$12*AA10+Distributievergoedingen!$R$12+Distributievergoedingen!$U$12+Distributievergoedingen!$X$12)/(MAX(36,12*C10))</f>
        <v>112.77777777777777</v>
      </c>
      <c r="BT10" s="150"/>
      <c r="BU10" s="150">
        <f t="shared" si="17"/>
        <v>215.55555555555554</v>
      </c>
      <c r="BW10" s="522">
        <f t="shared" si="18"/>
        <v>217.55555555555554</v>
      </c>
      <c r="BY10" s="527">
        <f t="shared" si="19"/>
        <v>810.22222222222229</v>
      </c>
      <c r="BZ10" s="181">
        <f t="shared" si="20"/>
        <v>0.78832432432432431</v>
      </c>
      <c r="CA10" s="520" t="b">
        <f t="shared" si="21"/>
        <v>0</v>
      </c>
    </row>
    <row r="11" spans="1:79" s="151" customFormat="1">
      <c r="A11" s="151" t="str">
        <f t="shared" si="0"/>
        <v>1EoKEntryCity10</v>
      </c>
      <c r="B11" s="520" t="str">
        <f t="shared" si="22"/>
        <v>1EoKEntryCity10</v>
      </c>
      <c r="C11" s="179">
        <v>1</v>
      </c>
      <c r="D11" s="179" t="s">
        <v>303</v>
      </c>
      <c r="E11" s="178" t="s">
        <v>45</v>
      </c>
      <c r="F11" s="178" t="s">
        <v>262</v>
      </c>
      <c r="G11" s="185" t="s">
        <v>412</v>
      </c>
      <c r="J11" s="520" t="str">
        <f t="shared" si="23"/>
        <v>EntryCity10</v>
      </c>
      <c r="L11" s="204">
        <f>INDEX(Mapping!$H:$H,MATCH(C$3&amp;C11,Mapping!$B:$B,0))</f>
        <v>1</v>
      </c>
      <c r="M11" s="204" t="str">
        <f>INDEX(Mapping!$H:$H,MATCH(D$3&amp;$D11,Mapping!$B:$B,0))</f>
        <v>EoK</v>
      </c>
      <c r="N11" s="204" t="str">
        <f>INDEX(Mapping!$H:$H,MATCH(E$3&amp;E11,Mapping!$B:$B,0))</f>
        <v>Lite</v>
      </c>
      <c r="O11" s="204" t="str">
        <f>INDEX(Mapping!$H:$H,MATCH(F$3&amp;F11,Mapping!$B:$B,0))</f>
        <v>Metro</v>
      </c>
      <c r="P11" s="204">
        <f>INDEX(Mapping!$H:$H,MATCH(G$3&amp;G11,Mapping!$B:$B,0))</f>
        <v>10</v>
      </c>
      <c r="Q11" s="204" t="str">
        <f>INDEX(Mapping!$H:$H,MATCH(Q$3&amp;$F11,Mapping!$B:$B,0))</f>
        <v>Metro - Regionaal</v>
      </c>
      <c r="R11" s="204" t="str">
        <f>INDEX(Mapping!$H:$H,MATCH("ZM VPN Service Level"&amp;E11,Mapping!$B:$B,0))</f>
        <v>Advanced</v>
      </c>
      <c r="S11" s="139" t="b">
        <f>IF($D11="EoK",INDEX(Mapping!$I:$I,MATCH($G$3&amp;$G11,Mapping!B:B,0)),FALSE)</f>
        <v>0</v>
      </c>
      <c r="T11" s="139"/>
      <c r="U11" s="520" t="str">
        <f t="shared" si="24"/>
        <v>LiteMetro10</v>
      </c>
      <c r="W11" s="521">
        <f>MATCH($J11,'Tarieven ZM'!$B:$B,0)</f>
        <v>15</v>
      </c>
      <c r="X11" s="204">
        <f>INDEX('Tarieven ZM'!$H:$H,$W11)</f>
        <v>1000</v>
      </c>
      <c r="Y11" s="198">
        <f>-INDEX(Parameters!$B:$B,MATCH(Y$3&amp;$C11,Parameters!$A:$A,0))*$X11</f>
        <v>0</v>
      </c>
      <c r="Z11" s="198">
        <f>-INDEX(Parameters!$B:$B,MATCH(Z$3&amp;$C11,Parameters!$A:$A,0))*$X11</f>
        <v>0</v>
      </c>
      <c r="AA11" s="139">
        <f t="shared" si="3"/>
        <v>1000</v>
      </c>
      <c r="AB11" s="205">
        <f>AA11/INDEX(Parameters!$B:$B,MATCH("AfschrijftermijnVVE"&amp;12*$C11,Parameters!$A:$A,0))</f>
        <v>27.777777777777779</v>
      </c>
      <c r="AC11" s="204">
        <f>INDEX('Tarieven ZM'!$G:$G,$W11)</f>
        <v>1000</v>
      </c>
      <c r="AD11" s="198">
        <f>-INDEX(Parameters!$B:$B,MATCH(AD$3&amp;$C11,Parameters!$A:$A,0))*$AC11</f>
        <v>0</v>
      </c>
      <c r="AE11" s="198">
        <f>-INDEX(Parameters!$B:$B,MATCH(AE$3,Parameters!$A:$A,0))*$AC11</f>
        <v>0</v>
      </c>
      <c r="AF11" s="139">
        <f t="shared" si="4"/>
        <v>1000</v>
      </c>
      <c r="AG11" s="522">
        <f t="shared" si="5"/>
        <v>1027.7777777777778</v>
      </c>
      <c r="AH11" s="175"/>
      <c r="AI11" s="523">
        <f>MATCH($U11,'Tarieven W&amp;O'!$B:$B,0)</f>
        <v>43</v>
      </c>
      <c r="AJ11" s="204">
        <f>IF(AI11&lt;&gt;"nvt",INDEX('Tarieven W&amp;O'!$H:$H,$AI11),0)</f>
        <v>0</v>
      </c>
      <c r="AK11" s="204">
        <f>IF(AI11&lt;&gt;"nvt",INDEX('Tarieven W&amp;O'!$I:$I,$AI11),0)</f>
        <v>25</v>
      </c>
      <c r="AL11" s="524">
        <f>IF(AI11&lt;&gt;"nvt",-INDEX(Parameters!$B:$B,MATCH(AL$3,Parameters!$A:$A,0))*(AJ11+AK11),0)</f>
        <v>0</v>
      </c>
      <c r="AM11" s="525"/>
      <c r="AN11" s="139">
        <f t="shared" si="6"/>
        <v>25</v>
      </c>
      <c r="AO11" s="205">
        <f>AN11/INDEX(Parameters!$B:$B,MATCH("AfschrijftermijnVVE"&amp;12*$C11,Parameters!$A:$A,0))</f>
        <v>0.69444444444444442</v>
      </c>
      <c r="AP11" s="139">
        <f t="shared" si="7"/>
        <v>43</v>
      </c>
      <c r="AQ11" s="526">
        <f>IF(AP11&lt;&gt;"nvt",INDEX('Tarieven W&amp;O'!$G:$G,$AP11),0)</f>
        <v>18.47</v>
      </c>
      <c r="AR11" s="251">
        <f>IF($S11,INDEX('Tarieven W&amp;O'!$G:$G,MATCH(N11&amp;R11,'Tarieven W&amp;O'!$B:$B,0)),0)</f>
        <v>0</v>
      </c>
      <c r="AS11" s="205">
        <f>-INDEX(Parameters!$B:$B,MATCH(AS$3,Parameters!$A:$A,0))*(AQ11+AR11)</f>
        <v>0</v>
      </c>
      <c r="AT11" s="205">
        <f>INDEX(hulpblad!$E:$E,MATCH(M11&amp;Q11,hulpblad!$B:$B,0))</f>
        <v>1</v>
      </c>
      <c r="AU11" s="150">
        <f t="shared" si="8"/>
        <v>19.47</v>
      </c>
      <c r="AV11" s="150">
        <f t="shared" si="9"/>
        <v>20.164444444444442</v>
      </c>
      <c r="AX11" s="526">
        <f>Parameters!$B$6*AV11</f>
        <v>0.20164444444444443</v>
      </c>
      <c r="AY11" s="150">
        <v>0</v>
      </c>
      <c r="AZ11" s="150"/>
      <c r="BA11" s="150">
        <f t="shared" si="10"/>
        <v>0.20164444444444443</v>
      </c>
      <c r="BB11" s="150"/>
      <c r="BC11" s="522">
        <f t="shared" si="11"/>
        <v>20.366088888888886</v>
      </c>
      <c r="BD11" s="175"/>
      <c r="BE11" s="527">
        <f t="shared" si="12"/>
        <v>1007.411688888889</v>
      </c>
      <c r="BF11" s="181">
        <f t="shared" si="13"/>
        <v>0.98018434594594595</v>
      </c>
      <c r="BG11" s="520" t="b">
        <f t="shared" si="25"/>
        <v>0</v>
      </c>
      <c r="BI11" s="528" t="s">
        <v>2181</v>
      </c>
      <c r="BL11" s="151" t="str">
        <f t="shared" si="15"/>
        <v>EoKMetro - Regionaal</v>
      </c>
      <c r="BM11" s="529">
        <v>0</v>
      </c>
      <c r="BN11" s="180">
        <f>BM11/INDEX(Parameters!$B:$B,MATCH("AfschrijftermijnVVE"&amp;12*$C11,Parameters!$A:$A,0))</f>
        <v>0</v>
      </c>
      <c r="BO11" s="184">
        <f>INDEX('inkoop ULL tbv EVPN'!I:I,MATCH(BL11,'inkoop ULL tbv EVPN'!H:H,0))</f>
        <v>2</v>
      </c>
      <c r="BP11" s="184">
        <f t="shared" si="16"/>
        <v>2</v>
      </c>
      <c r="BR11" s="180">
        <f>Parameters!$B$12*AG11</f>
        <v>102.77777777777779</v>
      </c>
      <c r="BS11" s="180">
        <f>SUM(Distributievergoedingen!$F$12,Distributievergoedingen!$I$12,Distributievergoedingen!$L$12,Distributievergoedingen!$O$12)*AF11+SUM(Distributievergoedingen!$O$12*AA11+Distributievergoedingen!$R$12+Distributievergoedingen!$U$12+Distributievergoedingen!$X$12)/(MAX(36,12*C11))</f>
        <v>112.77777777777777</v>
      </c>
      <c r="BT11" s="150"/>
      <c r="BU11" s="150">
        <f t="shared" si="17"/>
        <v>215.55555555555554</v>
      </c>
      <c r="BW11" s="522">
        <f t="shared" si="18"/>
        <v>217.55555555555554</v>
      </c>
      <c r="BY11" s="527">
        <f t="shared" si="19"/>
        <v>810.22222222222229</v>
      </c>
      <c r="BZ11" s="181">
        <f t="shared" si="20"/>
        <v>0.78832432432432431</v>
      </c>
      <c r="CA11" s="520" t="b">
        <f t="shared" si="21"/>
        <v>0</v>
      </c>
    </row>
    <row r="12" spans="1:79" s="151" customFormat="1">
      <c r="A12" s="151" t="str">
        <f t="shared" si="0"/>
        <v>1EoKEntryCity15</v>
      </c>
      <c r="B12" s="520" t="str">
        <f t="shared" si="22"/>
        <v>1EoKEntryCity15</v>
      </c>
      <c r="C12" s="179">
        <v>1</v>
      </c>
      <c r="D12" s="179" t="s">
        <v>303</v>
      </c>
      <c r="E12" s="178" t="s">
        <v>45</v>
      </c>
      <c r="F12" s="178" t="s">
        <v>262</v>
      </c>
      <c r="G12" s="185" t="s">
        <v>413</v>
      </c>
      <c r="J12" s="520" t="str">
        <f t="shared" si="23"/>
        <v>EntryCity15</v>
      </c>
      <c r="L12" s="204">
        <f>INDEX(Mapping!$H:$H,MATCH(C$3&amp;C12,Mapping!$B:$B,0))</f>
        <v>1</v>
      </c>
      <c r="M12" s="204" t="str">
        <f>INDEX(Mapping!$H:$H,MATCH(D$3&amp;$D12,Mapping!$B:$B,0))</f>
        <v>EoK</v>
      </c>
      <c r="N12" s="204" t="str">
        <f>INDEX(Mapping!$H:$H,MATCH(E$3&amp;E12,Mapping!$B:$B,0))</f>
        <v>Lite</v>
      </c>
      <c r="O12" s="204" t="str">
        <f>INDEX(Mapping!$H:$H,MATCH(F$3&amp;F12,Mapping!$B:$B,0))</f>
        <v>Metro</v>
      </c>
      <c r="P12" s="204">
        <f>INDEX(Mapping!$H:$H,MATCH(G$3&amp;G12,Mapping!$B:$B,0))</f>
        <v>15</v>
      </c>
      <c r="Q12" s="204" t="str">
        <f>INDEX(Mapping!$H:$H,MATCH(Q$3&amp;$F12,Mapping!$B:$B,0))</f>
        <v>Metro - Regionaal</v>
      </c>
      <c r="R12" s="204" t="str">
        <f>INDEX(Mapping!$H:$H,MATCH("ZM VPN Service Level"&amp;E12,Mapping!$B:$B,0))</f>
        <v>Advanced</v>
      </c>
      <c r="S12" s="139" t="b">
        <f>IF($D12="EoK",INDEX(Mapping!$I:$I,MATCH($G$3&amp;$G12,Mapping!B:B,0)),FALSE)</f>
        <v>0</v>
      </c>
      <c r="T12" s="139"/>
      <c r="U12" s="520" t="str">
        <f t="shared" si="24"/>
        <v>LiteMetro15</v>
      </c>
      <c r="W12" s="521">
        <f>MATCH($J12,'Tarieven ZM'!$B:$B,0)</f>
        <v>16</v>
      </c>
      <c r="X12" s="204">
        <f>INDEX('Tarieven ZM'!$H:$H,$W12)</f>
        <v>1000</v>
      </c>
      <c r="Y12" s="198">
        <f>-INDEX(Parameters!$B:$B,MATCH(Y$3&amp;$C12,Parameters!$A:$A,0))*$X12</f>
        <v>0</v>
      </c>
      <c r="Z12" s="198">
        <f>-INDEX(Parameters!$B:$B,MATCH(Z$3&amp;$C12,Parameters!$A:$A,0))*$X12</f>
        <v>0</v>
      </c>
      <c r="AA12" s="139">
        <f t="shared" si="3"/>
        <v>1000</v>
      </c>
      <c r="AB12" s="205">
        <f>AA12/INDEX(Parameters!$B:$B,MATCH("AfschrijftermijnVVE"&amp;12*$C12,Parameters!$A:$A,0))</f>
        <v>27.777777777777779</v>
      </c>
      <c r="AC12" s="204">
        <f>INDEX('Tarieven ZM'!$G:$G,$W12)</f>
        <v>1000</v>
      </c>
      <c r="AD12" s="198">
        <f>-INDEX(Parameters!$B:$B,MATCH(AD$3&amp;$C12,Parameters!$A:$A,0))*$AC12</f>
        <v>0</v>
      </c>
      <c r="AE12" s="198">
        <f>-INDEX(Parameters!$B:$B,MATCH(AE$3,Parameters!$A:$A,0))*$AC12</f>
        <v>0</v>
      </c>
      <c r="AF12" s="139">
        <f t="shared" si="4"/>
        <v>1000</v>
      </c>
      <c r="AG12" s="522">
        <f t="shared" si="5"/>
        <v>1027.7777777777778</v>
      </c>
      <c r="AH12" s="175"/>
      <c r="AI12" s="523">
        <f>MATCH($U12,'Tarieven W&amp;O'!$B:$B,0)</f>
        <v>44</v>
      </c>
      <c r="AJ12" s="204">
        <f>IF(AI12&lt;&gt;"nvt",INDEX('Tarieven W&amp;O'!$H:$H,$AI12),0)</f>
        <v>0</v>
      </c>
      <c r="AK12" s="204">
        <f>IF(AI12&lt;&gt;"nvt",INDEX('Tarieven W&amp;O'!$I:$I,$AI12),0)</f>
        <v>25</v>
      </c>
      <c r="AL12" s="524">
        <f>IF(AI12&lt;&gt;"nvt",-INDEX(Parameters!$B:$B,MATCH(AL$3,Parameters!$A:$A,0))*(AJ12+AK12),0)</f>
        <v>0</v>
      </c>
      <c r="AM12" s="525"/>
      <c r="AN12" s="139">
        <f t="shared" si="6"/>
        <v>25</v>
      </c>
      <c r="AO12" s="205">
        <f>AN12/INDEX(Parameters!$B:$B,MATCH("AfschrijftermijnVVE"&amp;12*$C12,Parameters!$A:$A,0))</f>
        <v>0.69444444444444442</v>
      </c>
      <c r="AP12" s="139">
        <f t="shared" si="7"/>
        <v>44</v>
      </c>
      <c r="AQ12" s="526">
        <f>IF(AP12&lt;&gt;"nvt",INDEX('Tarieven W&amp;O'!$G:$G,$AP12),0)</f>
        <v>22.24</v>
      </c>
      <c r="AR12" s="251">
        <f>IF($S12,INDEX('Tarieven W&amp;O'!$G:$G,MATCH(N12&amp;R12,'Tarieven W&amp;O'!$B:$B,0)),0)</f>
        <v>0</v>
      </c>
      <c r="AS12" s="205">
        <f>-INDEX(Parameters!$B:$B,MATCH(AS$3,Parameters!$A:$A,0))*(AQ12+AR12)</f>
        <v>0</v>
      </c>
      <c r="AT12" s="205">
        <f>INDEX(hulpblad!$E:$E,MATCH(M12&amp;Q12,hulpblad!$B:$B,0))</f>
        <v>1</v>
      </c>
      <c r="AU12" s="150">
        <f t="shared" si="8"/>
        <v>23.24</v>
      </c>
      <c r="AV12" s="150">
        <f t="shared" si="9"/>
        <v>23.934444444444441</v>
      </c>
      <c r="AX12" s="526">
        <f>Parameters!$B$6*AV12</f>
        <v>0.23934444444444442</v>
      </c>
      <c r="AY12" s="150">
        <v>0</v>
      </c>
      <c r="AZ12" s="150"/>
      <c r="BA12" s="150">
        <f t="shared" si="10"/>
        <v>0.23934444444444442</v>
      </c>
      <c r="BB12" s="150"/>
      <c r="BC12" s="522">
        <f t="shared" si="11"/>
        <v>24.173788888888886</v>
      </c>
      <c r="BD12" s="175"/>
      <c r="BE12" s="527">
        <f t="shared" si="12"/>
        <v>1003.6039888888889</v>
      </c>
      <c r="BF12" s="181">
        <f t="shared" si="13"/>
        <v>0.97647955675675679</v>
      </c>
      <c r="BG12" s="520" t="b">
        <f t="shared" si="25"/>
        <v>0</v>
      </c>
      <c r="BI12" s="528" t="s">
        <v>2181</v>
      </c>
      <c r="BL12" s="151" t="str">
        <f t="shared" si="15"/>
        <v>EoKMetro - Regionaal</v>
      </c>
      <c r="BM12" s="529">
        <v>0</v>
      </c>
      <c r="BN12" s="180">
        <f>BM12/INDEX(Parameters!$B:$B,MATCH("AfschrijftermijnVVE"&amp;12*$C12,Parameters!$A:$A,0))</f>
        <v>0</v>
      </c>
      <c r="BO12" s="184">
        <f>INDEX('inkoop ULL tbv EVPN'!I:I,MATCH(BL12,'inkoop ULL tbv EVPN'!H:H,0))</f>
        <v>2</v>
      </c>
      <c r="BP12" s="184">
        <f t="shared" si="16"/>
        <v>2</v>
      </c>
      <c r="BR12" s="180">
        <f>Parameters!$B$12*AG12</f>
        <v>102.77777777777779</v>
      </c>
      <c r="BS12" s="180">
        <f>SUM(Distributievergoedingen!$F$12,Distributievergoedingen!$I$12,Distributievergoedingen!$L$12,Distributievergoedingen!$O$12)*AF12+SUM(Distributievergoedingen!$O$12*AA12+Distributievergoedingen!$R$12+Distributievergoedingen!$U$12+Distributievergoedingen!$X$12)/(MAX(36,12*C12))</f>
        <v>112.77777777777777</v>
      </c>
      <c r="BT12" s="150"/>
      <c r="BU12" s="150">
        <f t="shared" si="17"/>
        <v>215.55555555555554</v>
      </c>
      <c r="BW12" s="522">
        <f t="shared" si="18"/>
        <v>217.55555555555554</v>
      </c>
      <c r="BY12" s="527">
        <f t="shared" si="19"/>
        <v>810.22222222222229</v>
      </c>
      <c r="BZ12" s="181">
        <f t="shared" si="20"/>
        <v>0.78832432432432431</v>
      </c>
      <c r="CA12" s="520" t="b">
        <f t="shared" si="21"/>
        <v>0</v>
      </c>
    </row>
    <row r="13" spans="1:79" s="151" customFormat="1">
      <c r="A13" s="151" t="str">
        <f t="shared" si="0"/>
        <v>1EoKEntryCity20</v>
      </c>
      <c r="B13" s="520" t="str">
        <f t="shared" si="22"/>
        <v>1EoKEntryCity20</v>
      </c>
      <c r="C13" s="179">
        <v>1</v>
      </c>
      <c r="D13" s="179" t="s">
        <v>303</v>
      </c>
      <c r="E13" s="178" t="s">
        <v>45</v>
      </c>
      <c r="F13" s="178" t="s">
        <v>262</v>
      </c>
      <c r="G13" s="185" t="s">
        <v>414</v>
      </c>
      <c r="J13" s="520" t="str">
        <f t="shared" si="23"/>
        <v>EntryCity20</v>
      </c>
      <c r="L13" s="204">
        <f>INDEX(Mapping!$H:$H,MATCH(C$3&amp;C13,Mapping!$B:$B,0))</f>
        <v>1</v>
      </c>
      <c r="M13" s="204" t="str">
        <f>INDEX(Mapping!$H:$H,MATCH(D$3&amp;$D13,Mapping!$B:$B,0))</f>
        <v>EoK</v>
      </c>
      <c r="N13" s="204" t="str">
        <f>INDEX(Mapping!$H:$H,MATCH(E$3&amp;E13,Mapping!$B:$B,0))</f>
        <v>Lite</v>
      </c>
      <c r="O13" s="204" t="str">
        <f>INDEX(Mapping!$H:$H,MATCH(F$3&amp;F13,Mapping!$B:$B,0))</f>
        <v>Metro</v>
      </c>
      <c r="P13" s="204">
        <f>INDEX(Mapping!$H:$H,MATCH(G$3&amp;G13,Mapping!$B:$B,0))</f>
        <v>20</v>
      </c>
      <c r="Q13" s="204" t="str">
        <f>INDEX(Mapping!$H:$H,MATCH(Q$3&amp;$F13,Mapping!$B:$B,0))</f>
        <v>Metro - Regionaal</v>
      </c>
      <c r="R13" s="204" t="str">
        <f>INDEX(Mapping!$H:$H,MATCH("ZM VPN Service Level"&amp;E13,Mapping!$B:$B,0))</f>
        <v>Advanced</v>
      </c>
      <c r="S13" s="139" t="b">
        <f>IF($D13="EoK",INDEX(Mapping!$I:$I,MATCH($G$3&amp;$G13,Mapping!B:B,0)),FALSE)</f>
        <v>0</v>
      </c>
      <c r="T13" s="139"/>
      <c r="U13" s="520" t="str">
        <f t="shared" si="24"/>
        <v>LiteMetro20</v>
      </c>
      <c r="W13" s="521">
        <f>MATCH($J13,'Tarieven ZM'!$B:$B,0)</f>
        <v>17</v>
      </c>
      <c r="X13" s="204">
        <f>INDEX('Tarieven ZM'!$H:$H,$W13)</f>
        <v>1000</v>
      </c>
      <c r="Y13" s="198">
        <f>-INDEX(Parameters!$B:$B,MATCH(Y$3&amp;$C13,Parameters!$A:$A,0))*$X13</f>
        <v>0</v>
      </c>
      <c r="Z13" s="198">
        <f>-INDEX(Parameters!$B:$B,MATCH(Z$3&amp;$C13,Parameters!$A:$A,0))*$X13</f>
        <v>0</v>
      </c>
      <c r="AA13" s="139">
        <f t="shared" si="3"/>
        <v>1000</v>
      </c>
      <c r="AB13" s="205">
        <f>AA13/INDEX(Parameters!$B:$B,MATCH("AfschrijftermijnVVE"&amp;12*$C13,Parameters!$A:$A,0))</f>
        <v>27.777777777777779</v>
      </c>
      <c r="AC13" s="204">
        <f>INDEX('Tarieven ZM'!$G:$G,$W13)</f>
        <v>1000</v>
      </c>
      <c r="AD13" s="198">
        <f>-INDEX(Parameters!$B:$B,MATCH(AD$3&amp;$C13,Parameters!$A:$A,0))*$AC13</f>
        <v>0</v>
      </c>
      <c r="AE13" s="198">
        <f>-INDEX(Parameters!$B:$B,MATCH(AE$3,Parameters!$A:$A,0))*$AC13</f>
        <v>0</v>
      </c>
      <c r="AF13" s="139">
        <f t="shared" si="4"/>
        <v>1000</v>
      </c>
      <c r="AG13" s="522">
        <f t="shared" si="5"/>
        <v>1027.7777777777778</v>
      </c>
      <c r="AH13" s="175"/>
      <c r="AI13" s="523">
        <f>MATCH($U13,'Tarieven W&amp;O'!$B:$B,0)</f>
        <v>45</v>
      </c>
      <c r="AJ13" s="204">
        <f>IF(AI13&lt;&gt;"nvt",INDEX('Tarieven W&amp;O'!$H:$H,$AI13),0)</f>
        <v>0</v>
      </c>
      <c r="AK13" s="204">
        <f>IF(AI13&lt;&gt;"nvt",INDEX('Tarieven W&amp;O'!$I:$I,$AI13),0)</f>
        <v>25</v>
      </c>
      <c r="AL13" s="524">
        <f>IF(AI13&lt;&gt;"nvt",-INDEX(Parameters!$B:$B,MATCH(AL$3,Parameters!$A:$A,0))*(AJ13+AK13),0)</f>
        <v>0</v>
      </c>
      <c r="AM13" s="525"/>
      <c r="AN13" s="139">
        <f t="shared" si="6"/>
        <v>25</v>
      </c>
      <c r="AO13" s="205">
        <f>AN13/INDEX(Parameters!$B:$B,MATCH("AfschrijftermijnVVE"&amp;12*$C13,Parameters!$A:$A,0))</f>
        <v>0.69444444444444442</v>
      </c>
      <c r="AP13" s="139">
        <f t="shared" si="7"/>
        <v>45</v>
      </c>
      <c r="AQ13" s="526">
        <f>IF(AP13&lt;&gt;"nvt",INDEX('Tarieven W&amp;O'!$G:$G,$AP13),0)</f>
        <v>29.78</v>
      </c>
      <c r="AR13" s="251">
        <f>IF($S13,INDEX('Tarieven W&amp;O'!$G:$G,MATCH(N13&amp;R13,'Tarieven W&amp;O'!$B:$B,0)),0)</f>
        <v>0</v>
      </c>
      <c r="AS13" s="205">
        <f>-INDEX(Parameters!$B:$B,MATCH(AS$3,Parameters!$A:$A,0))*(AQ13+AR13)</f>
        <v>0</v>
      </c>
      <c r="AT13" s="205">
        <f>INDEX(hulpblad!$E:$E,MATCH(M13&amp;Q13,hulpblad!$B:$B,0))</f>
        <v>1</v>
      </c>
      <c r="AU13" s="150">
        <f t="shared" si="8"/>
        <v>30.78</v>
      </c>
      <c r="AV13" s="150">
        <f t="shared" si="9"/>
        <v>31.474444444444444</v>
      </c>
      <c r="AX13" s="526">
        <f>Parameters!$B$6*AV13</f>
        <v>0.31474444444444444</v>
      </c>
      <c r="AY13" s="150">
        <v>0</v>
      </c>
      <c r="AZ13" s="150"/>
      <c r="BA13" s="150">
        <f t="shared" si="10"/>
        <v>0.31474444444444444</v>
      </c>
      <c r="BB13" s="150"/>
      <c r="BC13" s="522">
        <f t="shared" si="11"/>
        <v>31.789188888888887</v>
      </c>
      <c r="BD13" s="175"/>
      <c r="BE13" s="527">
        <f t="shared" si="12"/>
        <v>995.9885888888889</v>
      </c>
      <c r="BF13" s="181">
        <f t="shared" si="13"/>
        <v>0.96906997837837838</v>
      </c>
      <c r="BG13" s="520" t="b">
        <f t="shared" si="25"/>
        <v>0</v>
      </c>
      <c r="BI13" s="528" t="s">
        <v>2181</v>
      </c>
      <c r="BL13" s="151" t="str">
        <f t="shared" si="15"/>
        <v>EoKMetro - Regionaal</v>
      </c>
      <c r="BM13" s="529">
        <v>0</v>
      </c>
      <c r="BN13" s="180">
        <f>BM13/INDEX(Parameters!$B:$B,MATCH("AfschrijftermijnVVE"&amp;12*$C13,Parameters!$A:$A,0))</f>
        <v>0</v>
      </c>
      <c r="BO13" s="184">
        <f>INDEX('inkoop ULL tbv EVPN'!I:I,MATCH(BL13,'inkoop ULL tbv EVPN'!H:H,0))</f>
        <v>2</v>
      </c>
      <c r="BP13" s="184">
        <f t="shared" si="16"/>
        <v>2</v>
      </c>
      <c r="BR13" s="180">
        <f>Parameters!$B$12*AG13</f>
        <v>102.77777777777779</v>
      </c>
      <c r="BS13" s="180">
        <f>SUM(Distributievergoedingen!$F$12,Distributievergoedingen!$I$12,Distributievergoedingen!$L$12,Distributievergoedingen!$O$12)*AF13+SUM(Distributievergoedingen!$O$12*AA13+Distributievergoedingen!$R$12+Distributievergoedingen!$U$12+Distributievergoedingen!$X$12)/(MAX(36,12*C13))</f>
        <v>112.77777777777777</v>
      </c>
      <c r="BT13" s="150"/>
      <c r="BU13" s="150">
        <f t="shared" si="17"/>
        <v>215.55555555555554</v>
      </c>
      <c r="BW13" s="522">
        <f t="shared" si="18"/>
        <v>217.55555555555554</v>
      </c>
      <c r="BY13" s="527">
        <f t="shared" si="19"/>
        <v>810.22222222222229</v>
      </c>
      <c r="BZ13" s="181">
        <f t="shared" si="20"/>
        <v>0.78832432432432431</v>
      </c>
      <c r="CA13" s="520" t="b">
        <f t="shared" si="21"/>
        <v>0</v>
      </c>
    </row>
    <row r="14" spans="1:79" s="151" customFormat="1">
      <c r="A14" s="151" t="str">
        <f t="shared" si="0"/>
        <v>1EoKEntryCity30</v>
      </c>
      <c r="B14" s="520" t="str">
        <f t="shared" si="22"/>
        <v>1EoKEntryCity30</v>
      </c>
      <c r="C14" s="179">
        <v>1</v>
      </c>
      <c r="D14" s="179" t="s">
        <v>303</v>
      </c>
      <c r="E14" s="178" t="s">
        <v>45</v>
      </c>
      <c r="F14" s="178" t="s">
        <v>262</v>
      </c>
      <c r="G14" s="185" t="s">
        <v>415</v>
      </c>
      <c r="J14" s="520" t="str">
        <f t="shared" si="23"/>
        <v>EntryCity30</v>
      </c>
      <c r="L14" s="204">
        <f>INDEX(Mapping!$H:$H,MATCH(C$3&amp;C14,Mapping!$B:$B,0))</f>
        <v>1</v>
      </c>
      <c r="M14" s="204" t="str">
        <f>INDEX(Mapping!$H:$H,MATCH(D$3&amp;$D14,Mapping!$B:$B,0))</f>
        <v>EoK</v>
      </c>
      <c r="N14" s="204" t="str">
        <f>INDEX(Mapping!$H:$H,MATCH(E$3&amp;E14,Mapping!$B:$B,0))</f>
        <v>Lite</v>
      </c>
      <c r="O14" s="204" t="str">
        <f>INDEX(Mapping!$H:$H,MATCH(F$3&amp;F14,Mapping!$B:$B,0))</f>
        <v>Metro</v>
      </c>
      <c r="P14" s="204">
        <f>INDEX(Mapping!$H:$H,MATCH(G$3&amp;G14,Mapping!$B:$B,0))</f>
        <v>30</v>
      </c>
      <c r="Q14" s="204" t="str">
        <f>INDEX(Mapping!$H:$H,MATCH(Q$3&amp;$F14,Mapping!$B:$B,0))</f>
        <v>Metro - Regionaal</v>
      </c>
      <c r="R14" s="204" t="str">
        <f>INDEX(Mapping!$H:$H,MATCH("ZM VPN Service Level"&amp;E14,Mapping!$B:$B,0))</f>
        <v>Advanced</v>
      </c>
      <c r="S14" s="139" t="b">
        <f>IF($D14="EoK",INDEX(Mapping!$I:$I,MATCH($G$3&amp;$G14,Mapping!B:B,0)),FALSE)</f>
        <v>0</v>
      </c>
      <c r="T14" s="139"/>
      <c r="U14" s="520" t="str">
        <f t="shared" si="24"/>
        <v>LiteMetro30</v>
      </c>
      <c r="W14" s="521">
        <f>MATCH($J14,'Tarieven ZM'!$B:$B,0)</f>
        <v>18</v>
      </c>
      <c r="X14" s="204">
        <f>INDEX('Tarieven ZM'!$H:$H,$W14)</f>
        <v>1000</v>
      </c>
      <c r="Y14" s="198">
        <f>-INDEX(Parameters!$B:$B,MATCH(Y$3&amp;$C14,Parameters!$A:$A,0))*$X14</f>
        <v>0</v>
      </c>
      <c r="Z14" s="198">
        <f>-INDEX(Parameters!$B:$B,MATCH(Z$3&amp;$C14,Parameters!$A:$A,0))*$X14</f>
        <v>0</v>
      </c>
      <c r="AA14" s="139">
        <f t="shared" ref="AA14:AA77" si="26">SUM(X14:Z14)</f>
        <v>1000</v>
      </c>
      <c r="AB14" s="205">
        <f>AA14/INDEX(Parameters!$B:$B,MATCH("AfschrijftermijnVVE"&amp;12*$C14,Parameters!$A:$A,0))</f>
        <v>27.777777777777779</v>
      </c>
      <c r="AC14" s="204">
        <f>INDEX('Tarieven ZM'!$G:$G,$W14)</f>
        <v>1000</v>
      </c>
      <c r="AD14" s="198">
        <f>-INDEX(Parameters!$B:$B,MATCH(AD$3&amp;$C14,Parameters!$A:$A,0))*$AC14</f>
        <v>0</v>
      </c>
      <c r="AE14" s="198">
        <f>-INDEX(Parameters!$B:$B,MATCH(AE$3,Parameters!$A:$A,0))*$AC14</f>
        <v>0</v>
      </c>
      <c r="AF14" s="139">
        <f t="shared" ref="AF14:AF77" si="27">SUM(AC14:AE14)</f>
        <v>1000</v>
      </c>
      <c r="AG14" s="522">
        <f t="shared" ref="AG14:AG77" si="28">SUM(AB14,AF14)</f>
        <v>1027.7777777777778</v>
      </c>
      <c r="AH14" s="175"/>
      <c r="AI14" s="523">
        <f>MATCH($U14,'Tarieven W&amp;O'!$B:$B,0)</f>
        <v>46</v>
      </c>
      <c r="AJ14" s="204">
        <f>IF(AI14&lt;&gt;"nvt",INDEX('Tarieven W&amp;O'!$H:$H,$AI14),0)</f>
        <v>0</v>
      </c>
      <c r="AK14" s="204">
        <f>IF(AI14&lt;&gt;"nvt",INDEX('Tarieven W&amp;O'!$I:$I,$AI14),0)</f>
        <v>25</v>
      </c>
      <c r="AL14" s="524">
        <f>IF(AI14&lt;&gt;"nvt",-INDEX(Parameters!$B:$B,MATCH(AL$3,Parameters!$A:$A,0))*(AJ14+AK14),0)</f>
        <v>0</v>
      </c>
      <c r="AM14" s="525"/>
      <c r="AN14" s="139">
        <f t="shared" ref="AN14:AN77" si="29">SUM(AJ14:AM14)</f>
        <v>25</v>
      </c>
      <c r="AO14" s="205">
        <f>AN14/INDEX(Parameters!$B:$B,MATCH("AfschrijftermijnVVE"&amp;12*$C14,Parameters!$A:$A,0))</f>
        <v>0.69444444444444442</v>
      </c>
      <c r="AP14" s="139">
        <f t="shared" ref="AP14:AP77" si="30">AI14</f>
        <v>46</v>
      </c>
      <c r="AQ14" s="526">
        <f>IF(AP14&lt;&gt;"nvt",INDEX('Tarieven W&amp;O'!$G:$G,$AP14),0)</f>
        <v>33.54</v>
      </c>
      <c r="AR14" s="251">
        <f>IF($S14,INDEX('Tarieven W&amp;O'!$G:$G,MATCH(N14&amp;R14,'Tarieven W&amp;O'!$B:$B,0)),0)</f>
        <v>0</v>
      </c>
      <c r="AS14" s="205">
        <f>-INDEX(Parameters!$B:$B,MATCH(AS$3,Parameters!$A:$A,0))*(AQ14+AR14)</f>
        <v>0</v>
      </c>
      <c r="AT14" s="205">
        <f>INDEX(hulpblad!$E:$E,MATCH(M14&amp;Q14,hulpblad!$B:$B,0))</f>
        <v>1</v>
      </c>
      <c r="AU14" s="150">
        <f t="shared" si="8"/>
        <v>34.54</v>
      </c>
      <c r="AV14" s="150">
        <f t="shared" si="9"/>
        <v>35.234444444444442</v>
      </c>
      <c r="AX14" s="526">
        <f>Parameters!$B$6*AV14</f>
        <v>0.3523444444444444</v>
      </c>
      <c r="AY14" s="150">
        <v>0</v>
      </c>
      <c r="AZ14" s="150"/>
      <c r="BA14" s="150">
        <f t="shared" ref="BA14:BA77" si="31">SUM(AX14:AZ14)</f>
        <v>0.3523444444444444</v>
      </c>
      <c r="BB14" s="150"/>
      <c r="BC14" s="522">
        <f t="shared" ref="BC14:BC77" si="32">SUM(AV14,BA14)</f>
        <v>35.58678888888889</v>
      </c>
      <c r="BD14" s="175"/>
      <c r="BE14" s="527">
        <f t="shared" si="12"/>
        <v>992.19098888888891</v>
      </c>
      <c r="BF14" s="181">
        <f t="shared" si="13"/>
        <v>0.96537501621621624</v>
      </c>
      <c r="BG14" s="520" t="b">
        <f t="shared" si="25"/>
        <v>0</v>
      </c>
      <c r="BI14" s="528" t="s">
        <v>2181</v>
      </c>
      <c r="BL14" s="151" t="str">
        <f t="shared" si="15"/>
        <v>EoKMetro - Regionaal</v>
      </c>
      <c r="BM14" s="529">
        <v>0</v>
      </c>
      <c r="BN14" s="180">
        <f>BM14/INDEX(Parameters!$B:$B,MATCH("AfschrijftermijnVVE"&amp;12*$C14,Parameters!$A:$A,0))</f>
        <v>0</v>
      </c>
      <c r="BO14" s="184">
        <f>INDEX('inkoop ULL tbv EVPN'!I:I,MATCH(BL14,'inkoop ULL tbv EVPN'!H:H,0))</f>
        <v>2</v>
      </c>
      <c r="BP14" s="184">
        <f t="shared" si="16"/>
        <v>2</v>
      </c>
      <c r="BR14" s="180">
        <f>Parameters!$B$12*AG14</f>
        <v>102.77777777777779</v>
      </c>
      <c r="BS14" s="180">
        <f>SUM(Distributievergoedingen!$F$12,Distributievergoedingen!$I$12,Distributievergoedingen!$L$12,Distributievergoedingen!$O$12)*AF14+SUM(Distributievergoedingen!$O$12*AA14+Distributievergoedingen!$R$12+Distributievergoedingen!$U$12+Distributievergoedingen!$X$12)/(MAX(36,12*C14))</f>
        <v>112.77777777777777</v>
      </c>
      <c r="BT14" s="150"/>
      <c r="BU14" s="150">
        <f t="shared" si="17"/>
        <v>215.55555555555554</v>
      </c>
      <c r="BW14" s="522">
        <f t="shared" si="18"/>
        <v>217.55555555555554</v>
      </c>
      <c r="BY14" s="527">
        <f t="shared" si="19"/>
        <v>810.22222222222229</v>
      </c>
      <c r="BZ14" s="181">
        <f t="shared" si="20"/>
        <v>0.78832432432432431</v>
      </c>
      <c r="CA14" s="520" t="b">
        <f t="shared" si="21"/>
        <v>0</v>
      </c>
    </row>
    <row r="15" spans="1:79" s="151" customFormat="1">
      <c r="A15" s="151" t="str">
        <f t="shared" si="0"/>
        <v>1EoKEntryCity50</v>
      </c>
      <c r="B15" s="520" t="str">
        <f t="shared" si="22"/>
        <v>1EoKEntryCity50</v>
      </c>
      <c r="C15" s="179">
        <v>1</v>
      </c>
      <c r="D15" s="179" t="s">
        <v>303</v>
      </c>
      <c r="E15" s="178" t="s">
        <v>45</v>
      </c>
      <c r="F15" s="178" t="s">
        <v>262</v>
      </c>
      <c r="G15" s="185" t="s">
        <v>416</v>
      </c>
      <c r="J15" s="520" t="str">
        <f t="shared" si="23"/>
        <v>EntryCity50</v>
      </c>
      <c r="L15" s="204">
        <f>INDEX(Mapping!$H:$H,MATCH(C$3&amp;C15,Mapping!$B:$B,0))</f>
        <v>1</v>
      </c>
      <c r="M15" s="204" t="str">
        <f>INDEX(Mapping!$H:$H,MATCH(D$3&amp;$D15,Mapping!$B:$B,0))</f>
        <v>EoK</v>
      </c>
      <c r="N15" s="204" t="str">
        <f>INDEX(Mapping!$H:$H,MATCH(E$3&amp;E15,Mapping!$B:$B,0))</f>
        <v>Lite</v>
      </c>
      <c r="O15" s="204" t="str">
        <f>INDEX(Mapping!$H:$H,MATCH(F$3&amp;F15,Mapping!$B:$B,0))</f>
        <v>Metro</v>
      </c>
      <c r="P15" s="204">
        <f>INDEX(Mapping!$H:$H,MATCH(G$3&amp;G15,Mapping!$B:$B,0))</f>
        <v>50</v>
      </c>
      <c r="Q15" s="204" t="str">
        <f>INDEX(Mapping!$H:$H,MATCH(Q$3&amp;$F15,Mapping!$B:$B,0))</f>
        <v>Metro - Regionaal</v>
      </c>
      <c r="R15" s="204" t="str">
        <f>INDEX(Mapping!$H:$H,MATCH("ZM VPN Service Level"&amp;E15,Mapping!$B:$B,0))</f>
        <v>Advanced</v>
      </c>
      <c r="S15" s="139" t="b">
        <f>IF($D15="EoK",INDEX(Mapping!$I:$I,MATCH($G$3&amp;$G15,Mapping!B:B,0)),FALSE)</f>
        <v>0</v>
      </c>
      <c r="T15" s="139"/>
      <c r="U15" s="520" t="str">
        <f t="shared" si="24"/>
        <v>LiteMetro50</v>
      </c>
      <c r="W15" s="521">
        <f>MATCH($J15,'Tarieven ZM'!$B:$B,0)</f>
        <v>19</v>
      </c>
      <c r="X15" s="204">
        <f>INDEX('Tarieven ZM'!$H:$H,$W15)</f>
        <v>1000</v>
      </c>
      <c r="Y15" s="198">
        <f>-INDEX(Parameters!$B:$B,MATCH(Y$3&amp;$C15,Parameters!$A:$A,0))*$X15</f>
        <v>0</v>
      </c>
      <c r="Z15" s="198">
        <f>-INDEX(Parameters!$B:$B,MATCH(Z$3&amp;$C15,Parameters!$A:$A,0))*$X15</f>
        <v>0</v>
      </c>
      <c r="AA15" s="139">
        <f t="shared" si="26"/>
        <v>1000</v>
      </c>
      <c r="AB15" s="205">
        <f>AA15/INDEX(Parameters!$B:$B,MATCH("AfschrijftermijnVVE"&amp;12*$C15,Parameters!$A:$A,0))</f>
        <v>27.777777777777779</v>
      </c>
      <c r="AC15" s="204">
        <f>INDEX('Tarieven ZM'!$G:$G,$W15)</f>
        <v>1000</v>
      </c>
      <c r="AD15" s="198">
        <f>-INDEX(Parameters!$B:$B,MATCH(AD$3&amp;$C15,Parameters!$A:$A,0))*$AC15</f>
        <v>0</v>
      </c>
      <c r="AE15" s="198">
        <f>-INDEX(Parameters!$B:$B,MATCH(AE$3,Parameters!$A:$A,0))*$AC15</f>
        <v>0</v>
      </c>
      <c r="AF15" s="139">
        <f t="shared" si="27"/>
        <v>1000</v>
      </c>
      <c r="AG15" s="522">
        <f t="shared" si="28"/>
        <v>1027.7777777777778</v>
      </c>
      <c r="AH15" s="175"/>
      <c r="AI15" s="523">
        <f>MATCH($U15,'Tarieven W&amp;O'!$B:$B,0)</f>
        <v>47</v>
      </c>
      <c r="AJ15" s="204">
        <f>IF(AI15&lt;&gt;"nvt",INDEX('Tarieven W&amp;O'!$H:$H,$AI15),0)</f>
        <v>0</v>
      </c>
      <c r="AK15" s="204">
        <f>IF(AI15&lt;&gt;"nvt",INDEX('Tarieven W&amp;O'!$I:$I,$AI15),0)</f>
        <v>25</v>
      </c>
      <c r="AL15" s="524">
        <f>IF(AI15&lt;&gt;"nvt",-INDEX(Parameters!$B:$B,MATCH(AL$3,Parameters!$A:$A,0))*(AJ15+AK15),0)</f>
        <v>0</v>
      </c>
      <c r="AM15" s="525"/>
      <c r="AN15" s="139">
        <f t="shared" si="29"/>
        <v>25</v>
      </c>
      <c r="AO15" s="205">
        <f>AN15/INDEX(Parameters!$B:$B,MATCH("AfschrijftermijnVVE"&amp;12*$C15,Parameters!$A:$A,0))</f>
        <v>0.69444444444444442</v>
      </c>
      <c r="AP15" s="139">
        <f t="shared" si="30"/>
        <v>47</v>
      </c>
      <c r="AQ15" s="526">
        <f>IF(AP15&lt;&gt;"nvt",INDEX('Tarieven W&amp;O'!$G:$G,$AP15),0)</f>
        <v>48.62</v>
      </c>
      <c r="AR15" s="251">
        <f>IF($S15,INDEX('Tarieven W&amp;O'!$G:$G,MATCH(N15&amp;R15,'Tarieven W&amp;O'!$B:$B,0)),0)</f>
        <v>0</v>
      </c>
      <c r="AS15" s="205">
        <f>-INDEX(Parameters!$B:$B,MATCH(AS$3,Parameters!$A:$A,0))*(AQ15+AR15)</f>
        <v>0</v>
      </c>
      <c r="AT15" s="205">
        <f>INDEX(hulpblad!$E:$E,MATCH(M15&amp;Q15,hulpblad!$B:$B,0))</f>
        <v>1</v>
      </c>
      <c r="AU15" s="150">
        <f t="shared" si="8"/>
        <v>49.62</v>
      </c>
      <c r="AV15" s="150">
        <f t="shared" si="9"/>
        <v>50.31444444444444</v>
      </c>
      <c r="AX15" s="526">
        <f>Parameters!$B$6*AV15</f>
        <v>0.50314444444444439</v>
      </c>
      <c r="AY15" s="150">
        <v>0</v>
      </c>
      <c r="AZ15" s="150"/>
      <c r="BA15" s="150">
        <f t="shared" si="31"/>
        <v>0.50314444444444439</v>
      </c>
      <c r="BB15" s="150"/>
      <c r="BC15" s="522">
        <f t="shared" si="32"/>
        <v>50.817588888888885</v>
      </c>
      <c r="BD15" s="175"/>
      <c r="BE15" s="527">
        <f t="shared" si="12"/>
        <v>976.96018888888898</v>
      </c>
      <c r="BF15" s="181">
        <f t="shared" si="13"/>
        <v>0.95055585945945953</v>
      </c>
      <c r="BG15" s="520" t="b">
        <f t="shared" si="25"/>
        <v>0</v>
      </c>
      <c r="BI15" s="528" t="s">
        <v>2181</v>
      </c>
      <c r="BL15" s="151" t="str">
        <f t="shared" si="15"/>
        <v>EoKMetro - Regionaal</v>
      </c>
      <c r="BM15" s="529">
        <v>0</v>
      </c>
      <c r="BN15" s="180">
        <f>BM15/INDEX(Parameters!$B:$B,MATCH("AfschrijftermijnVVE"&amp;12*$C15,Parameters!$A:$A,0))</f>
        <v>0</v>
      </c>
      <c r="BO15" s="184">
        <f>INDEX('inkoop ULL tbv EVPN'!I:I,MATCH(BL15,'inkoop ULL tbv EVPN'!H:H,0))</f>
        <v>2</v>
      </c>
      <c r="BP15" s="184">
        <f t="shared" si="16"/>
        <v>2</v>
      </c>
      <c r="BR15" s="180">
        <f>Parameters!$B$12*AG15</f>
        <v>102.77777777777779</v>
      </c>
      <c r="BS15" s="180">
        <f>SUM(Distributievergoedingen!$F$12,Distributievergoedingen!$I$12,Distributievergoedingen!$L$12,Distributievergoedingen!$O$12)*AF15+SUM(Distributievergoedingen!$O$12*AA15+Distributievergoedingen!$R$12+Distributievergoedingen!$U$12+Distributievergoedingen!$X$12)/(MAX(36,12*C15))</f>
        <v>112.77777777777777</v>
      </c>
      <c r="BT15" s="150"/>
      <c r="BU15" s="150">
        <f t="shared" si="17"/>
        <v>215.55555555555554</v>
      </c>
      <c r="BW15" s="522">
        <f t="shared" si="18"/>
        <v>217.55555555555554</v>
      </c>
      <c r="BY15" s="527">
        <f t="shared" si="19"/>
        <v>810.22222222222229</v>
      </c>
      <c r="BZ15" s="181">
        <f t="shared" si="20"/>
        <v>0.78832432432432431</v>
      </c>
      <c r="CA15" s="520" t="b">
        <f t="shared" si="21"/>
        <v>0</v>
      </c>
    </row>
    <row r="16" spans="1:79" s="151" customFormat="1">
      <c r="A16" s="151" t="str">
        <f t="shared" si="0"/>
        <v>1EoKEntryCity80</v>
      </c>
      <c r="B16" s="520" t="str">
        <f t="shared" si="22"/>
        <v>1EoKEntryCity80</v>
      </c>
      <c r="C16" s="179">
        <v>1</v>
      </c>
      <c r="D16" s="179" t="s">
        <v>303</v>
      </c>
      <c r="E16" s="178" t="s">
        <v>45</v>
      </c>
      <c r="F16" s="178" t="s">
        <v>262</v>
      </c>
      <c r="G16" s="185" t="s">
        <v>417</v>
      </c>
      <c r="J16" s="520" t="str">
        <f t="shared" si="23"/>
        <v>EntryCity80</v>
      </c>
      <c r="L16" s="204">
        <f>INDEX(Mapping!$H:$H,MATCH(C$3&amp;C16,Mapping!$B:$B,0))</f>
        <v>1</v>
      </c>
      <c r="M16" s="204" t="str">
        <f>INDEX(Mapping!$H:$H,MATCH(D$3&amp;$D16,Mapping!$B:$B,0))</f>
        <v>EoK</v>
      </c>
      <c r="N16" s="204" t="str">
        <f>INDEX(Mapping!$H:$H,MATCH(E$3&amp;E16,Mapping!$B:$B,0))</f>
        <v>Lite</v>
      </c>
      <c r="O16" s="204" t="str">
        <f>INDEX(Mapping!$H:$H,MATCH(F$3&amp;F16,Mapping!$B:$B,0))</f>
        <v>Metro</v>
      </c>
      <c r="P16" s="204">
        <f>INDEX(Mapping!$H:$H,MATCH(G$3&amp;G16,Mapping!$B:$B,0))</f>
        <v>80</v>
      </c>
      <c r="Q16" s="204" t="str">
        <f>INDEX(Mapping!$H:$H,MATCH(Q$3&amp;$F16,Mapping!$B:$B,0))</f>
        <v>Metro - Regionaal</v>
      </c>
      <c r="R16" s="204" t="str">
        <f>INDEX(Mapping!$H:$H,MATCH("ZM VPN Service Level"&amp;E16,Mapping!$B:$B,0))</f>
        <v>Advanced</v>
      </c>
      <c r="S16" s="139" t="b">
        <f>IF($D16="EoK",INDEX(Mapping!$I:$I,MATCH($G$3&amp;$G16,Mapping!B:B,0)),FALSE)</f>
        <v>0</v>
      </c>
      <c r="T16" s="139"/>
      <c r="U16" s="520" t="str">
        <f t="shared" si="24"/>
        <v>LiteMetro80</v>
      </c>
      <c r="W16" s="521">
        <f>MATCH($J16,'Tarieven ZM'!$B:$B,0)</f>
        <v>20</v>
      </c>
      <c r="X16" s="204">
        <f>INDEX('Tarieven ZM'!$H:$H,$W16)</f>
        <v>1000</v>
      </c>
      <c r="Y16" s="198">
        <f>-INDEX(Parameters!$B:$B,MATCH(Y$3&amp;$C16,Parameters!$A:$A,0))*$X16</f>
        <v>0</v>
      </c>
      <c r="Z16" s="198">
        <f>-INDEX(Parameters!$B:$B,MATCH(Z$3&amp;$C16,Parameters!$A:$A,0))*$X16</f>
        <v>0</v>
      </c>
      <c r="AA16" s="139">
        <f t="shared" si="26"/>
        <v>1000</v>
      </c>
      <c r="AB16" s="205">
        <f>AA16/INDEX(Parameters!$B:$B,MATCH("AfschrijftermijnVVE"&amp;12*$C16,Parameters!$A:$A,0))</f>
        <v>27.777777777777779</v>
      </c>
      <c r="AC16" s="204">
        <f>INDEX('Tarieven ZM'!$G:$G,$W16)</f>
        <v>1000</v>
      </c>
      <c r="AD16" s="198">
        <f>-INDEX(Parameters!$B:$B,MATCH(AD$3&amp;$C16,Parameters!$A:$A,0))*$AC16</f>
        <v>0</v>
      </c>
      <c r="AE16" s="198">
        <f>-INDEX(Parameters!$B:$B,MATCH(AE$3,Parameters!$A:$A,0))*$AC16</f>
        <v>0</v>
      </c>
      <c r="AF16" s="139">
        <f t="shared" si="27"/>
        <v>1000</v>
      </c>
      <c r="AG16" s="522">
        <f t="shared" si="28"/>
        <v>1027.7777777777778</v>
      </c>
      <c r="AH16" s="175"/>
      <c r="AI16" s="523">
        <f>MATCH($U16,'Tarieven W&amp;O'!$B:$B,0)</f>
        <v>48</v>
      </c>
      <c r="AJ16" s="204">
        <f>IF(AI16&lt;&gt;"nvt",INDEX('Tarieven W&amp;O'!$H:$H,$AI16),0)</f>
        <v>0</v>
      </c>
      <c r="AK16" s="204">
        <f>IF(AI16&lt;&gt;"nvt",INDEX('Tarieven W&amp;O'!$I:$I,$AI16),0)</f>
        <v>25</v>
      </c>
      <c r="AL16" s="524">
        <f>IF(AI16&lt;&gt;"nvt",-INDEX(Parameters!$B:$B,MATCH(AL$3,Parameters!$A:$A,0))*(AJ16+AK16),0)</f>
        <v>0</v>
      </c>
      <c r="AM16" s="525"/>
      <c r="AN16" s="139">
        <f t="shared" si="29"/>
        <v>25</v>
      </c>
      <c r="AO16" s="205">
        <f>AN16/INDEX(Parameters!$B:$B,MATCH("AfschrijftermijnVVE"&amp;12*$C16,Parameters!$A:$A,0))</f>
        <v>0.69444444444444442</v>
      </c>
      <c r="AP16" s="139">
        <f t="shared" si="30"/>
        <v>48</v>
      </c>
      <c r="AQ16" s="526">
        <f>IF(AP16&lt;&gt;"nvt",INDEX('Tarieven W&amp;O'!$G:$G,$AP16),0)</f>
        <v>63.7</v>
      </c>
      <c r="AR16" s="251">
        <f>IF($S16,INDEX('Tarieven W&amp;O'!$G:$G,MATCH(N16&amp;R16,'Tarieven W&amp;O'!$B:$B,0)),0)</f>
        <v>0</v>
      </c>
      <c r="AS16" s="205">
        <f>-INDEX(Parameters!$B:$B,MATCH(AS$3,Parameters!$A:$A,0))*(AQ16+AR16)</f>
        <v>0</v>
      </c>
      <c r="AT16" s="205">
        <f>INDEX(hulpblad!$E:$E,MATCH(M16&amp;Q16,hulpblad!$B:$B,0))</f>
        <v>1</v>
      </c>
      <c r="AU16" s="150">
        <f t="shared" si="8"/>
        <v>64.7</v>
      </c>
      <c r="AV16" s="150">
        <f t="shared" si="9"/>
        <v>65.394444444444446</v>
      </c>
      <c r="AX16" s="526">
        <f>Parameters!$B$6*AV16</f>
        <v>0.65394444444444444</v>
      </c>
      <c r="AY16" s="150">
        <v>0</v>
      </c>
      <c r="AZ16" s="150"/>
      <c r="BA16" s="150">
        <f t="shared" si="31"/>
        <v>0.65394444444444444</v>
      </c>
      <c r="BB16" s="150"/>
      <c r="BC16" s="522">
        <f t="shared" si="32"/>
        <v>66.048388888888894</v>
      </c>
      <c r="BD16" s="175"/>
      <c r="BE16" s="527">
        <f t="shared" si="12"/>
        <v>961.72938888888893</v>
      </c>
      <c r="BF16" s="181">
        <f t="shared" si="13"/>
        <v>0.93573670270270271</v>
      </c>
      <c r="BG16" s="520" t="b">
        <f t="shared" si="25"/>
        <v>0</v>
      </c>
      <c r="BI16" s="528" t="s">
        <v>2181</v>
      </c>
      <c r="BL16" s="151" t="str">
        <f t="shared" si="15"/>
        <v>EoKMetro - Regionaal</v>
      </c>
      <c r="BM16" s="529">
        <v>0</v>
      </c>
      <c r="BN16" s="180">
        <f>BM16/INDEX(Parameters!$B:$B,MATCH("AfschrijftermijnVVE"&amp;12*$C16,Parameters!$A:$A,0))</f>
        <v>0</v>
      </c>
      <c r="BO16" s="184">
        <f>INDEX('inkoop ULL tbv EVPN'!I:I,MATCH(BL16,'inkoop ULL tbv EVPN'!H:H,0))</f>
        <v>2</v>
      </c>
      <c r="BP16" s="184">
        <f t="shared" si="16"/>
        <v>2</v>
      </c>
      <c r="BR16" s="180">
        <f>Parameters!$B$12*AG16</f>
        <v>102.77777777777779</v>
      </c>
      <c r="BS16" s="180">
        <f>SUM(Distributievergoedingen!$F$12,Distributievergoedingen!$I$12,Distributievergoedingen!$L$12,Distributievergoedingen!$O$12)*AF16+SUM(Distributievergoedingen!$O$12*AA16+Distributievergoedingen!$R$12+Distributievergoedingen!$U$12+Distributievergoedingen!$X$12)/(MAX(36,12*C16))</f>
        <v>112.77777777777777</v>
      </c>
      <c r="BT16" s="150"/>
      <c r="BU16" s="150">
        <f t="shared" si="17"/>
        <v>215.55555555555554</v>
      </c>
      <c r="BW16" s="522">
        <f t="shared" si="18"/>
        <v>217.55555555555554</v>
      </c>
      <c r="BY16" s="527">
        <f t="shared" si="19"/>
        <v>810.22222222222229</v>
      </c>
      <c r="BZ16" s="181">
        <f t="shared" si="20"/>
        <v>0.78832432432432431</v>
      </c>
      <c r="CA16" s="520" t="b">
        <f t="shared" si="21"/>
        <v>0</v>
      </c>
    </row>
    <row r="17" spans="1:79" s="151" customFormat="1">
      <c r="A17" s="151" t="str">
        <f t="shared" si="0"/>
        <v>1EoKEntryCity100</v>
      </c>
      <c r="B17" s="520" t="str">
        <f t="shared" si="22"/>
        <v>1EoKEntryCity100</v>
      </c>
      <c r="C17" s="179">
        <v>1</v>
      </c>
      <c r="D17" s="179" t="s">
        <v>303</v>
      </c>
      <c r="E17" s="178" t="s">
        <v>45</v>
      </c>
      <c r="F17" s="178" t="s">
        <v>262</v>
      </c>
      <c r="G17" s="185" t="s">
        <v>418</v>
      </c>
      <c r="J17" s="520" t="str">
        <f t="shared" si="23"/>
        <v>EntryCity100</v>
      </c>
      <c r="L17" s="204">
        <f>INDEX(Mapping!$H:$H,MATCH(C$3&amp;C17,Mapping!$B:$B,0))</f>
        <v>1</v>
      </c>
      <c r="M17" s="204" t="str">
        <f>INDEX(Mapping!$H:$H,MATCH(D$3&amp;$D17,Mapping!$B:$B,0))</f>
        <v>EoK</v>
      </c>
      <c r="N17" s="204" t="str">
        <f>INDEX(Mapping!$H:$H,MATCH(E$3&amp;E17,Mapping!$B:$B,0))</f>
        <v>Lite</v>
      </c>
      <c r="O17" s="204" t="str">
        <f>INDEX(Mapping!$H:$H,MATCH(F$3&amp;F17,Mapping!$B:$B,0))</f>
        <v>Metro</v>
      </c>
      <c r="P17" s="204">
        <f>INDEX(Mapping!$H:$H,MATCH(G$3&amp;G17,Mapping!$B:$B,0))</f>
        <v>100</v>
      </c>
      <c r="Q17" s="204" t="str">
        <f>INDEX(Mapping!$H:$H,MATCH(Q$3&amp;$F17,Mapping!$B:$B,0))</f>
        <v>Metro - Regionaal</v>
      </c>
      <c r="R17" s="204" t="str">
        <f>INDEX(Mapping!$H:$H,MATCH("ZM VPN Service Level"&amp;E17,Mapping!$B:$B,0))</f>
        <v>Advanced</v>
      </c>
      <c r="S17" s="139" t="b">
        <f>IF($D17="EoK",INDEX(Mapping!$I:$I,MATCH($G$3&amp;$G17,Mapping!B:B,0)),FALSE)</f>
        <v>0</v>
      </c>
      <c r="T17" s="139"/>
      <c r="U17" s="520" t="str">
        <f t="shared" si="24"/>
        <v>LiteMetro100</v>
      </c>
      <c r="W17" s="521">
        <f>MATCH($J17,'Tarieven ZM'!$B:$B,0)</f>
        <v>21</v>
      </c>
      <c r="X17" s="204">
        <f>INDEX('Tarieven ZM'!$H:$H,$W17)</f>
        <v>1000</v>
      </c>
      <c r="Y17" s="198">
        <f>-INDEX(Parameters!$B:$B,MATCH(Y$3&amp;$C17,Parameters!$A:$A,0))*$X17</f>
        <v>0</v>
      </c>
      <c r="Z17" s="198">
        <f>-INDEX(Parameters!$B:$B,MATCH(Z$3&amp;$C17,Parameters!$A:$A,0))*$X17</f>
        <v>0</v>
      </c>
      <c r="AA17" s="139">
        <f t="shared" si="26"/>
        <v>1000</v>
      </c>
      <c r="AB17" s="205">
        <f>AA17/INDEX(Parameters!$B:$B,MATCH("AfschrijftermijnVVE"&amp;12*$C17,Parameters!$A:$A,0))</f>
        <v>27.777777777777779</v>
      </c>
      <c r="AC17" s="204">
        <f>INDEX('Tarieven ZM'!$G:$G,$W17)</f>
        <v>1000</v>
      </c>
      <c r="AD17" s="198">
        <f>-INDEX(Parameters!$B:$B,MATCH(AD$3&amp;$C17,Parameters!$A:$A,0))*$AC17</f>
        <v>0</v>
      </c>
      <c r="AE17" s="198">
        <f>-INDEX(Parameters!$B:$B,MATCH(AE$3,Parameters!$A:$A,0))*$AC17</f>
        <v>0</v>
      </c>
      <c r="AF17" s="139">
        <f t="shared" si="27"/>
        <v>1000</v>
      </c>
      <c r="AG17" s="522">
        <f t="shared" si="28"/>
        <v>1027.7777777777778</v>
      </c>
      <c r="AH17" s="175"/>
      <c r="AI17" s="523">
        <f>MATCH($U17,'Tarieven W&amp;O'!$B:$B,0)</f>
        <v>49</v>
      </c>
      <c r="AJ17" s="204">
        <f>IF(AI17&lt;&gt;"nvt",INDEX('Tarieven W&amp;O'!$H:$H,$AI17),0)</f>
        <v>0</v>
      </c>
      <c r="AK17" s="204">
        <f>IF(AI17&lt;&gt;"nvt",INDEX('Tarieven W&amp;O'!$I:$I,$AI17),0)</f>
        <v>25</v>
      </c>
      <c r="AL17" s="524">
        <f>IF(AI17&lt;&gt;"nvt",-INDEX(Parameters!$B:$B,MATCH(AL$3,Parameters!$A:$A,0))*(AJ17+AK17),0)</f>
        <v>0</v>
      </c>
      <c r="AM17" s="525"/>
      <c r="AN17" s="139">
        <f t="shared" si="29"/>
        <v>25</v>
      </c>
      <c r="AO17" s="205">
        <f>AN17/INDEX(Parameters!$B:$B,MATCH("AfschrijftermijnVVE"&amp;12*$C17,Parameters!$A:$A,0))</f>
        <v>0.69444444444444442</v>
      </c>
      <c r="AP17" s="139">
        <f t="shared" si="30"/>
        <v>49</v>
      </c>
      <c r="AQ17" s="526">
        <f>IF(AP17&lt;&gt;"nvt",INDEX('Tarieven W&amp;O'!$G:$G,$AP17),0)</f>
        <v>71.239999999999995</v>
      </c>
      <c r="AR17" s="251">
        <f>IF($S17,INDEX('Tarieven W&amp;O'!$G:$G,MATCH(N17&amp;R17,'Tarieven W&amp;O'!$B:$B,0)),0)</f>
        <v>0</v>
      </c>
      <c r="AS17" s="205">
        <f>-INDEX(Parameters!$B:$B,MATCH(AS$3,Parameters!$A:$A,0))*(AQ17+AR17)</f>
        <v>0</v>
      </c>
      <c r="AT17" s="205">
        <f>INDEX(hulpblad!$E:$E,MATCH(M17&amp;Q17,hulpblad!$B:$B,0))</f>
        <v>1</v>
      </c>
      <c r="AU17" s="150">
        <f t="shared" si="8"/>
        <v>72.239999999999995</v>
      </c>
      <c r="AV17" s="150">
        <f t="shared" si="9"/>
        <v>72.934444444444438</v>
      </c>
      <c r="AX17" s="526">
        <f>Parameters!$B$6*AV17</f>
        <v>0.72934444444444435</v>
      </c>
      <c r="AY17" s="150">
        <v>0</v>
      </c>
      <c r="AZ17" s="150"/>
      <c r="BA17" s="150">
        <f t="shared" si="31"/>
        <v>0.72934444444444435</v>
      </c>
      <c r="BB17" s="150"/>
      <c r="BC17" s="522">
        <f t="shared" si="32"/>
        <v>73.663788888888888</v>
      </c>
      <c r="BD17" s="175"/>
      <c r="BE17" s="527">
        <f t="shared" si="12"/>
        <v>954.11398888888891</v>
      </c>
      <c r="BF17" s="181">
        <f t="shared" si="13"/>
        <v>0.92832712432432429</v>
      </c>
      <c r="BG17" s="520" t="b">
        <f t="shared" si="25"/>
        <v>0</v>
      </c>
      <c r="BI17" s="528" t="s">
        <v>2181</v>
      </c>
      <c r="BL17" s="151" t="str">
        <f t="shared" si="15"/>
        <v>EoKMetro - Regionaal</v>
      </c>
      <c r="BM17" s="529">
        <v>0</v>
      </c>
      <c r="BN17" s="180">
        <f>BM17/INDEX(Parameters!$B:$B,MATCH("AfschrijftermijnVVE"&amp;12*$C17,Parameters!$A:$A,0))</f>
        <v>0</v>
      </c>
      <c r="BO17" s="184">
        <f>INDEX('inkoop ULL tbv EVPN'!I:I,MATCH(BL17,'inkoop ULL tbv EVPN'!H:H,0))</f>
        <v>2</v>
      </c>
      <c r="BP17" s="184">
        <f t="shared" si="16"/>
        <v>2</v>
      </c>
      <c r="BR17" s="180">
        <f>Parameters!$B$12*AG17</f>
        <v>102.77777777777779</v>
      </c>
      <c r="BS17" s="180">
        <f>SUM(Distributievergoedingen!$F$12,Distributievergoedingen!$I$12,Distributievergoedingen!$L$12,Distributievergoedingen!$O$12)*AF17+SUM(Distributievergoedingen!$O$12*AA17+Distributievergoedingen!$R$12+Distributievergoedingen!$U$12+Distributievergoedingen!$X$12)/(MAX(36,12*C17))</f>
        <v>112.77777777777777</v>
      </c>
      <c r="BT17" s="150"/>
      <c r="BU17" s="150">
        <f t="shared" si="17"/>
        <v>215.55555555555554</v>
      </c>
      <c r="BW17" s="522">
        <f t="shared" si="18"/>
        <v>217.55555555555554</v>
      </c>
      <c r="BY17" s="527">
        <f t="shared" si="19"/>
        <v>810.22222222222229</v>
      </c>
      <c r="BZ17" s="181">
        <f t="shared" si="20"/>
        <v>0.78832432432432431</v>
      </c>
      <c r="CA17" s="520" t="b">
        <f t="shared" si="21"/>
        <v>0</v>
      </c>
    </row>
    <row r="18" spans="1:79" s="151" customFormat="1">
      <c r="A18" s="151" t="str">
        <f t="shared" si="0"/>
        <v>1EoKEntryCity200</v>
      </c>
      <c r="B18" s="520" t="str">
        <f t="shared" si="22"/>
        <v>1EoKEntryCity200</v>
      </c>
      <c r="C18" s="179">
        <v>1</v>
      </c>
      <c r="D18" s="179" t="s">
        <v>303</v>
      </c>
      <c r="E18" s="178" t="s">
        <v>45</v>
      </c>
      <c r="F18" s="178" t="s">
        <v>262</v>
      </c>
      <c r="G18" s="185" t="s">
        <v>419</v>
      </c>
      <c r="J18" s="520" t="str">
        <f t="shared" si="23"/>
        <v>EntryCity200</v>
      </c>
      <c r="L18" s="204">
        <f>INDEX(Mapping!$H:$H,MATCH(C$3&amp;C18,Mapping!$B:$B,0))</f>
        <v>1</v>
      </c>
      <c r="M18" s="204" t="str">
        <f>INDEX(Mapping!$H:$H,MATCH(D$3&amp;$D18,Mapping!$B:$B,0))</f>
        <v>EoK</v>
      </c>
      <c r="N18" s="204" t="str">
        <f>INDEX(Mapping!$H:$H,MATCH(E$3&amp;E18,Mapping!$B:$B,0))</f>
        <v>Lite</v>
      </c>
      <c r="O18" s="204" t="str">
        <f>INDEX(Mapping!$H:$H,MATCH(F$3&amp;F18,Mapping!$B:$B,0))</f>
        <v>Metro</v>
      </c>
      <c r="P18" s="204">
        <f>INDEX(Mapping!$H:$H,MATCH(G$3&amp;G18,Mapping!$B:$B,0))</f>
        <v>200</v>
      </c>
      <c r="Q18" s="204" t="str">
        <f>INDEX(Mapping!$H:$H,MATCH(Q$3&amp;$F18,Mapping!$B:$B,0))</f>
        <v>Metro - Regionaal</v>
      </c>
      <c r="R18" s="204" t="str">
        <f>INDEX(Mapping!$H:$H,MATCH("ZM VPN Service Level"&amp;E18,Mapping!$B:$B,0))</f>
        <v>Advanced</v>
      </c>
      <c r="S18" s="139" t="b">
        <f>IF($D18="EoK",INDEX(Mapping!$I:$I,MATCH($G$3&amp;$G18,Mapping!B:B,0)),FALSE)</f>
        <v>0</v>
      </c>
      <c r="T18" s="139"/>
      <c r="U18" s="520" t="str">
        <f t="shared" si="24"/>
        <v>LiteMetro200</v>
      </c>
      <c r="W18" s="521">
        <f>MATCH($J18,'Tarieven ZM'!$B:$B,0)</f>
        <v>22</v>
      </c>
      <c r="X18" s="204">
        <f>INDEX('Tarieven ZM'!$H:$H,$W18)</f>
        <v>1000</v>
      </c>
      <c r="Y18" s="198">
        <f>-INDEX(Parameters!$B:$B,MATCH(Y$3&amp;$C18,Parameters!$A:$A,0))*$X18</f>
        <v>0</v>
      </c>
      <c r="Z18" s="198">
        <f>-INDEX(Parameters!$B:$B,MATCH(Z$3&amp;$C18,Parameters!$A:$A,0))*$X18</f>
        <v>0</v>
      </c>
      <c r="AA18" s="139">
        <f t="shared" si="26"/>
        <v>1000</v>
      </c>
      <c r="AB18" s="205">
        <f>AA18/INDEX(Parameters!$B:$B,MATCH("AfschrijftermijnVVE"&amp;12*$C18,Parameters!$A:$A,0))</f>
        <v>27.777777777777779</v>
      </c>
      <c r="AC18" s="204">
        <f>INDEX('Tarieven ZM'!$G:$G,$W18)</f>
        <v>1000</v>
      </c>
      <c r="AD18" s="198">
        <f>-INDEX(Parameters!$B:$B,MATCH(AD$3&amp;$C18,Parameters!$A:$A,0))*$AC18</f>
        <v>0</v>
      </c>
      <c r="AE18" s="198">
        <f>-INDEX(Parameters!$B:$B,MATCH(AE$3,Parameters!$A:$A,0))*$AC18</f>
        <v>0</v>
      </c>
      <c r="AF18" s="139">
        <f t="shared" si="27"/>
        <v>1000</v>
      </c>
      <c r="AG18" s="522">
        <f t="shared" si="28"/>
        <v>1027.7777777777778</v>
      </c>
      <c r="AH18" s="175"/>
      <c r="AI18" s="523">
        <f>MATCH($U18,'Tarieven W&amp;O'!$B:$B,0)</f>
        <v>50</v>
      </c>
      <c r="AJ18" s="204">
        <f>IF(AI18&lt;&gt;"nvt",INDEX('Tarieven W&amp;O'!$H:$H,$AI18),0)</f>
        <v>0</v>
      </c>
      <c r="AK18" s="204">
        <f>IF(AI18&lt;&gt;"nvt",INDEX('Tarieven W&amp;O'!$I:$I,$AI18),0)</f>
        <v>25</v>
      </c>
      <c r="AL18" s="524">
        <f>IF(AI18&lt;&gt;"nvt",-INDEX(Parameters!$B:$B,MATCH(AL$3,Parameters!$A:$A,0))*(AJ18+AK18),0)</f>
        <v>0</v>
      </c>
      <c r="AM18" s="525"/>
      <c r="AN18" s="139">
        <f t="shared" si="29"/>
        <v>25</v>
      </c>
      <c r="AO18" s="205">
        <f>AN18/INDEX(Parameters!$B:$B,MATCH("AfschrijftermijnVVE"&amp;12*$C18,Parameters!$A:$A,0))</f>
        <v>0.69444444444444442</v>
      </c>
      <c r="AP18" s="139">
        <f t="shared" si="30"/>
        <v>50</v>
      </c>
      <c r="AQ18" s="526">
        <f>IF(AP18&lt;&gt;"nvt",INDEX('Tarieven W&amp;O'!$G:$G,$AP18),0)</f>
        <v>108.93</v>
      </c>
      <c r="AR18" s="251">
        <f>IF($S18,INDEX('Tarieven W&amp;O'!$G:$G,MATCH(N18&amp;R18,'Tarieven W&amp;O'!$B:$B,0)),0)</f>
        <v>0</v>
      </c>
      <c r="AS18" s="205">
        <f>-INDEX(Parameters!$B:$B,MATCH(AS$3,Parameters!$A:$A,0))*(AQ18+AR18)</f>
        <v>0</v>
      </c>
      <c r="AT18" s="205">
        <f>INDEX(hulpblad!$E:$E,MATCH(M18&amp;Q18,hulpblad!$B:$B,0))</f>
        <v>1</v>
      </c>
      <c r="AU18" s="150">
        <f t="shared" ref="AU18:AU81" si="33">SUM(AQ18:AT18)</f>
        <v>109.93</v>
      </c>
      <c r="AV18" s="150">
        <f t="shared" ref="AV18:AV81" si="34">SUM(AO18,AU18)</f>
        <v>110.62444444444445</v>
      </c>
      <c r="AX18" s="526">
        <f>Parameters!$B$6*AV18</f>
        <v>1.1062444444444446</v>
      </c>
      <c r="AY18" s="150">
        <v>0</v>
      </c>
      <c r="AZ18" s="150"/>
      <c r="BA18" s="150">
        <f t="shared" si="31"/>
        <v>1.1062444444444446</v>
      </c>
      <c r="BB18" s="150"/>
      <c r="BC18" s="522">
        <f t="shared" si="32"/>
        <v>111.73068888888889</v>
      </c>
      <c r="BD18" s="175"/>
      <c r="BE18" s="527">
        <f t="shared" ref="BE18:BE81" si="35">AG18-BC18</f>
        <v>916.04708888888899</v>
      </c>
      <c r="BF18" s="181">
        <f t="shared" ref="BF18:BF81" si="36">IF(AG18=0,-999%,BE18/AG18)</f>
        <v>0.89128905945945947</v>
      </c>
      <c r="BG18" s="520" t="b">
        <f t="shared" si="25"/>
        <v>0</v>
      </c>
      <c r="BI18" s="528" t="s">
        <v>2181</v>
      </c>
      <c r="BL18" s="151" t="str">
        <f t="shared" si="15"/>
        <v>EoKMetro - Regionaal</v>
      </c>
      <c r="BM18" s="529">
        <v>0</v>
      </c>
      <c r="BN18" s="180">
        <f>BM18/INDEX(Parameters!$B:$B,MATCH("AfschrijftermijnVVE"&amp;12*$C18,Parameters!$A:$A,0))</f>
        <v>0</v>
      </c>
      <c r="BO18" s="184">
        <f>INDEX('inkoop ULL tbv EVPN'!I:I,MATCH(BL18,'inkoop ULL tbv EVPN'!H:H,0))</f>
        <v>2</v>
      </c>
      <c r="BP18" s="184">
        <f t="shared" si="16"/>
        <v>2</v>
      </c>
      <c r="BR18" s="180">
        <f>Parameters!$B$12*AG18</f>
        <v>102.77777777777779</v>
      </c>
      <c r="BS18" s="180">
        <f>SUM(Distributievergoedingen!$F$12,Distributievergoedingen!$I$12,Distributievergoedingen!$L$12,Distributievergoedingen!$O$12)*AF18+SUM(Distributievergoedingen!$O$12*AA18+Distributievergoedingen!$R$12+Distributievergoedingen!$U$12+Distributievergoedingen!$X$12)/(MAX(36,12*C18))</f>
        <v>112.77777777777777</v>
      </c>
      <c r="BT18" s="150"/>
      <c r="BU18" s="150">
        <f t="shared" si="17"/>
        <v>215.55555555555554</v>
      </c>
      <c r="BW18" s="522">
        <f t="shared" si="18"/>
        <v>217.55555555555554</v>
      </c>
      <c r="BY18" s="527">
        <f t="shared" si="19"/>
        <v>810.22222222222229</v>
      </c>
      <c r="BZ18" s="181">
        <f t="shared" si="20"/>
        <v>0.78832432432432431</v>
      </c>
      <c r="CA18" s="520" t="b">
        <f t="shared" si="21"/>
        <v>0</v>
      </c>
    </row>
    <row r="19" spans="1:79" s="151" customFormat="1">
      <c r="A19" s="151" t="str">
        <f t="shared" ref="A19:A82" si="37">C19&amp;D19&amp;E19&amp;F19&amp;G19&amp;H19</f>
        <v>1EoKEntryCity300</v>
      </c>
      <c r="B19" s="520" t="str">
        <f t="shared" si="22"/>
        <v>1EoKEntryCity300</v>
      </c>
      <c r="C19" s="179">
        <v>1</v>
      </c>
      <c r="D19" s="179" t="s">
        <v>303</v>
      </c>
      <c r="E19" s="178" t="s">
        <v>45</v>
      </c>
      <c r="F19" s="178" t="s">
        <v>262</v>
      </c>
      <c r="G19" s="185" t="s">
        <v>420</v>
      </c>
      <c r="J19" s="520" t="str">
        <f t="shared" si="23"/>
        <v>EntryCity300</v>
      </c>
      <c r="L19" s="204">
        <f>INDEX(Mapping!$H:$H,MATCH(C$3&amp;C19,Mapping!$B:$B,0))</f>
        <v>1</v>
      </c>
      <c r="M19" s="204" t="str">
        <f>INDEX(Mapping!$H:$H,MATCH(D$3&amp;$D19,Mapping!$B:$B,0))</f>
        <v>EoK</v>
      </c>
      <c r="N19" s="204" t="str">
        <f>INDEX(Mapping!$H:$H,MATCH(E$3&amp;E19,Mapping!$B:$B,0))</f>
        <v>Lite</v>
      </c>
      <c r="O19" s="204" t="str">
        <f>INDEX(Mapping!$H:$H,MATCH(F$3&amp;F19,Mapping!$B:$B,0))</f>
        <v>Metro</v>
      </c>
      <c r="P19" s="204">
        <f>INDEX(Mapping!$H:$H,MATCH(G$3&amp;G19,Mapping!$B:$B,0))</f>
        <v>300</v>
      </c>
      <c r="Q19" s="204" t="str">
        <f>INDEX(Mapping!$H:$H,MATCH(Q$3&amp;$F19,Mapping!$B:$B,0))</f>
        <v>Metro - Regionaal</v>
      </c>
      <c r="R19" s="204" t="str">
        <f>INDEX(Mapping!$H:$H,MATCH("ZM VPN Service Level"&amp;E19,Mapping!$B:$B,0))</f>
        <v>Advanced</v>
      </c>
      <c r="S19" s="139" t="b">
        <f>IF($D19="EoK",INDEX(Mapping!$I:$I,MATCH($G$3&amp;$G19,Mapping!B:B,0)),FALSE)</f>
        <v>0</v>
      </c>
      <c r="T19" s="139"/>
      <c r="U19" s="520" t="str">
        <f t="shared" si="24"/>
        <v>LiteMetro300</v>
      </c>
      <c r="W19" s="521">
        <f>MATCH($J19,'Tarieven ZM'!$B:$B,0)</f>
        <v>23</v>
      </c>
      <c r="X19" s="204">
        <f>INDEX('Tarieven ZM'!$H:$H,$W19)</f>
        <v>1000</v>
      </c>
      <c r="Y19" s="198">
        <f>-INDEX(Parameters!$B:$B,MATCH(Y$3&amp;$C19,Parameters!$A:$A,0))*$X19</f>
        <v>0</v>
      </c>
      <c r="Z19" s="198">
        <f>-INDEX(Parameters!$B:$B,MATCH(Z$3&amp;$C19,Parameters!$A:$A,0))*$X19</f>
        <v>0</v>
      </c>
      <c r="AA19" s="139">
        <f t="shared" si="26"/>
        <v>1000</v>
      </c>
      <c r="AB19" s="205">
        <f>AA19/INDEX(Parameters!$B:$B,MATCH("AfschrijftermijnVVE"&amp;12*$C19,Parameters!$A:$A,0))</f>
        <v>27.777777777777779</v>
      </c>
      <c r="AC19" s="204">
        <f>INDEX('Tarieven ZM'!$G:$G,$W19)</f>
        <v>1000</v>
      </c>
      <c r="AD19" s="198">
        <f>-INDEX(Parameters!$B:$B,MATCH(AD$3&amp;$C19,Parameters!$A:$A,0))*$AC19</f>
        <v>0</v>
      </c>
      <c r="AE19" s="198">
        <f>-INDEX(Parameters!$B:$B,MATCH(AE$3,Parameters!$A:$A,0))*$AC19</f>
        <v>0</v>
      </c>
      <c r="AF19" s="139">
        <f t="shared" si="27"/>
        <v>1000</v>
      </c>
      <c r="AG19" s="522">
        <f t="shared" si="28"/>
        <v>1027.7777777777778</v>
      </c>
      <c r="AH19" s="175"/>
      <c r="AI19" s="523">
        <f>MATCH($U19,'Tarieven W&amp;O'!$B:$B,0)</f>
        <v>51</v>
      </c>
      <c r="AJ19" s="204">
        <f>IF(AI19&lt;&gt;"nvt",INDEX('Tarieven W&amp;O'!$H:$H,$AI19),0)</f>
        <v>0</v>
      </c>
      <c r="AK19" s="204">
        <f>IF(AI19&lt;&gt;"nvt",INDEX('Tarieven W&amp;O'!$I:$I,$AI19),0)</f>
        <v>25</v>
      </c>
      <c r="AL19" s="524">
        <f>IF(AI19&lt;&gt;"nvt",-INDEX(Parameters!$B:$B,MATCH(AL$3,Parameters!$A:$A,0))*(AJ19+AK19),0)</f>
        <v>0</v>
      </c>
      <c r="AM19" s="525"/>
      <c r="AN19" s="139">
        <f t="shared" si="29"/>
        <v>25</v>
      </c>
      <c r="AO19" s="205">
        <f>AN19/INDEX(Parameters!$B:$B,MATCH("AfschrijftermijnVVE"&amp;12*$C19,Parameters!$A:$A,0))</f>
        <v>0.69444444444444442</v>
      </c>
      <c r="AP19" s="139">
        <f t="shared" si="30"/>
        <v>51</v>
      </c>
      <c r="AQ19" s="526">
        <f>IF(AP19&lt;&gt;"nvt",INDEX('Tarieven W&amp;O'!$G:$G,$AP19),0)</f>
        <v>127.77</v>
      </c>
      <c r="AR19" s="251">
        <f>IF($S19,INDEX('Tarieven W&amp;O'!$G:$G,MATCH(N19&amp;R19,'Tarieven W&amp;O'!$B:$B,0)),0)</f>
        <v>0</v>
      </c>
      <c r="AS19" s="205">
        <f>-INDEX(Parameters!$B:$B,MATCH(AS$3,Parameters!$A:$A,0))*(AQ19+AR19)</f>
        <v>0</v>
      </c>
      <c r="AT19" s="205">
        <f>INDEX(hulpblad!$E:$E,MATCH(M19&amp;Q19,hulpblad!$B:$B,0))</f>
        <v>1</v>
      </c>
      <c r="AU19" s="150">
        <f t="shared" si="33"/>
        <v>128.76999999999998</v>
      </c>
      <c r="AV19" s="150">
        <f t="shared" si="34"/>
        <v>129.46444444444444</v>
      </c>
      <c r="AX19" s="526">
        <f>Parameters!$B$6*AV19</f>
        <v>1.2946444444444445</v>
      </c>
      <c r="AY19" s="150">
        <v>0</v>
      </c>
      <c r="AZ19" s="150"/>
      <c r="BA19" s="150">
        <f t="shared" si="31"/>
        <v>1.2946444444444445</v>
      </c>
      <c r="BB19" s="150"/>
      <c r="BC19" s="522">
        <f t="shared" si="32"/>
        <v>130.7590888888889</v>
      </c>
      <c r="BD19" s="175"/>
      <c r="BE19" s="527">
        <f t="shared" si="35"/>
        <v>897.01868888888896</v>
      </c>
      <c r="BF19" s="181">
        <f t="shared" si="36"/>
        <v>0.87277494054054061</v>
      </c>
      <c r="BG19" s="520" t="b">
        <f t="shared" si="25"/>
        <v>0</v>
      </c>
      <c r="BI19" s="528" t="s">
        <v>2181</v>
      </c>
      <c r="BL19" s="151" t="str">
        <f t="shared" ref="BL19:BL82" si="38">M19&amp;Q19</f>
        <v>EoKMetro - Regionaal</v>
      </c>
      <c r="BM19" s="529">
        <v>0</v>
      </c>
      <c r="BN19" s="180">
        <f>BM19/INDEX(Parameters!$B:$B,MATCH("AfschrijftermijnVVE"&amp;12*$C19,Parameters!$A:$A,0))</f>
        <v>0</v>
      </c>
      <c r="BO19" s="184">
        <f>INDEX('inkoop ULL tbv EVPN'!I:I,MATCH(BL19,'inkoop ULL tbv EVPN'!H:H,0))</f>
        <v>2</v>
      </c>
      <c r="BP19" s="184">
        <f t="shared" ref="BP19:BP82" si="39">BN19+BO19</f>
        <v>2</v>
      </c>
      <c r="BR19" s="180">
        <f>Parameters!$B$12*AG19</f>
        <v>102.77777777777779</v>
      </c>
      <c r="BS19" s="180">
        <f>SUM(Distributievergoedingen!$F$12,Distributievergoedingen!$I$12,Distributievergoedingen!$L$12,Distributievergoedingen!$O$12)*AF19+SUM(Distributievergoedingen!$O$12*AA19+Distributievergoedingen!$R$12+Distributievergoedingen!$U$12+Distributievergoedingen!$X$12)/(MAX(36,12*C19))</f>
        <v>112.77777777777777</v>
      </c>
      <c r="BT19" s="150"/>
      <c r="BU19" s="150">
        <f t="shared" ref="BU19:BU82" si="40">SUM(BR19:BT19)</f>
        <v>215.55555555555554</v>
      </c>
      <c r="BW19" s="522">
        <f t="shared" ref="BW19:BW82" si="41">SUM(BP19,BU19)</f>
        <v>217.55555555555554</v>
      </c>
      <c r="BY19" s="527">
        <f t="shared" ref="BY19:BY82" si="42">AG19-BW19</f>
        <v>810.22222222222229</v>
      </c>
      <c r="BZ19" s="181">
        <f t="shared" ref="BZ19:BZ82" si="43">IF(AG19=0,-999%,BY19/AG19)</f>
        <v>0.78832432432432431</v>
      </c>
      <c r="CA19" s="520" t="b">
        <f t="shared" ref="CA19:CA82" si="44">BZ19&lt;0</f>
        <v>0</v>
      </c>
    </row>
    <row r="20" spans="1:79" s="151" customFormat="1">
      <c r="A20" s="151" t="str">
        <f t="shared" si="37"/>
        <v>1EoKEntryCity500</v>
      </c>
      <c r="B20" s="520" t="str">
        <f t="shared" si="22"/>
        <v>1EoKEntryCity500</v>
      </c>
      <c r="C20" s="179">
        <v>1</v>
      </c>
      <c r="D20" s="179" t="s">
        <v>303</v>
      </c>
      <c r="E20" s="178" t="s">
        <v>45</v>
      </c>
      <c r="F20" s="178" t="s">
        <v>262</v>
      </c>
      <c r="G20" s="185" t="s">
        <v>421</v>
      </c>
      <c r="J20" s="520" t="str">
        <f t="shared" si="23"/>
        <v>EntryCity500</v>
      </c>
      <c r="L20" s="204">
        <f>INDEX(Mapping!$H:$H,MATCH(C$3&amp;C20,Mapping!$B:$B,0))</f>
        <v>1</v>
      </c>
      <c r="M20" s="204" t="str">
        <f>INDEX(Mapping!$H:$H,MATCH(D$3&amp;$D20,Mapping!$B:$B,0))</f>
        <v>EoK</v>
      </c>
      <c r="N20" s="204" t="str">
        <f>INDEX(Mapping!$H:$H,MATCH(E$3&amp;E20,Mapping!$B:$B,0))</f>
        <v>Lite</v>
      </c>
      <c r="O20" s="204" t="str">
        <f>INDEX(Mapping!$H:$H,MATCH(F$3&amp;F20,Mapping!$B:$B,0))</f>
        <v>Metro</v>
      </c>
      <c r="P20" s="204">
        <f>INDEX(Mapping!$H:$H,MATCH(G$3&amp;G20,Mapping!$B:$B,0))</f>
        <v>500</v>
      </c>
      <c r="Q20" s="204" t="str">
        <f>INDEX(Mapping!$H:$H,MATCH(Q$3&amp;$F20,Mapping!$B:$B,0))</f>
        <v>Metro - Regionaal</v>
      </c>
      <c r="R20" s="204" t="str">
        <f>INDEX(Mapping!$H:$H,MATCH("ZM VPN Service Level"&amp;E20,Mapping!$B:$B,0))</f>
        <v>Advanced</v>
      </c>
      <c r="S20" s="139" t="b">
        <f>IF($D20="EoK",INDEX(Mapping!$I:$I,MATCH($G$3&amp;$G20,Mapping!B:B,0)),FALSE)</f>
        <v>0</v>
      </c>
      <c r="T20" s="139"/>
      <c r="U20" s="520" t="str">
        <f t="shared" si="24"/>
        <v>LiteMetro500</v>
      </c>
      <c r="W20" s="521">
        <f>MATCH($J20,'Tarieven ZM'!$B:$B,0)</f>
        <v>24</v>
      </c>
      <c r="X20" s="204">
        <f>INDEX('Tarieven ZM'!$H:$H,$W20)</f>
        <v>1000</v>
      </c>
      <c r="Y20" s="198">
        <f>-INDEX(Parameters!$B:$B,MATCH(Y$3&amp;$C20,Parameters!$A:$A,0))*$X20</f>
        <v>0</v>
      </c>
      <c r="Z20" s="198">
        <f>-INDEX(Parameters!$B:$B,MATCH(Z$3&amp;$C20,Parameters!$A:$A,0))*$X20</f>
        <v>0</v>
      </c>
      <c r="AA20" s="139">
        <f t="shared" si="26"/>
        <v>1000</v>
      </c>
      <c r="AB20" s="205">
        <f>AA20/INDEX(Parameters!$B:$B,MATCH("AfschrijftermijnVVE"&amp;12*$C20,Parameters!$A:$A,0))</f>
        <v>27.777777777777779</v>
      </c>
      <c r="AC20" s="204">
        <f>INDEX('Tarieven ZM'!$G:$G,$W20)</f>
        <v>1000</v>
      </c>
      <c r="AD20" s="198">
        <f>-INDEX(Parameters!$B:$B,MATCH(AD$3&amp;$C20,Parameters!$A:$A,0))*$AC20</f>
        <v>0</v>
      </c>
      <c r="AE20" s="198">
        <f>-INDEX(Parameters!$B:$B,MATCH(AE$3,Parameters!$A:$A,0))*$AC20</f>
        <v>0</v>
      </c>
      <c r="AF20" s="139">
        <f t="shared" si="27"/>
        <v>1000</v>
      </c>
      <c r="AG20" s="522">
        <f t="shared" si="28"/>
        <v>1027.7777777777778</v>
      </c>
      <c r="AH20" s="175"/>
      <c r="AI20" s="523">
        <f>MATCH($U20,'Tarieven W&amp;O'!$B:$B,0)</f>
        <v>52</v>
      </c>
      <c r="AJ20" s="204">
        <f>IF(AI20&lt;&gt;"nvt",INDEX('Tarieven W&amp;O'!$H:$H,$AI20),0)</f>
        <v>0</v>
      </c>
      <c r="AK20" s="204">
        <f>IF(AI20&lt;&gt;"nvt",INDEX('Tarieven W&amp;O'!$I:$I,$AI20),0)</f>
        <v>25</v>
      </c>
      <c r="AL20" s="524">
        <f>IF(AI20&lt;&gt;"nvt",-INDEX(Parameters!$B:$B,MATCH(AL$3,Parameters!$A:$A,0))*(AJ20+AK20),0)</f>
        <v>0</v>
      </c>
      <c r="AM20" s="525"/>
      <c r="AN20" s="139">
        <f t="shared" si="29"/>
        <v>25</v>
      </c>
      <c r="AO20" s="205">
        <f>AN20/INDEX(Parameters!$B:$B,MATCH("AfschrijftermijnVVE"&amp;12*$C20,Parameters!$A:$A,0))</f>
        <v>0.69444444444444442</v>
      </c>
      <c r="AP20" s="139">
        <f t="shared" si="30"/>
        <v>52</v>
      </c>
      <c r="AQ20" s="526">
        <f>IF(AP20&lt;&gt;"nvt",INDEX('Tarieven W&amp;O'!$G:$G,$AP20),0)</f>
        <v>161.69</v>
      </c>
      <c r="AR20" s="251">
        <f>IF($S20,INDEX('Tarieven W&amp;O'!$G:$G,MATCH(N20&amp;R20,'Tarieven W&amp;O'!$B:$B,0)),0)</f>
        <v>0</v>
      </c>
      <c r="AS20" s="205">
        <f>-INDEX(Parameters!$B:$B,MATCH(AS$3,Parameters!$A:$A,0))*(AQ20+AR20)</f>
        <v>0</v>
      </c>
      <c r="AT20" s="205">
        <f>INDEX(hulpblad!$E:$E,MATCH(M20&amp;Q20,hulpblad!$B:$B,0))</f>
        <v>1</v>
      </c>
      <c r="AU20" s="150">
        <f t="shared" si="33"/>
        <v>162.69</v>
      </c>
      <c r="AV20" s="150">
        <f t="shared" si="34"/>
        <v>163.38444444444445</v>
      </c>
      <c r="AX20" s="526">
        <f>Parameters!$B$6*AV20</f>
        <v>1.6338444444444447</v>
      </c>
      <c r="AY20" s="150">
        <v>0</v>
      </c>
      <c r="AZ20" s="150"/>
      <c r="BA20" s="150">
        <f t="shared" si="31"/>
        <v>1.6338444444444447</v>
      </c>
      <c r="BB20" s="150"/>
      <c r="BC20" s="522">
        <f t="shared" si="32"/>
        <v>165.01828888888889</v>
      </c>
      <c r="BD20" s="175"/>
      <c r="BE20" s="527">
        <f t="shared" si="35"/>
        <v>862.75948888888888</v>
      </c>
      <c r="BF20" s="181">
        <f t="shared" si="36"/>
        <v>0.83944166486486482</v>
      </c>
      <c r="BG20" s="520" t="b">
        <f t="shared" si="25"/>
        <v>0</v>
      </c>
      <c r="BI20" s="528" t="s">
        <v>2181</v>
      </c>
      <c r="BL20" s="151" t="str">
        <f t="shared" si="38"/>
        <v>EoKMetro - Regionaal</v>
      </c>
      <c r="BM20" s="529">
        <v>0</v>
      </c>
      <c r="BN20" s="180">
        <f>BM20/INDEX(Parameters!$B:$B,MATCH("AfschrijftermijnVVE"&amp;12*$C20,Parameters!$A:$A,0))</f>
        <v>0</v>
      </c>
      <c r="BO20" s="184">
        <f>INDEX('inkoop ULL tbv EVPN'!I:I,MATCH(BL20,'inkoop ULL tbv EVPN'!H:H,0))</f>
        <v>2</v>
      </c>
      <c r="BP20" s="184">
        <f t="shared" si="39"/>
        <v>2</v>
      </c>
      <c r="BR20" s="180">
        <f>Parameters!$B$12*AG20</f>
        <v>102.77777777777779</v>
      </c>
      <c r="BS20" s="180">
        <f>SUM(Distributievergoedingen!$F$12,Distributievergoedingen!$I$12,Distributievergoedingen!$L$12,Distributievergoedingen!$O$12)*AF20+SUM(Distributievergoedingen!$O$12*AA20+Distributievergoedingen!$R$12+Distributievergoedingen!$U$12+Distributievergoedingen!$X$12)/(MAX(36,12*C20))</f>
        <v>112.77777777777777</v>
      </c>
      <c r="BT20" s="150"/>
      <c r="BU20" s="150">
        <f t="shared" si="40"/>
        <v>215.55555555555554</v>
      </c>
      <c r="BW20" s="522">
        <f t="shared" si="41"/>
        <v>217.55555555555554</v>
      </c>
      <c r="BY20" s="527">
        <f t="shared" si="42"/>
        <v>810.22222222222229</v>
      </c>
      <c r="BZ20" s="181">
        <f t="shared" si="43"/>
        <v>0.78832432432432431</v>
      </c>
      <c r="CA20" s="520" t="b">
        <f t="shared" si="44"/>
        <v>0</v>
      </c>
    </row>
    <row r="21" spans="1:79" s="151" customFormat="1">
      <c r="A21" s="151" t="str">
        <f t="shared" si="37"/>
        <v>1EoKEntryCity800</v>
      </c>
      <c r="B21" s="520" t="str">
        <f t="shared" si="22"/>
        <v>1EoKEntryCity800</v>
      </c>
      <c r="C21" s="179">
        <v>1</v>
      </c>
      <c r="D21" s="179" t="s">
        <v>303</v>
      </c>
      <c r="E21" s="178" t="s">
        <v>45</v>
      </c>
      <c r="F21" s="178" t="s">
        <v>262</v>
      </c>
      <c r="G21" s="185" t="s">
        <v>422</v>
      </c>
      <c r="J21" s="520" t="str">
        <f t="shared" si="23"/>
        <v>EntryCity800</v>
      </c>
      <c r="L21" s="204">
        <f>INDEX(Mapping!$H:$H,MATCH(C$3&amp;C21,Mapping!$B:$B,0))</f>
        <v>1</v>
      </c>
      <c r="M21" s="204" t="str">
        <f>INDEX(Mapping!$H:$H,MATCH(D$3&amp;$D21,Mapping!$B:$B,0))</f>
        <v>EoK</v>
      </c>
      <c r="N21" s="204" t="str">
        <f>INDEX(Mapping!$H:$H,MATCH(E$3&amp;E21,Mapping!$B:$B,0))</f>
        <v>Lite</v>
      </c>
      <c r="O21" s="204" t="str">
        <f>INDEX(Mapping!$H:$H,MATCH(F$3&amp;F21,Mapping!$B:$B,0))</f>
        <v>Metro</v>
      </c>
      <c r="P21" s="204">
        <f>INDEX(Mapping!$H:$H,MATCH(G$3&amp;G21,Mapping!$B:$B,0))</f>
        <v>800</v>
      </c>
      <c r="Q21" s="204" t="str">
        <f>INDEX(Mapping!$H:$H,MATCH(Q$3&amp;$F21,Mapping!$B:$B,0))</f>
        <v>Metro - Regionaal</v>
      </c>
      <c r="R21" s="204" t="str">
        <f>INDEX(Mapping!$H:$H,MATCH("ZM VPN Service Level"&amp;E21,Mapping!$B:$B,0))</f>
        <v>Advanced</v>
      </c>
      <c r="S21" s="139" t="b">
        <f>IF($D21="EoK",INDEX(Mapping!$I:$I,MATCH($G$3&amp;$G21,Mapping!B:B,0)),FALSE)</f>
        <v>0</v>
      </c>
      <c r="T21" s="139"/>
      <c r="U21" s="520" t="str">
        <f t="shared" si="24"/>
        <v>LiteMetro800</v>
      </c>
      <c r="W21" s="521">
        <f>MATCH($J21,'Tarieven ZM'!$B:$B,0)</f>
        <v>25</v>
      </c>
      <c r="X21" s="204">
        <f>INDEX('Tarieven ZM'!$H:$H,$W21)</f>
        <v>1000</v>
      </c>
      <c r="Y21" s="198">
        <f>-INDEX(Parameters!$B:$B,MATCH(Y$3&amp;$C21,Parameters!$A:$A,0))*$X21</f>
        <v>0</v>
      </c>
      <c r="Z21" s="198">
        <f>-INDEX(Parameters!$B:$B,MATCH(Z$3&amp;$C21,Parameters!$A:$A,0))*$X21</f>
        <v>0</v>
      </c>
      <c r="AA21" s="139">
        <f t="shared" si="26"/>
        <v>1000</v>
      </c>
      <c r="AB21" s="205">
        <f>AA21/INDEX(Parameters!$B:$B,MATCH("AfschrijftermijnVVE"&amp;12*$C21,Parameters!$A:$A,0))</f>
        <v>27.777777777777779</v>
      </c>
      <c r="AC21" s="204">
        <f>INDEX('Tarieven ZM'!$G:$G,$W21)</f>
        <v>1000</v>
      </c>
      <c r="AD21" s="198">
        <f>-INDEX(Parameters!$B:$B,MATCH(AD$3&amp;$C21,Parameters!$A:$A,0))*$AC21</f>
        <v>0</v>
      </c>
      <c r="AE21" s="198">
        <f>-INDEX(Parameters!$B:$B,MATCH(AE$3,Parameters!$A:$A,0))*$AC21</f>
        <v>0</v>
      </c>
      <c r="AF21" s="139">
        <f t="shared" si="27"/>
        <v>1000</v>
      </c>
      <c r="AG21" s="522">
        <f t="shared" si="28"/>
        <v>1027.7777777777778</v>
      </c>
      <c r="AH21" s="175"/>
      <c r="AI21" s="523">
        <f>MATCH($U21,'Tarieven W&amp;O'!$B:$B,0)</f>
        <v>53</v>
      </c>
      <c r="AJ21" s="204">
        <f>IF(AI21&lt;&gt;"nvt",INDEX('Tarieven W&amp;O'!$H:$H,$AI21),0)</f>
        <v>0</v>
      </c>
      <c r="AK21" s="204">
        <f>IF(AI21&lt;&gt;"nvt",INDEX('Tarieven W&amp;O'!$I:$I,$AI21),0)</f>
        <v>25</v>
      </c>
      <c r="AL21" s="524">
        <f>IF(AI21&lt;&gt;"nvt",-INDEX(Parameters!$B:$B,MATCH(AL$3,Parameters!$A:$A,0))*(AJ21+AK21),0)</f>
        <v>0</v>
      </c>
      <c r="AM21" s="525"/>
      <c r="AN21" s="139">
        <f t="shared" si="29"/>
        <v>25</v>
      </c>
      <c r="AO21" s="205">
        <f>AN21/INDEX(Parameters!$B:$B,MATCH("AfschrijftermijnVVE"&amp;12*$C21,Parameters!$A:$A,0))</f>
        <v>0.69444444444444442</v>
      </c>
      <c r="AP21" s="139">
        <f t="shared" si="30"/>
        <v>53</v>
      </c>
      <c r="AQ21" s="526">
        <f>IF(AP21&lt;&gt;"nvt",INDEX('Tarieven W&amp;O'!$G:$G,$AP21),0)</f>
        <v>184.31</v>
      </c>
      <c r="AR21" s="251">
        <f>IF($S21,INDEX('Tarieven W&amp;O'!$G:$G,MATCH(N21&amp;R21,'Tarieven W&amp;O'!$B:$B,0)),0)</f>
        <v>0</v>
      </c>
      <c r="AS21" s="205">
        <f>-INDEX(Parameters!$B:$B,MATCH(AS$3,Parameters!$A:$A,0))*(AQ21+AR21)</f>
        <v>0</v>
      </c>
      <c r="AT21" s="205">
        <f>INDEX(hulpblad!$E:$E,MATCH(M21&amp;Q21,hulpblad!$B:$B,0))</f>
        <v>1</v>
      </c>
      <c r="AU21" s="150">
        <f t="shared" si="33"/>
        <v>185.31</v>
      </c>
      <c r="AV21" s="150">
        <f t="shared" si="34"/>
        <v>186.00444444444446</v>
      </c>
      <c r="AX21" s="526">
        <f>Parameters!$B$6*AV21</f>
        <v>1.8600444444444446</v>
      </c>
      <c r="AY21" s="150">
        <v>0</v>
      </c>
      <c r="AZ21" s="150"/>
      <c r="BA21" s="150">
        <f t="shared" si="31"/>
        <v>1.8600444444444446</v>
      </c>
      <c r="BB21" s="150"/>
      <c r="BC21" s="522">
        <f t="shared" si="32"/>
        <v>187.8644888888889</v>
      </c>
      <c r="BD21" s="175"/>
      <c r="BE21" s="527">
        <f t="shared" si="35"/>
        <v>839.91328888888893</v>
      </c>
      <c r="BF21" s="181">
        <f t="shared" si="36"/>
        <v>0.8172129297297297</v>
      </c>
      <c r="BG21" s="520" t="b">
        <f t="shared" si="25"/>
        <v>0</v>
      </c>
      <c r="BI21" s="528" t="s">
        <v>2181</v>
      </c>
      <c r="BL21" s="151" t="str">
        <f t="shared" si="38"/>
        <v>EoKMetro - Regionaal</v>
      </c>
      <c r="BM21" s="529">
        <v>0</v>
      </c>
      <c r="BN21" s="180">
        <f>BM21/INDEX(Parameters!$B:$B,MATCH("AfschrijftermijnVVE"&amp;12*$C21,Parameters!$A:$A,0))</f>
        <v>0</v>
      </c>
      <c r="BO21" s="184">
        <f>INDEX('inkoop ULL tbv EVPN'!I:I,MATCH(BL21,'inkoop ULL tbv EVPN'!H:H,0))</f>
        <v>2</v>
      </c>
      <c r="BP21" s="184">
        <f t="shared" si="39"/>
        <v>2</v>
      </c>
      <c r="BR21" s="180">
        <f>Parameters!$B$12*AG21</f>
        <v>102.77777777777779</v>
      </c>
      <c r="BS21" s="180">
        <f>SUM(Distributievergoedingen!$F$12,Distributievergoedingen!$I$12,Distributievergoedingen!$L$12,Distributievergoedingen!$O$12)*AF21+SUM(Distributievergoedingen!$O$12*AA21+Distributievergoedingen!$R$12+Distributievergoedingen!$U$12+Distributievergoedingen!$X$12)/(MAX(36,12*C21))</f>
        <v>112.77777777777777</v>
      </c>
      <c r="BT21" s="150"/>
      <c r="BU21" s="150">
        <f t="shared" si="40"/>
        <v>215.55555555555554</v>
      </c>
      <c r="BW21" s="522">
        <f t="shared" si="41"/>
        <v>217.55555555555554</v>
      </c>
      <c r="BY21" s="527">
        <f t="shared" si="42"/>
        <v>810.22222222222229</v>
      </c>
      <c r="BZ21" s="181">
        <f t="shared" si="43"/>
        <v>0.78832432432432431</v>
      </c>
      <c r="CA21" s="520" t="b">
        <f t="shared" si="44"/>
        <v>0</v>
      </c>
    </row>
    <row r="22" spans="1:79" s="151" customFormat="1">
      <c r="A22" s="151" t="str">
        <f t="shared" si="37"/>
        <v>1EoKEntryCity1000</v>
      </c>
      <c r="B22" s="520" t="str">
        <f t="shared" si="22"/>
        <v>1EoKEntryCity1000</v>
      </c>
      <c r="C22" s="179">
        <v>1</v>
      </c>
      <c r="D22" s="179" t="s">
        <v>303</v>
      </c>
      <c r="E22" s="178" t="s">
        <v>45</v>
      </c>
      <c r="F22" s="178" t="s">
        <v>262</v>
      </c>
      <c r="G22" s="185" t="s">
        <v>423</v>
      </c>
      <c r="J22" s="520" t="str">
        <f t="shared" si="23"/>
        <v>EntryCity1000</v>
      </c>
      <c r="L22" s="204">
        <f>INDEX(Mapping!$H:$H,MATCH(C$3&amp;C22,Mapping!$B:$B,0))</f>
        <v>1</v>
      </c>
      <c r="M22" s="204" t="str">
        <f>INDEX(Mapping!$H:$H,MATCH(D$3&amp;$D22,Mapping!$B:$B,0))</f>
        <v>EoK</v>
      </c>
      <c r="N22" s="204" t="str">
        <f>INDEX(Mapping!$H:$H,MATCH(E$3&amp;E22,Mapping!$B:$B,0))</f>
        <v>Lite</v>
      </c>
      <c r="O22" s="204" t="str">
        <f>INDEX(Mapping!$H:$H,MATCH(F$3&amp;F22,Mapping!$B:$B,0))</f>
        <v>Metro</v>
      </c>
      <c r="P22" s="204">
        <f>INDEX(Mapping!$H:$H,MATCH(G$3&amp;G22,Mapping!$B:$B,0))</f>
        <v>1000</v>
      </c>
      <c r="Q22" s="204" t="str">
        <f>INDEX(Mapping!$H:$H,MATCH(Q$3&amp;$F22,Mapping!$B:$B,0))</f>
        <v>Metro - Regionaal</v>
      </c>
      <c r="R22" s="204" t="str">
        <f>INDEX(Mapping!$H:$H,MATCH("ZM VPN Service Level"&amp;E22,Mapping!$B:$B,0))</f>
        <v>Advanced</v>
      </c>
      <c r="S22" s="139" t="b">
        <f>IF($D22="EoK",INDEX(Mapping!$I:$I,MATCH($G$3&amp;$G22,Mapping!B:B,0)),FALSE)</f>
        <v>0</v>
      </c>
      <c r="T22" s="139"/>
      <c r="U22" s="520" t="str">
        <f t="shared" si="24"/>
        <v>LiteMetro1000</v>
      </c>
      <c r="W22" s="521">
        <f>MATCH($J22,'Tarieven ZM'!$B:$B,0)</f>
        <v>26</v>
      </c>
      <c r="X22" s="204">
        <f>INDEX('Tarieven ZM'!$H:$H,$W22)</f>
        <v>1000</v>
      </c>
      <c r="Y22" s="198">
        <f>-INDEX(Parameters!$B:$B,MATCH(Y$3&amp;$C22,Parameters!$A:$A,0))*$X22</f>
        <v>0</v>
      </c>
      <c r="Z22" s="198">
        <f>-INDEX(Parameters!$B:$B,MATCH(Z$3&amp;$C22,Parameters!$A:$A,0))*$X22</f>
        <v>0</v>
      </c>
      <c r="AA22" s="139">
        <f t="shared" si="26"/>
        <v>1000</v>
      </c>
      <c r="AB22" s="205">
        <f>AA22/INDEX(Parameters!$B:$B,MATCH("AfschrijftermijnVVE"&amp;12*$C22,Parameters!$A:$A,0))</f>
        <v>27.777777777777779</v>
      </c>
      <c r="AC22" s="204">
        <f>INDEX('Tarieven ZM'!$G:$G,$W22)</f>
        <v>1000</v>
      </c>
      <c r="AD22" s="198">
        <f>-INDEX(Parameters!$B:$B,MATCH(AD$3&amp;$C22,Parameters!$A:$A,0))*$AC22</f>
        <v>0</v>
      </c>
      <c r="AE22" s="198">
        <f>-INDEX(Parameters!$B:$B,MATCH(AE$3,Parameters!$A:$A,0))*$AC22</f>
        <v>0</v>
      </c>
      <c r="AF22" s="139">
        <f t="shared" si="27"/>
        <v>1000</v>
      </c>
      <c r="AG22" s="522">
        <f t="shared" si="28"/>
        <v>1027.7777777777778</v>
      </c>
      <c r="AH22" s="175"/>
      <c r="AI22" s="523">
        <f>MATCH($U22,'Tarieven W&amp;O'!$B:$B,0)</f>
        <v>54</v>
      </c>
      <c r="AJ22" s="204">
        <f>IF(AI22&lt;&gt;"nvt",INDEX('Tarieven W&amp;O'!$H:$H,$AI22),0)</f>
        <v>0</v>
      </c>
      <c r="AK22" s="204">
        <f>IF(AI22&lt;&gt;"nvt",INDEX('Tarieven W&amp;O'!$I:$I,$AI22),0)</f>
        <v>25</v>
      </c>
      <c r="AL22" s="524">
        <f>IF(AI22&lt;&gt;"nvt",-INDEX(Parameters!$B:$B,MATCH(AL$3,Parameters!$A:$A,0))*(AJ22+AK22),0)</f>
        <v>0</v>
      </c>
      <c r="AM22" s="525"/>
      <c r="AN22" s="139">
        <f t="shared" si="29"/>
        <v>25</v>
      </c>
      <c r="AO22" s="205">
        <f>AN22/INDEX(Parameters!$B:$B,MATCH("AfschrijftermijnVVE"&amp;12*$C22,Parameters!$A:$A,0))</f>
        <v>0.69444444444444442</v>
      </c>
      <c r="AP22" s="139">
        <f t="shared" si="30"/>
        <v>54</v>
      </c>
      <c r="AQ22" s="526">
        <f>IF(AP22&lt;&gt;"nvt",INDEX('Tarieven W&amp;O'!$G:$G,$AP22),0)</f>
        <v>203.15</v>
      </c>
      <c r="AR22" s="251">
        <f>IF($S22,INDEX('Tarieven W&amp;O'!$G:$G,MATCH(N22&amp;R22,'Tarieven W&amp;O'!$B:$B,0)),0)</f>
        <v>0</v>
      </c>
      <c r="AS22" s="205">
        <f>-INDEX(Parameters!$B:$B,MATCH(AS$3,Parameters!$A:$A,0))*(AQ22+AR22)</f>
        <v>0</v>
      </c>
      <c r="AT22" s="205">
        <f>INDEX(hulpblad!$E:$E,MATCH(M22&amp;Q22,hulpblad!$B:$B,0))</f>
        <v>1</v>
      </c>
      <c r="AU22" s="150">
        <f t="shared" si="33"/>
        <v>204.15</v>
      </c>
      <c r="AV22" s="150">
        <f t="shared" si="34"/>
        <v>204.84444444444446</v>
      </c>
      <c r="AX22" s="526">
        <f>Parameters!$B$6*AV22</f>
        <v>2.0484444444444447</v>
      </c>
      <c r="AY22" s="150">
        <v>0</v>
      </c>
      <c r="AZ22" s="150"/>
      <c r="BA22" s="150">
        <f t="shared" si="31"/>
        <v>2.0484444444444447</v>
      </c>
      <c r="BB22" s="150"/>
      <c r="BC22" s="522">
        <f t="shared" si="32"/>
        <v>206.8928888888889</v>
      </c>
      <c r="BD22" s="175"/>
      <c r="BE22" s="527">
        <f t="shared" si="35"/>
        <v>820.8848888888889</v>
      </c>
      <c r="BF22" s="181">
        <f t="shared" si="36"/>
        <v>0.79869881081081073</v>
      </c>
      <c r="BG22" s="520" t="b">
        <f t="shared" si="25"/>
        <v>0</v>
      </c>
      <c r="BI22" s="528" t="s">
        <v>2181</v>
      </c>
      <c r="BL22" s="151" t="str">
        <f t="shared" si="38"/>
        <v>EoKMetro - Regionaal</v>
      </c>
      <c r="BM22" s="529">
        <v>0</v>
      </c>
      <c r="BN22" s="180">
        <f>BM22/INDEX(Parameters!$B:$B,MATCH("AfschrijftermijnVVE"&amp;12*$C22,Parameters!$A:$A,0))</f>
        <v>0</v>
      </c>
      <c r="BO22" s="184">
        <f>INDEX('inkoop ULL tbv EVPN'!I:I,MATCH(BL22,'inkoop ULL tbv EVPN'!H:H,0))</f>
        <v>2</v>
      </c>
      <c r="BP22" s="184">
        <f t="shared" si="39"/>
        <v>2</v>
      </c>
      <c r="BR22" s="180">
        <f>Parameters!$B$12*AG22</f>
        <v>102.77777777777779</v>
      </c>
      <c r="BS22" s="180">
        <f>SUM(Distributievergoedingen!$F$12,Distributievergoedingen!$I$12,Distributievergoedingen!$L$12,Distributievergoedingen!$O$12)*AF22+SUM(Distributievergoedingen!$O$12*AA22+Distributievergoedingen!$R$12+Distributievergoedingen!$U$12+Distributievergoedingen!$X$12)/(MAX(36,12*C22))</f>
        <v>112.77777777777777</v>
      </c>
      <c r="BT22" s="150"/>
      <c r="BU22" s="150">
        <f t="shared" si="40"/>
        <v>215.55555555555554</v>
      </c>
      <c r="BW22" s="522">
        <f t="shared" si="41"/>
        <v>217.55555555555554</v>
      </c>
      <c r="BY22" s="527">
        <f t="shared" si="42"/>
        <v>810.22222222222229</v>
      </c>
      <c r="BZ22" s="181">
        <f t="shared" si="43"/>
        <v>0.78832432432432431</v>
      </c>
      <c r="CA22" s="520" t="b">
        <f t="shared" si="44"/>
        <v>0</v>
      </c>
    </row>
    <row r="23" spans="1:79" s="151" customFormat="1">
      <c r="A23" s="151" t="str">
        <f t="shared" si="37"/>
        <v>1EoKEntryRegionaal1</v>
      </c>
      <c r="B23" s="520" t="str">
        <f t="shared" si="22"/>
        <v>1EoKEntryRegionaal1</v>
      </c>
      <c r="C23" s="179">
        <v>1</v>
      </c>
      <c r="D23" s="179" t="s">
        <v>303</v>
      </c>
      <c r="E23" s="178" t="s">
        <v>45</v>
      </c>
      <c r="F23" s="178" t="s">
        <v>265</v>
      </c>
      <c r="G23" s="185" t="s">
        <v>362</v>
      </c>
      <c r="J23" s="520" t="str">
        <f t="shared" si="23"/>
        <v>EntryRegionaal1</v>
      </c>
      <c r="L23" s="204">
        <f>INDEX(Mapping!$H:$H,MATCH(C$3&amp;C23,Mapping!$B:$B,0))</f>
        <v>1</v>
      </c>
      <c r="M23" s="204" t="str">
        <f>INDEX(Mapping!$H:$H,MATCH(D$3&amp;$D23,Mapping!$B:$B,0))</f>
        <v>EoK</v>
      </c>
      <c r="N23" s="204" t="str">
        <f>INDEX(Mapping!$H:$H,MATCH(E$3&amp;E23,Mapping!$B:$B,0))</f>
        <v>Lite</v>
      </c>
      <c r="O23" s="204" t="str">
        <f>INDEX(Mapping!$H:$H,MATCH(F$3&amp;F23,Mapping!$B:$B,0))</f>
        <v>Metro</v>
      </c>
      <c r="P23" s="204">
        <f>INDEX(Mapping!$H:$H,MATCH(G$3&amp;G23,Mapping!$B:$B,0))</f>
        <v>1</v>
      </c>
      <c r="Q23" s="204" t="str">
        <f>INDEX(Mapping!$H:$H,MATCH(Q$3&amp;$F23,Mapping!$B:$B,0))</f>
        <v>Metro - Nationaal</v>
      </c>
      <c r="R23" s="204" t="str">
        <f>INDEX(Mapping!$H:$H,MATCH("ZM VPN Service Level"&amp;E23,Mapping!$B:$B,0))</f>
        <v>Advanced</v>
      </c>
      <c r="S23" s="139" t="b">
        <f>IF($D23="EoK",INDEX(Mapping!$I:$I,MATCH($G$3&amp;$G23,Mapping!B:B,0)),FALSE)</f>
        <v>1</v>
      </c>
      <c r="T23" s="139"/>
      <c r="U23" s="520" t="str">
        <f t="shared" si="24"/>
        <v>LiteMetro1</v>
      </c>
      <c r="W23" s="521">
        <f>MATCH($J23,'Tarieven ZM'!$B:$B,0)</f>
        <v>27</v>
      </c>
      <c r="X23" s="204">
        <f>INDEX('Tarieven ZM'!$H:$H,$W23)</f>
        <v>1000</v>
      </c>
      <c r="Y23" s="198">
        <f>-INDEX(Parameters!$B:$B,MATCH(Y$3&amp;$C23,Parameters!$A:$A,0))*$X23</f>
        <v>0</v>
      </c>
      <c r="Z23" s="198">
        <f>-INDEX(Parameters!$B:$B,MATCH(Z$3&amp;$C23,Parameters!$A:$A,0))*$X23</f>
        <v>0</v>
      </c>
      <c r="AA23" s="139">
        <f t="shared" si="26"/>
        <v>1000</v>
      </c>
      <c r="AB23" s="205">
        <f>AA23/INDEX(Parameters!$B:$B,MATCH("AfschrijftermijnVVE"&amp;12*$C23,Parameters!$A:$A,0))</f>
        <v>27.777777777777779</v>
      </c>
      <c r="AC23" s="204">
        <f>INDEX('Tarieven ZM'!$G:$G,$W23)</f>
        <v>1000</v>
      </c>
      <c r="AD23" s="198">
        <f>-INDEX(Parameters!$B:$B,MATCH(AD$3&amp;$C23,Parameters!$A:$A,0))*$AC23</f>
        <v>0</v>
      </c>
      <c r="AE23" s="198">
        <f>-INDEX(Parameters!$B:$B,MATCH(AE$3,Parameters!$A:$A,0))*$AC23</f>
        <v>0</v>
      </c>
      <c r="AF23" s="139">
        <f t="shared" si="27"/>
        <v>1000</v>
      </c>
      <c r="AG23" s="522">
        <f t="shared" si="28"/>
        <v>1027.7777777777778</v>
      </c>
      <c r="AH23" s="175"/>
      <c r="AI23" s="523">
        <f>MATCH($U23,'Tarieven W&amp;O'!$B:$B,0)</f>
        <v>36</v>
      </c>
      <c r="AJ23" s="204">
        <f>IF(AI23&lt;&gt;"nvt",INDEX('Tarieven W&amp;O'!$H:$H,$AI23),0)</f>
        <v>0</v>
      </c>
      <c r="AK23" s="204">
        <f>IF(AI23&lt;&gt;"nvt",INDEX('Tarieven W&amp;O'!$I:$I,$AI23),0)</f>
        <v>25</v>
      </c>
      <c r="AL23" s="524">
        <f>IF(AI23&lt;&gt;"nvt",-INDEX(Parameters!$B:$B,MATCH(AL$3,Parameters!$A:$A,0))*(AJ23+AK23),0)</f>
        <v>0</v>
      </c>
      <c r="AM23" s="525"/>
      <c r="AN23" s="139">
        <f t="shared" si="29"/>
        <v>25</v>
      </c>
      <c r="AO23" s="205">
        <f>AN23/INDEX(Parameters!$B:$B,MATCH("AfschrijftermijnVVE"&amp;12*$C23,Parameters!$A:$A,0))</f>
        <v>0.69444444444444442</v>
      </c>
      <c r="AP23" s="139">
        <f t="shared" si="30"/>
        <v>36</v>
      </c>
      <c r="AQ23" s="526">
        <f>IF(AP23&lt;&gt;"nvt",INDEX('Tarieven W&amp;O'!$G:$G,$AP23),0)</f>
        <v>14.29</v>
      </c>
      <c r="AR23" s="251">
        <f>IF($S23,INDEX('Tarieven W&amp;O'!$G:$G,MATCH(N23&amp;R23,'Tarieven W&amp;O'!$B:$B,0)),0)</f>
        <v>5.25</v>
      </c>
      <c r="AS23" s="205">
        <f>-INDEX(Parameters!$B:$B,MATCH(AS$3,Parameters!$A:$A,0))*(AQ23+AR23)</f>
        <v>0</v>
      </c>
      <c r="AT23" s="205">
        <f>INDEX(hulpblad!$E:$E,MATCH(M23&amp;Q23,hulpblad!$B:$B,0))</f>
        <v>2</v>
      </c>
      <c r="AU23" s="150">
        <f t="shared" si="33"/>
        <v>21.54</v>
      </c>
      <c r="AV23" s="150">
        <f t="shared" si="34"/>
        <v>22.234444444444442</v>
      </c>
      <c r="AX23" s="526">
        <f>Parameters!$B$6*AV23</f>
        <v>0.22234444444444443</v>
      </c>
      <c r="AY23" s="150">
        <v>0</v>
      </c>
      <c r="AZ23" s="150"/>
      <c r="BA23" s="150">
        <f t="shared" si="31"/>
        <v>0.22234444444444443</v>
      </c>
      <c r="BB23" s="150"/>
      <c r="BC23" s="522">
        <f t="shared" si="32"/>
        <v>22.456788888888887</v>
      </c>
      <c r="BD23" s="175"/>
      <c r="BE23" s="527">
        <f t="shared" si="35"/>
        <v>1005.3209888888889</v>
      </c>
      <c r="BF23" s="181">
        <f t="shared" si="36"/>
        <v>0.9781501513513513</v>
      </c>
      <c r="BG23" s="520" t="b">
        <f t="shared" si="25"/>
        <v>0</v>
      </c>
      <c r="BI23" s="528" t="s">
        <v>2181</v>
      </c>
      <c r="BL23" s="151" t="str">
        <f t="shared" si="38"/>
        <v>EoKMetro - Nationaal</v>
      </c>
      <c r="BM23" s="529">
        <v>0</v>
      </c>
      <c r="BN23" s="180">
        <f>BM23/INDEX(Parameters!$B:$B,MATCH("AfschrijftermijnVVE"&amp;12*$C23,Parameters!$A:$A,0))</f>
        <v>0</v>
      </c>
      <c r="BO23" s="184">
        <f>INDEX('inkoop ULL tbv EVPN'!I:I,MATCH(BL23,'inkoop ULL tbv EVPN'!H:H,0))</f>
        <v>2</v>
      </c>
      <c r="BP23" s="184">
        <f t="shared" si="39"/>
        <v>2</v>
      </c>
      <c r="BR23" s="180">
        <f>Parameters!$B$12*AG23</f>
        <v>102.77777777777779</v>
      </c>
      <c r="BS23" s="180">
        <f>SUM(Distributievergoedingen!$F$12,Distributievergoedingen!$I$12,Distributievergoedingen!$L$12,Distributievergoedingen!$O$12)*AF23+SUM(Distributievergoedingen!$O$12*AA23+Distributievergoedingen!$R$12+Distributievergoedingen!$U$12+Distributievergoedingen!$X$12)/(MAX(36,12*C23))</f>
        <v>112.77777777777777</v>
      </c>
      <c r="BT23" s="150"/>
      <c r="BU23" s="150">
        <f t="shared" si="40"/>
        <v>215.55555555555554</v>
      </c>
      <c r="BW23" s="522">
        <f t="shared" si="41"/>
        <v>217.55555555555554</v>
      </c>
      <c r="BY23" s="527">
        <f t="shared" si="42"/>
        <v>810.22222222222229</v>
      </c>
      <c r="BZ23" s="181">
        <f t="shared" si="43"/>
        <v>0.78832432432432431</v>
      </c>
      <c r="CA23" s="520" t="b">
        <f t="shared" si="44"/>
        <v>0</v>
      </c>
    </row>
    <row r="24" spans="1:79" s="151" customFormat="1">
      <c r="A24" s="151" t="str">
        <f t="shared" si="37"/>
        <v>1EoKEntryRegionaal2</v>
      </c>
      <c r="B24" s="520" t="str">
        <f t="shared" si="22"/>
        <v>1EoKEntryRegionaal2</v>
      </c>
      <c r="C24" s="179">
        <v>1</v>
      </c>
      <c r="D24" s="179" t="s">
        <v>303</v>
      </c>
      <c r="E24" s="178" t="s">
        <v>45</v>
      </c>
      <c r="F24" s="178" t="s">
        <v>265</v>
      </c>
      <c r="G24" s="185" t="s">
        <v>363</v>
      </c>
      <c r="J24" s="520" t="str">
        <f t="shared" si="23"/>
        <v>EntryRegionaal2</v>
      </c>
      <c r="L24" s="204">
        <f>INDEX(Mapping!$H:$H,MATCH(C$3&amp;C24,Mapping!$B:$B,0))</f>
        <v>1</v>
      </c>
      <c r="M24" s="204" t="str">
        <f>INDEX(Mapping!$H:$H,MATCH(D$3&amp;$D24,Mapping!$B:$B,0))</f>
        <v>EoK</v>
      </c>
      <c r="N24" s="204" t="str">
        <f>INDEX(Mapping!$H:$H,MATCH(E$3&amp;E24,Mapping!$B:$B,0))</f>
        <v>Lite</v>
      </c>
      <c r="O24" s="204" t="str">
        <f>INDEX(Mapping!$H:$H,MATCH(F$3&amp;F24,Mapping!$B:$B,0))</f>
        <v>Metro</v>
      </c>
      <c r="P24" s="204">
        <f>INDEX(Mapping!$H:$H,MATCH(G$3&amp;G24,Mapping!$B:$B,0))</f>
        <v>2</v>
      </c>
      <c r="Q24" s="204" t="str">
        <f>INDEX(Mapping!$H:$H,MATCH(Q$3&amp;$F24,Mapping!$B:$B,0))</f>
        <v>Metro - Nationaal</v>
      </c>
      <c r="R24" s="204" t="str">
        <f>INDEX(Mapping!$H:$H,MATCH("ZM VPN Service Level"&amp;E24,Mapping!$B:$B,0))</f>
        <v>Advanced</v>
      </c>
      <c r="S24" s="139" t="b">
        <f>IF($D24="EoK",INDEX(Mapping!$I:$I,MATCH($G$3&amp;$G24,Mapping!B:B,0)),FALSE)</f>
        <v>1</v>
      </c>
      <c r="T24" s="139"/>
      <c r="U24" s="520" t="str">
        <f t="shared" si="24"/>
        <v>LiteMetro2</v>
      </c>
      <c r="W24" s="521">
        <f>MATCH($J24,'Tarieven ZM'!$B:$B,0)</f>
        <v>28</v>
      </c>
      <c r="X24" s="204">
        <f>INDEX('Tarieven ZM'!$H:$H,$W24)</f>
        <v>1000</v>
      </c>
      <c r="Y24" s="198">
        <f>-INDEX(Parameters!$B:$B,MATCH(Y$3&amp;$C24,Parameters!$A:$A,0))*$X24</f>
        <v>0</v>
      </c>
      <c r="Z24" s="198">
        <f>-INDEX(Parameters!$B:$B,MATCH(Z$3&amp;$C24,Parameters!$A:$A,0))*$X24</f>
        <v>0</v>
      </c>
      <c r="AA24" s="139">
        <f t="shared" si="26"/>
        <v>1000</v>
      </c>
      <c r="AB24" s="205">
        <f>AA24/INDEX(Parameters!$B:$B,MATCH("AfschrijftermijnVVE"&amp;12*$C24,Parameters!$A:$A,0))</f>
        <v>27.777777777777779</v>
      </c>
      <c r="AC24" s="204">
        <f>INDEX('Tarieven ZM'!$G:$G,$W24)</f>
        <v>1000</v>
      </c>
      <c r="AD24" s="198">
        <f>-INDEX(Parameters!$B:$B,MATCH(AD$3&amp;$C24,Parameters!$A:$A,0))*$AC24</f>
        <v>0</v>
      </c>
      <c r="AE24" s="198">
        <f>-INDEX(Parameters!$B:$B,MATCH(AE$3,Parameters!$A:$A,0))*$AC24</f>
        <v>0</v>
      </c>
      <c r="AF24" s="139">
        <f t="shared" si="27"/>
        <v>1000</v>
      </c>
      <c r="AG24" s="522">
        <f t="shared" si="28"/>
        <v>1027.7777777777778</v>
      </c>
      <c r="AH24" s="175"/>
      <c r="AI24" s="523">
        <f>MATCH($U24,'Tarieven W&amp;O'!$B:$B,0)</f>
        <v>37</v>
      </c>
      <c r="AJ24" s="204">
        <f>IF(AI24&lt;&gt;"nvt",INDEX('Tarieven W&amp;O'!$H:$H,$AI24),0)</f>
        <v>0</v>
      </c>
      <c r="AK24" s="204">
        <f>IF(AI24&lt;&gt;"nvt",INDEX('Tarieven W&amp;O'!$I:$I,$AI24),0)</f>
        <v>25</v>
      </c>
      <c r="AL24" s="524">
        <f>IF(AI24&lt;&gt;"nvt",-INDEX(Parameters!$B:$B,MATCH(AL$3,Parameters!$A:$A,0))*(AJ24+AK24),0)</f>
        <v>0</v>
      </c>
      <c r="AM24" s="525"/>
      <c r="AN24" s="139">
        <f t="shared" si="29"/>
        <v>25</v>
      </c>
      <c r="AO24" s="205">
        <f>AN24/INDEX(Parameters!$B:$B,MATCH("AfschrijftermijnVVE"&amp;12*$C24,Parameters!$A:$A,0))</f>
        <v>0.69444444444444442</v>
      </c>
      <c r="AP24" s="139">
        <f t="shared" si="30"/>
        <v>37</v>
      </c>
      <c r="AQ24" s="526">
        <f>IF(AP24&lt;&gt;"nvt",INDEX('Tarieven W&amp;O'!$G:$G,$AP24),0)</f>
        <v>16.55</v>
      </c>
      <c r="AR24" s="251">
        <f>IF($S24,INDEX('Tarieven W&amp;O'!$G:$G,MATCH(N24&amp;R24,'Tarieven W&amp;O'!$B:$B,0)),0)</f>
        <v>5.25</v>
      </c>
      <c r="AS24" s="205">
        <f>-INDEX(Parameters!$B:$B,MATCH(AS$3,Parameters!$A:$A,0))*(AQ24+AR24)</f>
        <v>0</v>
      </c>
      <c r="AT24" s="205">
        <f>INDEX(hulpblad!$E:$E,MATCH(M24&amp;Q24,hulpblad!$B:$B,0))</f>
        <v>2</v>
      </c>
      <c r="AU24" s="150">
        <f t="shared" si="33"/>
        <v>23.8</v>
      </c>
      <c r="AV24" s="150">
        <f t="shared" si="34"/>
        <v>24.494444444444444</v>
      </c>
      <c r="AX24" s="526">
        <f>Parameters!$B$6*AV24</f>
        <v>0.24494444444444444</v>
      </c>
      <c r="AY24" s="150">
        <v>0</v>
      </c>
      <c r="AZ24" s="150"/>
      <c r="BA24" s="150">
        <f t="shared" si="31"/>
        <v>0.24494444444444444</v>
      </c>
      <c r="BB24" s="150"/>
      <c r="BC24" s="522">
        <f t="shared" si="32"/>
        <v>24.73938888888889</v>
      </c>
      <c r="BD24" s="175"/>
      <c r="BE24" s="527">
        <f t="shared" si="35"/>
        <v>1003.0383888888889</v>
      </c>
      <c r="BF24" s="181">
        <f t="shared" si="36"/>
        <v>0.97592924324324326</v>
      </c>
      <c r="BG24" s="520" t="b">
        <f t="shared" si="25"/>
        <v>0</v>
      </c>
      <c r="BI24" s="528" t="s">
        <v>2181</v>
      </c>
      <c r="BL24" s="151" t="str">
        <f t="shared" si="38"/>
        <v>EoKMetro - Nationaal</v>
      </c>
      <c r="BM24" s="529">
        <v>0</v>
      </c>
      <c r="BN24" s="180">
        <f>BM24/INDEX(Parameters!$B:$B,MATCH("AfschrijftermijnVVE"&amp;12*$C24,Parameters!$A:$A,0))</f>
        <v>0</v>
      </c>
      <c r="BO24" s="184">
        <f>INDEX('inkoop ULL tbv EVPN'!I:I,MATCH(BL24,'inkoop ULL tbv EVPN'!H:H,0))</f>
        <v>2</v>
      </c>
      <c r="BP24" s="184">
        <f t="shared" si="39"/>
        <v>2</v>
      </c>
      <c r="BR24" s="180">
        <f>Parameters!$B$12*AG24</f>
        <v>102.77777777777779</v>
      </c>
      <c r="BS24" s="180">
        <f>SUM(Distributievergoedingen!$F$12,Distributievergoedingen!$I$12,Distributievergoedingen!$L$12,Distributievergoedingen!$O$12)*AF24+SUM(Distributievergoedingen!$O$12*AA24+Distributievergoedingen!$R$12+Distributievergoedingen!$U$12+Distributievergoedingen!$X$12)/(MAX(36,12*C24))</f>
        <v>112.77777777777777</v>
      </c>
      <c r="BT24" s="150"/>
      <c r="BU24" s="150">
        <f t="shared" si="40"/>
        <v>215.55555555555554</v>
      </c>
      <c r="BW24" s="522">
        <f t="shared" si="41"/>
        <v>217.55555555555554</v>
      </c>
      <c r="BY24" s="527">
        <f t="shared" si="42"/>
        <v>810.22222222222229</v>
      </c>
      <c r="BZ24" s="181">
        <f t="shared" si="43"/>
        <v>0.78832432432432431</v>
      </c>
      <c r="CA24" s="520" t="b">
        <f t="shared" si="44"/>
        <v>0</v>
      </c>
    </row>
    <row r="25" spans="1:79" s="151" customFormat="1">
      <c r="A25" s="151" t="str">
        <f t="shared" si="37"/>
        <v>1EoKEntryRegionaal3</v>
      </c>
      <c r="B25" s="520" t="str">
        <f t="shared" si="22"/>
        <v>1EoKEntryRegionaal3</v>
      </c>
      <c r="C25" s="179">
        <v>1</v>
      </c>
      <c r="D25" s="179" t="s">
        <v>303</v>
      </c>
      <c r="E25" s="178" t="s">
        <v>45</v>
      </c>
      <c r="F25" s="178" t="s">
        <v>265</v>
      </c>
      <c r="G25" s="185" t="s">
        <v>407</v>
      </c>
      <c r="J25" s="520" t="str">
        <f t="shared" si="23"/>
        <v>EntryRegionaal3</v>
      </c>
      <c r="L25" s="204">
        <f>INDEX(Mapping!$H:$H,MATCH(C$3&amp;C25,Mapping!$B:$B,0))</f>
        <v>1</v>
      </c>
      <c r="M25" s="204" t="str">
        <f>INDEX(Mapping!$H:$H,MATCH(D$3&amp;$D25,Mapping!$B:$B,0))</f>
        <v>EoK</v>
      </c>
      <c r="N25" s="204" t="str">
        <f>INDEX(Mapping!$H:$H,MATCH(E$3&amp;E25,Mapping!$B:$B,0))</f>
        <v>Lite</v>
      </c>
      <c r="O25" s="204" t="str">
        <f>INDEX(Mapping!$H:$H,MATCH(F$3&amp;F25,Mapping!$B:$B,0))</f>
        <v>Metro</v>
      </c>
      <c r="P25" s="204">
        <f>INDEX(Mapping!$H:$H,MATCH(G$3&amp;G25,Mapping!$B:$B,0))</f>
        <v>3</v>
      </c>
      <c r="Q25" s="204" t="str">
        <f>INDEX(Mapping!$H:$H,MATCH(Q$3&amp;$F25,Mapping!$B:$B,0))</f>
        <v>Metro - Nationaal</v>
      </c>
      <c r="R25" s="204" t="str">
        <f>INDEX(Mapping!$H:$H,MATCH("ZM VPN Service Level"&amp;E25,Mapping!$B:$B,0))</f>
        <v>Advanced</v>
      </c>
      <c r="S25" s="139" t="b">
        <f>IF($D25="EoK",INDEX(Mapping!$I:$I,MATCH($G$3&amp;$G25,Mapping!B:B,0)),FALSE)</f>
        <v>0</v>
      </c>
      <c r="T25" s="139"/>
      <c r="U25" s="520" t="str">
        <f t="shared" si="24"/>
        <v>LiteMetro3</v>
      </c>
      <c r="W25" s="521">
        <f>MATCH($J25,'Tarieven ZM'!$B:$B,0)</f>
        <v>29</v>
      </c>
      <c r="X25" s="204">
        <f>INDEX('Tarieven ZM'!$H:$H,$W25)</f>
        <v>1000</v>
      </c>
      <c r="Y25" s="198">
        <f>-INDEX(Parameters!$B:$B,MATCH(Y$3&amp;$C25,Parameters!$A:$A,0))*$X25</f>
        <v>0</v>
      </c>
      <c r="Z25" s="198">
        <f>-INDEX(Parameters!$B:$B,MATCH(Z$3&amp;$C25,Parameters!$A:$A,0))*$X25</f>
        <v>0</v>
      </c>
      <c r="AA25" s="139">
        <f t="shared" si="26"/>
        <v>1000</v>
      </c>
      <c r="AB25" s="205">
        <f>AA25/INDEX(Parameters!$B:$B,MATCH("AfschrijftermijnVVE"&amp;12*$C25,Parameters!$A:$A,0))</f>
        <v>27.777777777777779</v>
      </c>
      <c r="AC25" s="204">
        <f>INDEX('Tarieven ZM'!$G:$G,$W25)</f>
        <v>1000</v>
      </c>
      <c r="AD25" s="198">
        <f>-INDEX(Parameters!$B:$B,MATCH(AD$3&amp;$C25,Parameters!$A:$A,0))*$AC25</f>
        <v>0</v>
      </c>
      <c r="AE25" s="198">
        <f>-INDEX(Parameters!$B:$B,MATCH(AE$3,Parameters!$A:$A,0))*$AC25</f>
        <v>0</v>
      </c>
      <c r="AF25" s="139">
        <f t="shared" si="27"/>
        <v>1000</v>
      </c>
      <c r="AG25" s="522">
        <f t="shared" si="28"/>
        <v>1027.7777777777778</v>
      </c>
      <c r="AH25" s="175"/>
      <c r="AI25" s="523">
        <f>MATCH($U25,'Tarieven W&amp;O'!$B:$B,0)</f>
        <v>38</v>
      </c>
      <c r="AJ25" s="204">
        <f>IF(AI25&lt;&gt;"nvt",INDEX('Tarieven W&amp;O'!$H:$H,$AI25),0)</f>
        <v>0</v>
      </c>
      <c r="AK25" s="204">
        <f>IF(AI25&lt;&gt;"nvt",INDEX('Tarieven W&amp;O'!$I:$I,$AI25),0)</f>
        <v>25</v>
      </c>
      <c r="AL25" s="524">
        <f>IF(AI25&lt;&gt;"nvt",-INDEX(Parameters!$B:$B,MATCH(AL$3,Parameters!$A:$A,0))*(AJ25+AK25),0)</f>
        <v>0</v>
      </c>
      <c r="AM25" s="525"/>
      <c r="AN25" s="139">
        <f t="shared" si="29"/>
        <v>25</v>
      </c>
      <c r="AO25" s="205">
        <f>AN25/INDEX(Parameters!$B:$B,MATCH("AfschrijftermijnVVE"&amp;12*$C25,Parameters!$A:$A,0))</f>
        <v>0.69444444444444442</v>
      </c>
      <c r="AP25" s="139">
        <f t="shared" si="30"/>
        <v>38</v>
      </c>
      <c r="AQ25" s="526">
        <f>IF(AP25&lt;&gt;"nvt",INDEX('Tarieven W&amp;O'!$G:$G,$AP25),0)</f>
        <v>18.47</v>
      </c>
      <c r="AR25" s="251">
        <f>IF($S25,INDEX('Tarieven W&amp;O'!$G:$G,MATCH(N25&amp;R25,'Tarieven W&amp;O'!$B:$B,0)),0)</f>
        <v>0</v>
      </c>
      <c r="AS25" s="205">
        <f>-INDEX(Parameters!$B:$B,MATCH(AS$3,Parameters!$A:$A,0))*(AQ25+AR25)</f>
        <v>0</v>
      </c>
      <c r="AT25" s="205">
        <f>INDEX(hulpblad!$E:$E,MATCH(M25&amp;Q25,hulpblad!$B:$B,0))</f>
        <v>2</v>
      </c>
      <c r="AU25" s="150">
        <f t="shared" si="33"/>
        <v>20.47</v>
      </c>
      <c r="AV25" s="150">
        <f t="shared" si="34"/>
        <v>21.164444444444442</v>
      </c>
      <c r="AX25" s="526">
        <f>Parameters!$B$6*AV25</f>
        <v>0.21164444444444441</v>
      </c>
      <c r="AY25" s="150">
        <v>0</v>
      </c>
      <c r="AZ25" s="150"/>
      <c r="BA25" s="150">
        <f t="shared" si="31"/>
        <v>0.21164444444444441</v>
      </c>
      <c r="BB25" s="150"/>
      <c r="BC25" s="522">
        <f t="shared" si="32"/>
        <v>21.376088888888887</v>
      </c>
      <c r="BD25" s="175"/>
      <c r="BE25" s="527">
        <f t="shared" si="35"/>
        <v>1006.4016888888889</v>
      </c>
      <c r="BF25" s="181">
        <f t="shared" si="36"/>
        <v>0.97920164324324321</v>
      </c>
      <c r="BG25" s="520" t="b">
        <f t="shared" si="25"/>
        <v>0</v>
      </c>
      <c r="BI25" s="528" t="s">
        <v>2181</v>
      </c>
      <c r="BL25" s="151" t="str">
        <f t="shared" si="38"/>
        <v>EoKMetro - Nationaal</v>
      </c>
      <c r="BM25" s="529">
        <v>0</v>
      </c>
      <c r="BN25" s="180">
        <f>BM25/INDEX(Parameters!$B:$B,MATCH("AfschrijftermijnVVE"&amp;12*$C25,Parameters!$A:$A,0))</f>
        <v>0</v>
      </c>
      <c r="BO25" s="184">
        <f>INDEX('inkoop ULL tbv EVPN'!I:I,MATCH(BL25,'inkoop ULL tbv EVPN'!H:H,0))</f>
        <v>2</v>
      </c>
      <c r="BP25" s="184">
        <f t="shared" si="39"/>
        <v>2</v>
      </c>
      <c r="BR25" s="180">
        <f>Parameters!$B$12*AG25</f>
        <v>102.77777777777779</v>
      </c>
      <c r="BS25" s="180">
        <f>SUM(Distributievergoedingen!$F$12,Distributievergoedingen!$I$12,Distributievergoedingen!$L$12,Distributievergoedingen!$O$12)*AF25+SUM(Distributievergoedingen!$O$12*AA25+Distributievergoedingen!$R$12+Distributievergoedingen!$U$12+Distributievergoedingen!$X$12)/(MAX(36,12*C25))</f>
        <v>112.77777777777777</v>
      </c>
      <c r="BT25" s="150"/>
      <c r="BU25" s="150">
        <f t="shared" si="40"/>
        <v>215.55555555555554</v>
      </c>
      <c r="BW25" s="522">
        <f t="shared" si="41"/>
        <v>217.55555555555554</v>
      </c>
      <c r="BY25" s="527">
        <f t="shared" si="42"/>
        <v>810.22222222222229</v>
      </c>
      <c r="BZ25" s="181">
        <f t="shared" si="43"/>
        <v>0.78832432432432431</v>
      </c>
      <c r="CA25" s="520" t="b">
        <f t="shared" si="44"/>
        <v>0</v>
      </c>
    </row>
    <row r="26" spans="1:79" s="151" customFormat="1">
      <c r="A26" s="151" t="str">
        <f t="shared" si="37"/>
        <v>1EoKEntryRegionaal4</v>
      </c>
      <c r="B26" s="520" t="str">
        <f t="shared" si="22"/>
        <v>1EoKEntryRegionaal4</v>
      </c>
      <c r="C26" s="179">
        <v>1</v>
      </c>
      <c r="D26" s="179" t="s">
        <v>303</v>
      </c>
      <c r="E26" s="178" t="s">
        <v>45</v>
      </c>
      <c r="F26" s="178" t="s">
        <v>265</v>
      </c>
      <c r="G26" s="185" t="s">
        <v>408</v>
      </c>
      <c r="J26" s="520" t="str">
        <f t="shared" si="23"/>
        <v>EntryRegionaal4</v>
      </c>
      <c r="L26" s="204">
        <f>INDEX(Mapping!$H:$H,MATCH(C$3&amp;C26,Mapping!$B:$B,0))</f>
        <v>1</v>
      </c>
      <c r="M26" s="204" t="str">
        <f>INDEX(Mapping!$H:$H,MATCH(D$3&amp;$D26,Mapping!$B:$B,0))</f>
        <v>EoK</v>
      </c>
      <c r="N26" s="204" t="str">
        <f>INDEX(Mapping!$H:$H,MATCH(E$3&amp;E26,Mapping!$B:$B,0))</f>
        <v>Lite</v>
      </c>
      <c r="O26" s="204" t="str">
        <f>INDEX(Mapping!$H:$H,MATCH(F$3&amp;F26,Mapping!$B:$B,0))</f>
        <v>Metro</v>
      </c>
      <c r="P26" s="204">
        <f>INDEX(Mapping!$H:$H,MATCH(G$3&amp;G26,Mapping!$B:$B,0))</f>
        <v>4</v>
      </c>
      <c r="Q26" s="204" t="str">
        <f>INDEX(Mapping!$H:$H,MATCH(Q$3&amp;$F26,Mapping!$B:$B,0))</f>
        <v>Metro - Nationaal</v>
      </c>
      <c r="R26" s="204" t="str">
        <f>INDEX(Mapping!$H:$H,MATCH("ZM VPN Service Level"&amp;E26,Mapping!$B:$B,0))</f>
        <v>Advanced</v>
      </c>
      <c r="S26" s="139" t="b">
        <f>IF($D26="EoK",INDEX(Mapping!$I:$I,MATCH($G$3&amp;$G26,Mapping!B:B,0)),FALSE)</f>
        <v>0</v>
      </c>
      <c r="T26" s="139"/>
      <c r="U26" s="520" t="str">
        <f t="shared" si="24"/>
        <v>LiteMetro4</v>
      </c>
      <c r="W26" s="521">
        <f>MATCH($J26,'Tarieven ZM'!$B:$B,0)</f>
        <v>30</v>
      </c>
      <c r="X26" s="204">
        <f>INDEX('Tarieven ZM'!$H:$H,$W26)</f>
        <v>1000</v>
      </c>
      <c r="Y26" s="198">
        <f>-INDEX(Parameters!$B:$B,MATCH(Y$3&amp;$C26,Parameters!$A:$A,0))*$X26</f>
        <v>0</v>
      </c>
      <c r="Z26" s="198">
        <f>-INDEX(Parameters!$B:$B,MATCH(Z$3&amp;$C26,Parameters!$A:$A,0))*$X26</f>
        <v>0</v>
      </c>
      <c r="AA26" s="139">
        <f t="shared" si="26"/>
        <v>1000</v>
      </c>
      <c r="AB26" s="205">
        <f>AA26/INDEX(Parameters!$B:$B,MATCH("AfschrijftermijnVVE"&amp;12*$C26,Parameters!$A:$A,0))</f>
        <v>27.777777777777779</v>
      </c>
      <c r="AC26" s="204">
        <f>INDEX('Tarieven ZM'!$G:$G,$W26)</f>
        <v>1000</v>
      </c>
      <c r="AD26" s="198">
        <f>-INDEX(Parameters!$B:$B,MATCH(AD$3&amp;$C26,Parameters!$A:$A,0))*$AC26</f>
        <v>0</v>
      </c>
      <c r="AE26" s="198">
        <f>-INDEX(Parameters!$B:$B,MATCH(AE$3,Parameters!$A:$A,0))*$AC26</f>
        <v>0</v>
      </c>
      <c r="AF26" s="139">
        <f t="shared" si="27"/>
        <v>1000</v>
      </c>
      <c r="AG26" s="522">
        <f t="shared" si="28"/>
        <v>1027.7777777777778</v>
      </c>
      <c r="AH26" s="175"/>
      <c r="AI26" s="523">
        <f>MATCH($U26,'Tarieven W&amp;O'!$B:$B,0)</f>
        <v>39</v>
      </c>
      <c r="AJ26" s="204">
        <f>IF(AI26&lt;&gt;"nvt",INDEX('Tarieven W&amp;O'!$H:$H,$AI26),0)</f>
        <v>0</v>
      </c>
      <c r="AK26" s="204">
        <f>IF(AI26&lt;&gt;"nvt",INDEX('Tarieven W&amp;O'!$I:$I,$AI26),0)</f>
        <v>25</v>
      </c>
      <c r="AL26" s="524">
        <f>IF(AI26&lt;&gt;"nvt",-INDEX(Parameters!$B:$B,MATCH(AL$3,Parameters!$A:$A,0))*(AJ26+AK26),0)</f>
        <v>0</v>
      </c>
      <c r="AM26" s="525"/>
      <c r="AN26" s="139">
        <f t="shared" si="29"/>
        <v>25</v>
      </c>
      <c r="AO26" s="205">
        <f>AN26/INDEX(Parameters!$B:$B,MATCH("AfschrijftermijnVVE"&amp;12*$C26,Parameters!$A:$A,0))</f>
        <v>0.69444444444444442</v>
      </c>
      <c r="AP26" s="139">
        <f t="shared" si="30"/>
        <v>39</v>
      </c>
      <c r="AQ26" s="526">
        <f>IF(AP26&lt;&gt;"nvt",INDEX('Tarieven W&amp;O'!$G:$G,$AP26),0)</f>
        <v>18.47</v>
      </c>
      <c r="AR26" s="251">
        <f>IF($S26,INDEX('Tarieven W&amp;O'!$G:$G,MATCH(N26&amp;R26,'Tarieven W&amp;O'!$B:$B,0)),0)</f>
        <v>0</v>
      </c>
      <c r="AS26" s="205">
        <f>-INDEX(Parameters!$B:$B,MATCH(AS$3,Parameters!$A:$A,0))*(AQ26+AR26)</f>
        <v>0</v>
      </c>
      <c r="AT26" s="205">
        <f>INDEX(hulpblad!$E:$E,MATCH(M26&amp;Q26,hulpblad!$B:$B,0))</f>
        <v>2</v>
      </c>
      <c r="AU26" s="150">
        <f t="shared" si="33"/>
        <v>20.47</v>
      </c>
      <c r="AV26" s="150">
        <f t="shared" si="34"/>
        <v>21.164444444444442</v>
      </c>
      <c r="AX26" s="526">
        <f>Parameters!$B$6*AV26</f>
        <v>0.21164444444444441</v>
      </c>
      <c r="AY26" s="150">
        <v>0</v>
      </c>
      <c r="AZ26" s="150"/>
      <c r="BA26" s="150">
        <f t="shared" si="31"/>
        <v>0.21164444444444441</v>
      </c>
      <c r="BB26" s="150"/>
      <c r="BC26" s="522">
        <f t="shared" si="32"/>
        <v>21.376088888888887</v>
      </c>
      <c r="BD26" s="175"/>
      <c r="BE26" s="527">
        <f t="shared" si="35"/>
        <v>1006.4016888888889</v>
      </c>
      <c r="BF26" s="181">
        <f t="shared" si="36"/>
        <v>0.97920164324324321</v>
      </c>
      <c r="BG26" s="520" t="b">
        <f t="shared" si="25"/>
        <v>0</v>
      </c>
      <c r="BI26" s="528" t="s">
        <v>2181</v>
      </c>
      <c r="BL26" s="151" t="str">
        <f t="shared" si="38"/>
        <v>EoKMetro - Nationaal</v>
      </c>
      <c r="BM26" s="529">
        <v>0</v>
      </c>
      <c r="BN26" s="180">
        <f>BM26/INDEX(Parameters!$B:$B,MATCH("AfschrijftermijnVVE"&amp;12*$C26,Parameters!$A:$A,0))</f>
        <v>0</v>
      </c>
      <c r="BO26" s="184">
        <f>INDEX('inkoop ULL tbv EVPN'!I:I,MATCH(BL26,'inkoop ULL tbv EVPN'!H:H,0))</f>
        <v>2</v>
      </c>
      <c r="BP26" s="184">
        <f t="shared" si="39"/>
        <v>2</v>
      </c>
      <c r="BR26" s="180">
        <f>Parameters!$B$12*AG26</f>
        <v>102.77777777777779</v>
      </c>
      <c r="BS26" s="180">
        <f>SUM(Distributievergoedingen!$F$12,Distributievergoedingen!$I$12,Distributievergoedingen!$L$12,Distributievergoedingen!$O$12)*AF26+SUM(Distributievergoedingen!$O$12*AA26+Distributievergoedingen!$R$12+Distributievergoedingen!$U$12+Distributievergoedingen!$X$12)/(MAX(36,12*C26))</f>
        <v>112.77777777777777</v>
      </c>
      <c r="BT26" s="150"/>
      <c r="BU26" s="150">
        <f t="shared" si="40"/>
        <v>215.55555555555554</v>
      </c>
      <c r="BW26" s="522">
        <f t="shared" si="41"/>
        <v>217.55555555555554</v>
      </c>
      <c r="BY26" s="527">
        <f t="shared" si="42"/>
        <v>810.22222222222229</v>
      </c>
      <c r="BZ26" s="181">
        <f t="shared" si="43"/>
        <v>0.78832432432432431</v>
      </c>
      <c r="CA26" s="520" t="b">
        <f t="shared" si="44"/>
        <v>0</v>
      </c>
    </row>
    <row r="27" spans="1:79" s="151" customFormat="1">
      <c r="A27" s="151" t="str">
        <f t="shared" si="37"/>
        <v>1EoKEntryRegionaal5</v>
      </c>
      <c r="B27" s="520" t="str">
        <f t="shared" si="22"/>
        <v>1EoKEntryRegionaal5</v>
      </c>
      <c r="C27" s="179">
        <v>1</v>
      </c>
      <c r="D27" s="179" t="s">
        <v>303</v>
      </c>
      <c r="E27" s="178" t="s">
        <v>45</v>
      </c>
      <c r="F27" s="178" t="s">
        <v>265</v>
      </c>
      <c r="G27" s="185" t="s">
        <v>409</v>
      </c>
      <c r="J27" s="520" t="str">
        <f t="shared" si="23"/>
        <v>EntryRegionaal5</v>
      </c>
      <c r="L27" s="204">
        <f>INDEX(Mapping!$H:$H,MATCH(C$3&amp;C27,Mapping!$B:$B,0))</f>
        <v>1</v>
      </c>
      <c r="M27" s="204" t="str">
        <f>INDEX(Mapping!$H:$H,MATCH(D$3&amp;$D27,Mapping!$B:$B,0))</f>
        <v>EoK</v>
      </c>
      <c r="N27" s="204" t="str">
        <f>INDEX(Mapping!$H:$H,MATCH(E$3&amp;E27,Mapping!$B:$B,0))</f>
        <v>Lite</v>
      </c>
      <c r="O27" s="204" t="str">
        <f>INDEX(Mapping!$H:$H,MATCH(F$3&amp;F27,Mapping!$B:$B,0))</f>
        <v>Metro</v>
      </c>
      <c r="P27" s="204">
        <f>INDEX(Mapping!$H:$H,MATCH(G$3&amp;G27,Mapping!$B:$B,0))</f>
        <v>5</v>
      </c>
      <c r="Q27" s="204" t="str">
        <f>INDEX(Mapping!$H:$H,MATCH(Q$3&amp;$F27,Mapping!$B:$B,0))</f>
        <v>Metro - Nationaal</v>
      </c>
      <c r="R27" s="204" t="str">
        <f>INDEX(Mapping!$H:$H,MATCH("ZM VPN Service Level"&amp;E27,Mapping!$B:$B,0))</f>
        <v>Advanced</v>
      </c>
      <c r="S27" s="139" t="b">
        <f>IF($D27="EoK",INDEX(Mapping!$I:$I,MATCH($G$3&amp;$G27,Mapping!B:B,0)),FALSE)</f>
        <v>0</v>
      </c>
      <c r="T27" s="139"/>
      <c r="U27" s="520" t="str">
        <f t="shared" si="24"/>
        <v>LiteMetro5</v>
      </c>
      <c r="W27" s="521">
        <f>MATCH($J27,'Tarieven ZM'!$B:$B,0)</f>
        <v>31</v>
      </c>
      <c r="X27" s="204">
        <f>INDEX('Tarieven ZM'!$H:$H,$W27)</f>
        <v>1000</v>
      </c>
      <c r="Y27" s="198">
        <f>-INDEX(Parameters!$B:$B,MATCH(Y$3&amp;$C27,Parameters!$A:$A,0))*$X27</f>
        <v>0</v>
      </c>
      <c r="Z27" s="198">
        <f>-INDEX(Parameters!$B:$B,MATCH(Z$3&amp;$C27,Parameters!$A:$A,0))*$X27</f>
        <v>0</v>
      </c>
      <c r="AA27" s="139">
        <f t="shared" si="26"/>
        <v>1000</v>
      </c>
      <c r="AB27" s="205">
        <f>AA27/INDEX(Parameters!$B:$B,MATCH("AfschrijftermijnVVE"&amp;12*$C27,Parameters!$A:$A,0))</f>
        <v>27.777777777777779</v>
      </c>
      <c r="AC27" s="204">
        <f>INDEX('Tarieven ZM'!$G:$G,$W27)</f>
        <v>1000</v>
      </c>
      <c r="AD27" s="198">
        <f>-INDEX(Parameters!$B:$B,MATCH(AD$3&amp;$C27,Parameters!$A:$A,0))*$AC27</f>
        <v>0</v>
      </c>
      <c r="AE27" s="198">
        <f>-INDEX(Parameters!$B:$B,MATCH(AE$3,Parameters!$A:$A,0))*$AC27</f>
        <v>0</v>
      </c>
      <c r="AF27" s="139">
        <f t="shared" si="27"/>
        <v>1000</v>
      </c>
      <c r="AG27" s="522">
        <f t="shared" si="28"/>
        <v>1027.7777777777778</v>
      </c>
      <c r="AH27" s="175"/>
      <c r="AI27" s="523">
        <f>MATCH($U27,'Tarieven W&amp;O'!$B:$B,0)</f>
        <v>40</v>
      </c>
      <c r="AJ27" s="204">
        <f>IF(AI27&lt;&gt;"nvt",INDEX('Tarieven W&amp;O'!$H:$H,$AI27),0)</f>
        <v>0</v>
      </c>
      <c r="AK27" s="204">
        <f>IF(AI27&lt;&gt;"nvt",INDEX('Tarieven W&amp;O'!$I:$I,$AI27),0)</f>
        <v>25</v>
      </c>
      <c r="AL27" s="524">
        <f>IF(AI27&lt;&gt;"nvt",-INDEX(Parameters!$B:$B,MATCH(AL$3,Parameters!$A:$A,0))*(AJ27+AK27),0)</f>
        <v>0</v>
      </c>
      <c r="AM27" s="525"/>
      <c r="AN27" s="139">
        <f t="shared" si="29"/>
        <v>25</v>
      </c>
      <c r="AO27" s="205">
        <f>AN27/INDEX(Parameters!$B:$B,MATCH("AfschrijftermijnVVE"&amp;12*$C27,Parameters!$A:$A,0))</f>
        <v>0.69444444444444442</v>
      </c>
      <c r="AP27" s="139">
        <f t="shared" si="30"/>
        <v>40</v>
      </c>
      <c r="AQ27" s="526">
        <f>IF(AP27&lt;&gt;"nvt",INDEX('Tarieven W&amp;O'!$G:$G,$AP27),0)</f>
        <v>18.47</v>
      </c>
      <c r="AR27" s="251">
        <f>IF($S27,INDEX('Tarieven W&amp;O'!$G:$G,MATCH(N27&amp;R27,'Tarieven W&amp;O'!$B:$B,0)),0)</f>
        <v>0</v>
      </c>
      <c r="AS27" s="205">
        <f>-INDEX(Parameters!$B:$B,MATCH(AS$3,Parameters!$A:$A,0))*(AQ27+AR27)</f>
        <v>0</v>
      </c>
      <c r="AT27" s="205">
        <f>INDEX(hulpblad!$E:$E,MATCH(M27&amp;Q27,hulpblad!$B:$B,0))</f>
        <v>2</v>
      </c>
      <c r="AU27" s="150">
        <f t="shared" si="33"/>
        <v>20.47</v>
      </c>
      <c r="AV27" s="150">
        <f t="shared" si="34"/>
        <v>21.164444444444442</v>
      </c>
      <c r="AX27" s="526">
        <f>Parameters!$B$6*AV27</f>
        <v>0.21164444444444441</v>
      </c>
      <c r="AY27" s="150">
        <v>0</v>
      </c>
      <c r="AZ27" s="150"/>
      <c r="BA27" s="150">
        <f t="shared" si="31"/>
        <v>0.21164444444444441</v>
      </c>
      <c r="BB27" s="150"/>
      <c r="BC27" s="522">
        <f t="shared" si="32"/>
        <v>21.376088888888887</v>
      </c>
      <c r="BD27" s="175"/>
      <c r="BE27" s="527">
        <f t="shared" si="35"/>
        <v>1006.4016888888889</v>
      </c>
      <c r="BF27" s="181">
        <f t="shared" si="36"/>
        <v>0.97920164324324321</v>
      </c>
      <c r="BG27" s="520" t="b">
        <f t="shared" si="25"/>
        <v>0</v>
      </c>
      <c r="BI27" s="528" t="s">
        <v>2181</v>
      </c>
      <c r="BL27" s="151" t="str">
        <f t="shared" si="38"/>
        <v>EoKMetro - Nationaal</v>
      </c>
      <c r="BM27" s="529">
        <v>0</v>
      </c>
      <c r="BN27" s="180">
        <f>BM27/INDEX(Parameters!$B:$B,MATCH("AfschrijftermijnVVE"&amp;12*$C27,Parameters!$A:$A,0))</f>
        <v>0</v>
      </c>
      <c r="BO27" s="184">
        <f>INDEX('inkoop ULL tbv EVPN'!I:I,MATCH(BL27,'inkoop ULL tbv EVPN'!H:H,0))</f>
        <v>2</v>
      </c>
      <c r="BP27" s="184">
        <f t="shared" si="39"/>
        <v>2</v>
      </c>
      <c r="BR27" s="180">
        <f>Parameters!$B$12*AG27</f>
        <v>102.77777777777779</v>
      </c>
      <c r="BS27" s="180">
        <f>SUM(Distributievergoedingen!$F$12,Distributievergoedingen!$I$12,Distributievergoedingen!$L$12,Distributievergoedingen!$O$12)*AF27+SUM(Distributievergoedingen!$O$12*AA27+Distributievergoedingen!$R$12+Distributievergoedingen!$U$12+Distributievergoedingen!$X$12)/(MAX(36,12*C27))</f>
        <v>112.77777777777777</v>
      </c>
      <c r="BT27" s="150"/>
      <c r="BU27" s="150">
        <f t="shared" si="40"/>
        <v>215.55555555555554</v>
      </c>
      <c r="BW27" s="522">
        <f t="shared" si="41"/>
        <v>217.55555555555554</v>
      </c>
      <c r="BY27" s="527">
        <f t="shared" si="42"/>
        <v>810.22222222222229</v>
      </c>
      <c r="BZ27" s="181">
        <f t="shared" si="43"/>
        <v>0.78832432432432431</v>
      </c>
      <c r="CA27" s="520" t="b">
        <f t="shared" si="44"/>
        <v>0</v>
      </c>
    </row>
    <row r="28" spans="1:79" s="151" customFormat="1">
      <c r="A28" s="151" t="str">
        <f t="shared" si="37"/>
        <v>1EoKEntryRegionaal6</v>
      </c>
      <c r="B28" s="520" t="str">
        <f t="shared" si="22"/>
        <v>1EoKEntryRegionaal6</v>
      </c>
      <c r="C28" s="179">
        <v>1</v>
      </c>
      <c r="D28" s="179" t="s">
        <v>303</v>
      </c>
      <c r="E28" s="178" t="s">
        <v>45</v>
      </c>
      <c r="F28" s="178" t="s">
        <v>265</v>
      </c>
      <c r="G28" s="185" t="s">
        <v>410</v>
      </c>
      <c r="J28" s="520" t="str">
        <f t="shared" si="23"/>
        <v>EntryRegionaal6</v>
      </c>
      <c r="L28" s="204">
        <f>INDEX(Mapping!$H:$H,MATCH(C$3&amp;C28,Mapping!$B:$B,0))</f>
        <v>1</v>
      </c>
      <c r="M28" s="204" t="str">
        <f>INDEX(Mapping!$H:$H,MATCH(D$3&amp;$D28,Mapping!$B:$B,0))</f>
        <v>EoK</v>
      </c>
      <c r="N28" s="204" t="str">
        <f>INDEX(Mapping!$H:$H,MATCH(E$3&amp;E28,Mapping!$B:$B,0))</f>
        <v>Lite</v>
      </c>
      <c r="O28" s="204" t="str">
        <f>INDEX(Mapping!$H:$H,MATCH(F$3&amp;F28,Mapping!$B:$B,0))</f>
        <v>Metro</v>
      </c>
      <c r="P28" s="204">
        <f>INDEX(Mapping!$H:$H,MATCH(G$3&amp;G28,Mapping!$B:$B,0))</f>
        <v>6</v>
      </c>
      <c r="Q28" s="204" t="str">
        <f>INDEX(Mapping!$H:$H,MATCH(Q$3&amp;$F28,Mapping!$B:$B,0))</f>
        <v>Metro - Nationaal</v>
      </c>
      <c r="R28" s="204" t="str">
        <f>INDEX(Mapping!$H:$H,MATCH("ZM VPN Service Level"&amp;E28,Mapping!$B:$B,0))</f>
        <v>Advanced</v>
      </c>
      <c r="S28" s="139" t="b">
        <f>IF($D28="EoK",INDEX(Mapping!$I:$I,MATCH($G$3&amp;$G28,Mapping!B:B,0)),FALSE)</f>
        <v>0</v>
      </c>
      <c r="T28" s="139"/>
      <c r="U28" s="520" t="str">
        <f t="shared" si="24"/>
        <v>LiteMetro6</v>
      </c>
      <c r="W28" s="521">
        <f>MATCH($J28,'Tarieven ZM'!$B:$B,0)</f>
        <v>32</v>
      </c>
      <c r="X28" s="204">
        <f>INDEX('Tarieven ZM'!$H:$H,$W28)</f>
        <v>1000</v>
      </c>
      <c r="Y28" s="198">
        <f>-INDEX(Parameters!$B:$B,MATCH(Y$3&amp;$C28,Parameters!$A:$A,0))*$X28</f>
        <v>0</v>
      </c>
      <c r="Z28" s="198">
        <f>-INDEX(Parameters!$B:$B,MATCH(Z$3&amp;$C28,Parameters!$A:$A,0))*$X28</f>
        <v>0</v>
      </c>
      <c r="AA28" s="139">
        <f t="shared" si="26"/>
        <v>1000</v>
      </c>
      <c r="AB28" s="205">
        <f>AA28/INDEX(Parameters!$B:$B,MATCH("AfschrijftermijnVVE"&amp;12*$C28,Parameters!$A:$A,0))</f>
        <v>27.777777777777779</v>
      </c>
      <c r="AC28" s="204">
        <f>INDEX('Tarieven ZM'!$G:$G,$W28)</f>
        <v>1000</v>
      </c>
      <c r="AD28" s="198">
        <f>-INDEX(Parameters!$B:$B,MATCH(AD$3&amp;$C28,Parameters!$A:$A,0))*$AC28</f>
        <v>0</v>
      </c>
      <c r="AE28" s="198">
        <f>-INDEX(Parameters!$B:$B,MATCH(AE$3,Parameters!$A:$A,0))*$AC28</f>
        <v>0</v>
      </c>
      <c r="AF28" s="139">
        <f t="shared" si="27"/>
        <v>1000</v>
      </c>
      <c r="AG28" s="522">
        <f t="shared" si="28"/>
        <v>1027.7777777777778</v>
      </c>
      <c r="AH28" s="175"/>
      <c r="AI28" s="523">
        <f>MATCH($U28,'Tarieven W&amp;O'!$B:$B,0)</f>
        <v>41</v>
      </c>
      <c r="AJ28" s="204">
        <f>IF(AI28&lt;&gt;"nvt",INDEX('Tarieven W&amp;O'!$H:$H,$AI28),0)</f>
        <v>0</v>
      </c>
      <c r="AK28" s="204">
        <f>IF(AI28&lt;&gt;"nvt",INDEX('Tarieven W&amp;O'!$I:$I,$AI28),0)</f>
        <v>25</v>
      </c>
      <c r="AL28" s="524">
        <f>IF(AI28&lt;&gt;"nvt",-INDEX(Parameters!$B:$B,MATCH(AL$3,Parameters!$A:$A,0))*(AJ28+AK28),0)</f>
        <v>0</v>
      </c>
      <c r="AM28" s="525"/>
      <c r="AN28" s="139">
        <f t="shared" si="29"/>
        <v>25</v>
      </c>
      <c r="AO28" s="205">
        <f>AN28/INDEX(Parameters!$B:$B,MATCH("AfschrijftermijnVVE"&amp;12*$C28,Parameters!$A:$A,0))</f>
        <v>0.69444444444444442</v>
      </c>
      <c r="AP28" s="139">
        <f t="shared" si="30"/>
        <v>41</v>
      </c>
      <c r="AQ28" s="526">
        <f>IF(AP28&lt;&gt;"nvt",INDEX('Tarieven W&amp;O'!$G:$G,$AP28),0)</f>
        <v>18.47</v>
      </c>
      <c r="AR28" s="251">
        <f>IF($S28,INDEX('Tarieven W&amp;O'!$G:$G,MATCH(N28&amp;R28,'Tarieven W&amp;O'!$B:$B,0)),0)</f>
        <v>0</v>
      </c>
      <c r="AS28" s="205">
        <f>-INDEX(Parameters!$B:$B,MATCH(AS$3,Parameters!$A:$A,0))*(AQ28+AR28)</f>
        <v>0</v>
      </c>
      <c r="AT28" s="205">
        <f>INDEX(hulpblad!$E:$E,MATCH(M28&amp;Q28,hulpblad!$B:$B,0))</f>
        <v>2</v>
      </c>
      <c r="AU28" s="150">
        <f t="shared" si="33"/>
        <v>20.47</v>
      </c>
      <c r="AV28" s="150">
        <f t="shared" si="34"/>
        <v>21.164444444444442</v>
      </c>
      <c r="AX28" s="526">
        <f>Parameters!$B$6*AV28</f>
        <v>0.21164444444444441</v>
      </c>
      <c r="AY28" s="150">
        <v>0</v>
      </c>
      <c r="AZ28" s="150"/>
      <c r="BA28" s="150">
        <f t="shared" si="31"/>
        <v>0.21164444444444441</v>
      </c>
      <c r="BB28" s="150"/>
      <c r="BC28" s="522">
        <f t="shared" si="32"/>
        <v>21.376088888888887</v>
      </c>
      <c r="BD28" s="175"/>
      <c r="BE28" s="527">
        <f t="shared" si="35"/>
        <v>1006.4016888888889</v>
      </c>
      <c r="BF28" s="181">
        <f t="shared" si="36"/>
        <v>0.97920164324324321</v>
      </c>
      <c r="BG28" s="520" t="b">
        <f t="shared" si="25"/>
        <v>0</v>
      </c>
      <c r="BI28" s="528" t="s">
        <v>2181</v>
      </c>
      <c r="BL28" s="151" t="str">
        <f t="shared" si="38"/>
        <v>EoKMetro - Nationaal</v>
      </c>
      <c r="BM28" s="529">
        <v>0</v>
      </c>
      <c r="BN28" s="180">
        <f>BM28/INDEX(Parameters!$B:$B,MATCH("AfschrijftermijnVVE"&amp;12*$C28,Parameters!$A:$A,0))</f>
        <v>0</v>
      </c>
      <c r="BO28" s="184">
        <f>INDEX('inkoop ULL tbv EVPN'!I:I,MATCH(BL28,'inkoop ULL tbv EVPN'!H:H,0))</f>
        <v>2</v>
      </c>
      <c r="BP28" s="184">
        <f t="shared" si="39"/>
        <v>2</v>
      </c>
      <c r="BR28" s="180">
        <f>Parameters!$B$12*AG28</f>
        <v>102.77777777777779</v>
      </c>
      <c r="BS28" s="180">
        <f>SUM(Distributievergoedingen!$F$12,Distributievergoedingen!$I$12,Distributievergoedingen!$L$12,Distributievergoedingen!$O$12)*AF28+SUM(Distributievergoedingen!$O$12*AA28+Distributievergoedingen!$R$12+Distributievergoedingen!$U$12+Distributievergoedingen!$X$12)/(MAX(36,12*C28))</f>
        <v>112.77777777777777</v>
      </c>
      <c r="BT28" s="150"/>
      <c r="BU28" s="150">
        <f t="shared" si="40"/>
        <v>215.55555555555554</v>
      </c>
      <c r="BW28" s="522">
        <f t="shared" si="41"/>
        <v>217.55555555555554</v>
      </c>
      <c r="BY28" s="527">
        <f t="shared" si="42"/>
        <v>810.22222222222229</v>
      </c>
      <c r="BZ28" s="181">
        <f t="shared" si="43"/>
        <v>0.78832432432432431</v>
      </c>
      <c r="CA28" s="520" t="b">
        <f t="shared" si="44"/>
        <v>0</v>
      </c>
    </row>
    <row r="29" spans="1:79" s="151" customFormat="1">
      <c r="A29" s="151" t="str">
        <f t="shared" si="37"/>
        <v>1EoKEntryRegionaal8</v>
      </c>
      <c r="B29" s="520" t="str">
        <f t="shared" si="22"/>
        <v>1EoKEntryRegionaal8</v>
      </c>
      <c r="C29" s="179">
        <v>1</v>
      </c>
      <c r="D29" s="179" t="s">
        <v>303</v>
      </c>
      <c r="E29" s="178" t="s">
        <v>45</v>
      </c>
      <c r="F29" s="178" t="s">
        <v>265</v>
      </c>
      <c r="G29" s="185" t="s">
        <v>411</v>
      </c>
      <c r="J29" s="520" t="str">
        <f t="shared" si="23"/>
        <v>EntryRegionaal8</v>
      </c>
      <c r="L29" s="204">
        <f>INDEX(Mapping!$H:$H,MATCH(C$3&amp;C29,Mapping!$B:$B,0))</f>
        <v>1</v>
      </c>
      <c r="M29" s="204" t="str">
        <f>INDEX(Mapping!$H:$H,MATCH(D$3&amp;$D29,Mapping!$B:$B,0))</f>
        <v>EoK</v>
      </c>
      <c r="N29" s="204" t="str">
        <f>INDEX(Mapping!$H:$H,MATCH(E$3&amp;E29,Mapping!$B:$B,0))</f>
        <v>Lite</v>
      </c>
      <c r="O29" s="204" t="str">
        <f>INDEX(Mapping!$H:$H,MATCH(F$3&amp;F29,Mapping!$B:$B,0))</f>
        <v>Metro</v>
      </c>
      <c r="P29" s="204">
        <f>INDEX(Mapping!$H:$H,MATCH(G$3&amp;G29,Mapping!$B:$B,0))</f>
        <v>8</v>
      </c>
      <c r="Q29" s="204" t="str">
        <f>INDEX(Mapping!$H:$H,MATCH(Q$3&amp;$F29,Mapping!$B:$B,0))</f>
        <v>Metro - Nationaal</v>
      </c>
      <c r="R29" s="204" t="str">
        <f>INDEX(Mapping!$H:$H,MATCH("ZM VPN Service Level"&amp;E29,Mapping!$B:$B,0))</f>
        <v>Advanced</v>
      </c>
      <c r="S29" s="139" t="b">
        <f>IF($D29="EoK",INDEX(Mapping!$I:$I,MATCH($G$3&amp;$G29,Mapping!B:B,0)),FALSE)</f>
        <v>0</v>
      </c>
      <c r="T29" s="139"/>
      <c r="U29" s="520" t="str">
        <f t="shared" si="24"/>
        <v>LiteMetro8</v>
      </c>
      <c r="W29" s="521">
        <f>MATCH($J29,'Tarieven ZM'!$B:$B,0)</f>
        <v>33</v>
      </c>
      <c r="X29" s="204">
        <f>INDEX('Tarieven ZM'!$H:$H,$W29)</f>
        <v>1000</v>
      </c>
      <c r="Y29" s="198">
        <f>-INDEX(Parameters!$B:$B,MATCH(Y$3&amp;$C29,Parameters!$A:$A,0))*$X29</f>
        <v>0</v>
      </c>
      <c r="Z29" s="198">
        <f>-INDEX(Parameters!$B:$B,MATCH(Z$3&amp;$C29,Parameters!$A:$A,0))*$X29</f>
        <v>0</v>
      </c>
      <c r="AA29" s="139">
        <f t="shared" si="26"/>
        <v>1000</v>
      </c>
      <c r="AB29" s="205">
        <f>AA29/INDEX(Parameters!$B:$B,MATCH("AfschrijftermijnVVE"&amp;12*$C29,Parameters!$A:$A,0))</f>
        <v>27.777777777777779</v>
      </c>
      <c r="AC29" s="204">
        <f>INDEX('Tarieven ZM'!$G:$G,$W29)</f>
        <v>1000</v>
      </c>
      <c r="AD29" s="198">
        <f>-INDEX(Parameters!$B:$B,MATCH(AD$3&amp;$C29,Parameters!$A:$A,0))*$AC29</f>
        <v>0</v>
      </c>
      <c r="AE29" s="198">
        <f>-INDEX(Parameters!$B:$B,MATCH(AE$3,Parameters!$A:$A,0))*$AC29</f>
        <v>0</v>
      </c>
      <c r="AF29" s="139">
        <f t="shared" si="27"/>
        <v>1000</v>
      </c>
      <c r="AG29" s="522">
        <f t="shared" si="28"/>
        <v>1027.7777777777778</v>
      </c>
      <c r="AH29" s="175"/>
      <c r="AI29" s="523">
        <f>MATCH($U29,'Tarieven W&amp;O'!$B:$B,0)</f>
        <v>42</v>
      </c>
      <c r="AJ29" s="204">
        <f>IF(AI29&lt;&gt;"nvt",INDEX('Tarieven W&amp;O'!$H:$H,$AI29),0)</f>
        <v>0</v>
      </c>
      <c r="AK29" s="204">
        <f>IF(AI29&lt;&gt;"nvt",INDEX('Tarieven W&amp;O'!$I:$I,$AI29),0)</f>
        <v>25</v>
      </c>
      <c r="AL29" s="524">
        <f>IF(AI29&lt;&gt;"nvt",-INDEX(Parameters!$B:$B,MATCH(AL$3,Parameters!$A:$A,0))*(AJ29+AK29),0)</f>
        <v>0</v>
      </c>
      <c r="AM29" s="525"/>
      <c r="AN29" s="139">
        <f t="shared" si="29"/>
        <v>25</v>
      </c>
      <c r="AO29" s="205">
        <f>AN29/INDEX(Parameters!$B:$B,MATCH("AfschrijftermijnVVE"&amp;12*$C29,Parameters!$A:$A,0))</f>
        <v>0.69444444444444442</v>
      </c>
      <c r="AP29" s="139">
        <f t="shared" si="30"/>
        <v>42</v>
      </c>
      <c r="AQ29" s="526">
        <f>IF(AP29&lt;&gt;"nvt",INDEX('Tarieven W&amp;O'!$G:$G,$AP29),0)</f>
        <v>18.47</v>
      </c>
      <c r="AR29" s="251">
        <f>IF($S29,INDEX('Tarieven W&amp;O'!$G:$G,MATCH(N29&amp;R29,'Tarieven W&amp;O'!$B:$B,0)),0)</f>
        <v>0</v>
      </c>
      <c r="AS29" s="205">
        <f>-INDEX(Parameters!$B:$B,MATCH(AS$3,Parameters!$A:$A,0))*(AQ29+AR29)</f>
        <v>0</v>
      </c>
      <c r="AT29" s="205">
        <f>INDEX(hulpblad!$E:$E,MATCH(M29&amp;Q29,hulpblad!$B:$B,0))</f>
        <v>2</v>
      </c>
      <c r="AU29" s="150">
        <f t="shared" si="33"/>
        <v>20.47</v>
      </c>
      <c r="AV29" s="150">
        <f t="shared" si="34"/>
        <v>21.164444444444442</v>
      </c>
      <c r="AX29" s="526">
        <f>Parameters!$B$6*AV29</f>
        <v>0.21164444444444441</v>
      </c>
      <c r="AY29" s="150">
        <v>0</v>
      </c>
      <c r="AZ29" s="150"/>
      <c r="BA29" s="150">
        <f t="shared" si="31"/>
        <v>0.21164444444444441</v>
      </c>
      <c r="BB29" s="150"/>
      <c r="BC29" s="522">
        <f t="shared" si="32"/>
        <v>21.376088888888887</v>
      </c>
      <c r="BD29" s="175"/>
      <c r="BE29" s="527">
        <f t="shared" si="35"/>
        <v>1006.4016888888889</v>
      </c>
      <c r="BF29" s="181">
        <f t="shared" si="36"/>
        <v>0.97920164324324321</v>
      </c>
      <c r="BG29" s="520" t="b">
        <f t="shared" si="25"/>
        <v>0</v>
      </c>
      <c r="BI29" s="528" t="s">
        <v>2181</v>
      </c>
      <c r="BL29" s="151" t="str">
        <f t="shared" si="38"/>
        <v>EoKMetro - Nationaal</v>
      </c>
      <c r="BM29" s="529">
        <v>0</v>
      </c>
      <c r="BN29" s="180">
        <f>BM29/INDEX(Parameters!$B:$B,MATCH("AfschrijftermijnVVE"&amp;12*$C29,Parameters!$A:$A,0))</f>
        <v>0</v>
      </c>
      <c r="BO29" s="184">
        <f>INDEX('inkoop ULL tbv EVPN'!I:I,MATCH(BL29,'inkoop ULL tbv EVPN'!H:H,0))</f>
        <v>2</v>
      </c>
      <c r="BP29" s="184">
        <f t="shared" si="39"/>
        <v>2</v>
      </c>
      <c r="BR29" s="180">
        <f>Parameters!$B$12*AG29</f>
        <v>102.77777777777779</v>
      </c>
      <c r="BS29" s="180">
        <f>SUM(Distributievergoedingen!$F$12,Distributievergoedingen!$I$12,Distributievergoedingen!$L$12,Distributievergoedingen!$O$12)*AF29+SUM(Distributievergoedingen!$O$12*AA29+Distributievergoedingen!$R$12+Distributievergoedingen!$U$12+Distributievergoedingen!$X$12)/(MAX(36,12*C29))</f>
        <v>112.77777777777777</v>
      </c>
      <c r="BT29" s="150"/>
      <c r="BU29" s="150">
        <f t="shared" si="40"/>
        <v>215.55555555555554</v>
      </c>
      <c r="BW29" s="522">
        <f t="shared" si="41"/>
        <v>217.55555555555554</v>
      </c>
      <c r="BY29" s="527">
        <f t="shared" si="42"/>
        <v>810.22222222222229</v>
      </c>
      <c r="BZ29" s="181">
        <f t="shared" si="43"/>
        <v>0.78832432432432431</v>
      </c>
      <c r="CA29" s="520" t="b">
        <f t="shared" si="44"/>
        <v>0</v>
      </c>
    </row>
    <row r="30" spans="1:79" s="151" customFormat="1">
      <c r="A30" s="151" t="str">
        <f t="shared" si="37"/>
        <v>1EoKEntryRegionaal10</v>
      </c>
      <c r="B30" s="520" t="str">
        <f t="shared" si="22"/>
        <v>1EoKEntryRegionaal10</v>
      </c>
      <c r="C30" s="179">
        <v>1</v>
      </c>
      <c r="D30" s="179" t="s">
        <v>303</v>
      </c>
      <c r="E30" s="178" t="s">
        <v>45</v>
      </c>
      <c r="F30" s="178" t="s">
        <v>265</v>
      </c>
      <c r="G30" s="185" t="s">
        <v>412</v>
      </c>
      <c r="J30" s="520" t="str">
        <f t="shared" si="23"/>
        <v>EntryRegionaal10</v>
      </c>
      <c r="L30" s="204">
        <f>INDEX(Mapping!$H:$H,MATCH(C$3&amp;C30,Mapping!$B:$B,0))</f>
        <v>1</v>
      </c>
      <c r="M30" s="204" t="str">
        <f>INDEX(Mapping!$H:$H,MATCH(D$3&amp;$D30,Mapping!$B:$B,0))</f>
        <v>EoK</v>
      </c>
      <c r="N30" s="204" t="str">
        <f>INDEX(Mapping!$H:$H,MATCH(E$3&amp;E30,Mapping!$B:$B,0))</f>
        <v>Lite</v>
      </c>
      <c r="O30" s="204" t="str">
        <f>INDEX(Mapping!$H:$H,MATCH(F$3&amp;F30,Mapping!$B:$B,0))</f>
        <v>Metro</v>
      </c>
      <c r="P30" s="204">
        <f>INDEX(Mapping!$H:$H,MATCH(G$3&amp;G30,Mapping!$B:$B,0))</f>
        <v>10</v>
      </c>
      <c r="Q30" s="204" t="str">
        <f>INDEX(Mapping!$H:$H,MATCH(Q$3&amp;$F30,Mapping!$B:$B,0))</f>
        <v>Metro - Nationaal</v>
      </c>
      <c r="R30" s="204" t="str">
        <f>INDEX(Mapping!$H:$H,MATCH("ZM VPN Service Level"&amp;E30,Mapping!$B:$B,0))</f>
        <v>Advanced</v>
      </c>
      <c r="S30" s="139" t="b">
        <f>IF($D30="EoK",INDEX(Mapping!$I:$I,MATCH($G$3&amp;$G30,Mapping!B:B,0)),FALSE)</f>
        <v>0</v>
      </c>
      <c r="T30" s="139"/>
      <c r="U30" s="520" t="str">
        <f t="shared" si="24"/>
        <v>LiteMetro10</v>
      </c>
      <c r="W30" s="521">
        <f>MATCH($J30,'Tarieven ZM'!$B:$B,0)</f>
        <v>34</v>
      </c>
      <c r="X30" s="204">
        <f>INDEX('Tarieven ZM'!$H:$H,$W30)</f>
        <v>1000</v>
      </c>
      <c r="Y30" s="198">
        <f>-INDEX(Parameters!$B:$B,MATCH(Y$3&amp;$C30,Parameters!$A:$A,0))*$X30</f>
        <v>0</v>
      </c>
      <c r="Z30" s="198">
        <f>-INDEX(Parameters!$B:$B,MATCH(Z$3&amp;$C30,Parameters!$A:$A,0))*$X30</f>
        <v>0</v>
      </c>
      <c r="AA30" s="139">
        <f t="shared" si="26"/>
        <v>1000</v>
      </c>
      <c r="AB30" s="205">
        <f>AA30/INDEX(Parameters!$B:$B,MATCH("AfschrijftermijnVVE"&amp;12*$C30,Parameters!$A:$A,0))</f>
        <v>27.777777777777779</v>
      </c>
      <c r="AC30" s="204">
        <f>INDEX('Tarieven ZM'!$G:$G,$W30)</f>
        <v>1000</v>
      </c>
      <c r="AD30" s="198">
        <f>-INDEX(Parameters!$B:$B,MATCH(AD$3&amp;$C30,Parameters!$A:$A,0))*$AC30</f>
        <v>0</v>
      </c>
      <c r="AE30" s="198">
        <f>-INDEX(Parameters!$B:$B,MATCH(AE$3,Parameters!$A:$A,0))*$AC30</f>
        <v>0</v>
      </c>
      <c r="AF30" s="139">
        <f t="shared" si="27"/>
        <v>1000</v>
      </c>
      <c r="AG30" s="522">
        <f t="shared" si="28"/>
        <v>1027.7777777777778</v>
      </c>
      <c r="AH30" s="175"/>
      <c r="AI30" s="523">
        <f>MATCH($U30,'Tarieven W&amp;O'!$B:$B,0)</f>
        <v>43</v>
      </c>
      <c r="AJ30" s="204">
        <f>IF(AI30&lt;&gt;"nvt",INDEX('Tarieven W&amp;O'!$H:$H,$AI30),0)</f>
        <v>0</v>
      </c>
      <c r="AK30" s="204">
        <f>IF(AI30&lt;&gt;"nvt",INDEX('Tarieven W&amp;O'!$I:$I,$AI30),0)</f>
        <v>25</v>
      </c>
      <c r="AL30" s="524">
        <f>IF(AI30&lt;&gt;"nvt",-INDEX(Parameters!$B:$B,MATCH(AL$3,Parameters!$A:$A,0))*(AJ30+AK30),0)</f>
        <v>0</v>
      </c>
      <c r="AM30" s="525"/>
      <c r="AN30" s="139">
        <f t="shared" si="29"/>
        <v>25</v>
      </c>
      <c r="AO30" s="205">
        <f>AN30/INDEX(Parameters!$B:$B,MATCH("AfschrijftermijnVVE"&amp;12*$C30,Parameters!$A:$A,0))</f>
        <v>0.69444444444444442</v>
      </c>
      <c r="AP30" s="139">
        <f t="shared" si="30"/>
        <v>43</v>
      </c>
      <c r="AQ30" s="526">
        <f>IF(AP30&lt;&gt;"nvt",INDEX('Tarieven W&amp;O'!$G:$G,$AP30),0)</f>
        <v>18.47</v>
      </c>
      <c r="AR30" s="251">
        <f>IF($S30,INDEX('Tarieven W&amp;O'!$G:$G,MATCH(N30&amp;R30,'Tarieven W&amp;O'!$B:$B,0)),0)</f>
        <v>0</v>
      </c>
      <c r="AS30" s="205">
        <f>-INDEX(Parameters!$B:$B,MATCH(AS$3,Parameters!$A:$A,0))*(AQ30+AR30)</f>
        <v>0</v>
      </c>
      <c r="AT30" s="205">
        <f>INDEX(hulpblad!$E:$E,MATCH(M30&amp;Q30,hulpblad!$B:$B,0))</f>
        <v>2</v>
      </c>
      <c r="AU30" s="150">
        <f t="shared" si="33"/>
        <v>20.47</v>
      </c>
      <c r="AV30" s="150">
        <f t="shared" si="34"/>
        <v>21.164444444444442</v>
      </c>
      <c r="AX30" s="526">
        <f>Parameters!$B$6*AV30</f>
        <v>0.21164444444444441</v>
      </c>
      <c r="AY30" s="150">
        <v>0</v>
      </c>
      <c r="AZ30" s="150"/>
      <c r="BA30" s="150">
        <f t="shared" si="31"/>
        <v>0.21164444444444441</v>
      </c>
      <c r="BB30" s="150"/>
      <c r="BC30" s="522">
        <f t="shared" si="32"/>
        <v>21.376088888888887</v>
      </c>
      <c r="BD30" s="175"/>
      <c r="BE30" s="527">
        <f t="shared" si="35"/>
        <v>1006.4016888888889</v>
      </c>
      <c r="BF30" s="181">
        <f t="shared" si="36"/>
        <v>0.97920164324324321</v>
      </c>
      <c r="BG30" s="520" t="b">
        <f t="shared" si="25"/>
        <v>0</v>
      </c>
      <c r="BI30" s="528" t="s">
        <v>2181</v>
      </c>
      <c r="BL30" s="151" t="str">
        <f t="shared" si="38"/>
        <v>EoKMetro - Nationaal</v>
      </c>
      <c r="BM30" s="529">
        <v>0</v>
      </c>
      <c r="BN30" s="180">
        <f>BM30/INDEX(Parameters!$B:$B,MATCH("AfschrijftermijnVVE"&amp;12*$C30,Parameters!$A:$A,0))</f>
        <v>0</v>
      </c>
      <c r="BO30" s="184">
        <f>INDEX('inkoop ULL tbv EVPN'!I:I,MATCH(BL30,'inkoop ULL tbv EVPN'!H:H,0))</f>
        <v>2</v>
      </c>
      <c r="BP30" s="184">
        <f t="shared" si="39"/>
        <v>2</v>
      </c>
      <c r="BR30" s="180">
        <f>Parameters!$B$12*AG30</f>
        <v>102.77777777777779</v>
      </c>
      <c r="BS30" s="180">
        <f>SUM(Distributievergoedingen!$F$12,Distributievergoedingen!$I$12,Distributievergoedingen!$L$12,Distributievergoedingen!$O$12)*AF30+SUM(Distributievergoedingen!$O$12*AA30+Distributievergoedingen!$R$12+Distributievergoedingen!$U$12+Distributievergoedingen!$X$12)/(MAX(36,12*C30))</f>
        <v>112.77777777777777</v>
      </c>
      <c r="BT30" s="150"/>
      <c r="BU30" s="150">
        <f t="shared" si="40"/>
        <v>215.55555555555554</v>
      </c>
      <c r="BW30" s="522">
        <f t="shared" si="41"/>
        <v>217.55555555555554</v>
      </c>
      <c r="BY30" s="527">
        <f t="shared" si="42"/>
        <v>810.22222222222229</v>
      </c>
      <c r="BZ30" s="181">
        <f t="shared" si="43"/>
        <v>0.78832432432432431</v>
      </c>
      <c r="CA30" s="520" t="b">
        <f t="shared" si="44"/>
        <v>0</v>
      </c>
    </row>
    <row r="31" spans="1:79" s="151" customFormat="1">
      <c r="A31" s="151" t="str">
        <f t="shared" si="37"/>
        <v>1EoKEntryRegionaal15</v>
      </c>
      <c r="B31" s="520" t="str">
        <f t="shared" si="22"/>
        <v>1EoKEntryRegionaal15</v>
      </c>
      <c r="C31" s="179">
        <v>1</v>
      </c>
      <c r="D31" s="179" t="s">
        <v>303</v>
      </c>
      <c r="E31" s="178" t="s">
        <v>45</v>
      </c>
      <c r="F31" s="178" t="s">
        <v>265</v>
      </c>
      <c r="G31" s="185" t="s">
        <v>413</v>
      </c>
      <c r="J31" s="520" t="str">
        <f t="shared" si="23"/>
        <v>EntryRegionaal15</v>
      </c>
      <c r="L31" s="204">
        <f>INDEX(Mapping!$H:$H,MATCH(C$3&amp;C31,Mapping!$B:$B,0))</f>
        <v>1</v>
      </c>
      <c r="M31" s="204" t="str">
        <f>INDEX(Mapping!$H:$H,MATCH(D$3&amp;$D31,Mapping!$B:$B,0))</f>
        <v>EoK</v>
      </c>
      <c r="N31" s="204" t="str">
        <f>INDEX(Mapping!$H:$H,MATCH(E$3&amp;E31,Mapping!$B:$B,0))</f>
        <v>Lite</v>
      </c>
      <c r="O31" s="204" t="str">
        <f>INDEX(Mapping!$H:$H,MATCH(F$3&amp;F31,Mapping!$B:$B,0))</f>
        <v>Metro</v>
      </c>
      <c r="P31" s="204">
        <f>INDEX(Mapping!$H:$H,MATCH(G$3&amp;G31,Mapping!$B:$B,0))</f>
        <v>15</v>
      </c>
      <c r="Q31" s="204" t="str">
        <f>INDEX(Mapping!$H:$H,MATCH(Q$3&amp;$F31,Mapping!$B:$B,0))</f>
        <v>Metro - Nationaal</v>
      </c>
      <c r="R31" s="204" t="str">
        <f>INDEX(Mapping!$H:$H,MATCH("ZM VPN Service Level"&amp;E31,Mapping!$B:$B,0))</f>
        <v>Advanced</v>
      </c>
      <c r="S31" s="139" t="b">
        <f>IF($D31="EoK",INDEX(Mapping!$I:$I,MATCH($G$3&amp;$G31,Mapping!B:B,0)),FALSE)</f>
        <v>0</v>
      </c>
      <c r="T31" s="139"/>
      <c r="U31" s="520" t="str">
        <f t="shared" si="24"/>
        <v>LiteMetro15</v>
      </c>
      <c r="W31" s="521">
        <f>MATCH($J31,'Tarieven ZM'!$B:$B,0)</f>
        <v>35</v>
      </c>
      <c r="X31" s="204">
        <f>INDEX('Tarieven ZM'!$H:$H,$W31)</f>
        <v>1000</v>
      </c>
      <c r="Y31" s="198">
        <f>-INDEX(Parameters!$B:$B,MATCH(Y$3&amp;$C31,Parameters!$A:$A,0))*$X31</f>
        <v>0</v>
      </c>
      <c r="Z31" s="198">
        <f>-INDEX(Parameters!$B:$B,MATCH(Z$3&amp;$C31,Parameters!$A:$A,0))*$X31</f>
        <v>0</v>
      </c>
      <c r="AA31" s="139">
        <f t="shared" si="26"/>
        <v>1000</v>
      </c>
      <c r="AB31" s="205">
        <f>AA31/INDEX(Parameters!$B:$B,MATCH("AfschrijftermijnVVE"&amp;12*$C31,Parameters!$A:$A,0))</f>
        <v>27.777777777777779</v>
      </c>
      <c r="AC31" s="204">
        <f>INDEX('Tarieven ZM'!$G:$G,$W31)</f>
        <v>1000</v>
      </c>
      <c r="AD31" s="198">
        <f>-INDEX(Parameters!$B:$B,MATCH(AD$3&amp;$C31,Parameters!$A:$A,0))*$AC31</f>
        <v>0</v>
      </c>
      <c r="AE31" s="198">
        <f>-INDEX(Parameters!$B:$B,MATCH(AE$3,Parameters!$A:$A,0))*$AC31</f>
        <v>0</v>
      </c>
      <c r="AF31" s="139">
        <f t="shared" si="27"/>
        <v>1000</v>
      </c>
      <c r="AG31" s="522">
        <f t="shared" si="28"/>
        <v>1027.7777777777778</v>
      </c>
      <c r="AH31" s="175"/>
      <c r="AI31" s="523">
        <f>MATCH($U31,'Tarieven W&amp;O'!$B:$B,0)</f>
        <v>44</v>
      </c>
      <c r="AJ31" s="204">
        <f>IF(AI31&lt;&gt;"nvt",INDEX('Tarieven W&amp;O'!$H:$H,$AI31),0)</f>
        <v>0</v>
      </c>
      <c r="AK31" s="204">
        <f>IF(AI31&lt;&gt;"nvt",INDEX('Tarieven W&amp;O'!$I:$I,$AI31),0)</f>
        <v>25</v>
      </c>
      <c r="AL31" s="524">
        <f>IF(AI31&lt;&gt;"nvt",-INDEX(Parameters!$B:$B,MATCH(AL$3,Parameters!$A:$A,0))*(AJ31+AK31),0)</f>
        <v>0</v>
      </c>
      <c r="AM31" s="525"/>
      <c r="AN31" s="139">
        <f t="shared" si="29"/>
        <v>25</v>
      </c>
      <c r="AO31" s="205">
        <f>AN31/INDEX(Parameters!$B:$B,MATCH("AfschrijftermijnVVE"&amp;12*$C31,Parameters!$A:$A,0))</f>
        <v>0.69444444444444442</v>
      </c>
      <c r="AP31" s="139">
        <f t="shared" si="30"/>
        <v>44</v>
      </c>
      <c r="AQ31" s="526">
        <f>IF(AP31&lt;&gt;"nvt",INDEX('Tarieven W&amp;O'!$G:$G,$AP31),0)</f>
        <v>22.24</v>
      </c>
      <c r="AR31" s="251">
        <f>IF($S31,INDEX('Tarieven W&amp;O'!$G:$G,MATCH(N31&amp;R31,'Tarieven W&amp;O'!$B:$B,0)),0)</f>
        <v>0</v>
      </c>
      <c r="AS31" s="205">
        <f>-INDEX(Parameters!$B:$B,MATCH(AS$3,Parameters!$A:$A,0))*(AQ31+AR31)</f>
        <v>0</v>
      </c>
      <c r="AT31" s="205">
        <f>INDEX(hulpblad!$E:$E,MATCH(M31&amp;Q31,hulpblad!$B:$B,0))</f>
        <v>2</v>
      </c>
      <c r="AU31" s="150">
        <f t="shared" si="33"/>
        <v>24.24</v>
      </c>
      <c r="AV31" s="150">
        <f t="shared" si="34"/>
        <v>24.934444444444441</v>
      </c>
      <c r="AX31" s="526">
        <f>Parameters!$B$6*AV31</f>
        <v>0.24934444444444442</v>
      </c>
      <c r="AY31" s="150">
        <v>0</v>
      </c>
      <c r="AZ31" s="150"/>
      <c r="BA31" s="150">
        <f t="shared" si="31"/>
        <v>0.24934444444444442</v>
      </c>
      <c r="BB31" s="150"/>
      <c r="BC31" s="522">
        <f t="shared" si="32"/>
        <v>25.183788888888884</v>
      </c>
      <c r="BD31" s="175"/>
      <c r="BE31" s="527">
        <f t="shared" si="35"/>
        <v>1002.5939888888889</v>
      </c>
      <c r="BF31" s="181">
        <f t="shared" si="36"/>
        <v>0.97549685405405406</v>
      </c>
      <c r="BG31" s="520" t="b">
        <f t="shared" si="25"/>
        <v>0</v>
      </c>
      <c r="BI31" s="528" t="s">
        <v>2181</v>
      </c>
      <c r="BL31" s="151" t="str">
        <f t="shared" si="38"/>
        <v>EoKMetro - Nationaal</v>
      </c>
      <c r="BM31" s="529">
        <v>0</v>
      </c>
      <c r="BN31" s="180">
        <f>BM31/INDEX(Parameters!$B:$B,MATCH("AfschrijftermijnVVE"&amp;12*$C31,Parameters!$A:$A,0))</f>
        <v>0</v>
      </c>
      <c r="BO31" s="184">
        <f>INDEX('inkoop ULL tbv EVPN'!I:I,MATCH(BL31,'inkoop ULL tbv EVPN'!H:H,0))</f>
        <v>2</v>
      </c>
      <c r="BP31" s="184">
        <f t="shared" si="39"/>
        <v>2</v>
      </c>
      <c r="BR31" s="180">
        <f>Parameters!$B$12*AG31</f>
        <v>102.77777777777779</v>
      </c>
      <c r="BS31" s="180">
        <f>SUM(Distributievergoedingen!$F$12,Distributievergoedingen!$I$12,Distributievergoedingen!$L$12,Distributievergoedingen!$O$12)*AF31+SUM(Distributievergoedingen!$O$12*AA31+Distributievergoedingen!$R$12+Distributievergoedingen!$U$12+Distributievergoedingen!$X$12)/(MAX(36,12*C31))</f>
        <v>112.77777777777777</v>
      </c>
      <c r="BT31" s="150"/>
      <c r="BU31" s="150">
        <f t="shared" si="40"/>
        <v>215.55555555555554</v>
      </c>
      <c r="BW31" s="522">
        <f t="shared" si="41"/>
        <v>217.55555555555554</v>
      </c>
      <c r="BY31" s="527">
        <f t="shared" si="42"/>
        <v>810.22222222222229</v>
      </c>
      <c r="BZ31" s="181">
        <f t="shared" si="43"/>
        <v>0.78832432432432431</v>
      </c>
      <c r="CA31" s="520" t="b">
        <f t="shared" si="44"/>
        <v>0</v>
      </c>
    </row>
    <row r="32" spans="1:79" s="151" customFormat="1">
      <c r="A32" s="151" t="str">
        <f t="shared" si="37"/>
        <v>1EoKEntryRegionaal20</v>
      </c>
      <c r="B32" s="520" t="str">
        <f t="shared" si="22"/>
        <v>1EoKEntryRegionaal20</v>
      </c>
      <c r="C32" s="179">
        <v>1</v>
      </c>
      <c r="D32" s="179" t="s">
        <v>303</v>
      </c>
      <c r="E32" s="178" t="s">
        <v>45</v>
      </c>
      <c r="F32" s="178" t="s">
        <v>265</v>
      </c>
      <c r="G32" s="185" t="s">
        <v>414</v>
      </c>
      <c r="J32" s="520" t="str">
        <f t="shared" si="23"/>
        <v>EntryRegionaal20</v>
      </c>
      <c r="L32" s="204">
        <f>INDEX(Mapping!$H:$H,MATCH(C$3&amp;C32,Mapping!$B:$B,0))</f>
        <v>1</v>
      </c>
      <c r="M32" s="204" t="str">
        <f>INDEX(Mapping!$H:$H,MATCH(D$3&amp;$D32,Mapping!$B:$B,0))</f>
        <v>EoK</v>
      </c>
      <c r="N32" s="204" t="str">
        <f>INDEX(Mapping!$H:$H,MATCH(E$3&amp;E32,Mapping!$B:$B,0))</f>
        <v>Lite</v>
      </c>
      <c r="O32" s="204" t="str">
        <f>INDEX(Mapping!$H:$H,MATCH(F$3&amp;F32,Mapping!$B:$B,0))</f>
        <v>Metro</v>
      </c>
      <c r="P32" s="204">
        <f>INDEX(Mapping!$H:$H,MATCH(G$3&amp;G32,Mapping!$B:$B,0))</f>
        <v>20</v>
      </c>
      <c r="Q32" s="204" t="str">
        <f>INDEX(Mapping!$H:$H,MATCH(Q$3&amp;$F32,Mapping!$B:$B,0))</f>
        <v>Metro - Nationaal</v>
      </c>
      <c r="R32" s="204" t="str">
        <f>INDEX(Mapping!$H:$H,MATCH("ZM VPN Service Level"&amp;E32,Mapping!$B:$B,0))</f>
        <v>Advanced</v>
      </c>
      <c r="S32" s="139" t="b">
        <f>IF($D32="EoK",INDEX(Mapping!$I:$I,MATCH($G$3&amp;$G32,Mapping!B:B,0)),FALSE)</f>
        <v>0</v>
      </c>
      <c r="T32" s="139"/>
      <c r="U32" s="520" t="str">
        <f t="shared" si="24"/>
        <v>LiteMetro20</v>
      </c>
      <c r="W32" s="521">
        <f>MATCH($J32,'Tarieven ZM'!$B:$B,0)</f>
        <v>36</v>
      </c>
      <c r="X32" s="204">
        <f>INDEX('Tarieven ZM'!$H:$H,$W32)</f>
        <v>1000</v>
      </c>
      <c r="Y32" s="198">
        <f>-INDEX(Parameters!$B:$B,MATCH(Y$3&amp;$C32,Parameters!$A:$A,0))*$X32</f>
        <v>0</v>
      </c>
      <c r="Z32" s="198">
        <f>-INDEX(Parameters!$B:$B,MATCH(Z$3&amp;$C32,Parameters!$A:$A,0))*$X32</f>
        <v>0</v>
      </c>
      <c r="AA32" s="139">
        <f t="shared" si="26"/>
        <v>1000</v>
      </c>
      <c r="AB32" s="205">
        <f>AA32/INDEX(Parameters!$B:$B,MATCH("AfschrijftermijnVVE"&amp;12*$C32,Parameters!$A:$A,0))</f>
        <v>27.777777777777779</v>
      </c>
      <c r="AC32" s="204">
        <f>INDEX('Tarieven ZM'!$G:$G,$W32)</f>
        <v>1000</v>
      </c>
      <c r="AD32" s="198">
        <f>-INDEX(Parameters!$B:$B,MATCH(AD$3&amp;$C32,Parameters!$A:$A,0))*$AC32</f>
        <v>0</v>
      </c>
      <c r="AE32" s="198">
        <f>-INDEX(Parameters!$B:$B,MATCH(AE$3,Parameters!$A:$A,0))*$AC32</f>
        <v>0</v>
      </c>
      <c r="AF32" s="139">
        <f t="shared" si="27"/>
        <v>1000</v>
      </c>
      <c r="AG32" s="522">
        <f t="shared" si="28"/>
        <v>1027.7777777777778</v>
      </c>
      <c r="AH32" s="175"/>
      <c r="AI32" s="523">
        <f>MATCH($U32,'Tarieven W&amp;O'!$B:$B,0)</f>
        <v>45</v>
      </c>
      <c r="AJ32" s="204">
        <f>IF(AI32&lt;&gt;"nvt",INDEX('Tarieven W&amp;O'!$H:$H,$AI32),0)</f>
        <v>0</v>
      </c>
      <c r="AK32" s="204">
        <f>IF(AI32&lt;&gt;"nvt",INDEX('Tarieven W&amp;O'!$I:$I,$AI32),0)</f>
        <v>25</v>
      </c>
      <c r="AL32" s="524">
        <f>IF(AI32&lt;&gt;"nvt",-INDEX(Parameters!$B:$B,MATCH(AL$3,Parameters!$A:$A,0))*(AJ32+AK32),0)</f>
        <v>0</v>
      </c>
      <c r="AM32" s="525"/>
      <c r="AN32" s="139">
        <f t="shared" si="29"/>
        <v>25</v>
      </c>
      <c r="AO32" s="205">
        <f>AN32/INDEX(Parameters!$B:$B,MATCH("AfschrijftermijnVVE"&amp;12*$C32,Parameters!$A:$A,0))</f>
        <v>0.69444444444444442</v>
      </c>
      <c r="AP32" s="139">
        <f t="shared" si="30"/>
        <v>45</v>
      </c>
      <c r="AQ32" s="526">
        <f>IF(AP32&lt;&gt;"nvt",INDEX('Tarieven W&amp;O'!$G:$G,$AP32),0)</f>
        <v>29.78</v>
      </c>
      <c r="AR32" s="251">
        <f>IF($S32,INDEX('Tarieven W&amp;O'!$G:$G,MATCH(N32&amp;R32,'Tarieven W&amp;O'!$B:$B,0)),0)</f>
        <v>0</v>
      </c>
      <c r="AS32" s="205">
        <f>-INDEX(Parameters!$B:$B,MATCH(AS$3,Parameters!$A:$A,0))*(AQ32+AR32)</f>
        <v>0</v>
      </c>
      <c r="AT32" s="205">
        <f>INDEX(hulpblad!$E:$E,MATCH(M32&amp;Q32,hulpblad!$B:$B,0))</f>
        <v>2</v>
      </c>
      <c r="AU32" s="150">
        <f t="shared" si="33"/>
        <v>31.78</v>
      </c>
      <c r="AV32" s="150">
        <f t="shared" si="34"/>
        <v>32.474444444444444</v>
      </c>
      <c r="AX32" s="526">
        <f>Parameters!$B$6*AV32</f>
        <v>0.32474444444444445</v>
      </c>
      <c r="AY32" s="150">
        <v>0</v>
      </c>
      <c r="AZ32" s="150"/>
      <c r="BA32" s="150">
        <f t="shared" si="31"/>
        <v>0.32474444444444445</v>
      </c>
      <c r="BB32" s="150"/>
      <c r="BC32" s="522">
        <f t="shared" si="32"/>
        <v>32.799188888888885</v>
      </c>
      <c r="BD32" s="175"/>
      <c r="BE32" s="527">
        <f t="shared" si="35"/>
        <v>994.97858888888891</v>
      </c>
      <c r="BF32" s="181">
        <f t="shared" si="36"/>
        <v>0.96808727567567565</v>
      </c>
      <c r="BG32" s="520" t="b">
        <f t="shared" si="25"/>
        <v>0</v>
      </c>
      <c r="BI32" s="528" t="s">
        <v>2181</v>
      </c>
      <c r="BL32" s="151" t="str">
        <f t="shared" si="38"/>
        <v>EoKMetro - Nationaal</v>
      </c>
      <c r="BM32" s="529">
        <v>0</v>
      </c>
      <c r="BN32" s="180">
        <f>BM32/INDEX(Parameters!$B:$B,MATCH("AfschrijftermijnVVE"&amp;12*$C32,Parameters!$A:$A,0))</f>
        <v>0</v>
      </c>
      <c r="BO32" s="184">
        <f>INDEX('inkoop ULL tbv EVPN'!I:I,MATCH(BL32,'inkoop ULL tbv EVPN'!H:H,0))</f>
        <v>2</v>
      </c>
      <c r="BP32" s="184">
        <f t="shared" si="39"/>
        <v>2</v>
      </c>
      <c r="BR32" s="180">
        <f>Parameters!$B$12*AG32</f>
        <v>102.77777777777779</v>
      </c>
      <c r="BS32" s="180">
        <f>SUM(Distributievergoedingen!$F$12,Distributievergoedingen!$I$12,Distributievergoedingen!$L$12,Distributievergoedingen!$O$12)*AF32+SUM(Distributievergoedingen!$O$12*AA32+Distributievergoedingen!$R$12+Distributievergoedingen!$U$12+Distributievergoedingen!$X$12)/(MAX(36,12*C32))</f>
        <v>112.77777777777777</v>
      </c>
      <c r="BT32" s="150"/>
      <c r="BU32" s="150">
        <f t="shared" si="40"/>
        <v>215.55555555555554</v>
      </c>
      <c r="BW32" s="522">
        <f t="shared" si="41"/>
        <v>217.55555555555554</v>
      </c>
      <c r="BY32" s="527">
        <f t="shared" si="42"/>
        <v>810.22222222222229</v>
      </c>
      <c r="BZ32" s="181">
        <f t="shared" si="43"/>
        <v>0.78832432432432431</v>
      </c>
      <c r="CA32" s="520" t="b">
        <f t="shared" si="44"/>
        <v>0</v>
      </c>
    </row>
    <row r="33" spans="1:79" s="151" customFormat="1">
      <c r="A33" s="151" t="str">
        <f t="shared" si="37"/>
        <v>1EoKEntryRegionaal30</v>
      </c>
      <c r="B33" s="520" t="str">
        <f t="shared" si="22"/>
        <v>1EoKEntryRegionaal30</v>
      </c>
      <c r="C33" s="179">
        <v>1</v>
      </c>
      <c r="D33" s="179" t="s">
        <v>303</v>
      </c>
      <c r="E33" s="178" t="s">
        <v>45</v>
      </c>
      <c r="F33" s="178" t="s">
        <v>265</v>
      </c>
      <c r="G33" s="185" t="s">
        <v>415</v>
      </c>
      <c r="J33" s="520" t="str">
        <f t="shared" si="23"/>
        <v>EntryRegionaal30</v>
      </c>
      <c r="L33" s="204">
        <f>INDEX(Mapping!$H:$H,MATCH(C$3&amp;C33,Mapping!$B:$B,0))</f>
        <v>1</v>
      </c>
      <c r="M33" s="204" t="str">
        <f>INDEX(Mapping!$H:$H,MATCH(D$3&amp;$D33,Mapping!$B:$B,0))</f>
        <v>EoK</v>
      </c>
      <c r="N33" s="204" t="str">
        <f>INDEX(Mapping!$H:$H,MATCH(E$3&amp;E33,Mapping!$B:$B,0))</f>
        <v>Lite</v>
      </c>
      <c r="O33" s="204" t="str">
        <f>INDEX(Mapping!$H:$H,MATCH(F$3&amp;F33,Mapping!$B:$B,0))</f>
        <v>Metro</v>
      </c>
      <c r="P33" s="204">
        <f>INDEX(Mapping!$H:$H,MATCH(G$3&amp;G33,Mapping!$B:$B,0))</f>
        <v>30</v>
      </c>
      <c r="Q33" s="204" t="str">
        <f>INDEX(Mapping!$H:$H,MATCH(Q$3&amp;$F33,Mapping!$B:$B,0))</f>
        <v>Metro - Nationaal</v>
      </c>
      <c r="R33" s="204" t="str">
        <f>INDEX(Mapping!$H:$H,MATCH("ZM VPN Service Level"&amp;E33,Mapping!$B:$B,0))</f>
        <v>Advanced</v>
      </c>
      <c r="S33" s="139" t="b">
        <f>IF($D33="EoK",INDEX(Mapping!$I:$I,MATCH($G$3&amp;$G33,Mapping!B:B,0)),FALSE)</f>
        <v>0</v>
      </c>
      <c r="T33" s="139"/>
      <c r="U33" s="520" t="str">
        <f t="shared" si="24"/>
        <v>LiteMetro30</v>
      </c>
      <c r="W33" s="521">
        <f>MATCH($J33,'Tarieven ZM'!$B:$B,0)</f>
        <v>37</v>
      </c>
      <c r="X33" s="204">
        <f>INDEX('Tarieven ZM'!$H:$H,$W33)</f>
        <v>1000</v>
      </c>
      <c r="Y33" s="198">
        <f>-INDEX(Parameters!$B:$B,MATCH(Y$3&amp;$C33,Parameters!$A:$A,0))*$X33</f>
        <v>0</v>
      </c>
      <c r="Z33" s="198">
        <f>-INDEX(Parameters!$B:$B,MATCH(Z$3&amp;$C33,Parameters!$A:$A,0))*$X33</f>
        <v>0</v>
      </c>
      <c r="AA33" s="139">
        <f t="shared" si="26"/>
        <v>1000</v>
      </c>
      <c r="AB33" s="205">
        <f>AA33/INDEX(Parameters!$B:$B,MATCH("AfschrijftermijnVVE"&amp;12*$C33,Parameters!$A:$A,0))</f>
        <v>27.777777777777779</v>
      </c>
      <c r="AC33" s="204">
        <f>INDEX('Tarieven ZM'!$G:$G,$W33)</f>
        <v>1000</v>
      </c>
      <c r="AD33" s="198">
        <f>-INDEX(Parameters!$B:$B,MATCH(AD$3&amp;$C33,Parameters!$A:$A,0))*$AC33</f>
        <v>0</v>
      </c>
      <c r="AE33" s="198">
        <f>-INDEX(Parameters!$B:$B,MATCH(AE$3,Parameters!$A:$A,0))*$AC33</f>
        <v>0</v>
      </c>
      <c r="AF33" s="139">
        <f t="shared" si="27"/>
        <v>1000</v>
      </c>
      <c r="AG33" s="522">
        <f t="shared" si="28"/>
        <v>1027.7777777777778</v>
      </c>
      <c r="AH33" s="175"/>
      <c r="AI33" s="523">
        <f>MATCH($U33,'Tarieven W&amp;O'!$B:$B,0)</f>
        <v>46</v>
      </c>
      <c r="AJ33" s="204">
        <f>IF(AI33&lt;&gt;"nvt",INDEX('Tarieven W&amp;O'!$H:$H,$AI33),0)</f>
        <v>0</v>
      </c>
      <c r="AK33" s="204">
        <f>IF(AI33&lt;&gt;"nvt",INDEX('Tarieven W&amp;O'!$I:$I,$AI33),0)</f>
        <v>25</v>
      </c>
      <c r="AL33" s="524">
        <f>IF(AI33&lt;&gt;"nvt",-INDEX(Parameters!$B:$B,MATCH(AL$3,Parameters!$A:$A,0))*(AJ33+AK33),0)</f>
        <v>0</v>
      </c>
      <c r="AM33" s="525"/>
      <c r="AN33" s="139">
        <f t="shared" si="29"/>
        <v>25</v>
      </c>
      <c r="AO33" s="205">
        <f>AN33/INDEX(Parameters!$B:$B,MATCH("AfschrijftermijnVVE"&amp;12*$C33,Parameters!$A:$A,0))</f>
        <v>0.69444444444444442</v>
      </c>
      <c r="AP33" s="139">
        <f t="shared" si="30"/>
        <v>46</v>
      </c>
      <c r="AQ33" s="526">
        <f>IF(AP33&lt;&gt;"nvt",INDEX('Tarieven W&amp;O'!$G:$G,$AP33),0)</f>
        <v>33.54</v>
      </c>
      <c r="AR33" s="251">
        <f>IF($S33,INDEX('Tarieven W&amp;O'!$G:$G,MATCH(N33&amp;R33,'Tarieven W&amp;O'!$B:$B,0)),0)</f>
        <v>0</v>
      </c>
      <c r="AS33" s="205">
        <f>-INDEX(Parameters!$B:$B,MATCH(AS$3,Parameters!$A:$A,0))*(AQ33+AR33)</f>
        <v>0</v>
      </c>
      <c r="AT33" s="205">
        <f>INDEX(hulpblad!$E:$E,MATCH(M33&amp;Q33,hulpblad!$B:$B,0))</f>
        <v>2</v>
      </c>
      <c r="AU33" s="150">
        <f t="shared" si="33"/>
        <v>35.54</v>
      </c>
      <c r="AV33" s="150">
        <f t="shared" si="34"/>
        <v>36.234444444444442</v>
      </c>
      <c r="AX33" s="526">
        <f>Parameters!$B$6*AV33</f>
        <v>0.36234444444444441</v>
      </c>
      <c r="AY33" s="150">
        <v>0</v>
      </c>
      <c r="AZ33" s="150"/>
      <c r="BA33" s="150">
        <f t="shared" si="31"/>
        <v>0.36234444444444441</v>
      </c>
      <c r="BB33" s="150"/>
      <c r="BC33" s="522">
        <f t="shared" si="32"/>
        <v>36.596788888888888</v>
      </c>
      <c r="BD33" s="175"/>
      <c r="BE33" s="527">
        <f t="shared" si="35"/>
        <v>991.18098888888892</v>
      </c>
      <c r="BF33" s="181">
        <f t="shared" si="36"/>
        <v>0.96439231351351351</v>
      </c>
      <c r="BG33" s="520" t="b">
        <f t="shared" si="25"/>
        <v>0</v>
      </c>
      <c r="BI33" s="528" t="s">
        <v>2181</v>
      </c>
      <c r="BL33" s="151" t="str">
        <f t="shared" si="38"/>
        <v>EoKMetro - Nationaal</v>
      </c>
      <c r="BM33" s="529">
        <v>0</v>
      </c>
      <c r="BN33" s="180">
        <f>BM33/INDEX(Parameters!$B:$B,MATCH("AfschrijftermijnVVE"&amp;12*$C33,Parameters!$A:$A,0))</f>
        <v>0</v>
      </c>
      <c r="BO33" s="184">
        <f>INDEX('inkoop ULL tbv EVPN'!I:I,MATCH(BL33,'inkoop ULL tbv EVPN'!H:H,0))</f>
        <v>2</v>
      </c>
      <c r="BP33" s="184">
        <f t="shared" si="39"/>
        <v>2</v>
      </c>
      <c r="BR33" s="180">
        <f>Parameters!$B$12*AG33</f>
        <v>102.77777777777779</v>
      </c>
      <c r="BS33" s="180">
        <f>SUM(Distributievergoedingen!$F$12,Distributievergoedingen!$I$12,Distributievergoedingen!$L$12,Distributievergoedingen!$O$12)*AF33+SUM(Distributievergoedingen!$O$12*AA33+Distributievergoedingen!$R$12+Distributievergoedingen!$U$12+Distributievergoedingen!$X$12)/(MAX(36,12*C33))</f>
        <v>112.77777777777777</v>
      </c>
      <c r="BT33" s="150"/>
      <c r="BU33" s="150">
        <f t="shared" si="40"/>
        <v>215.55555555555554</v>
      </c>
      <c r="BW33" s="522">
        <f t="shared" si="41"/>
        <v>217.55555555555554</v>
      </c>
      <c r="BY33" s="527">
        <f t="shared" si="42"/>
        <v>810.22222222222229</v>
      </c>
      <c r="BZ33" s="181">
        <f t="shared" si="43"/>
        <v>0.78832432432432431</v>
      </c>
      <c r="CA33" s="520" t="b">
        <f t="shared" si="44"/>
        <v>0</v>
      </c>
    </row>
    <row r="34" spans="1:79" s="151" customFormat="1">
      <c r="A34" s="151" t="str">
        <f t="shared" si="37"/>
        <v>1EoKEntryRegionaal50</v>
      </c>
      <c r="B34" s="520" t="str">
        <f t="shared" si="22"/>
        <v>1EoKEntryRegionaal50</v>
      </c>
      <c r="C34" s="179">
        <v>1</v>
      </c>
      <c r="D34" s="179" t="s">
        <v>303</v>
      </c>
      <c r="E34" s="178" t="s">
        <v>45</v>
      </c>
      <c r="F34" s="178" t="s">
        <v>265</v>
      </c>
      <c r="G34" s="185" t="s">
        <v>416</v>
      </c>
      <c r="J34" s="520" t="str">
        <f t="shared" si="23"/>
        <v>EntryRegionaal50</v>
      </c>
      <c r="L34" s="204">
        <f>INDEX(Mapping!$H:$H,MATCH(C$3&amp;C34,Mapping!$B:$B,0))</f>
        <v>1</v>
      </c>
      <c r="M34" s="204" t="str">
        <f>INDEX(Mapping!$H:$H,MATCH(D$3&amp;$D34,Mapping!$B:$B,0))</f>
        <v>EoK</v>
      </c>
      <c r="N34" s="204" t="str">
        <f>INDEX(Mapping!$H:$H,MATCH(E$3&amp;E34,Mapping!$B:$B,0))</f>
        <v>Lite</v>
      </c>
      <c r="O34" s="204" t="str">
        <f>INDEX(Mapping!$H:$H,MATCH(F$3&amp;F34,Mapping!$B:$B,0))</f>
        <v>Metro</v>
      </c>
      <c r="P34" s="204">
        <f>INDEX(Mapping!$H:$H,MATCH(G$3&amp;G34,Mapping!$B:$B,0))</f>
        <v>50</v>
      </c>
      <c r="Q34" s="204" t="str">
        <f>INDEX(Mapping!$H:$H,MATCH(Q$3&amp;$F34,Mapping!$B:$B,0))</f>
        <v>Metro - Nationaal</v>
      </c>
      <c r="R34" s="204" t="str">
        <f>INDEX(Mapping!$H:$H,MATCH("ZM VPN Service Level"&amp;E34,Mapping!$B:$B,0))</f>
        <v>Advanced</v>
      </c>
      <c r="S34" s="139" t="b">
        <f>IF($D34="EoK",INDEX(Mapping!$I:$I,MATCH($G$3&amp;$G34,Mapping!B:B,0)),FALSE)</f>
        <v>0</v>
      </c>
      <c r="T34" s="139"/>
      <c r="U34" s="520" t="str">
        <f t="shared" si="24"/>
        <v>LiteMetro50</v>
      </c>
      <c r="W34" s="521">
        <f>MATCH($J34,'Tarieven ZM'!$B:$B,0)</f>
        <v>38</v>
      </c>
      <c r="X34" s="204">
        <f>INDEX('Tarieven ZM'!$H:$H,$W34)</f>
        <v>1000</v>
      </c>
      <c r="Y34" s="198">
        <f>-INDEX(Parameters!$B:$B,MATCH(Y$3&amp;$C34,Parameters!$A:$A,0))*$X34</f>
        <v>0</v>
      </c>
      <c r="Z34" s="198">
        <f>-INDEX(Parameters!$B:$B,MATCH(Z$3&amp;$C34,Parameters!$A:$A,0))*$X34</f>
        <v>0</v>
      </c>
      <c r="AA34" s="139">
        <f t="shared" si="26"/>
        <v>1000</v>
      </c>
      <c r="AB34" s="205">
        <f>AA34/INDEX(Parameters!$B:$B,MATCH("AfschrijftermijnVVE"&amp;12*$C34,Parameters!$A:$A,0))</f>
        <v>27.777777777777779</v>
      </c>
      <c r="AC34" s="204">
        <f>INDEX('Tarieven ZM'!$G:$G,$W34)</f>
        <v>1000</v>
      </c>
      <c r="AD34" s="198">
        <f>-INDEX(Parameters!$B:$B,MATCH(AD$3&amp;$C34,Parameters!$A:$A,0))*$AC34</f>
        <v>0</v>
      </c>
      <c r="AE34" s="198">
        <f>-INDEX(Parameters!$B:$B,MATCH(AE$3,Parameters!$A:$A,0))*$AC34</f>
        <v>0</v>
      </c>
      <c r="AF34" s="139">
        <f t="shared" si="27"/>
        <v>1000</v>
      </c>
      <c r="AG34" s="522">
        <f t="shared" si="28"/>
        <v>1027.7777777777778</v>
      </c>
      <c r="AH34" s="175"/>
      <c r="AI34" s="523">
        <f>MATCH($U34,'Tarieven W&amp;O'!$B:$B,0)</f>
        <v>47</v>
      </c>
      <c r="AJ34" s="204">
        <f>IF(AI34&lt;&gt;"nvt",INDEX('Tarieven W&amp;O'!$H:$H,$AI34),0)</f>
        <v>0</v>
      </c>
      <c r="AK34" s="204">
        <f>IF(AI34&lt;&gt;"nvt",INDEX('Tarieven W&amp;O'!$I:$I,$AI34),0)</f>
        <v>25</v>
      </c>
      <c r="AL34" s="524">
        <f>IF(AI34&lt;&gt;"nvt",-INDEX(Parameters!$B:$B,MATCH(AL$3,Parameters!$A:$A,0))*(AJ34+AK34),0)</f>
        <v>0</v>
      </c>
      <c r="AM34" s="525"/>
      <c r="AN34" s="139">
        <f t="shared" si="29"/>
        <v>25</v>
      </c>
      <c r="AO34" s="205">
        <f>AN34/INDEX(Parameters!$B:$B,MATCH("AfschrijftermijnVVE"&amp;12*$C34,Parameters!$A:$A,0))</f>
        <v>0.69444444444444442</v>
      </c>
      <c r="AP34" s="139">
        <f t="shared" si="30"/>
        <v>47</v>
      </c>
      <c r="AQ34" s="526">
        <f>IF(AP34&lt;&gt;"nvt",INDEX('Tarieven W&amp;O'!$G:$G,$AP34),0)</f>
        <v>48.62</v>
      </c>
      <c r="AR34" s="251">
        <f>IF($S34,INDEX('Tarieven W&amp;O'!$G:$G,MATCH(N34&amp;R34,'Tarieven W&amp;O'!$B:$B,0)),0)</f>
        <v>0</v>
      </c>
      <c r="AS34" s="205">
        <f>-INDEX(Parameters!$B:$B,MATCH(AS$3,Parameters!$A:$A,0))*(AQ34+AR34)</f>
        <v>0</v>
      </c>
      <c r="AT34" s="205">
        <f>INDEX(hulpblad!$E:$E,MATCH(M34&amp;Q34,hulpblad!$B:$B,0))</f>
        <v>2</v>
      </c>
      <c r="AU34" s="150">
        <f t="shared" si="33"/>
        <v>50.62</v>
      </c>
      <c r="AV34" s="150">
        <f t="shared" si="34"/>
        <v>51.31444444444444</v>
      </c>
      <c r="AX34" s="526">
        <f>Parameters!$B$6*AV34</f>
        <v>0.5131444444444444</v>
      </c>
      <c r="AY34" s="150">
        <v>0</v>
      </c>
      <c r="AZ34" s="150"/>
      <c r="BA34" s="150">
        <f t="shared" si="31"/>
        <v>0.5131444444444444</v>
      </c>
      <c r="BB34" s="150"/>
      <c r="BC34" s="522">
        <f t="shared" si="32"/>
        <v>51.827588888888883</v>
      </c>
      <c r="BD34" s="175"/>
      <c r="BE34" s="527">
        <f t="shared" si="35"/>
        <v>975.95018888888899</v>
      </c>
      <c r="BF34" s="181">
        <f t="shared" si="36"/>
        <v>0.9495731567567568</v>
      </c>
      <c r="BG34" s="520" t="b">
        <f t="shared" si="25"/>
        <v>0</v>
      </c>
      <c r="BI34" s="528" t="s">
        <v>2181</v>
      </c>
      <c r="BL34" s="151" t="str">
        <f t="shared" si="38"/>
        <v>EoKMetro - Nationaal</v>
      </c>
      <c r="BM34" s="529">
        <v>0</v>
      </c>
      <c r="BN34" s="180">
        <f>BM34/INDEX(Parameters!$B:$B,MATCH("AfschrijftermijnVVE"&amp;12*$C34,Parameters!$A:$A,0))</f>
        <v>0</v>
      </c>
      <c r="BO34" s="184">
        <f>INDEX('inkoop ULL tbv EVPN'!I:I,MATCH(BL34,'inkoop ULL tbv EVPN'!H:H,0))</f>
        <v>2</v>
      </c>
      <c r="BP34" s="184">
        <f t="shared" si="39"/>
        <v>2</v>
      </c>
      <c r="BR34" s="180">
        <f>Parameters!$B$12*AG34</f>
        <v>102.77777777777779</v>
      </c>
      <c r="BS34" s="180">
        <f>SUM(Distributievergoedingen!$F$12,Distributievergoedingen!$I$12,Distributievergoedingen!$L$12,Distributievergoedingen!$O$12)*AF34+SUM(Distributievergoedingen!$O$12*AA34+Distributievergoedingen!$R$12+Distributievergoedingen!$U$12+Distributievergoedingen!$X$12)/(MAX(36,12*C34))</f>
        <v>112.77777777777777</v>
      </c>
      <c r="BT34" s="150"/>
      <c r="BU34" s="150">
        <f t="shared" si="40"/>
        <v>215.55555555555554</v>
      </c>
      <c r="BW34" s="522">
        <f t="shared" si="41"/>
        <v>217.55555555555554</v>
      </c>
      <c r="BY34" s="527">
        <f t="shared" si="42"/>
        <v>810.22222222222229</v>
      </c>
      <c r="BZ34" s="181">
        <f t="shared" si="43"/>
        <v>0.78832432432432431</v>
      </c>
      <c r="CA34" s="520" t="b">
        <f t="shared" si="44"/>
        <v>0</v>
      </c>
    </row>
    <row r="35" spans="1:79" s="151" customFormat="1">
      <c r="A35" s="151" t="str">
        <f t="shared" si="37"/>
        <v>1EoKEntryRegionaal80</v>
      </c>
      <c r="B35" s="520" t="str">
        <f t="shared" si="22"/>
        <v>1EoKEntryRegionaal80</v>
      </c>
      <c r="C35" s="179">
        <v>1</v>
      </c>
      <c r="D35" s="179" t="s">
        <v>303</v>
      </c>
      <c r="E35" s="178" t="s">
        <v>45</v>
      </c>
      <c r="F35" s="178" t="s">
        <v>265</v>
      </c>
      <c r="G35" s="185" t="s">
        <v>417</v>
      </c>
      <c r="J35" s="520" t="str">
        <f t="shared" si="23"/>
        <v>EntryRegionaal80</v>
      </c>
      <c r="L35" s="204">
        <f>INDEX(Mapping!$H:$H,MATCH(C$3&amp;C35,Mapping!$B:$B,0))</f>
        <v>1</v>
      </c>
      <c r="M35" s="204" t="str">
        <f>INDEX(Mapping!$H:$H,MATCH(D$3&amp;$D35,Mapping!$B:$B,0))</f>
        <v>EoK</v>
      </c>
      <c r="N35" s="204" t="str">
        <f>INDEX(Mapping!$H:$H,MATCH(E$3&amp;E35,Mapping!$B:$B,0))</f>
        <v>Lite</v>
      </c>
      <c r="O35" s="204" t="str">
        <f>INDEX(Mapping!$H:$H,MATCH(F$3&amp;F35,Mapping!$B:$B,0))</f>
        <v>Metro</v>
      </c>
      <c r="P35" s="204">
        <f>INDEX(Mapping!$H:$H,MATCH(G$3&amp;G35,Mapping!$B:$B,0))</f>
        <v>80</v>
      </c>
      <c r="Q35" s="204" t="str">
        <f>INDEX(Mapping!$H:$H,MATCH(Q$3&amp;$F35,Mapping!$B:$B,0))</f>
        <v>Metro - Nationaal</v>
      </c>
      <c r="R35" s="204" t="str">
        <f>INDEX(Mapping!$H:$H,MATCH("ZM VPN Service Level"&amp;E35,Mapping!$B:$B,0))</f>
        <v>Advanced</v>
      </c>
      <c r="S35" s="139" t="b">
        <f>IF($D35="EoK",INDEX(Mapping!$I:$I,MATCH($G$3&amp;$G35,Mapping!B:B,0)),FALSE)</f>
        <v>0</v>
      </c>
      <c r="T35" s="139"/>
      <c r="U35" s="520" t="str">
        <f t="shared" si="24"/>
        <v>LiteMetro80</v>
      </c>
      <c r="W35" s="521">
        <f>MATCH($J35,'Tarieven ZM'!$B:$B,0)</f>
        <v>39</v>
      </c>
      <c r="X35" s="204">
        <f>INDEX('Tarieven ZM'!$H:$H,$W35)</f>
        <v>1000</v>
      </c>
      <c r="Y35" s="198">
        <f>-INDEX(Parameters!$B:$B,MATCH(Y$3&amp;$C35,Parameters!$A:$A,0))*$X35</f>
        <v>0</v>
      </c>
      <c r="Z35" s="198">
        <f>-INDEX(Parameters!$B:$B,MATCH(Z$3&amp;$C35,Parameters!$A:$A,0))*$X35</f>
        <v>0</v>
      </c>
      <c r="AA35" s="139">
        <f t="shared" si="26"/>
        <v>1000</v>
      </c>
      <c r="AB35" s="205">
        <f>AA35/INDEX(Parameters!$B:$B,MATCH("AfschrijftermijnVVE"&amp;12*$C35,Parameters!$A:$A,0))</f>
        <v>27.777777777777779</v>
      </c>
      <c r="AC35" s="204">
        <f>INDEX('Tarieven ZM'!$G:$G,$W35)</f>
        <v>1000</v>
      </c>
      <c r="AD35" s="198">
        <f>-INDEX(Parameters!$B:$B,MATCH(AD$3&amp;$C35,Parameters!$A:$A,0))*$AC35</f>
        <v>0</v>
      </c>
      <c r="AE35" s="198">
        <f>-INDEX(Parameters!$B:$B,MATCH(AE$3,Parameters!$A:$A,0))*$AC35</f>
        <v>0</v>
      </c>
      <c r="AF35" s="139">
        <f t="shared" si="27"/>
        <v>1000</v>
      </c>
      <c r="AG35" s="522">
        <f t="shared" si="28"/>
        <v>1027.7777777777778</v>
      </c>
      <c r="AH35" s="175"/>
      <c r="AI35" s="523">
        <f>MATCH($U35,'Tarieven W&amp;O'!$B:$B,0)</f>
        <v>48</v>
      </c>
      <c r="AJ35" s="204">
        <f>IF(AI35&lt;&gt;"nvt",INDEX('Tarieven W&amp;O'!$H:$H,$AI35),0)</f>
        <v>0</v>
      </c>
      <c r="AK35" s="204">
        <f>IF(AI35&lt;&gt;"nvt",INDEX('Tarieven W&amp;O'!$I:$I,$AI35),0)</f>
        <v>25</v>
      </c>
      <c r="AL35" s="524">
        <f>IF(AI35&lt;&gt;"nvt",-INDEX(Parameters!$B:$B,MATCH(AL$3,Parameters!$A:$A,0))*(AJ35+AK35),0)</f>
        <v>0</v>
      </c>
      <c r="AM35" s="525"/>
      <c r="AN35" s="139">
        <f t="shared" si="29"/>
        <v>25</v>
      </c>
      <c r="AO35" s="205">
        <f>AN35/INDEX(Parameters!$B:$B,MATCH("AfschrijftermijnVVE"&amp;12*$C35,Parameters!$A:$A,0))</f>
        <v>0.69444444444444442</v>
      </c>
      <c r="AP35" s="139">
        <f t="shared" si="30"/>
        <v>48</v>
      </c>
      <c r="AQ35" s="526">
        <f>IF(AP35&lt;&gt;"nvt",INDEX('Tarieven W&amp;O'!$G:$G,$AP35),0)</f>
        <v>63.7</v>
      </c>
      <c r="AR35" s="251">
        <f>IF($S35,INDEX('Tarieven W&amp;O'!$G:$G,MATCH(N35&amp;R35,'Tarieven W&amp;O'!$B:$B,0)),0)</f>
        <v>0</v>
      </c>
      <c r="AS35" s="205">
        <f>-INDEX(Parameters!$B:$B,MATCH(AS$3,Parameters!$A:$A,0))*(AQ35+AR35)</f>
        <v>0</v>
      </c>
      <c r="AT35" s="205">
        <f>INDEX(hulpblad!$E:$E,MATCH(M35&amp;Q35,hulpblad!$B:$B,0))</f>
        <v>2</v>
      </c>
      <c r="AU35" s="150">
        <f t="shared" si="33"/>
        <v>65.7</v>
      </c>
      <c r="AV35" s="150">
        <f t="shared" si="34"/>
        <v>66.394444444444446</v>
      </c>
      <c r="AX35" s="526">
        <f>Parameters!$B$6*AV35</f>
        <v>0.66394444444444445</v>
      </c>
      <c r="AY35" s="150">
        <v>0</v>
      </c>
      <c r="AZ35" s="150"/>
      <c r="BA35" s="150">
        <f t="shared" si="31"/>
        <v>0.66394444444444445</v>
      </c>
      <c r="BB35" s="150"/>
      <c r="BC35" s="522">
        <f t="shared" si="32"/>
        <v>67.058388888888885</v>
      </c>
      <c r="BD35" s="175"/>
      <c r="BE35" s="527">
        <f t="shared" si="35"/>
        <v>960.71938888888894</v>
      </c>
      <c r="BF35" s="181">
        <f t="shared" si="36"/>
        <v>0.93475399999999997</v>
      </c>
      <c r="BG35" s="520" t="b">
        <f t="shared" si="25"/>
        <v>0</v>
      </c>
      <c r="BI35" s="528" t="s">
        <v>2181</v>
      </c>
      <c r="BL35" s="151" t="str">
        <f t="shared" si="38"/>
        <v>EoKMetro - Nationaal</v>
      </c>
      <c r="BM35" s="529">
        <v>0</v>
      </c>
      <c r="BN35" s="180">
        <f>BM35/INDEX(Parameters!$B:$B,MATCH("AfschrijftermijnVVE"&amp;12*$C35,Parameters!$A:$A,0))</f>
        <v>0</v>
      </c>
      <c r="BO35" s="184">
        <f>INDEX('inkoop ULL tbv EVPN'!I:I,MATCH(BL35,'inkoop ULL tbv EVPN'!H:H,0))</f>
        <v>2</v>
      </c>
      <c r="BP35" s="184">
        <f t="shared" si="39"/>
        <v>2</v>
      </c>
      <c r="BR35" s="180">
        <f>Parameters!$B$12*AG35</f>
        <v>102.77777777777779</v>
      </c>
      <c r="BS35" s="180">
        <f>SUM(Distributievergoedingen!$F$12,Distributievergoedingen!$I$12,Distributievergoedingen!$L$12,Distributievergoedingen!$O$12)*AF35+SUM(Distributievergoedingen!$O$12*AA35+Distributievergoedingen!$R$12+Distributievergoedingen!$U$12+Distributievergoedingen!$X$12)/(MAX(36,12*C35))</f>
        <v>112.77777777777777</v>
      </c>
      <c r="BT35" s="150"/>
      <c r="BU35" s="150">
        <f t="shared" si="40"/>
        <v>215.55555555555554</v>
      </c>
      <c r="BW35" s="522">
        <f t="shared" si="41"/>
        <v>217.55555555555554</v>
      </c>
      <c r="BY35" s="527">
        <f t="shared" si="42"/>
        <v>810.22222222222229</v>
      </c>
      <c r="BZ35" s="181">
        <f t="shared" si="43"/>
        <v>0.78832432432432431</v>
      </c>
      <c r="CA35" s="520" t="b">
        <f t="shared" si="44"/>
        <v>0</v>
      </c>
    </row>
    <row r="36" spans="1:79" s="151" customFormat="1">
      <c r="A36" s="151" t="str">
        <f t="shared" si="37"/>
        <v>1EoKEntryRegionaal100</v>
      </c>
      <c r="B36" s="520" t="str">
        <f t="shared" si="22"/>
        <v>1EoKEntryRegionaal100</v>
      </c>
      <c r="C36" s="179">
        <v>1</v>
      </c>
      <c r="D36" s="179" t="s">
        <v>303</v>
      </c>
      <c r="E36" s="178" t="s">
        <v>45</v>
      </c>
      <c r="F36" s="178" t="s">
        <v>265</v>
      </c>
      <c r="G36" s="185" t="s">
        <v>418</v>
      </c>
      <c r="J36" s="520" t="str">
        <f t="shared" si="23"/>
        <v>EntryRegionaal100</v>
      </c>
      <c r="L36" s="204">
        <f>INDEX(Mapping!$H:$H,MATCH(C$3&amp;C36,Mapping!$B:$B,0))</f>
        <v>1</v>
      </c>
      <c r="M36" s="204" t="str">
        <f>INDEX(Mapping!$H:$H,MATCH(D$3&amp;$D36,Mapping!$B:$B,0))</f>
        <v>EoK</v>
      </c>
      <c r="N36" s="204" t="str">
        <f>INDEX(Mapping!$H:$H,MATCH(E$3&amp;E36,Mapping!$B:$B,0))</f>
        <v>Lite</v>
      </c>
      <c r="O36" s="204" t="str">
        <f>INDEX(Mapping!$H:$H,MATCH(F$3&amp;F36,Mapping!$B:$B,0))</f>
        <v>Metro</v>
      </c>
      <c r="P36" s="204">
        <f>INDEX(Mapping!$H:$H,MATCH(G$3&amp;G36,Mapping!$B:$B,0))</f>
        <v>100</v>
      </c>
      <c r="Q36" s="204" t="str">
        <f>INDEX(Mapping!$H:$H,MATCH(Q$3&amp;$F36,Mapping!$B:$B,0))</f>
        <v>Metro - Nationaal</v>
      </c>
      <c r="R36" s="204" t="str">
        <f>INDEX(Mapping!$H:$H,MATCH("ZM VPN Service Level"&amp;E36,Mapping!$B:$B,0))</f>
        <v>Advanced</v>
      </c>
      <c r="S36" s="139" t="b">
        <f>IF($D36="EoK",INDEX(Mapping!$I:$I,MATCH($G$3&amp;$G36,Mapping!B:B,0)),FALSE)</f>
        <v>0</v>
      </c>
      <c r="T36" s="139"/>
      <c r="U36" s="520" t="str">
        <f t="shared" si="24"/>
        <v>LiteMetro100</v>
      </c>
      <c r="W36" s="521">
        <f>MATCH($J36,'Tarieven ZM'!$B:$B,0)</f>
        <v>40</v>
      </c>
      <c r="X36" s="204">
        <f>INDEX('Tarieven ZM'!$H:$H,$W36)</f>
        <v>1000</v>
      </c>
      <c r="Y36" s="198">
        <f>-INDEX(Parameters!$B:$B,MATCH(Y$3&amp;$C36,Parameters!$A:$A,0))*$X36</f>
        <v>0</v>
      </c>
      <c r="Z36" s="198">
        <f>-INDEX(Parameters!$B:$B,MATCH(Z$3&amp;$C36,Parameters!$A:$A,0))*$X36</f>
        <v>0</v>
      </c>
      <c r="AA36" s="139">
        <f t="shared" si="26"/>
        <v>1000</v>
      </c>
      <c r="AB36" s="205">
        <f>AA36/INDEX(Parameters!$B:$B,MATCH("AfschrijftermijnVVE"&amp;12*$C36,Parameters!$A:$A,0))</f>
        <v>27.777777777777779</v>
      </c>
      <c r="AC36" s="204">
        <f>INDEX('Tarieven ZM'!$G:$G,$W36)</f>
        <v>1000</v>
      </c>
      <c r="AD36" s="198">
        <f>-INDEX(Parameters!$B:$B,MATCH(AD$3&amp;$C36,Parameters!$A:$A,0))*$AC36</f>
        <v>0</v>
      </c>
      <c r="AE36" s="198">
        <f>-INDEX(Parameters!$B:$B,MATCH(AE$3,Parameters!$A:$A,0))*$AC36</f>
        <v>0</v>
      </c>
      <c r="AF36" s="139">
        <f t="shared" si="27"/>
        <v>1000</v>
      </c>
      <c r="AG36" s="522">
        <f t="shared" si="28"/>
        <v>1027.7777777777778</v>
      </c>
      <c r="AH36" s="175"/>
      <c r="AI36" s="523">
        <f>MATCH($U36,'Tarieven W&amp;O'!$B:$B,0)</f>
        <v>49</v>
      </c>
      <c r="AJ36" s="204">
        <f>IF(AI36&lt;&gt;"nvt",INDEX('Tarieven W&amp;O'!$H:$H,$AI36),0)</f>
        <v>0</v>
      </c>
      <c r="AK36" s="204">
        <f>IF(AI36&lt;&gt;"nvt",INDEX('Tarieven W&amp;O'!$I:$I,$AI36),0)</f>
        <v>25</v>
      </c>
      <c r="AL36" s="524">
        <f>IF(AI36&lt;&gt;"nvt",-INDEX(Parameters!$B:$B,MATCH(AL$3,Parameters!$A:$A,0))*(AJ36+AK36),0)</f>
        <v>0</v>
      </c>
      <c r="AM36" s="525"/>
      <c r="AN36" s="139">
        <f t="shared" si="29"/>
        <v>25</v>
      </c>
      <c r="AO36" s="205">
        <f>AN36/INDEX(Parameters!$B:$B,MATCH("AfschrijftermijnVVE"&amp;12*$C36,Parameters!$A:$A,0))</f>
        <v>0.69444444444444442</v>
      </c>
      <c r="AP36" s="139">
        <f t="shared" si="30"/>
        <v>49</v>
      </c>
      <c r="AQ36" s="526">
        <f>IF(AP36&lt;&gt;"nvt",INDEX('Tarieven W&amp;O'!$G:$G,$AP36),0)</f>
        <v>71.239999999999995</v>
      </c>
      <c r="AR36" s="251">
        <f>IF($S36,INDEX('Tarieven W&amp;O'!$G:$G,MATCH(N36&amp;R36,'Tarieven W&amp;O'!$B:$B,0)),0)</f>
        <v>0</v>
      </c>
      <c r="AS36" s="205">
        <f>-INDEX(Parameters!$B:$B,MATCH(AS$3,Parameters!$A:$A,0))*(AQ36+AR36)</f>
        <v>0</v>
      </c>
      <c r="AT36" s="205">
        <f>INDEX(hulpblad!$E:$E,MATCH(M36&amp;Q36,hulpblad!$B:$B,0))</f>
        <v>2</v>
      </c>
      <c r="AU36" s="150">
        <f t="shared" si="33"/>
        <v>73.239999999999995</v>
      </c>
      <c r="AV36" s="150">
        <f t="shared" si="34"/>
        <v>73.934444444444438</v>
      </c>
      <c r="AX36" s="526">
        <f>Parameters!$B$6*AV36</f>
        <v>0.73934444444444436</v>
      </c>
      <c r="AY36" s="150">
        <v>0</v>
      </c>
      <c r="AZ36" s="150"/>
      <c r="BA36" s="150">
        <f t="shared" si="31"/>
        <v>0.73934444444444436</v>
      </c>
      <c r="BB36" s="150"/>
      <c r="BC36" s="522">
        <f t="shared" si="32"/>
        <v>74.673788888888879</v>
      </c>
      <c r="BD36" s="175"/>
      <c r="BE36" s="527">
        <f t="shared" si="35"/>
        <v>953.10398888888892</v>
      </c>
      <c r="BF36" s="181">
        <f t="shared" si="36"/>
        <v>0.92734442162162156</v>
      </c>
      <c r="BG36" s="520" t="b">
        <f t="shared" si="25"/>
        <v>0</v>
      </c>
      <c r="BI36" s="528" t="s">
        <v>2181</v>
      </c>
      <c r="BL36" s="151" t="str">
        <f t="shared" si="38"/>
        <v>EoKMetro - Nationaal</v>
      </c>
      <c r="BM36" s="529">
        <v>0</v>
      </c>
      <c r="BN36" s="180">
        <f>BM36/INDEX(Parameters!$B:$B,MATCH("AfschrijftermijnVVE"&amp;12*$C36,Parameters!$A:$A,0))</f>
        <v>0</v>
      </c>
      <c r="BO36" s="184">
        <f>INDEX('inkoop ULL tbv EVPN'!I:I,MATCH(BL36,'inkoop ULL tbv EVPN'!H:H,0))</f>
        <v>2</v>
      </c>
      <c r="BP36" s="184">
        <f t="shared" si="39"/>
        <v>2</v>
      </c>
      <c r="BR36" s="180">
        <f>Parameters!$B$12*AG36</f>
        <v>102.77777777777779</v>
      </c>
      <c r="BS36" s="180">
        <f>SUM(Distributievergoedingen!$F$12,Distributievergoedingen!$I$12,Distributievergoedingen!$L$12,Distributievergoedingen!$O$12)*AF36+SUM(Distributievergoedingen!$O$12*AA36+Distributievergoedingen!$R$12+Distributievergoedingen!$U$12+Distributievergoedingen!$X$12)/(MAX(36,12*C36))</f>
        <v>112.77777777777777</v>
      </c>
      <c r="BT36" s="150"/>
      <c r="BU36" s="150">
        <f t="shared" si="40"/>
        <v>215.55555555555554</v>
      </c>
      <c r="BW36" s="522">
        <f t="shared" si="41"/>
        <v>217.55555555555554</v>
      </c>
      <c r="BY36" s="527">
        <f t="shared" si="42"/>
        <v>810.22222222222229</v>
      </c>
      <c r="BZ36" s="181">
        <f t="shared" si="43"/>
        <v>0.78832432432432431</v>
      </c>
      <c r="CA36" s="520" t="b">
        <f t="shared" si="44"/>
        <v>0</v>
      </c>
    </row>
    <row r="37" spans="1:79" s="151" customFormat="1">
      <c r="A37" s="151" t="str">
        <f t="shared" si="37"/>
        <v>1EoKEntryRegionaal200</v>
      </c>
      <c r="B37" s="520" t="str">
        <f t="shared" si="22"/>
        <v>1EoKEntryRegionaal200</v>
      </c>
      <c r="C37" s="179">
        <v>1</v>
      </c>
      <c r="D37" s="179" t="s">
        <v>303</v>
      </c>
      <c r="E37" s="178" t="s">
        <v>45</v>
      </c>
      <c r="F37" s="178" t="s">
        <v>265</v>
      </c>
      <c r="G37" s="185" t="s">
        <v>419</v>
      </c>
      <c r="J37" s="520" t="str">
        <f t="shared" si="23"/>
        <v>EntryRegionaal200</v>
      </c>
      <c r="L37" s="204">
        <f>INDEX(Mapping!$H:$H,MATCH(C$3&amp;C37,Mapping!$B:$B,0))</f>
        <v>1</v>
      </c>
      <c r="M37" s="204" t="str">
        <f>INDEX(Mapping!$H:$H,MATCH(D$3&amp;$D37,Mapping!$B:$B,0))</f>
        <v>EoK</v>
      </c>
      <c r="N37" s="204" t="str">
        <f>INDEX(Mapping!$H:$H,MATCH(E$3&amp;E37,Mapping!$B:$B,0))</f>
        <v>Lite</v>
      </c>
      <c r="O37" s="204" t="str">
        <f>INDEX(Mapping!$H:$H,MATCH(F$3&amp;F37,Mapping!$B:$B,0))</f>
        <v>Metro</v>
      </c>
      <c r="P37" s="204">
        <f>INDEX(Mapping!$H:$H,MATCH(G$3&amp;G37,Mapping!$B:$B,0))</f>
        <v>200</v>
      </c>
      <c r="Q37" s="204" t="str">
        <f>INDEX(Mapping!$H:$H,MATCH(Q$3&amp;$F37,Mapping!$B:$B,0))</f>
        <v>Metro - Nationaal</v>
      </c>
      <c r="R37" s="204" t="str">
        <f>INDEX(Mapping!$H:$H,MATCH("ZM VPN Service Level"&amp;E37,Mapping!$B:$B,0))</f>
        <v>Advanced</v>
      </c>
      <c r="S37" s="139" t="b">
        <f>IF($D37="EoK",INDEX(Mapping!$I:$I,MATCH($G$3&amp;$G37,Mapping!B:B,0)),FALSE)</f>
        <v>0</v>
      </c>
      <c r="T37" s="139"/>
      <c r="U37" s="520" t="str">
        <f t="shared" si="24"/>
        <v>LiteMetro200</v>
      </c>
      <c r="W37" s="521">
        <f>MATCH($J37,'Tarieven ZM'!$B:$B,0)</f>
        <v>41</v>
      </c>
      <c r="X37" s="204">
        <f>INDEX('Tarieven ZM'!$H:$H,$W37)</f>
        <v>1000</v>
      </c>
      <c r="Y37" s="198">
        <f>-INDEX(Parameters!$B:$B,MATCH(Y$3&amp;$C37,Parameters!$A:$A,0))*$X37</f>
        <v>0</v>
      </c>
      <c r="Z37" s="198">
        <f>-INDEX(Parameters!$B:$B,MATCH(Z$3&amp;$C37,Parameters!$A:$A,0))*$X37</f>
        <v>0</v>
      </c>
      <c r="AA37" s="139">
        <f t="shared" si="26"/>
        <v>1000</v>
      </c>
      <c r="AB37" s="205">
        <f>AA37/INDEX(Parameters!$B:$B,MATCH("AfschrijftermijnVVE"&amp;12*$C37,Parameters!$A:$A,0))</f>
        <v>27.777777777777779</v>
      </c>
      <c r="AC37" s="204">
        <f>INDEX('Tarieven ZM'!$G:$G,$W37)</f>
        <v>1000</v>
      </c>
      <c r="AD37" s="198">
        <f>-INDEX(Parameters!$B:$B,MATCH(AD$3&amp;$C37,Parameters!$A:$A,0))*$AC37</f>
        <v>0</v>
      </c>
      <c r="AE37" s="198">
        <f>-INDEX(Parameters!$B:$B,MATCH(AE$3,Parameters!$A:$A,0))*$AC37</f>
        <v>0</v>
      </c>
      <c r="AF37" s="139">
        <f t="shared" si="27"/>
        <v>1000</v>
      </c>
      <c r="AG37" s="522">
        <f t="shared" si="28"/>
        <v>1027.7777777777778</v>
      </c>
      <c r="AH37" s="175"/>
      <c r="AI37" s="523">
        <f>MATCH($U37,'Tarieven W&amp;O'!$B:$B,0)</f>
        <v>50</v>
      </c>
      <c r="AJ37" s="204">
        <f>IF(AI37&lt;&gt;"nvt",INDEX('Tarieven W&amp;O'!$H:$H,$AI37),0)</f>
        <v>0</v>
      </c>
      <c r="AK37" s="204">
        <f>IF(AI37&lt;&gt;"nvt",INDEX('Tarieven W&amp;O'!$I:$I,$AI37),0)</f>
        <v>25</v>
      </c>
      <c r="AL37" s="524">
        <f>IF(AI37&lt;&gt;"nvt",-INDEX(Parameters!$B:$B,MATCH(AL$3,Parameters!$A:$A,0))*(AJ37+AK37),0)</f>
        <v>0</v>
      </c>
      <c r="AM37" s="525"/>
      <c r="AN37" s="139">
        <f t="shared" si="29"/>
        <v>25</v>
      </c>
      <c r="AO37" s="205">
        <f>AN37/INDEX(Parameters!$B:$B,MATCH("AfschrijftermijnVVE"&amp;12*$C37,Parameters!$A:$A,0))</f>
        <v>0.69444444444444442</v>
      </c>
      <c r="AP37" s="139">
        <f t="shared" si="30"/>
        <v>50</v>
      </c>
      <c r="AQ37" s="526">
        <f>IF(AP37&lt;&gt;"nvt",INDEX('Tarieven W&amp;O'!$G:$G,$AP37),0)</f>
        <v>108.93</v>
      </c>
      <c r="AR37" s="251">
        <f>IF($S37,INDEX('Tarieven W&amp;O'!$G:$G,MATCH(N37&amp;R37,'Tarieven W&amp;O'!$B:$B,0)),0)</f>
        <v>0</v>
      </c>
      <c r="AS37" s="205">
        <f>-INDEX(Parameters!$B:$B,MATCH(AS$3,Parameters!$A:$A,0))*(AQ37+AR37)</f>
        <v>0</v>
      </c>
      <c r="AT37" s="205">
        <f>INDEX(hulpblad!$E:$E,MATCH(M37&amp;Q37,hulpblad!$B:$B,0))</f>
        <v>2</v>
      </c>
      <c r="AU37" s="150">
        <f t="shared" si="33"/>
        <v>110.93</v>
      </c>
      <c r="AV37" s="150">
        <f t="shared" si="34"/>
        <v>111.62444444444445</v>
      </c>
      <c r="AX37" s="526">
        <f>Parameters!$B$6*AV37</f>
        <v>1.1162444444444446</v>
      </c>
      <c r="AY37" s="150">
        <v>0</v>
      </c>
      <c r="AZ37" s="150"/>
      <c r="BA37" s="150">
        <f t="shared" si="31"/>
        <v>1.1162444444444446</v>
      </c>
      <c r="BB37" s="150"/>
      <c r="BC37" s="522">
        <f t="shared" si="32"/>
        <v>112.7406888888889</v>
      </c>
      <c r="BD37" s="175"/>
      <c r="BE37" s="527">
        <f t="shared" si="35"/>
        <v>915.03708888888889</v>
      </c>
      <c r="BF37" s="181">
        <f t="shared" si="36"/>
        <v>0.89030635675675673</v>
      </c>
      <c r="BG37" s="520" t="b">
        <f t="shared" si="25"/>
        <v>0</v>
      </c>
      <c r="BI37" s="528" t="s">
        <v>2181</v>
      </c>
      <c r="BL37" s="151" t="str">
        <f t="shared" si="38"/>
        <v>EoKMetro - Nationaal</v>
      </c>
      <c r="BM37" s="529">
        <v>0</v>
      </c>
      <c r="BN37" s="180">
        <f>BM37/INDEX(Parameters!$B:$B,MATCH("AfschrijftermijnVVE"&amp;12*$C37,Parameters!$A:$A,0))</f>
        <v>0</v>
      </c>
      <c r="BO37" s="184">
        <f>INDEX('inkoop ULL tbv EVPN'!I:I,MATCH(BL37,'inkoop ULL tbv EVPN'!H:H,0))</f>
        <v>2</v>
      </c>
      <c r="BP37" s="184">
        <f t="shared" si="39"/>
        <v>2</v>
      </c>
      <c r="BR37" s="180">
        <f>Parameters!$B$12*AG37</f>
        <v>102.77777777777779</v>
      </c>
      <c r="BS37" s="180">
        <f>SUM(Distributievergoedingen!$F$12,Distributievergoedingen!$I$12,Distributievergoedingen!$L$12,Distributievergoedingen!$O$12)*AF37+SUM(Distributievergoedingen!$O$12*AA37+Distributievergoedingen!$R$12+Distributievergoedingen!$U$12+Distributievergoedingen!$X$12)/(MAX(36,12*C37))</f>
        <v>112.77777777777777</v>
      </c>
      <c r="BT37" s="150"/>
      <c r="BU37" s="150">
        <f t="shared" si="40"/>
        <v>215.55555555555554</v>
      </c>
      <c r="BW37" s="522">
        <f t="shared" si="41"/>
        <v>217.55555555555554</v>
      </c>
      <c r="BY37" s="527">
        <f t="shared" si="42"/>
        <v>810.22222222222229</v>
      </c>
      <c r="BZ37" s="181">
        <f t="shared" si="43"/>
        <v>0.78832432432432431</v>
      </c>
      <c r="CA37" s="520" t="b">
        <f t="shared" si="44"/>
        <v>0</v>
      </c>
    </row>
    <row r="38" spans="1:79" s="151" customFormat="1">
      <c r="A38" s="151" t="str">
        <f t="shared" si="37"/>
        <v>1EoKEntryRegionaal300</v>
      </c>
      <c r="B38" s="520" t="str">
        <f t="shared" si="22"/>
        <v>1EoKEntryRegionaal300</v>
      </c>
      <c r="C38" s="179">
        <v>1</v>
      </c>
      <c r="D38" s="179" t="s">
        <v>303</v>
      </c>
      <c r="E38" s="178" t="s">
        <v>45</v>
      </c>
      <c r="F38" s="178" t="s">
        <v>265</v>
      </c>
      <c r="G38" s="185" t="s">
        <v>420</v>
      </c>
      <c r="J38" s="520" t="str">
        <f t="shared" si="23"/>
        <v>EntryRegionaal300</v>
      </c>
      <c r="L38" s="204">
        <f>INDEX(Mapping!$H:$H,MATCH(C$3&amp;C38,Mapping!$B:$B,0))</f>
        <v>1</v>
      </c>
      <c r="M38" s="204" t="str">
        <f>INDEX(Mapping!$H:$H,MATCH(D$3&amp;$D38,Mapping!$B:$B,0))</f>
        <v>EoK</v>
      </c>
      <c r="N38" s="204" t="str">
        <f>INDEX(Mapping!$H:$H,MATCH(E$3&amp;E38,Mapping!$B:$B,0))</f>
        <v>Lite</v>
      </c>
      <c r="O38" s="204" t="str">
        <f>INDEX(Mapping!$H:$H,MATCH(F$3&amp;F38,Mapping!$B:$B,0))</f>
        <v>Metro</v>
      </c>
      <c r="P38" s="204">
        <f>INDEX(Mapping!$H:$H,MATCH(G$3&amp;G38,Mapping!$B:$B,0))</f>
        <v>300</v>
      </c>
      <c r="Q38" s="204" t="str">
        <f>INDEX(Mapping!$H:$H,MATCH(Q$3&amp;$F38,Mapping!$B:$B,0))</f>
        <v>Metro - Nationaal</v>
      </c>
      <c r="R38" s="204" t="str">
        <f>INDEX(Mapping!$H:$H,MATCH("ZM VPN Service Level"&amp;E38,Mapping!$B:$B,0))</f>
        <v>Advanced</v>
      </c>
      <c r="S38" s="139" t="b">
        <f>IF($D38="EoK",INDEX(Mapping!$I:$I,MATCH($G$3&amp;$G38,Mapping!B:B,0)),FALSE)</f>
        <v>0</v>
      </c>
      <c r="T38" s="139"/>
      <c r="U38" s="520" t="str">
        <f t="shared" si="24"/>
        <v>LiteMetro300</v>
      </c>
      <c r="W38" s="521">
        <f>MATCH($J38,'Tarieven ZM'!$B:$B,0)</f>
        <v>42</v>
      </c>
      <c r="X38" s="204">
        <f>INDEX('Tarieven ZM'!$H:$H,$W38)</f>
        <v>1000</v>
      </c>
      <c r="Y38" s="198">
        <f>-INDEX(Parameters!$B:$B,MATCH(Y$3&amp;$C38,Parameters!$A:$A,0))*$X38</f>
        <v>0</v>
      </c>
      <c r="Z38" s="198">
        <f>-INDEX(Parameters!$B:$B,MATCH(Z$3&amp;$C38,Parameters!$A:$A,0))*$X38</f>
        <v>0</v>
      </c>
      <c r="AA38" s="139">
        <f t="shared" si="26"/>
        <v>1000</v>
      </c>
      <c r="AB38" s="205">
        <f>AA38/INDEX(Parameters!$B:$B,MATCH("AfschrijftermijnVVE"&amp;12*$C38,Parameters!$A:$A,0))</f>
        <v>27.777777777777779</v>
      </c>
      <c r="AC38" s="204">
        <f>INDEX('Tarieven ZM'!$G:$G,$W38)</f>
        <v>1000</v>
      </c>
      <c r="AD38" s="198">
        <f>-INDEX(Parameters!$B:$B,MATCH(AD$3&amp;$C38,Parameters!$A:$A,0))*$AC38</f>
        <v>0</v>
      </c>
      <c r="AE38" s="198">
        <f>-INDEX(Parameters!$B:$B,MATCH(AE$3,Parameters!$A:$A,0))*$AC38</f>
        <v>0</v>
      </c>
      <c r="AF38" s="139">
        <f t="shared" si="27"/>
        <v>1000</v>
      </c>
      <c r="AG38" s="522">
        <f t="shared" si="28"/>
        <v>1027.7777777777778</v>
      </c>
      <c r="AH38" s="175"/>
      <c r="AI38" s="523">
        <f>MATCH($U38,'Tarieven W&amp;O'!$B:$B,0)</f>
        <v>51</v>
      </c>
      <c r="AJ38" s="204">
        <f>IF(AI38&lt;&gt;"nvt",INDEX('Tarieven W&amp;O'!$H:$H,$AI38),0)</f>
        <v>0</v>
      </c>
      <c r="AK38" s="204">
        <f>IF(AI38&lt;&gt;"nvt",INDEX('Tarieven W&amp;O'!$I:$I,$AI38),0)</f>
        <v>25</v>
      </c>
      <c r="AL38" s="524">
        <f>IF(AI38&lt;&gt;"nvt",-INDEX(Parameters!$B:$B,MATCH(AL$3,Parameters!$A:$A,0))*(AJ38+AK38),0)</f>
        <v>0</v>
      </c>
      <c r="AM38" s="525"/>
      <c r="AN38" s="139">
        <f t="shared" si="29"/>
        <v>25</v>
      </c>
      <c r="AO38" s="205">
        <f>AN38/INDEX(Parameters!$B:$B,MATCH("AfschrijftermijnVVE"&amp;12*$C38,Parameters!$A:$A,0))</f>
        <v>0.69444444444444442</v>
      </c>
      <c r="AP38" s="139">
        <f t="shared" si="30"/>
        <v>51</v>
      </c>
      <c r="AQ38" s="526">
        <f>IF(AP38&lt;&gt;"nvt",INDEX('Tarieven W&amp;O'!$G:$G,$AP38),0)</f>
        <v>127.77</v>
      </c>
      <c r="AR38" s="251">
        <f>IF($S38,INDEX('Tarieven W&amp;O'!$G:$G,MATCH(N38&amp;R38,'Tarieven W&amp;O'!$B:$B,0)),0)</f>
        <v>0</v>
      </c>
      <c r="AS38" s="205">
        <f>-INDEX(Parameters!$B:$B,MATCH(AS$3,Parameters!$A:$A,0))*(AQ38+AR38)</f>
        <v>0</v>
      </c>
      <c r="AT38" s="205">
        <f>INDEX(hulpblad!$E:$E,MATCH(M38&amp;Q38,hulpblad!$B:$B,0))</f>
        <v>2</v>
      </c>
      <c r="AU38" s="150">
        <f t="shared" si="33"/>
        <v>129.76999999999998</v>
      </c>
      <c r="AV38" s="150">
        <f t="shared" si="34"/>
        <v>130.46444444444444</v>
      </c>
      <c r="AX38" s="526">
        <f>Parameters!$B$6*AV38</f>
        <v>1.3046444444444445</v>
      </c>
      <c r="AY38" s="150">
        <v>0</v>
      </c>
      <c r="AZ38" s="150"/>
      <c r="BA38" s="150">
        <f t="shared" si="31"/>
        <v>1.3046444444444445</v>
      </c>
      <c r="BB38" s="150"/>
      <c r="BC38" s="522">
        <f t="shared" si="32"/>
        <v>131.76908888888889</v>
      </c>
      <c r="BD38" s="175"/>
      <c r="BE38" s="527">
        <f t="shared" si="35"/>
        <v>896.00868888888897</v>
      </c>
      <c r="BF38" s="181">
        <f t="shared" si="36"/>
        <v>0.87179223783783788</v>
      </c>
      <c r="BG38" s="520" t="b">
        <f t="shared" si="25"/>
        <v>0</v>
      </c>
      <c r="BI38" s="528" t="s">
        <v>2181</v>
      </c>
      <c r="BL38" s="151" t="str">
        <f t="shared" si="38"/>
        <v>EoKMetro - Nationaal</v>
      </c>
      <c r="BM38" s="529">
        <v>0</v>
      </c>
      <c r="BN38" s="180">
        <f>BM38/INDEX(Parameters!$B:$B,MATCH("AfschrijftermijnVVE"&amp;12*$C38,Parameters!$A:$A,0))</f>
        <v>0</v>
      </c>
      <c r="BO38" s="184">
        <f>INDEX('inkoop ULL tbv EVPN'!I:I,MATCH(BL38,'inkoop ULL tbv EVPN'!H:H,0))</f>
        <v>2</v>
      </c>
      <c r="BP38" s="184">
        <f t="shared" si="39"/>
        <v>2</v>
      </c>
      <c r="BR38" s="180">
        <f>Parameters!$B$12*AG38</f>
        <v>102.77777777777779</v>
      </c>
      <c r="BS38" s="180">
        <f>SUM(Distributievergoedingen!$F$12,Distributievergoedingen!$I$12,Distributievergoedingen!$L$12,Distributievergoedingen!$O$12)*AF38+SUM(Distributievergoedingen!$O$12*AA38+Distributievergoedingen!$R$12+Distributievergoedingen!$U$12+Distributievergoedingen!$X$12)/(MAX(36,12*C38))</f>
        <v>112.77777777777777</v>
      </c>
      <c r="BT38" s="150"/>
      <c r="BU38" s="150">
        <f t="shared" si="40"/>
        <v>215.55555555555554</v>
      </c>
      <c r="BW38" s="522">
        <f t="shared" si="41"/>
        <v>217.55555555555554</v>
      </c>
      <c r="BY38" s="527">
        <f t="shared" si="42"/>
        <v>810.22222222222229</v>
      </c>
      <c r="BZ38" s="181">
        <f t="shared" si="43"/>
        <v>0.78832432432432431</v>
      </c>
      <c r="CA38" s="520" t="b">
        <f t="shared" si="44"/>
        <v>0</v>
      </c>
    </row>
    <row r="39" spans="1:79" s="151" customFormat="1">
      <c r="A39" s="151" t="str">
        <f t="shared" si="37"/>
        <v>1EoKEntryRegionaal500</v>
      </c>
      <c r="B39" s="520" t="str">
        <f t="shared" si="22"/>
        <v>1EoKEntryRegionaal500</v>
      </c>
      <c r="C39" s="179">
        <v>1</v>
      </c>
      <c r="D39" s="179" t="s">
        <v>303</v>
      </c>
      <c r="E39" s="178" t="s">
        <v>45</v>
      </c>
      <c r="F39" s="178" t="s">
        <v>265</v>
      </c>
      <c r="G39" s="185" t="s">
        <v>421</v>
      </c>
      <c r="J39" s="520" t="str">
        <f t="shared" si="23"/>
        <v>EntryRegionaal500</v>
      </c>
      <c r="L39" s="204">
        <f>INDEX(Mapping!$H:$H,MATCH(C$3&amp;C39,Mapping!$B:$B,0))</f>
        <v>1</v>
      </c>
      <c r="M39" s="204" t="str">
        <f>INDEX(Mapping!$H:$H,MATCH(D$3&amp;$D39,Mapping!$B:$B,0))</f>
        <v>EoK</v>
      </c>
      <c r="N39" s="204" t="str">
        <f>INDEX(Mapping!$H:$H,MATCH(E$3&amp;E39,Mapping!$B:$B,0))</f>
        <v>Lite</v>
      </c>
      <c r="O39" s="204" t="str">
        <f>INDEX(Mapping!$H:$H,MATCH(F$3&amp;F39,Mapping!$B:$B,0))</f>
        <v>Metro</v>
      </c>
      <c r="P39" s="204">
        <f>INDEX(Mapping!$H:$H,MATCH(G$3&amp;G39,Mapping!$B:$B,0))</f>
        <v>500</v>
      </c>
      <c r="Q39" s="204" t="str">
        <f>INDEX(Mapping!$H:$H,MATCH(Q$3&amp;$F39,Mapping!$B:$B,0))</f>
        <v>Metro - Nationaal</v>
      </c>
      <c r="R39" s="204" t="str">
        <f>INDEX(Mapping!$H:$H,MATCH("ZM VPN Service Level"&amp;E39,Mapping!$B:$B,0))</f>
        <v>Advanced</v>
      </c>
      <c r="S39" s="139" t="b">
        <f>IF($D39="EoK",INDEX(Mapping!$I:$I,MATCH($G$3&amp;$G39,Mapping!B:B,0)),FALSE)</f>
        <v>0</v>
      </c>
      <c r="T39" s="139"/>
      <c r="U39" s="520" t="str">
        <f t="shared" si="24"/>
        <v>LiteMetro500</v>
      </c>
      <c r="W39" s="521">
        <f>MATCH($J39,'Tarieven ZM'!$B:$B,0)</f>
        <v>43</v>
      </c>
      <c r="X39" s="204">
        <f>INDEX('Tarieven ZM'!$H:$H,$W39)</f>
        <v>1000</v>
      </c>
      <c r="Y39" s="198">
        <f>-INDEX(Parameters!$B:$B,MATCH(Y$3&amp;$C39,Parameters!$A:$A,0))*$X39</f>
        <v>0</v>
      </c>
      <c r="Z39" s="198">
        <f>-INDEX(Parameters!$B:$B,MATCH(Z$3&amp;$C39,Parameters!$A:$A,0))*$X39</f>
        <v>0</v>
      </c>
      <c r="AA39" s="139">
        <f t="shared" si="26"/>
        <v>1000</v>
      </c>
      <c r="AB39" s="205">
        <f>AA39/INDEX(Parameters!$B:$B,MATCH("AfschrijftermijnVVE"&amp;12*$C39,Parameters!$A:$A,0))</f>
        <v>27.777777777777779</v>
      </c>
      <c r="AC39" s="204">
        <f>INDEX('Tarieven ZM'!$G:$G,$W39)</f>
        <v>1000</v>
      </c>
      <c r="AD39" s="198">
        <f>-INDEX(Parameters!$B:$B,MATCH(AD$3&amp;$C39,Parameters!$A:$A,0))*$AC39</f>
        <v>0</v>
      </c>
      <c r="AE39" s="198">
        <f>-INDEX(Parameters!$B:$B,MATCH(AE$3,Parameters!$A:$A,0))*$AC39</f>
        <v>0</v>
      </c>
      <c r="AF39" s="139">
        <f t="shared" si="27"/>
        <v>1000</v>
      </c>
      <c r="AG39" s="522">
        <f t="shared" si="28"/>
        <v>1027.7777777777778</v>
      </c>
      <c r="AH39" s="175"/>
      <c r="AI39" s="523">
        <f>MATCH($U39,'Tarieven W&amp;O'!$B:$B,0)</f>
        <v>52</v>
      </c>
      <c r="AJ39" s="204">
        <f>IF(AI39&lt;&gt;"nvt",INDEX('Tarieven W&amp;O'!$H:$H,$AI39),0)</f>
        <v>0</v>
      </c>
      <c r="AK39" s="204">
        <f>IF(AI39&lt;&gt;"nvt",INDEX('Tarieven W&amp;O'!$I:$I,$AI39),0)</f>
        <v>25</v>
      </c>
      <c r="AL39" s="524">
        <f>IF(AI39&lt;&gt;"nvt",-INDEX(Parameters!$B:$B,MATCH(AL$3,Parameters!$A:$A,0))*(AJ39+AK39),0)</f>
        <v>0</v>
      </c>
      <c r="AM39" s="525"/>
      <c r="AN39" s="139">
        <f t="shared" si="29"/>
        <v>25</v>
      </c>
      <c r="AO39" s="205">
        <f>AN39/INDEX(Parameters!$B:$B,MATCH("AfschrijftermijnVVE"&amp;12*$C39,Parameters!$A:$A,0))</f>
        <v>0.69444444444444442</v>
      </c>
      <c r="AP39" s="139">
        <f t="shared" si="30"/>
        <v>52</v>
      </c>
      <c r="AQ39" s="526">
        <f>IF(AP39&lt;&gt;"nvt",INDEX('Tarieven W&amp;O'!$G:$G,$AP39),0)</f>
        <v>161.69</v>
      </c>
      <c r="AR39" s="251">
        <f>IF($S39,INDEX('Tarieven W&amp;O'!$G:$G,MATCH(N39&amp;R39,'Tarieven W&amp;O'!$B:$B,0)),0)</f>
        <v>0</v>
      </c>
      <c r="AS39" s="205">
        <f>-INDEX(Parameters!$B:$B,MATCH(AS$3,Parameters!$A:$A,0))*(AQ39+AR39)</f>
        <v>0</v>
      </c>
      <c r="AT39" s="205">
        <f>INDEX(hulpblad!$E:$E,MATCH(M39&amp;Q39,hulpblad!$B:$B,0))</f>
        <v>2</v>
      </c>
      <c r="AU39" s="150">
        <f t="shared" si="33"/>
        <v>163.69</v>
      </c>
      <c r="AV39" s="150">
        <f t="shared" si="34"/>
        <v>164.38444444444445</v>
      </c>
      <c r="AX39" s="526">
        <f>Parameters!$B$6*AV39</f>
        <v>1.6438444444444447</v>
      </c>
      <c r="AY39" s="150">
        <v>0</v>
      </c>
      <c r="AZ39" s="150"/>
      <c r="BA39" s="150">
        <f t="shared" si="31"/>
        <v>1.6438444444444447</v>
      </c>
      <c r="BB39" s="150"/>
      <c r="BC39" s="522">
        <f t="shared" si="32"/>
        <v>166.02828888888891</v>
      </c>
      <c r="BD39" s="175"/>
      <c r="BE39" s="527">
        <f t="shared" si="35"/>
        <v>861.74948888888889</v>
      </c>
      <c r="BF39" s="181">
        <f t="shared" si="36"/>
        <v>0.83845896216216209</v>
      </c>
      <c r="BG39" s="520" t="b">
        <f t="shared" si="25"/>
        <v>0</v>
      </c>
      <c r="BI39" s="528" t="s">
        <v>2181</v>
      </c>
      <c r="BL39" s="151" t="str">
        <f t="shared" si="38"/>
        <v>EoKMetro - Nationaal</v>
      </c>
      <c r="BM39" s="529">
        <v>0</v>
      </c>
      <c r="BN39" s="180">
        <f>BM39/INDEX(Parameters!$B:$B,MATCH("AfschrijftermijnVVE"&amp;12*$C39,Parameters!$A:$A,0))</f>
        <v>0</v>
      </c>
      <c r="BO39" s="184">
        <f>INDEX('inkoop ULL tbv EVPN'!I:I,MATCH(BL39,'inkoop ULL tbv EVPN'!H:H,0))</f>
        <v>2</v>
      </c>
      <c r="BP39" s="184">
        <f t="shared" si="39"/>
        <v>2</v>
      </c>
      <c r="BR39" s="180">
        <f>Parameters!$B$12*AG39</f>
        <v>102.77777777777779</v>
      </c>
      <c r="BS39" s="180">
        <f>SUM(Distributievergoedingen!$F$12,Distributievergoedingen!$I$12,Distributievergoedingen!$L$12,Distributievergoedingen!$O$12)*AF39+SUM(Distributievergoedingen!$O$12*AA39+Distributievergoedingen!$R$12+Distributievergoedingen!$U$12+Distributievergoedingen!$X$12)/(MAX(36,12*C39))</f>
        <v>112.77777777777777</v>
      </c>
      <c r="BT39" s="150"/>
      <c r="BU39" s="150">
        <f t="shared" si="40"/>
        <v>215.55555555555554</v>
      </c>
      <c r="BW39" s="522">
        <f t="shared" si="41"/>
        <v>217.55555555555554</v>
      </c>
      <c r="BY39" s="527">
        <f t="shared" si="42"/>
        <v>810.22222222222229</v>
      </c>
      <c r="BZ39" s="181">
        <f t="shared" si="43"/>
        <v>0.78832432432432431</v>
      </c>
      <c r="CA39" s="520" t="b">
        <f t="shared" si="44"/>
        <v>0</v>
      </c>
    </row>
    <row r="40" spans="1:79" s="151" customFormat="1">
      <c r="A40" s="151" t="str">
        <f t="shared" si="37"/>
        <v>1EoKEntryRegionaal800</v>
      </c>
      <c r="B40" s="520" t="str">
        <f t="shared" si="22"/>
        <v>1EoKEntryRegionaal800</v>
      </c>
      <c r="C40" s="179">
        <v>1</v>
      </c>
      <c r="D40" s="179" t="s">
        <v>303</v>
      </c>
      <c r="E40" s="178" t="s">
        <v>45</v>
      </c>
      <c r="F40" s="178" t="s">
        <v>265</v>
      </c>
      <c r="G40" s="185" t="s">
        <v>422</v>
      </c>
      <c r="J40" s="520" t="str">
        <f t="shared" si="23"/>
        <v>EntryRegionaal800</v>
      </c>
      <c r="L40" s="204">
        <f>INDEX(Mapping!$H:$H,MATCH(C$3&amp;C40,Mapping!$B:$B,0))</f>
        <v>1</v>
      </c>
      <c r="M40" s="204" t="str">
        <f>INDEX(Mapping!$H:$H,MATCH(D$3&amp;$D40,Mapping!$B:$B,0))</f>
        <v>EoK</v>
      </c>
      <c r="N40" s="204" t="str">
        <f>INDEX(Mapping!$H:$H,MATCH(E$3&amp;E40,Mapping!$B:$B,0))</f>
        <v>Lite</v>
      </c>
      <c r="O40" s="204" t="str">
        <f>INDEX(Mapping!$H:$H,MATCH(F$3&amp;F40,Mapping!$B:$B,0))</f>
        <v>Metro</v>
      </c>
      <c r="P40" s="204">
        <f>INDEX(Mapping!$H:$H,MATCH(G$3&amp;G40,Mapping!$B:$B,0))</f>
        <v>800</v>
      </c>
      <c r="Q40" s="204" t="str">
        <f>INDEX(Mapping!$H:$H,MATCH(Q$3&amp;$F40,Mapping!$B:$B,0))</f>
        <v>Metro - Nationaal</v>
      </c>
      <c r="R40" s="204" t="str">
        <f>INDEX(Mapping!$H:$H,MATCH("ZM VPN Service Level"&amp;E40,Mapping!$B:$B,0))</f>
        <v>Advanced</v>
      </c>
      <c r="S40" s="139" t="b">
        <f>IF($D40="EoK",INDEX(Mapping!$I:$I,MATCH($G$3&amp;$G40,Mapping!B:B,0)),FALSE)</f>
        <v>0</v>
      </c>
      <c r="T40" s="139"/>
      <c r="U40" s="520" t="str">
        <f t="shared" si="24"/>
        <v>LiteMetro800</v>
      </c>
      <c r="W40" s="521">
        <f>MATCH($J40,'Tarieven ZM'!$B:$B,0)</f>
        <v>44</v>
      </c>
      <c r="X40" s="204">
        <f>INDEX('Tarieven ZM'!$H:$H,$W40)</f>
        <v>1000</v>
      </c>
      <c r="Y40" s="198">
        <f>-INDEX(Parameters!$B:$B,MATCH(Y$3&amp;$C40,Parameters!$A:$A,0))*$X40</f>
        <v>0</v>
      </c>
      <c r="Z40" s="198">
        <f>-INDEX(Parameters!$B:$B,MATCH(Z$3&amp;$C40,Parameters!$A:$A,0))*$X40</f>
        <v>0</v>
      </c>
      <c r="AA40" s="139">
        <f t="shared" si="26"/>
        <v>1000</v>
      </c>
      <c r="AB40" s="205">
        <f>AA40/INDEX(Parameters!$B:$B,MATCH("AfschrijftermijnVVE"&amp;12*$C40,Parameters!$A:$A,0))</f>
        <v>27.777777777777779</v>
      </c>
      <c r="AC40" s="204">
        <f>INDEX('Tarieven ZM'!$G:$G,$W40)</f>
        <v>1000</v>
      </c>
      <c r="AD40" s="198">
        <f>-INDEX(Parameters!$B:$B,MATCH(AD$3&amp;$C40,Parameters!$A:$A,0))*$AC40</f>
        <v>0</v>
      </c>
      <c r="AE40" s="198">
        <f>-INDEX(Parameters!$B:$B,MATCH(AE$3,Parameters!$A:$A,0))*$AC40</f>
        <v>0</v>
      </c>
      <c r="AF40" s="139">
        <f t="shared" si="27"/>
        <v>1000</v>
      </c>
      <c r="AG40" s="522">
        <f t="shared" si="28"/>
        <v>1027.7777777777778</v>
      </c>
      <c r="AH40" s="175"/>
      <c r="AI40" s="523">
        <f>MATCH($U40,'Tarieven W&amp;O'!$B:$B,0)</f>
        <v>53</v>
      </c>
      <c r="AJ40" s="204">
        <f>IF(AI40&lt;&gt;"nvt",INDEX('Tarieven W&amp;O'!$H:$H,$AI40),0)</f>
        <v>0</v>
      </c>
      <c r="AK40" s="204">
        <f>IF(AI40&lt;&gt;"nvt",INDEX('Tarieven W&amp;O'!$I:$I,$AI40),0)</f>
        <v>25</v>
      </c>
      <c r="AL40" s="524">
        <f>IF(AI40&lt;&gt;"nvt",-INDEX(Parameters!$B:$B,MATCH(AL$3,Parameters!$A:$A,0))*(AJ40+AK40),0)</f>
        <v>0</v>
      </c>
      <c r="AM40" s="525"/>
      <c r="AN40" s="139">
        <f t="shared" si="29"/>
        <v>25</v>
      </c>
      <c r="AO40" s="205">
        <f>AN40/INDEX(Parameters!$B:$B,MATCH("AfschrijftermijnVVE"&amp;12*$C40,Parameters!$A:$A,0))</f>
        <v>0.69444444444444442</v>
      </c>
      <c r="AP40" s="139">
        <f t="shared" si="30"/>
        <v>53</v>
      </c>
      <c r="AQ40" s="526">
        <f>IF(AP40&lt;&gt;"nvt",INDEX('Tarieven W&amp;O'!$G:$G,$AP40),0)</f>
        <v>184.31</v>
      </c>
      <c r="AR40" s="251">
        <f>IF($S40,INDEX('Tarieven W&amp;O'!$G:$G,MATCH(N40&amp;R40,'Tarieven W&amp;O'!$B:$B,0)),0)</f>
        <v>0</v>
      </c>
      <c r="AS40" s="205">
        <f>-INDEX(Parameters!$B:$B,MATCH(AS$3,Parameters!$A:$A,0))*(AQ40+AR40)</f>
        <v>0</v>
      </c>
      <c r="AT40" s="205">
        <f>INDEX(hulpblad!$E:$E,MATCH(M40&amp;Q40,hulpblad!$B:$B,0))</f>
        <v>2</v>
      </c>
      <c r="AU40" s="150">
        <f t="shared" si="33"/>
        <v>186.31</v>
      </c>
      <c r="AV40" s="150">
        <f t="shared" si="34"/>
        <v>187.00444444444446</v>
      </c>
      <c r="AX40" s="526">
        <f>Parameters!$B$6*AV40</f>
        <v>1.8700444444444446</v>
      </c>
      <c r="AY40" s="150">
        <v>0</v>
      </c>
      <c r="AZ40" s="150"/>
      <c r="BA40" s="150">
        <f t="shared" si="31"/>
        <v>1.8700444444444446</v>
      </c>
      <c r="BB40" s="150"/>
      <c r="BC40" s="522">
        <f t="shared" si="32"/>
        <v>188.87448888888889</v>
      </c>
      <c r="BD40" s="175"/>
      <c r="BE40" s="527">
        <f t="shared" si="35"/>
        <v>838.90328888888894</v>
      </c>
      <c r="BF40" s="181">
        <f t="shared" si="36"/>
        <v>0.81623022702702708</v>
      </c>
      <c r="BG40" s="520" t="b">
        <f t="shared" si="25"/>
        <v>0</v>
      </c>
      <c r="BI40" s="528" t="s">
        <v>2181</v>
      </c>
      <c r="BL40" s="151" t="str">
        <f t="shared" si="38"/>
        <v>EoKMetro - Nationaal</v>
      </c>
      <c r="BM40" s="529">
        <v>0</v>
      </c>
      <c r="BN40" s="180">
        <f>BM40/INDEX(Parameters!$B:$B,MATCH("AfschrijftermijnVVE"&amp;12*$C40,Parameters!$A:$A,0))</f>
        <v>0</v>
      </c>
      <c r="BO40" s="184">
        <f>INDEX('inkoop ULL tbv EVPN'!I:I,MATCH(BL40,'inkoop ULL tbv EVPN'!H:H,0))</f>
        <v>2</v>
      </c>
      <c r="BP40" s="184">
        <f t="shared" si="39"/>
        <v>2</v>
      </c>
      <c r="BR40" s="180">
        <f>Parameters!$B$12*AG40</f>
        <v>102.77777777777779</v>
      </c>
      <c r="BS40" s="180">
        <f>SUM(Distributievergoedingen!$F$12,Distributievergoedingen!$I$12,Distributievergoedingen!$L$12,Distributievergoedingen!$O$12)*AF40+SUM(Distributievergoedingen!$O$12*AA40+Distributievergoedingen!$R$12+Distributievergoedingen!$U$12+Distributievergoedingen!$X$12)/(MAX(36,12*C40))</f>
        <v>112.77777777777777</v>
      </c>
      <c r="BT40" s="150"/>
      <c r="BU40" s="150">
        <f t="shared" si="40"/>
        <v>215.55555555555554</v>
      </c>
      <c r="BW40" s="522">
        <f t="shared" si="41"/>
        <v>217.55555555555554</v>
      </c>
      <c r="BY40" s="527">
        <f t="shared" si="42"/>
        <v>810.22222222222229</v>
      </c>
      <c r="BZ40" s="181">
        <f t="shared" si="43"/>
        <v>0.78832432432432431</v>
      </c>
      <c r="CA40" s="520" t="b">
        <f t="shared" si="44"/>
        <v>0</v>
      </c>
    </row>
    <row r="41" spans="1:79" s="151" customFormat="1">
      <c r="A41" s="151" t="str">
        <f t="shared" si="37"/>
        <v>1EoKEntryRegionaal1000</v>
      </c>
      <c r="B41" s="520" t="str">
        <f t="shared" si="22"/>
        <v>1EoKEntryRegionaal1000</v>
      </c>
      <c r="C41" s="179">
        <v>1</v>
      </c>
      <c r="D41" s="179" t="s">
        <v>303</v>
      </c>
      <c r="E41" s="178" t="s">
        <v>45</v>
      </c>
      <c r="F41" s="178" t="s">
        <v>265</v>
      </c>
      <c r="G41" s="185" t="s">
        <v>423</v>
      </c>
      <c r="J41" s="520" t="str">
        <f t="shared" si="23"/>
        <v>EntryRegionaal1000</v>
      </c>
      <c r="L41" s="204">
        <f>INDEX(Mapping!$H:$H,MATCH(C$3&amp;C41,Mapping!$B:$B,0))</f>
        <v>1</v>
      </c>
      <c r="M41" s="204" t="str">
        <f>INDEX(Mapping!$H:$H,MATCH(D$3&amp;$D41,Mapping!$B:$B,0))</f>
        <v>EoK</v>
      </c>
      <c r="N41" s="204" t="str">
        <f>INDEX(Mapping!$H:$H,MATCH(E$3&amp;E41,Mapping!$B:$B,0))</f>
        <v>Lite</v>
      </c>
      <c r="O41" s="204" t="str">
        <f>INDEX(Mapping!$H:$H,MATCH(F$3&amp;F41,Mapping!$B:$B,0))</f>
        <v>Metro</v>
      </c>
      <c r="P41" s="204">
        <f>INDEX(Mapping!$H:$H,MATCH(G$3&amp;G41,Mapping!$B:$B,0))</f>
        <v>1000</v>
      </c>
      <c r="Q41" s="204" t="str">
        <f>INDEX(Mapping!$H:$H,MATCH(Q$3&amp;$F41,Mapping!$B:$B,0))</f>
        <v>Metro - Nationaal</v>
      </c>
      <c r="R41" s="204" t="str">
        <f>INDEX(Mapping!$H:$H,MATCH("ZM VPN Service Level"&amp;E41,Mapping!$B:$B,0))</f>
        <v>Advanced</v>
      </c>
      <c r="S41" s="139" t="b">
        <f>IF($D41="EoK",INDEX(Mapping!$I:$I,MATCH($G$3&amp;$G41,Mapping!B:B,0)),FALSE)</f>
        <v>0</v>
      </c>
      <c r="T41" s="139"/>
      <c r="U41" s="520" t="str">
        <f t="shared" si="24"/>
        <v>LiteMetro1000</v>
      </c>
      <c r="W41" s="521">
        <f>MATCH($J41,'Tarieven ZM'!$B:$B,0)</f>
        <v>45</v>
      </c>
      <c r="X41" s="204">
        <f>INDEX('Tarieven ZM'!$H:$H,$W41)</f>
        <v>1000</v>
      </c>
      <c r="Y41" s="198">
        <f>-INDEX(Parameters!$B:$B,MATCH(Y$3&amp;$C41,Parameters!$A:$A,0))*$X41</f>
        <v>0</v>
      </c>
      <c r="Z41" s="198">
        <f>-INDEX(Parameters!$B:$B,MATCH(Z$3&amp;$C41,Parameters!$A:$A,0))*$X41</f>
        <v>0</v>
      </c>
      <c r="AA41" s="139">
        <f t="shared" si="26"/>
        <v>1000</v>
      </c>
      <c r="AB41" s="205">
        <f>AA41/INDEX(Parameters!$B:$B,MATCH("AfschrijftermijnVVE"&amp;12*$C41,Parameters!$A:$A,0))</f>
        <v>27.777777777777779</v>
      </c>
      <c r="AC41" s="204">
        <f>INDEX('Tarieven ZM'!$G:$G,$W41)</f>
        <v>1000</v>
      </c>
      <c r="AD41" s="198">
        <f>-INDEX(Parameters!$B:$B,MATCH(AD$3&amp;$C41,Parameters!$A:$A,0))*$AC41</f>
        <v>0</v>
      </c>
      <c r="AE41" s="198">
        <f>-INDEX(Parameters!$B:$B,MATCH(AE$3,Parameters!$A:$A,0))*$AC41</f>
        <v>0</v>
      </c>
      <c r="AF41" s="139">
        <f t="shared" si="27"/>
        <v>1000</v>
      </c>
      <c r="AG41" s="522">
        <f t="shared" si="28"/>
        <v>1027.7777777777778</v>
      </c>
      <c r="AH41" s="175"/>
      <c r="AI41" s="523">
        <f>MATCH($U41,'Tarieven W&amp;O'!$B:$B,0)</f>
        <v>54</v>
      </c>
      <c r="AJ41" s="204">
        <f>IF(AI41&lt;&gt;"nvt",INDEX('Tarieven W&amp;O'!$H:$H,$AI41),0)</f>
        <v>0</v>
      </c>
      <c r="AK41" s="204">
        <f>IF(AI41&lt;&gt;"nvt",INDEX('Tarieven W&amp;O'!$I:$I,$AI41),0)</f>
        <v>25</v>
      </c>
      <c r="AL41" s="524">
        <f>IF(AI41&lt;&gt;"nvt",-INDEX(Parameters!$B:$B,MATCH(AL$3,Parameters!$A:$A,0))*(AJ41+AK41),0)</f>
        <v>0</v>
      </c>
      <c r="AM41" s="525"/>
      <c r="AN41" s="139">
        <f t="shared" si="29"/>
        <v>25</v>
      </c>
      <c r="AO41" s="205">
        <f>AN41/INDEX(Parameters!$B:$B,MATCH("AfschrijftermijnVVE"&amp;12*$C41,Parameters!$A:$A,0))</f>
        <v>0.69444444444444442</v>
      </c>
      <c r="AP41" s="139">
        <f t="shared" si="30"/>
        <v>54</v>
      </c>
      <c r="AQ41" s="526">
        <f>IF(AP41&lt;&gt;"nvt",INDEX('Tarieven W&amp;O'!$G:$G,$AP41),0)</f>
        <v>203.15</v>
      </c>
      <c r="AR41" s="251">
        <f>IF($S41,INDEX('Tarieven W&amp;O'!$G:$G,MATCH(N41&amp;R41,'Tarieven W&amp;O'!$B:$B,0)),0)</f>
        <v>0</v>
      </c>
      <c r="AS41" s="205">
        <f>-INDEX(Parameters!$B:$B,MATCH(AS$3,Parameters!$A:$A,0))*(AQ41+AR41)</f>
        <v>0</v>
      </c>
      <c r="AT41" s="205">
        <f>INDEX(hulpblad!$E:$E,MATCH(M41&amp;Q41,hulpblad!$B:$B,0))</f>
        <v>2</v>
      </c>
      <c r="AU41" s="150">
        <f t="shared" si="33"/>
        <v>205.15</v>
      </c>
      <c r="AV41" s="150">
        <f t="shared" si="34"/>
        <v>205.84444444444446</v>
      </c>
      <c r="AX41" s="526">
        <f>Parameters!$B$6*AV41</f>
        <v>2.0584444444444445</v>
      </c>
      <c r="AY41" s="150">
        <v>0</v>
      </c>
      <c r="AZ41" s="150"/>
      <c r="BA41" s="150">
        <f t="shared" si="31"/>
        <v>2.0584444444444445</v>
      </c>
      <c r="BB41" s="150"/>
      <c r="BC41" s="522">
        <f t="shared" si="32"/>
        <v>207.9028888888889</v>
      </c>
      <c r="BD41" s="175"/>
      <c r="BE41" s="527">
        <f t="shared" si="35"/>
        <v>819.8748888888889</v>
      </c>
      <c r="BF41" s="181">
        <f t="shared" si="36"/>
        <v>0.79771610810810811</v>
      </c>
      <c r="BG41" s="520" t="b">
        <f t="shared" si="25"/>
        <v>0</v>
      </c>
      <c r="BI41" s="528" t="s">
        <v>2181</v>
      </c>
      <c r="BL41" s="151" t="str">
        <f t="shared" si="38"/>
        <v>EoKMetro - Nationaal</v>
      </c>
      <c r="BM41" s="529">
        <v>0</v>
      </c>
      <c r="BN41" s="180">
        <f>BM41/INDEX(Parameters!$B:$B,MATCH("AfschrijftermijnVVE"&amp;12*$C41,Parameters!$A:$A,0))</f>
        <v>0</v>
      </c>
      <c r="BO41" s="184">
        <f>INDEX('inkoop ULL tbv EVPN'!I:I,MATCH(BL41,'inkoop ULL tbv EVPN'!H:H,0))</f>
        <v>2</v>
      </c>
      <c r="BP41" s="184">
        <f t="shared" si="39"/>
        <v>2</v>
      </c>
      <c r="BR41" s="180">
        <f>Parameters!$B$12*AG41</f>
        <v>102.77777777777779</v>
      </c>
      <c r="BS41" s="180">
        <f>SUM(Distributievergoedingen!$F$12,Distributievergoedingen!$I$12,Distributievergoedingen!$L$12,Distributievergoedingen!$O$12)*AF41+SUM(Distributievergoedingen!$O$12*AA41+Distributievergoedingen!$R$12+Distributievergoedingen!$U$12+Distributievergoedingen!$X$12)/(MAX(36,12*C41))</f>
        <v>112.77777777777777</v>
      </c>
      <c r="BT41" s="150"/>
      <c r="BU41" s="150">
        <f t="shared" si="40"/>
        <v>215.55555555555554</v>
      </c>
      <c r="BW41" s="522">
        <f t="shared" si="41"/>
        <v>217.55555555555554</v>
      </c>
      <c r="BY41" s="527">
        <f t="shared" si="42"/>
        <v>810.22222222222229</v>
      </c>
      <c r="BZ41" s="181">
        <f t="shared" si="43"/>
        <v>0.78832432432432431</v>
      </c>
      <c r="CA41" s="520" t="b">
        <f t="shared" si="44"/>
        <v>0</v>
      </c>
    </row>
    <row r="42" spans="1:79" s="151" customFormat="1">
      <c r="A42" s="151" t="str">
        <f t="shared" si="37"/>
        <v>1EoKEntryNationaal1</v>
      </c>
      <c r="B42" s="520" t="str">
        <f t="shared" si="22"/>
        <v>1EoKEntryNationaal1</v>
      </c>
      <c r="C42" s="179">
        <v>1</v>
      </c>
      <c r="D42" s="179" t="s">
        <v>303</v>
      </c>
      <c r="E42" s="178" t="s">
        <v>45</v>
      </c>
      <c r="F42" s="178" t="s">
        <v>266</v>
      </c>
      <c r="G42" s="185" t="s">
        <v>362</v>
      </c>
      <c r="J42" s="520" t="str">
        <f t="shared" si="23"/>
        <v>EntryNationaal1</v>
      </c>
      <c r="L42" s="204">
        <f>INDEX(Mapping!$H:$H,MATCH(C$3&amp;C42,Mapping!$B:$B,0))</f>
        <v>1</v>
      </c>
      <c r="M42" s="204" t="str">
        <f>INDEX(Mapping!$H:$H,MATCH(D$3&amp;$D42,Mapping!$B:$B,0))</f>
        <v>EoK</v>
      </c>
      <c r="N42" s="204" t="str">
        <f>INDEX(Mapping!$H:$H,MATCH(E$3&amp;E42,Mapping!$B:$B,0))</f>
        <v>Lite</v>
      </c>
      <c r="O42" s="204" t="str">
        <f>INDEX(Mapping!$H:$H,MATCH(F$3&amp;F42,Mapping!$B:$B,0))</f>
        <v>Metro</v>
      </c>
      <c r="P42" s="204">
        <f>INDEX(Mapping!$H:$H,MATCH(G$3&amp;G42,Mapping!$B:$B,0))</f>
        <v>1</v>
      </c>
      <c r="Q42" s="204" t="str">
        <f>INDEX(Mapping!$H:$H,MATCH(Q$3&amp;$F42,Mapping!$B:$B,0))</f>
        <v>Metro - Nationaal</v>
      </c>
      <c r="R42" s="204" t="str">
        <f>INDEX(Mapping!$H:$H,MATCH("ZM VPN Service Level"&amp;E42,Mapping!$B:$B,0))</f>
        <v>Advanced</v>
      </c>
      <c r="S42" s="139" t="b">
        <f>IF($D42="EoK",INDEX(Mapping!$I:$I,MATCH($G$3&amp;$G42,Mapping!B:B,0)),FALSE)</f>
        <v>1</v>
      </c>
      <c r="T42" s="139"/>
      <c r="U42" s="520" t="str">
        <f t="shared" si="24"/>
        <v>LiteMetro1</v>
      </c>
      <c r="W42" s="521">
        <f>MATCH($J42,'Tarieven ZM'!$B:$B,0)</f>
        <v>46</v>
      </c>
      <c r="X42" s="204">
        <f>INDEX('Tarieven ZM'!$H:$H,$W42)</f>
        <v>1000</v>
      </c>
      <c r="Y42" s="198">
        <f>-INDEX(Parameters!$B:$B,MATCH(Y$3&amp;$C42,Parameters!$A:$A,0))*$X42</f>
        <v>0</v>
      </c>
      <c r="Z42" s="198">
        <f>-INDEX(Parameters!$B:$B,MATCH(Z$3&amp;$C42,Parameters!$A:$A,0))*$X42</f>
        <v>0</v>
      </c>
      <c r="AA42" s="139">
        <f t="shared" si="26"/>
        <v>1000</v>
      </c>
      <c r="AB42" s="205">
        <f>AA42/INDEX(Parameters!$B:$B,MATCH("AfschrijftermijnVVE"&amp;12*$C42,Parameters!$A:$A,0))</f>
        <v>27.777777777777779</v>
      </c>
      <c r="AC42" s="204">
        <f>INDEX('Tarieven ZM'!$G:$G,$W42)</f>
        <v>1000</v>
      </c>
      <c r="AD42" s="198">
        <f>-INDEX(Parameters!$B:$B,MATCH(AD$3&amp;$C42,Parameters!$A:$A,0))*$AC42</f>
        <v>0</v>
      </c>
      <c r="AE42" s="198">
        <f>-INDEX(Parameters!$B:$B,MATCH(AE$3,Parameters!$A:$A,0))*$AC42</f>
        <v>0</v>
      </c>
      <c r="AF42" s="139">
        <f t="shared" si="27"/>
        <v>1000</v>
      </c>
      <c r="AG42" s="522">
        <f t="shared" si="28"/>
        <v>1027.7777777777778</v>
      </c>
      <c r="AH42" s="175"/>
      <c r="AI42" s="523">
        <f>MATCH($U42,'Tarieven W&amp;O'!$B:$B,0)</f>
        <v>36</v>
      </c>
      <c r="AJ42" s="204">
        <f>IF(AI42&lt;&gt;"nvt",INDEX('Tarieven W&amp;O'!$H:$H,$AI42),0)</f>
        <v>0</v>
      </c>
      <c r="AK42" s="204">
        <f>IF(AI42&lt;&gt;"nvt",INDEX('Tarieven W&amp;O'!$I:$I,$AI42),0)</f>
        <v>25</v>
      </c>
      <c r="AL42" s="524">
        <f>IF(AI42&lt;&gt;"nvt",-INDEX(Parameters!$B:$B,MATCH(AL$3,Parameters!$A:$A,0))*(AJ42+AK42),0)</f>
        <v>0</v>
      </c>
      <c r="AM42" s="525"/>
      <c r="AN42" s="139">
        <f t="shared" si="29"/>
        <v>25</v>
      </c>
      <c r="AO42" s="205">
        <f>AN42/INDEX(Parameters!$B:$B,MATCH("AfschrijftermijnVVE"&amp;12*$C42,Parameters!$A:$A,0))</f>
        <v>0.69444444444444442</v>
      </c>
      <c r="AP42" s="139">
        <f t="shared" si="30"/>
        <v>36</v>
      </c>
      <c r="AQ42" s="526">
        <f>IF(AP42&lt;&gt;"nvt",INDEX('Tarieven W&amp;O'!$G:$G,$AP42),0)</f>
        <v>14.29</v>
      </c>
      <c r="AR42" s="251">
        <f>IF($S42,INDEX('Tarieven W&amp;O'!$G:$G,MATCH(N42&amp;R42,'Tarieven W&amp;O'!$B:$B,0)),0)</f>
        <v>5.25</v>
      </c>
      <c r="AS42" s="205">
        <f>-INDEX(Parameters!$B:$B,MATCH(AS$3,Parameters!$A:$A,0))*(AQ42+AR42)</f>
        <v>0</v>
      </c>
      <c r="AT42" s="205">
        <f>INDEX(hulpblad!$E:$E,MATCH(M42&amp;Q42,hulpblad!$B:$B,0))</f>
        <v>2</v>
      </c>
      <c r="AU42" s="150">
        <f t="shared" si="33"/>
        <v>21.54</v>
      </c>
      <c r="AV42" s="150">
        <f t="shared" si="34"/>
        <v>22.234444444444442</v>
      </c>
      <c r="AX42" s="526">
        <f>Parameters!$B$6*AV42</f>
        <v>0.22234444444444443</v>
      </c>
      <c r="AY42" s="150">
        <v>0</v>
      </c>
      <c r="AZ42" s="150"/>
      <c r="BA42" s="150">
        <f t="shared" si="31"/>
        <v>0.22234444444444443</v>
      </c>
      <c r="BB42" s="150"/>
      <c r="BC42" s="522">
        <f t="shared" si="32"/>
        <v>22.456788888888887</v>
      </c>
      <c r="BD42" s="175"/>
      <c r="BE42" s="527">
        <f t="shared" si="35"/>
        <v>1005.3209888888889</v>
      </c>
      <c r="BF42" s="181">
        <f t="shared" si="36"/>
        <v>0.9781501513513513</v>
      </c>
      <c r="BG42" s="520" t="b">
        <f t="shared" si="25"/>
        <v>0</v>
      </c>
      <c r="BI42" s="528" t="s">
        <v>2181</v>
      </c>
      <c r="BL42" s="151" t="str">
        <f t="shared" si="38"/>
        <v>EoKMetro - Nationaal</v>
      </c>
      <c r="BM42" s="529">
        <v>0</v>
      </c>
      <c r="BN42" s="180">
        <f>BM42/INDEX(Parameters!$B:$B,MATCH("AfschrijftermijnVVE"&amp;12*$C42,Parameters!$A:$A,0))</f>
        <v>0</v>
      </c>
      <c r="BO42" s="184">
        <f>INDEX('inkoop ULL tbv EVPN'!I:I,MATCH(BL42,'inkoop ULL tbv EVPN'!H:H,0))</f>
        <v>2</v>
      </c>
      <c r="BP42" s="184">
        <f t="shared" si="39"/>
        <v>2</v>
      </c>
      <c r="BR42" s="180">
        <f>Parameters!$B$12*AG42</f>
        <v>102.77777777777779</v>
      </c>
      <c r="BS42" s="180">
        <f>SUM(Distributievergoedingen!$F$12,Distributievergoedingen!$I$12,Distributievergoedingen!$L$12,Distributievergoedingen!$O$12)*AF42+SUM(Distributievergoedingen!$O$12*AA42+Distributievergoedingen!$R$12+Distributievergoedingen!$U$12+Distributievergoedingen!$X$12)/(MAX(36,12*C42))</f>
        <v>112.77777777777777</v>
      </c>
      <c r="BT42" s="150"/>
      <c r="BU42" s="150">
        <f t="shared" si="40"/>
        <v>215.55555555555554</v>
      </c>
      <c r="BW42" s="522">
        <f t="shared" si="41"/>
        <v>217.55555555555554</v>
      </c>
      <c r="BY42" s="527">
        <f t="shared" si="42"/>
        <v>810.22222222222229</v>
      </c>
      <c r="BZ42" s="181">
        <f t="shared" si="43"/>
        <v>0.78832432432432431</v>
      </c>
      <c r="CA42" s="520" t="b">
        <f t="shared" si="44"/>
        <v>0</v>
      </c>
    </row>
    <row r="43" spans="1:79" s="151" customFormat="1">
      <c r="A43" s="151" t="str">
        <f t="shared" si="37"/>
        <v>1EoKEntryNationaal2</v>
      </c>
      <c r="B43" s="520" t="str">
        <f t="shared" si="22"/>
        <v>1EoKEntryNationaal2</v>
      </c>
      <c r="C43" s="179">
        <v>1</v>
      </c>
      <c r="D43" s="179" t="s">
        <v>303</v>
      </c>
      <c r="E43" s="178" t="s">
        <v>45</v>
      </c>
      <c r="F43" s="178" t="s">
        <v>266</v>
      </c>
      <c r="G43" s="185" t="s">
        <v>363</v>
      </c>
      <c r="J43" s="520" t="str">
        <f t="shared" si="23"/>
        <v>EntryNationaal2</v>
      </c>
      <c r="L43" s="204">
        <f>INDEX(Mapping!$H:$H,MATCH(C$3&amp;C43,Mapping!$B:$B,0))</f>
        <v>1</v>
      </c>
      <c r="M43" s="204" t="str">
        <f>INDEX(Mapping!$H:$H,MATCH(D$3&amp;$D43,Mapping!$B:$B,0))</f>
        <v>EoK</v>
      </c>
      <c r="N43" s="204" t="str">
        <f>INDEX(Mapping!$H:$H,MATCH(E$3&amp;E43,Mapping!$B:$B,0))</f>
        <v>Lite</v>
      </c>
      <c r="O43" s="204" t="str">
        <f>INDEX(Mapping!$H:$H,MATCH(F$3&amp;F43,Mapping!$B:$B,0))</f>
        <v>Metro</v>
      </c>
      <c r="P43" s="204">
        <f>INDEX(Mapping!$H:$H,MATCH(G$3&amp;G43,Mapping!$B:$B,0))</f>
        <v>2</v>
      </c>
      <c r="Q43" s="204" t="str">
        <f>INDEX(Mapping!$H:$H,MATCH(Q$3&amp;$F43,Mapping!$B:$B,0))</f>
        <v>Metro - Nationaal</v>
      </c>
      <c r="R43" s="204" t="str">
        <f>INDEX(Mapping!$H:$H,MATCH("ZM VPN Service Level"&amp;E43,Mapping!$B:$B,0))</f>
        <v>Advanced</v>
      </c>
      <c r="S43" s="139" t="b">
        <f>IF($D43="EoK",INDEX(Mapping!$I:$I,MATCH($G$3&amp;$G43,Mapping!B:B,0)),FALSE)</f>
        <v>1</v>
      </c>
      <c r="T43" s="139"/>
      <c r="U43" s="520" t="str">
        <f t="shared" si="24"/>
        <v>LiteMetro2</v>
      </c>
      <c r="W43" s="521">
        <f>MATCH($J43,'Tarieven ZM'!$B:$B,0)</f>
        <v>47</v>
      </c>
      <c r="X43" s="204">
        <f>INDEX('Tarieven ZM'!$H:$H,$W43)</f>
        <v>1000</v>
      </c>
      <c r="Y43" s="198">
        <f>-INDEX(Parameters!$B:$B,MATCH(Y$3&amp;$C43,Parameters!$A:$A,0))*$X43</f>
        <v>0</v>
      </c>
      <c r="Z43" s="198">
        <f>-INDEX(Parameters!$B:$B,MATCH(Z$3&amp;$C43,Parameters!$A:$A,0))*$X43</f>
        <v>0</v>
      </c>
      <c r="AA43" s="139">
        <f t="shared" si="26"/>
        <v>1000</v>
      </c>
      <c r="AB43" s="205">
        <f>AA43/INDEX(Parameters!$B:$B,MATCH("AfschrijftermijnVVE"&amp;12*$C43,Parameters!$A:$A,0))</f>
        <v>27.777777777777779</v>
      </c>
      <c r="AC43" s="204">
        <f>INDEX('Tarieven ZM'!$G:$G,$W43)</f>
        <v>1000</v>
      </c>
      <c r="AD43" s="198">
        <f>-INDEX(Parameters!$B:$B,MATCH(AD$3&amp;$C43,Parameters!$A:$A,0))*$AC43</f>
        <v>0</v>
      </c>
      <c r="AE43" s="198">
        <f>-INDEX(Parameters!$B:$B,MATCH(AE$3,Parameters!$A:$A,0))*$AC43</f>
        <v>0</v>
      </c>
      <c r="AF43" s="139">
        <f t="shared" si="27"/>
        <v>1000</v>
      </c>
      <c r="AG43" s="522">
        <f t="shared" si="28"/>
        <v>1027.7777777777778</v>
      </c>
      <c r="AH43" s="175"/>
      <c r="AI43" s="523">
        <f>MATCH($U43,'Tarieven W&amp;O'!$B:$B,0)</f>
        <v>37</v>
      </c>
      <c r="AJ43" s="204">
        <f>IF(AI43&lt;&gt;"nvt",INDEX('Tarieven W&amp;O'!$H:$H,$AI43),0)</f>
        <v>0</v>
      </c>
      <c r="AK43" s="204">
        <f>IF(AI43&lt;&gt;"nvt",INDEX('Tarieven W&amp;O'!$I:$I,$AI43),0)</f>
        <v>25</v>
      </c>
      <c r="AL43" s="524">
        <f>IF(AI43&lt;&gt;"nvt",-INDEX(Parameters!$B:$B,MATCH(AL$3,Parameters!$A:$A,0))*(AJ43+AK43),0)</f>
        <v>0</v>
      </c>
      <c r="AM43" s="525"/>
      <c r="AN43" s="139">
        <f t="shared" si="29"/>
        <v>25</v>
      </c>
      <c r="AO43" s="205">
        <f>AN43/INDEX(Parameters!$B:$B,MATCH("AfschrijftermijnVVE"&amp;12*$C43,Parameters!$A:$A,0))</f>
        <v>0.69444444444444442</v>
      </c>
      <c r="AP43" s="139">
        <f t="shared" si="30"/>
        <v>37</v>
      </c>
      <c r="AQ43" s="526">
        <f>IF(AP43&lt;&gt;"nvt",INDEX('Tarieven W&amp;O'!$G:$G,$AP43),0)</f>
        <v>16.55</v>
      </c>
      <c r="AR43" s="251">
        <f>IF($S43,INDEX('Tarieven W&amp;O'!$G:$G,MATCH(N43&amp;R43,'Tarieven W&amp;O'!$B:$B,0)),0)</f>
        <v>5.25</v>
      </c>
      <c r="AS43" s="205">
        <f>-INDEX(Parameters!$B:$B,MATCH(AS$3,Parameters!$A:$A,0))*(AQ43+AR43)</f>
        <v>0</v>
      </c>
      <c r="AT43" s="205">
        <f>INDEX(hulpblad!$E:$E,MATCH(M43&amp;Q43,hulpblad!$B:$B,0))</f>
        <v>2</v>
      </c>
      <c r="AU43" s="150">
        <f t="shared" si="33"/>
        <v>23.8</v>
      </c>
      <c r="AV43" s="150">
        <f t="shared" si="34"/>
        <v>24.494444444444444</v>
      </c>
      <c r="AX43" s="526">
        <f>Parameters!$B$6*AV43</f>
        <v>0.24494444444444444</v>
      </c>
      <c r="AY43" s="150">
        <v>0</v>
      </c>
      <c r="AZ43" s="150"/>
      <c r="BA43" s="150">
        <f t="shared" si="31"/>
        <v>0.24494444444444444</v>
      </c>
      <c r="BB43" s="150"/>
      <c r="BC43" s="522">
        <f t="shared" si="32"/>
        <v>24.73938888888889</v>
      </c>
      <c r="BD43" s="175"/>
      <c r="BE43" s="527">
        <f t="shared" si="35"/>
        <v>1003.0383888888889</v>
      </c>
      <c r="BF43" s="181">
        <f t="shared" si="36"/>
        <v>0.97592924324324326</v>
      </c>
      <c r="BG43" s="520" t="b">
        <f t="shared" si="25"/>
        <v>0</v>
      </c>
      <c r="BI43" s="528" t="s">
        <v>2181</v>
      </c>
      <c r="BL43" s="151" t="str">
        <f t="shared" si="38"/>
        <v>EoKMetro - Nationaal</v>
      </c>
      <c r="BM43" s="529">
        <v>0</v>
      </c>
      <c r="BN43" s="180">
        <f>BM43/INDEX(Parameters!$B:$B,MATCH("AfschrijftermijnVVE"&amp;12*$C43,Parameters!$A:$A,0))</f>
        <v>0</v>
      </c>
      <c r="BO43" s="184">
        <f>INDEX('inkoop ULL tbv EVPN'!I:I,MATCH(BL43,'inkoop ULL tbv EVPN'!H:H,0))</f>
        <v>2</v>
      </c>
      <c r="BP43" s="184">
        <f t="shared" si="39"/>
        <v>2</v>
      </c>
      <c r="BR43" s="180">
        <f>Parameters!$B$12*AG43</f>
        <v>102.77777777777779</v>
      </c>
      <c r="BS43" s="180">
        <f>SUM(Distributievergoedingen!$F$12,Distributievergoedingen!$I$12,Distributievergoedingen!$L$12,Distributievergoedingen!$O$12)*AF43+SUM(Distributievergoedingen!$O$12*AA43+Distributievergoedingen!$R$12+Distributievergoedingen!$U$12+Distributievergoedingen!$X$12)/(MAX(36,12*C43))</f>
        <v>112.77777777777777</v>
      </c>
      <c r="BT43" s="150"/>
      <c r="BU43" s="150">
        <f t="shared" si="40"/>
        <v>215.55555555555554</v>
      </c>
      <c r="BW43" s="522">
        <f t="shared" si="41"/>
        <v>217.55555555555554</v>
      </c>
      <c r="BY43" s="527">
        <f t="shared" si="42"/>
        <v>810.22222222222229</v>
      </c>
      <c r="BZ43" s="181">
        <f t="shared" si="43"/>
        <v>0.78832432432432431</v>
      </c>
      <c r="CA43" s="520" t="b">
        <f t="shared" si="44"/>
        <v>0</v>
      </c>
    </row>
    <row r="44" spans="1:79" s="151" customFormat="1">
      <c r="A44" s="151" t="str">
        <f t="shared" si="37"/>
        <v>1EoKEntryNationaal3</v>
      </c>
      <c r="B44" s="520" t="str">
        <f t="shared" si="22"/>
        <v>1EoKEntryNationaal3</v>
      </c>
      <c r="C44" s="179">
        <v>1</v>
      </c>
      <c r="D44" s="179" t="s">
        <v>303</v>
      </c>
      <c r="E44" s="178" t="s">
        <v>45</v>
      </c>
      <c r="F44" s="178" t="s">
        <v>266</v>
      </c>
      <c r="G44" s="185" t="s">
        <v>407</v>
      </c>
      <c r="J44" s="520" t="str">
        <f t="shared" si="23"/>
        <v>EntryNationaal3</v>
      </c>
      <c r="L44" s="204">
        <f>INDEX(Mapping!$H:$H,MATCH(C$3&amp;C44,Mapping!$B:$B,0))</f>
        <v>1</v>
      </c>
      <c r="M44" s="204" t="str">
        <f>INDEX(Mapping!$H:$H,MATCH(D$3&amp;$D44,Mapping!$B:$B,0))</f>
        <v>EoK</v>
      </c>
      <c r="N44" s="204" t="str">
        <f>INDEX(Mapping!$H:$H,MATCH(E$3&amp;E44,Mapping!$B:$B,0))</f>
        <v>Lite</v>
      </c>
      <c r="O44" s="204" t="str">
        <f>INDEX(Mapping!$H:$H,MATCH(F$3&amp;F44,Mapping!$B:$B,0))</f>
        <v>Metro</v>
      </c>
      <c r="P44" s="204">
        <f>INDEX(Mapping!$H:$H,MATCH(G$3&amp;G44,Mapping!$B:$B,0))</f>
        <v>3</v>
      </c>
      <c r="Q44" s="204" t="str">
        <f>INDEX(Mapping!$H:$H,MATCH(Q$3&amp;$F44,Mapping!$B:$B,0))</f>
        <v>Metro - Nationaal</v>
      </c>
      <c r="R44" s="204" t="str">
        <f>INDEX(Mapping!$H:$H,MATCH("ZM VPN Service Level"&amp;E44,Mapping!$B:$B,0))</f>
        <v>Advanced</v>
      </c>
      <c r="S44" s="139" t="b">
        <f>IF($D44="EoK",INDEX(Mapping!$I:$I,MATCH($G$3&amp;$G44,Mapping!B:B,0)),FALSE)</f>
        <v>0</v>
      </c>
      <c r="T44" s="139"/>
      <c r="U44" s="520" t="str">
        <f t="shared" si="24"/>
        <v>LiteMetro3</v>
      </c>
      <c r="W44" s="521">
        <f>MATCH($J44,'Tarieven ZM'!$B:$B,0)</f>
        <v>48</v>
      </c>
      <c r="X44" s="204">
        <f>INDEX('Tarieven ZM'!$H:$H,$W44)</f>
        <v>1000</v>
      </c>
      <c r="Y44" s="198">
        <f>-INDEX(Parameters!$B:$B,MATCH(Y$3&amp;$C44,Parameters!$A:$A,0))*$X44</f>
        <v>0</v>
      </c>
      <c r="Z44" s="198">
        <f>-INDEX(Parameters!$B:$B,MATCH(Z$3&amp;$C44,Parameters!$A:$A,0))*$X44</f>
        <v>0</v>
      </c>
      <c r="AA44" s="139">
        <f t="shared" si="26"/>
        <v>1000</v>
      </c>
      <c r="AB44" s="205">
        <f>AA44/INDEX(Parameters!$B:$B,MATCH("AfschrijftermijnVVE"&amp;12*$C44,Parameters!$A:$A,0))</f>
        <v>27.777777777777779</v>
      </c>
      <c r="AC44" s="204">
        <f>INDEX('Tarieven ZM'!$G:$G,$W44)</f>
        <v>1000</v>
      </c>
      <c r="AD44" s="198">
        <f>-INDEX(Parameters!$B:$B,MATCH(AD$3&amp;$C44,Parameters!$A:$A,0))*$AC44</f>
        <v>0</v>
      </c>
      <c r="AE44" s="198">
        <f>-INDEX(Parameters!$B:$B,MATCH(AE$3,Parameters!$A:$A,0))*$AC44</f>
        <v>0</v>
      </c>
      <c r="AF44" s="139">
        <f t="shared" si="27"/>
        <v>1000</v>
      </c>
      <c r="AG44" s="522">
        <f t="shared" si="28"/>
        <v>1027.7777777777778</v>
      </c>
      <c r="AH44" s="175"/>
      <c r="AI44" s="523">
        <f>MATCH($U44,'Tarieven W&amp;O'!$B:$B,0)</f>
        <v>38</v>
      </c>
      <c r="AJ44" s="204">
        <f>IF(AI44&lt;&gt;"nvt",INDEX('Tarieven W&amp;O'!$H:$H,$AI44),0)</f>
        <v>0</v>
      </c>
      <c r="AK44" s="204">
        <f>IF(AI44&lt;&gt;"nvt",INDEX('Tarieven W&amp;O'!$I:$I,$AI44),0)</f>
        <v>25</v>
      </c>
      <c r="AL44" s="524">
        <f>IF(AI44&lt;&gt;"nvt",-INDEX(Parameters!$B:$B,MATCH(AL$3,Parameters!$A:$A,0))*(AJ44+AK44),0)</f>
        <v>0</v>
      </c>
      <c r="AM44" s="525"/>
      <c r="AN44" s="139">
        <f t="shared" si="29"/>
        <v>25</v>
      </c>
      <c r="AO44" s="205">
        <f>AN44/INDEX(Parameters!$B:$B,MATCH("AfschrijftermijnVVE"&amp;12*$C44,Parameters!$A:$A,0))</f>
        <v>0.69444444444444442</v>
      </c>
      <c r="AP44" s="139">
        <f t="shared" si="30"/>
        <v>38</v>
      </c>
      <c r="AQ44" s="526">
        <f>IF(AP44&lt;&gt;"nvt",INDEX('Tarieven W&amp;O'!$G:$G,$AP44),0)</f>
        <v>18.47</v>
      </c>
      <c r="AR44" s="251">
        <f>IF($S44,INDEX('Tarieven W&amp;O'!$G:$G,MATCH(N44&amp;R44,'Tarieven W&amp;O'!$B:$B,0)),0)</f>
        <v>0</v>
      </c>
      <c r="AS44" s="205">
        <f>-INDEX(Parameters!$B:$B,MATCH(AS$3,Parameters!$A:$A,0))*(AQ44+AR44)</f>
        <v>0</v>
      </c>
      <c r="AT44" s="205">
        <f>INDEX(hulpblad!$E:$E,MATCH(M44&amp;Q44,hulpblad!$B:$B,0))</f>
        <v>2</v>
      </c>
      <c r="AU44" s="150">
        <f t="shared" si="33"/>
        <v>20.47</v>
      </c>
      <c r="AV44" s="150">
        <f t="shared" si="34"/>
        <v>21.164444444444442</v>
      </c>
      <c r="AX44" s="526">
        <f>Parameters!$B$6*AV44</f>
        <v>0.21164444444444441</v>
      </c>
      <c r="AY44" s="150">
        <v>0</v>
      </c>
      <c r="AZ44" s="150"/>
      <c r="BA44" s="150">
        <f t="shared" si="31"/>
        <v>0.21164444444444441</v>
      </c>
      <c r="BB44" s="150"/>
      <c r="BC44" s="522">
        <f t="shared" si="32"/>
        <v>21.376088888888887</v>
      </c>
      <c r="BD44" s="175"/>
      <c r="BE44" s="527">
        <f t="shared" si="35"/>
        <v>1006.4016888888889</v>
      </c>
      <c r="BF44" s="181">
        <f t="shared" si="36"/>
        <v>0.97920164324324321</v>
      </c>
      <c r="BG44" s="520" t="b">
        <f t="shared" si="25"/>
        <v>0</v>
      </c>
      <c r="BI44" s="528" t="s">
        <v>2181</v>
      </c>
      <c r="BL44" s="151" t="str">
        <f t="shared" si="38"/>
        <v>EoKMetro - Nationaal</v>
      </c>
      <c r="BM44" s="529">
        <v>0</v>
      </c>
      <c r="BN44" s="180">
        <f>BM44/INDEX(Parameters!$B:$B,MATCH("AfschrijftermijnVVE"&amp;12*$C44,Parameters!$A:$A,0))</f>
        <v>0</v>
      </c>
      <c r="BO44" s="184">
        <f>INDEX('inkoop ULL tbv EVPN'!I:I,MATCH(BL44,'inkoop ULL tbv EVPN'!H:H,0))</f>
        <v>2</v>
      </c>
      <c r="BP44" s="184">
        <f t="shared" si="39"/>
        <v>2</v>
      </c>
      <c r="BR44" s="180">
        <f>Parameters!$B$12*AG44</f>
        <v>102.77777777777779</v>
      </c>
      <c r="BS44" s="180">
        <f>SUM(Distributievergoedingen!$F$12,Distributievergoedingen!$I$12,Distributievergoedingen!$L$12,Distributievergoedingen!$O$12)*AF44+SUM(Distributievergoedingen!$O$12*AA44+Distributievergoedingen!$R$12+Distributievergoedingen!$U$12+Distributievergoedingen!$X$12)/(MAX(36,12*C44))</f>
        <v>112.77777777777777</v>
      </c>
      <c r="BT44" s="150"/>
      <c r="BU44" s="150">
        <f t="shared" si="40"/>
        <v>215.55555555555554</v>
      </c>
      <c r="BW44" s="522">
        <f t="shared" si="41"/>
        <v>217.55555555555554</v>
      </c>
      <c r="BY44" s="527">
        <f t="shared" si="42"/>
        <v>810.22222222222229</v>
      </c>
      <c r="BZ44" s="181">
        <f t="shared" si="43"/>
        <v>0.78832432432432431</v>
      </c>
      <c r="CA44" s="520" t="b">
        <f t="shared" si="44"/>
        <v>0</v>
      </c>
    </row>
    <row r="45" spans="1:79" s="151" customFormat="1">
      <c r="A45" s="151" t="str">
        <f t="shared" si="37"/>
        <v>1EoKEntryNationaal4</v>
      </c>
      <c r="B45" s="520" t="str">
        <f t="shared" si="22"/>
        <v>1EoKEntryNationaal4</v>
      </c>
      <c r="C45" s="179">
        <v>1</v>
      </c>
      <c r="D45" s="179" t="s">
        <v>303</v>
      </c>
      <c r="E45" s="178" t="s">
        <v>45</v>
      </c>
      <c r="F45" s="178" t="s">
        <v>266</v>
      </c>
      <c r="G45" s="185" t="s">
        <v>408</v>
      </c>
      <c r="J45" s="520" t="str">
        <f t="shared" si="23"/>
        <v>EntryNationaal4</v>
      </c>
      <c r="L45" s="204">
        <f>INDEX(Mapping!$H:$H,MATCH(C$3&amp;C45,Mapping!$B:$B,0))</f>
        <v>1</v>
      </c>
      <c r="M45" s="204" t="str">
        <f>INDEX(Mapping!$H:$H,MATCH(D$3&amp;$D45,Mapping!$B:$B,0))</f>
        <v>EoK</v>
      </c>
      <c r="N45" s="204" t="str">
        <f>INDEX(Mapping!$H:$H,MATCH(E$3&amp;E45,Mapping!$B:$B,0))</f>
        <v>Lite</v>
      </c>
      <c r="O45" s="204" t="str">
        <f>INDEX(Mapping!$H:$H,MATCH(F$3&amp;F45,Mapping!$B:$B,0))</f>
        <v>Metro</v>
      </c>
      <c r="P45" s="204">
        <f>INDEX(Mapping!$H:$H,MATCH(G$3&amp;G45,Mapping!$B:$B,0))</f>
        <v>4</v>
      </c>
      <c r="Q45" s="204" t="str">
        <f>INDEX(Mapping!$H:$H,MATCH(Q$3&amp;$F45,Mapping!$B:$B,0))</f>
        <v>Metro - Nationaal</v>
      </c>
      <c r="R45" s="204" t="str">
        <f>INDEX(Mapping!$H:$H,MATCH("ZM VPN Service Level"&amp;E45,Mapping!$B:$B,0))</f>
        <v>Advanced</v>
      </c>
      <c r="S45" s="139" t="b">
        <f>IF($D45="EoK",INDEX(Mapping!$I:$I,MATCH($G$3&amp;$G45,Mapping!B:B,0)),FALSE)</f>
        <v>0</v>
      </c>
      <c r="T45" s="139"/>
      <c r="U45" s="520" t="str">
        <f t="shared" si="24"/>
        <v>LiteMetro4</v>
      </c>
      <c r="W45" s="521">
        <f>MATCH($J45,'Tarieven ZM'!$B:$B,0)</f>
        <v>49</v>
      </c>
      <c r="X45" s="204">
        <f>INDEX('Tarieven ZM'!$H:$H,$W45)</f>
        <v>1000</v>
      </c>
      <c r="Y45" s="198">
        <f>-INDEX(Parameters!$B:$B,MATCH(Y$3&amp;$C45,Parameters!$A:$A,0))*$X45</f>
        <v>0</v>
      </c>
      <c r="Z45" s="198">
        <f>-INDEX(Parameters!$B:$B,MATCH(Z$3&amp;$C45,Parameters!$A:$A,0))*$X45</f>
        <v>0</v>
      </c>
      <c r="AA45" s="139">
        <f t="shared" si="26"/>
        <v>1000</v>
      </c>
      <c r="AB45" s="205">
        <f>AA45/INDEX(Parameters!$B:$B,MATCH("AfschrijftermijnVVE"&amp;12*$C45,Parameters!$A:$A,0))</f>
        <v>27.777777777777779</v>
      </c>
      <c r="AC45" s="204">
        <f>INDEX('Tarieven ZM'!$G:$G,$W45)</f>
        <v>1000</v>
      </c>
      <c r="AD45" s="198">
        <f>-INDEX(Parameters!$B:$B,MATCH(AD$3&amp;$C45,Parameters!$A:$A,0))*$AC45</f>
        <v>0</v>
      </c>
      <c r="AE45" s="198">
        <f>-INDEX(Parameters!$B:$B,MATCH(AE$3,Parameters!$A:$A,0))*$AC45</f>
        <v>0</v>
      </c>
      <c r="AF45" s="139">
        <f t="shared" si="27"/>
        <v>1000</v>
      </c>
      <c r="AG45" s="522">
        <f t="shared" si="28"/>
        <v>1027.7777777777778</v>
      </c>
      <c r="AH45" s="175"/>
      <c r="AI45" s="523">
        <f>MATCH($U45,'Tarieven W&amp;O'!$B:$B,0)</f>
        <v>39</v>
      </c>
      <c r="AJ45" s="204">
        <f>IF(AI45&lt;&gt;"nvt",INDEX('Tarieven W&amp;O'!$H:$H,$AI45),0)</f>
        <v>0</v>
      </c>
      <c r="AK45" s="204">
        <f>IF(AI45&lt;&gt;"nvt",INDEX('Tarieven W&amp;O'!$I:$I,$AI45),0)</f>
        <v>25</v>
      </c>
      <c r="AL45" s="524">
        <f>IF(AI45&lt;&gt;"nvt",-INDEX(Parameters!$B:$B,MATCH(AL$3,Parameters!$A:$A,0))*(AJ45+AK45),0)</f>
        <v>0</v>
      </c>
      <c r="AM45" s="525"/>
      <c r="AN45" s="139">
        <f t="shared" si="29"/>
        <v>25</v>
      </c>
      <c r="AO45" s="205">
        <f>AN45/INDEX(Parameters!$B:$B,MATCH("AfschrijftermijnVVE"&amp;12*$C45,Parameters!$A:$A,0))</f>
        <v>0.69444444444444442</v>
      </c>
      <c r="AP45" s="139">
        <f t="shared" si="30"/>
        <v>39</v>
      </c>
      <c r="AQ45" s="526">
        <f>IF(AP45&lt;&gt;"nvt",INDEX('Tarieven W&amp;O'!$G:$G,$AP45),0)</f>
        <v>18.47</v>
      </c>
      <c r="AR45" s="251">
        <f>IF($S45,INDEX('Tarieven W&amp;O'!$G:$G,MATCH(N45&amp;R45,'Tarieven W&amp;O'!$B:$B,0)),0)</f>
        <v>0</v>
      </c>
      <c r="AS45" s="205">
        <f>-INDEX(Parameters!$B:$B,MATCH(AS$3,Parameters!$A:$A,0))*(AQ45+AR45)</f>
        <v>0</v>
      </c>
      <c r="AT45" s="205">
        <f>INDEX(hulpblad!$E:$E,MATCH(M45&amp;Q45,hulpblad!$B:$B,0))</f>
        <v>2</v>
      </c>
      <c r="AU45" s="150">
        <f t="shared" si="33"/>
        <v>20.47</v>
      </c>
      <c r="AV45" s="150">
        <f t="shared" si="34"/>
        <v>21.164444444444442</v>
      </c>
      <c r="AX45" s="526">
        <f>Parameters!$B$6*AV45</f>
        <v>0.21164444444444441</v>
      </c>
      <c r="AY45" s="150">
        <v>0</v>
      </c>
      <c r="AZ45" s="150"/>
      <c r="BA45" s="150">
        <f t="shared" si="31"/>
        <v>0.21164444444444441</v>
      </c>
      <c r="BB45" s="150"/>
      <c r="BC45" s="522">
        <f t="shared" si="32"/>
        <v>21.376088888888887</v>
      </c>
      <c r="BD45" s="175"/>
      <c r="BE45" s="527">
        <f t="shared" si="35"/>
        <v>1006.4016888888889</v>
      </c>
      <c r="BF45" s="181">
        <f t="shared" si="36"/>
        <v>0.97920164324324321</v>
      </c>
      <c r="BG45" s="520" t="b">
        <f t="shared" si="25"/>
        <v>0</v>
      </c>
      <c r="BI45" s="528" t="s">
        <v>2181</v>
      </c>
      <c r="BL45" s="151" t="str">
        <f t="shared" si="38"/>
        <v>EoKMetro - Nationaal</v>
      </c>
      <c r="BM45" s="529">
        <v>0</v>
      </c>
      <c r="BN45" s="180">
        <f>BM45/INDEX(Parameters!$B:$B,MATCH("AfschrijftermijnVVE"&amp;12*$C45,Parameters!$A:$A,0))</f>
        <v>0</v>
      </c>
      <c r="BO45" s="184">
        <f>INDEX('inkoop ULL tbv EVPN'!I:I,MATCH(BL45,'inkoop ULL tbv EVPN'!H:H,0))</f>
        <v>2</v>
      </c>
      <c r="BP45" s="184">
        <f t="shared" si="39"/>
        <v>2</v>
      </c>
      <c r="BR45" s="180">
        <f>Parameters!$B$12*AG45</f>
        <v>102.77777777777779</v>
      </c>
      <c r="BS45" s="180">
        <f>SUM(Distributievergoedingen!$F$12,Distributievergoedingen!$I$12,Distributievergoedingen!$L$12,Distributievergoedingen!$O$12)*AF45+SUM(Distributievergoedingen!$O$12*AA45+Distributievergoedingen!$R$12+Distributievergoedingen!$U$12+Distributievergoedingen!$X$12)/(MAX(36,12*C45))</f>
        <v>112.77777777777777</v>
      </c>
      <c r="BT45" s="150"/>
      <c r="BU45" s="150">
        <f t="shared" si="40"/>
        <v>215.55555555555554</v>
      </c>
      <c r="BW45" s="522">
        <f t="shared" si="41"/>
        <v>217.55555555555554</v>
      </c>
      <c r="BY45" s="527">
        <f t="shared" si="42"/>
        <v>810.22222222222229</v>
      </c>
      <c r="BZ45" s="181">
        <f t="shared" si="43"/>
        <v>0.78832432432432431</v>
      </c>
      <c r="CA45" s="520" t="b">
        <f t="shared" si="44"/>
        <v>0</v>
      </c>
    </row>
    <row r="46" spans="1:79" s="151" customFormat="1">
      <c r="A46" s="151" t="str">
        <f t="shared" si="37"/>
        <v>1EoKEntryNationaal5</v>
      </c>
      <c r="B46" s="520" t="str">
        <f t="shared" si="22"/>
        <v>1EoKEntryNationaal5</v>
      </c>
      <c r="C46" s="179">
        <v>1</v>
      </c>
      <c r="D46" s="179" t="s">
        <v>303</v>
      </c>
      <c r="E46" s="178" t="s">
        <v>45</v>
      </c>
      <c r="F46" s="178" t="s">
        <v>266</v>
      </c>
      <c r="G46" s="185" t="s">
        <v>409</v>
      </c>
      <c r="J46" s="520" t="str">
        <f t="shared" si="23"/>
        <v>EntryNationaal5</v>
      </c>
      <c r="L46" s="204">
        <f>INDEX(Mapping!$H:$H,MATCH(C$3&amp;C46,Mapping!$B:$B,0))</f>
        <v>1</v>
      </c>
      <c r="M46" s="204" t="str">
        <f>INDEX(Mapping!$H:$H,MATCH(D$3&amp;$D46,Mapping!$B:$B,0))</f>
        <v>EoK</v>
      </c>
      <c r="N46" s="204" t="str">
        <f>INDEX(Mapping!$H:$H,MATCH(E$3&amp;E46,Mapping!$B:$B,0))</f>
        <v>Lite</v>
      </c>
      <c r="O46" s="204" t="str">
        <f>INDEX(Mapping!$H:$H,MATCH(F$3&amp;F46,Mapping!$B:$B,0))</f>
        <v>Metro</v>
      </c>
      <c r="P46" s="204">
        <f>INDEX(Mapping!$H:$H,MATCH(G$3&amp;G46,Mapping!$B:$B,0))</f>
        <v>5</v>
      </c>
      <c r="Q46" s="204" t="str">
        <f>INDEX(Mapping!$H:$H,MATCH(Q$3&amp;$F46,Mapping!$B:$B,0))</f>
        <v>Metro - Nationaal</v>
      </c>
      <c r="R46" s="204" t="str">
        <f>INDEX(Mapping!$H:$H,MATCH("ZM VPN Service Level"&amp;E46,Mapping!$B:$B,0))</f>
        <v>Advanced</v>
      </c>
      <c r="S46" s="139" t="b">
        <f>IF($D46="EoK",INDEX(Mapping!$I:$I,MATCH($G$3&amp;$G46,Mapping!B:B,0)),FALSE)</f>
        <v>0</v>
      </c>
      <c r="T46" s="139"/>
      <c r="U46" s="520" t="str">
        <f t="shared" si="24"/>
        <v>LiteMetro5</v>
      </c>
      <c r="W46" s="521">
        <f>MATCH($J46,'Tarieven ZM'!$B:$B,0)</f>
        <v>50</v>
      </c>
      <c r="X46" s="204">
        <f>INDEX('Tarieven ZM'!$H:$H,$W46)</f>
        <v>1000</v>
      </c>
      <c r="Y46" s="198">
        <f>-INDEX(Parameters!$B:$B,MATCH(Y$3&amp;$C46,Parameters!$A:$A,0))*$X46</f>
        <v>0</v>
      </c>
      <c r="Z46" s="198">
        <f>-INDEX(Parameters!$B:$B,MATCH(Z$3&amp;$C46,Parameters!$A:$A,0))*$X46</f>
        <v>0</v>
      </c>
      <c r="AA46" s="139">
        <f t="shared" si="26"/>
        <v>1000</v>
      </c>
      <c r="AB46" s="205">
        <f>AA46/INDEX(Parameters!$B:$B,MATCH("AfschrijftermijnVVE"&amp;12*$C46,Parameters!$A:$A,0))</f>
        <v>27.777777777777779</v>
      </c>
      <c r="AC46" s="204">
        <f>INDEX('Tarieven ZM'!$G:$G,$W46)</f>
        <v>1000</v>
      </c>
      <c r="AD46" s="198">
        <f>-INDEX(Parameters!$B:$B,MATCH(AD$3&amp;$C46,Parameters!$A:$A,0))*$AC46</f>
        <v>0</v>
      </c>
      <c r="AE46" s="198">
        <f>-INDEX(Parameters!$B:$B,MATCH(AE$3,Parameters!$A:$A,0))*$AC46</f>
        <v>0</v>
      </c>
      <c r="AF46" s="139">
        <f t="shared" si="27"/>
        <v>1000</v>
      </c>
      <c r="AG46" s="522">
        <f t="shared" si="28"/>
        <v>1027.7777777777778</v>
      </c>
      <c r="AH46" s="175"/>
      <c r="AI46" s="523">
        <f>MATCH($U46,'Tarieven W&amp;O'!$B:$B,0)</f>
        <v>40</v>
      </c>
      <c r="AJ46" s="204">
        <f>IF(AI46&lt;&gt;"nvt",INDEX('Tarieven W&amp;O'!$H:$H,$AI46),0)</f>
        <v>0</v>
      </c>
      <c r="AK46" s="204">
        <f>IF(AI46&lt;&gt;"nvt",INDEX('Tarieven W&amp;O'!$I:$I,$AI46),0)</f>
        <v>25</v>
      </c>
      <c r="AL46" s="524">
        <f>IF(AI46&lt;&gt;"nvt",-INDEX(Parameters!$B:$B,MATCH(AL$3,Parameters!$A:$A,0))*(AJ46+AK46),0)</f>
        <v>0</v>
      </c>
      <c r="AM46" s="525"/>
      <c r="AN46" s="139">
        <f t="shared" si="29"/>
        <v>25</v>
      </c>
      <c r="AO46" s="205">
        <f>AN46/INDEX(Parameters!$B:$B,MATCH("AfschrijftermijnVVE"&amp;12*$C46,Parameters!$A:$A,0))</f>
        <v>0.69444444444444442</v>
      </c>
      <c r="AP46" s="139">
        <f t="shared" si="30"/>
        <v>40</v>
      </c>
      <c r="AQ46" s="526">
        <f>IF(AP46&lt;&gt;"nvt",INDEX('Tarieven W&amp;O'!$G:$G,$AP46),0)</f>
        <v>18.47</v>
      </c>
      <c r="AR46" s="251">
        <f>IF($S46,INDEX('Tarieven W&amp;O'!$G:$G,MATCH(N46&amp;R46,'Tarieven W&amp;O'!$B:$B,0)),0)</f>
        <v>0</v>
      </c>
      <c r="AS46" s="205">
        <f>-INDEX(Parameters!$B:$B,MATCH(AS$3,Parameters!$A:$A,0))*(AQ46+AR46)</f>
        <v>0</v>
      </c>
      <c r="AT46" s="205">
        <f>INDEX(hulpblad!$E:$E,MATCH(M46&amp;Q46,hulpblad!$B:$B,0))</f>
        <v>2</v>
      </c>
      <c r="AU46" s="150">
        <f t="shared" si="33"/>
        <v>20.47</v>
      </c>
      <c r="AV46" s="150">
        <f t="shared" si="34"/>
        <v>21.164444444444442</v>
      </c>
      <c r="AX46" s="526">
        <f>Parameters!$B$6*AV46</f>
        <v>0.21164444444444441</v>
      </c>
      <c r="AY46" s="150">
        <v>0</v>
      </c>
      <c r="AZ46" s="150"/>
      <c r="BA46" s="150">
        <f t="shared" si="31"/>
        <v>0.21164444444444441</v>
      </c>
      <c r="BB46" s="150"/>
      <c r="BC46" s="522">
        <f t="shared" si="32"/>
        <v>21.376088888888887</v>
      </c>
      <c r="BD46" s="175"/>
      <c r="BE46" s="527">
        <f t="shared" si="35"/>
        <v>1006.4016888888889</v>
      </c>
      <c r="BF46" s="181">
        <f t="shared" si="36"/>
        <v>0.97920164324324321</v>
      </c>
      <c r="BG46" s="520" t="b">
        <f t="shared" si="25"/>
        <v>0</v>
      </c>
      <c r="BI46" s="528" t="s">
        <v>2181</v>
      </c>
      <c r="BL46" s="151" t="str">
        <f t="shared" si="38"/>
        <v>EoKMetro - Nationaal</v>
      </c>
      <c r="BM46" s="529">
        <v>0</v>
      </c>
      <c r="BN46" s="180">
        <f>BM46/INDEX(Parameters!$B:$B,MATCH("AfschrijftermijnVVE"&amp;12*$C46,Parameters!$A:$A,0))</f>
        <v>0</v>
      </c>
      <c r="BO46" s="184">
        <f>INDEX('inkoop ULL tbv EVPN'!I:I,MATCH(BL46,'inkoop ULL tbv EVPN'!H:H,0))</f>
        <v>2</v>
      </c>
      <c r="BP46" s="184">
        <f t="shared" si="39"/>
        <v>2</v>
      </c>
      <c r="BR46" s="180">
        <f>Parameters!$B$12*AG46</f>
        <v>102.77777777777779</v>
      </c>
      <c r="BS46" s="180">
        <f>SUM(Distributievergoedingen!$F$12,Distributievergoedingen!$I$12,Distributievergoedingen!$L$12,Distributievergoedingen!$O$12)*AF46+SUM(Distributievergoedingen!$O$12*AA46+Distributievergoedingen!$R$12+Distributievergoedingen!$U$12+Distributievergoedingen!$X$12)/(MAX(36,12*C46))</f>
        <v>112.77777777777777</v>
      </c>
      <c r="BT46" s="150"/>
      <c r="BU46" s="150">
        <f t="shared" si="40"/>
        <v>215.55555555555554</v>
      </c>
      <c r="BW46" s="522">
        <f t="shared" si="41"/>
        <v>217.55555555555554</v>
      </c>
      <c r="BY46" s="527">
        <f t="shared" si="42"/>
        <v>810.22222222222229</v>
      </c>
      <c r="BZ46" s="181">
        <f t="shared" si="43"/>
        <v>0.78832432432432431</v>
      </c>
      <c r="CA46" s="520" t="b">
        <f t="shared" si="44"/>
        <v>0</v>
      </c>
    </row>
    <row r="47" spans="1:79" s="151" customFormat="1">
      <c r="A47" s="151" t="str">
        <f t="shared" si="37"/>
        <v>1EoKEntryNationaal6</v>
      </c>
      <c r="B47" s="520" t="str">
        <f t="shared" si="22"/>
        <v>1EoKEntryNationaal6</v>
      </c>
      <c r="C47" s="179">
        <v>1</v>
      </c>
      <c r="D47" s="179" t="s">
        <v>303</v>
      </c>
      <c r="E47" s="178" t="s">
        <v>45</v>
      </c>
      <c r="F47" s="178" t="s">
        <v>266</v>
      </c>
      <c r="G47" s="185" t="s">
        <v>410</v>
      </c>
      <c r="J47" s="520" t="str">
        <f t="shared" si="23"/>
        <v>EntryNationaal6</v>
      </c>
      <c r="L47" s="204">
        <f>INDEX(Mapping!$H:$H,MATCH(C$3&amp;C47,Mapping!$B:$B,0))</f>
        <v>1</v>
      </c>
      <c r="M47" s="204" t="str">
        <f>INDEX(Mapping!$H:$H,MATCH(D$3&amp;$D47,Mapping!$B:$B,0))</f>
        <v>EoK</v>
      </c>
      <c r="N47" s="204" t="str">
        <f>INDEX(Mapping!$H:$H,MATCH(E$3&amp;E47,Mapping!$B:$B,0))</f>
        <v>Lite</v>
      </c>
      <c r="O47" s="204" t="str">
        <f>INDEX(Mapping!$H:$H,MATCH(F$3&amp;F47,Mapping!$B:$B,0))</f>
        <v>Metro</v>
      </c>
      <c r="P47" s="204">
        <f>INDEX(Mapping!$H:$H,MATCH(G$3&amp;G47,Mapping!$B:$B,0))</f>
        <v>6</v>
      </c>
      <c r="Q47" s="204" t="str">
        <f>INDEX(Mapping!$H:$H,MATCH(Q$3&amp;$F47,Mapping!$B:$B,0))</f>
        <v>Metro - Nationaal</v>
      </c>
      <c r="R47" s="204" t="str">
        <f>INDEX(Mapping!$H:$H,MATCH("ZM VPN Service Level"&amp;E47,Mapping!$B:$B,0))</f>
        <v>Advanced</v>
      </c>
      <c r="S47" s="139" t="b">
        <f>IF($D47="EoK",INDEX(Mapping!$I:$I,MATCH($G$3&amp;$G47,Mapping!B:B,0)),FALSE)</f>
        <v>0</v>
      </c>
      <c r="T47" s="139"/>
      <c r="U47" s="520" t="str">
        <f t="shared" si="24"/>
        <v>LiteMetro6</v>
      </c>
      <c r="W47" s="521">
        <f>MATCH($J47,'Tarieven ZM'!$B:$B,0)</f>
        <v>51</v>
      </c>
      <c r="X47" s="204">
        <f>INDEX('Tarieven ZM'!$H:$H,$W47)</f>
        <v>1000</v>
      </c>
      <c r="Y47" s="198">
        <f>-INDEX(Parameters!$B:$B,MATCH(Y$3&amp;$C47,Parameters!$A:$A,0))*$X47</f>
        <v>0</v>
      </c>
      <c r="Z47" s="198">
        <f>-INDEX(Parameters!$B:$B,MATCH(Z$3&amp;$C47,Parameters!$A:$A,0))*$X47</f>
        <v>0</v>
      </c>
      <c r="AA47" s="139">
        <f t="shared" si="26"/>
        <v>1000</v>
      </c>
      <c r="AB47" s="205">
        <f>AA47/INDEX(Parameters!$B:$B,MATCH("AfschrijftermijnVVE"&amp;12*$C47,Parameters!$A:$A,0))</f>
        <v>27.777777777777779</v>
      </c>
      <c r="AC47" s="204">
        <f>INDEX('Tarieven ZM'!$G:$G,$W47)</f>
        <v>1000</v>
      </c>
      <c r="AD47" s="198">
        <f>-INDEX(Parameters!$B:$B,MATCH(AD$3&amp;$C47,Parameters!$A:$A,0))*$AC47</f>
        <v>0</v>
      </c>
      <c r="AE47" s="198">
        <f>-INDEX(Parameters!$B:$B,MATCH(AE$3,Parameters!$A:$A,0))*$AC47</f>
        <v>0</v>
      </c>
      <c r="AF47" s="139">
        <f t="shared" si="27"/>
        <v>1000</v>
      </c>
      <c r="AG47" s="522">
        <f t="shared" si="28"/>
        <v>1027.7777777777778</v>
      </c>
      <c r="AH47" s="175"/>
      <c r="AI47" s="523">
        <f>MATCH($U47,'Tarieven W&amp;O'!$B:$B,0)</f>
        <v>41</v>
      </c>
      <c r="AJ47" s="204">
        <f>IF(AI47&lt;&gt;"nvt",INDEX('Tarieven W&amp;O'!$H:$H,$AI47),0)</f>
        <v>0</v>
      </c>
      <c r="AK47" s="204">
        <f>IF(AI47&lt;&gt;"nvt",INDEX('Tarieven W&amp;O'!$I:$I,$AI47),0)</f>
        <v>25</v>
      </c>
      <c r="AL47" s="524">
        <f>IF(AI47&lt;&gt;"nvt",-INDEX(Parameters!$B:$B,MATCH(AL$3,Parameters!$A:$A,0))*(AJ47+AK47),0)</f>
        <v>0</v>
      </c>
      <c r="AM47" s="525"/>
      <c r="AN47" s="139">
        <f t="shared" si="29"/>
        <v>25</v>
      </c>
      <c r="AO47" s="205">
        <f>AN47/INDEX(Parameters!$B:$B,MATCH("AfschrijftermijnVVE"&amp;12*$C47,Parameters!$A:$A,0))</f>
        <v>0.69444444444444442</v>
      </c>
      <c r="AP47" s="139">
        <f t="shared" si="30"/>
        <v>41</v>
      </c>
      <c r="AQ47" s="526">
        <f>IF(AP47&lt;&gt;"nvt",INDEX('Tarieven W&amp;O'!$G:$G,$AP47),0)</f>
        <v>18.47</v>
      </c>
      <c r="AR47" s="251">
        <f>IF($S47,INDEX('Tarieven W&amp;O'!$G:$G,MATCH(N47&amp;R47,'Tarieven W&amp;O'!$B:$B,0)),0)</f>
        <v>0</v>
      </c>
      <c r="AS47" s="205">
        <f>-INDEX(Parameters!$B:$B,MATCH(AS$3,Parameters!$A:$A,0))*(AQ47+AR47)</f>
        <v>0</v>
      </c>
      <c r="AT47" s="205">
        <f>INDEX(hulpblad!$E:$E,MATCH(M47&amp;Q47,hulpblad!$B:$B,0))</f>
        <v>2</v>
      </c>
      <c r="AU47" s="150">
        <f t="shared" si="33"/>
        <v>20.47</v>
      </c>
      <c r="AV47" s="150">
        <f t="shared" si="34"/>
        <v>21.164444444444442</v>
      </c>
      <c r="AX47" s="526">
        <f>Parameters!$B$6*AV47</f>
        <v>0.21164444444444441</v>
      </c>
      <c r="AY47" s="150">
        <v>0</v>
      </c>
      <c r="AZ47" s="150"/>
      <c r="BA47" s="150">
        <f t="shared" si="31"/>
        <v>0.21164444444444441</v>
      </c>
      <c r="BB47" s="150"/>
      <c r="BC47" s="522">
        <f t="shared" si="32"/>
        <v>21.376088888888887</v>
      </c>
      <c r="BD47" s="175"/>
      <c r="BE47" s="527">
        <f t="shared" si="35"/>
        <v>1006.4016888888889</v>
      </c>
      <c r="BF47" s="181">
        <f t="shared" si="36"/>
        <v>0.97920164324324321</v>
      </c>
      <c r="BG47" s="520" t="b">
        <f t="shared" si="25"/>
        <v>0</v>
      </c>
      <c r="BI47" s="528" t="s">
        <v>2181</v>
      </c>
      <c r="BL47" s="151" t="str">
        <f t="shared" si="38"/>
        <v>EoKMetro - Nationaal</v>
      </c>
      <c r="BM47" s="529">
        <v>0</v>
      </c>
      <c r="BN47" s="180">
        <f>BM47/INDEX(Parameters!$B:$B,MATCH("AfschrijftermijnVVE"&amp;12*$C47,Parameters!$A:$A,0))</f>
        <v>0</v>
      </c>
      <c r="BO47" s="184">
        <f>INDEX('inkoop ULL tbv EVPN'!I:I,MATCH(BL47,'inkoop ULL tbv EVPN'!H:H,0))</f>
        <v>2</v>
      </c>
      <c r="BP47" s="184">
        <f t="shared" si="39"/>
        <v>2</v>
      </c>
      <c r="BR47" s="180">
        <f>Parameters!$B$12*AG47</f>
        <v>102.77777777777779</v>
      </c>
      <c r="BS47" s="180">
        <f>SUM(Distributievergoedingen!$F$12,Distributievergoedingen!$I$12,Distributievergoedingen!$L$12,Distributievergoedingen!$O$12)*AF47+SUM(Distributievergoedingen!$O$12*AA47+Distributievergoedingen!$R$12+Distributievergoedingen!$U$12+Distributievergoedingen!$X$12)/(MAX(36,12*C47))</f>
        <v>112.77777777777777</v>
      </c>
      <c r="BT47" s="150"/>
      <c r="BU47" s="150">
        <f t="shared" si="40"/>
        <v>215.55555555555554</v>
      </c>
      <c r="BW47" s="522">
        <f t="shared" si="41"/>
        <v>217.55555555555554</v>
      </c>
      <c r="BY47" s="527">
        <f t="shared" si="42"/>
        <v>810.22222222222229</v>
      </c>
      <c r="BZ47" s="181">
        <f t="shared" si="43"/>
        <v>0.78832432432432431</v>
      </c>
      <c r="CA47" s="520" t="b">
        <f t="shared" si="44"/>
        <v>0</v>
      </c>
    </row>
    <row r="48" spans="1:79" s="151" customFormat="1">
      <c r="A48" s="151" t="str">
        <f t="shared" si="37"/>
        <v>1EoKEntryNationaal8</v>
      </c>
      <c r="B48" s="520" t="str">
        <f t="shared" si="22"/>
        <v>1EoKEntryNationaal8</v>
      </c>
      <c r="C48" s="179">
        <v>1</v>
      </c>
      <c r="D48" s="179" t="s">
        <v>303</v>
      </c>
      <c r="E48" s="178" t="s">
        <v>45</v>
      </c>
      <c r="F48" s="178" t="s">
        <v>266</v>
      </c>
      <c r="G48" s="185" t="s">
        <v>411</v>
      </c>
      <c r="J48" s="520" t="str">
        <f t="shared" si="23"/>
        <v>EntryNationaal8</v>
      </c>
      <c r="L48" s="204">
        <f>INDEX(Mapping!$H:$H,MATCH(C$3&amp;C48,Mapping!$B:$B,0))</f>
        <v>1</v>
      </c>
      <c r="M48" s="204" t="str">
        <f>INDEX(Mapping!$H:$H,MATCH(D$3&amp;$D48,Mapping!$B:$B,0))</f>
        <v>EoK</v>
      </c>
      <c r="N48" s="204" t="str">
        <f>INDEX(Mapping!$H:$H,MATCH(E$3&amp;E48,Mapping!$B:$B,0))</f>
        <v>Lite</v>
      </c>
      <c r="O48" s="204" t="str">
        <f>INDEX(Mapping!$H:$H,MATCH(F$3&amp;F48,Mapping!$B:$B,0))</f>
        <v>Metro</v>
      </c>
      <c r="P48" s="204">
        <f>INDEX(Mapping!$H:$H,MATCH(G$3&amp;G48,Mapping!$B:$B,0))</f>
        <v>8</v>
      </c>
      <c r="Q48" s="204" t="str">
        <f>INDEX(Mapping!$H:$H,MATCH(Q$3&amp;$F48,Mapping!$B:$B,0))</f>
        <v>Metro - Nationaal</v>
      </c>
      <c r="R48" s="204" t="str">
        <f>INDEX(Mapping!$H:$H,MATCH("ZM VPN Service Level"&amp;E48,Mapping!$B:$B,0))</f>
        <v>Advanced</v>
      </c>
      <c r="S48" s="139" t="b">
        <f>IF($D48="EoK",INDEX(Mapping!$I:$I,MATCH($G$3&amp;$G48,Mapping!B:B,0)),FALSE)</f>
        <v>0</v>
      </c>
      <c r="T48" s="139"/>
      <c r="U48" s="520" t="str">
        <f t="shared" si="24"/>
        <v>LiteMetro8</v>
      </c>
      <c r="W48" s="521">
        <f>MATCH($J48,'Tarieven ZM'!$B:$B,0)</f>
        <v>52</v>
      </c>
      <c r="X48" s="204">
        <f>INDEX('Tarieven ZM'!$H:$H,$W48)</f>
        <v>1000</v>
      </c>
      <c r="Y48" s="198">
        <f>-INDEX(Parameters!$B:$B,MATCH(Y$3&amp;$C48,Parameters!$A:$A,0))*$X48</f>
        <v>0</v>
      </c>
      <c r="Z48" s="198">
        <f>-INDEX(Parameters!$B:$B,MATCH(Z$3&amp;$C48,Parameters!$A:$A,0))*$X48</f>
        <v>0</v>
      </c>
      <c r="AA48" s="139">
        <f t="shared" si="26"/>
        <v>1000</v>
      </c>
      <c r="AB48" s="205">
        <f>AA48/INDEX(Parameters!$B:$B,MATCH("AfschrijftermijnVVE"&amp;12*$C48,Parameters!$A:$A,0))</f>
        <v>27.777777777777779</v>
      </c>
      <c r="AC48" s="204">
        <f>INDEX('Tarieven ZM'!$G:$G,$W48)</f>
        <v>1000</v>
      </c>
      <c r="AD48" s="198">
        <f>-INDEX(Parameters!$B:$B,MATCH(AD$3&amp;$C48,Parameters!$A:$A,0))*$AC48</f>
        <v>0</v>
      </c>
      <c r="AE48" s="198">
        <f>-INDEX(Parameters!$B:$B,MATCH(AE$3,Parameters!$A:$A,0))*$AC48</f>
        <v>0</v>
      </c>
      <c r="AF48" s="139">
        <f t="shared" si="27"/>
        <v>1000</v>
      </c>
      <c r="AG48" s="522">
        <f t="shared" si="28"/>
        <v>1027.7777777777778</v>
      </c>
      <c r="AH48" s="175"/>
      <c r="AI48" s="523">
        <f>MATCH($U48,'Tarieven W&amp;O'!$B:$B,0)</f>
        <v>42</v>
      </c>
      <c r="AJ48" s="204">
        <f>IF(AI48&lt;&gt;"nvt",INDEX('Tarieven W&amp;O'!$H:$H,$AI48),0)</f>
        <v>0</v>
      </c>
      <c r="AK48" s="204">
        <f>IF(AI48&lt;&gt;"nvt",INDEX('Tarieven W&amp;O'!$I:$I,$AI48),0)</f>
        <v>25</v>
      </c>
      <c r="AL48" s="524">
        <f>IF(AI48&lt;&gt;"nvt",-INDEX(Parameters!$B:$B,MATCH(AL$3,Parameters!$A:$A,0))*(AJ48+AK48),0)</f>
        <v>0</v>
      </c>
      <c r="AM48" s="525"/>
      <c r="AN48" s="139">
        <f t="shared" si="29"/>
        <v>25</v>
      </c>
      <c r="AO48" s="205">
        <f>AN48/INDEX(Parameters!$B:$B,MATCH("AfschrijftermijnVVE"&amp;12*$C48,Parameters!$A:$A,0))</f>
        <v>0.69444444444444442</v>
      </c>
      <c r="AP48" s="139">
        <f t="shared" si="30"/>
        <v>42</v>
      </c>
      <c r="AQ48" s="526">
        <f>IF(AP48&lt;&gt;"nvt",INDEX('Tarieven W&amp;O'!$G:$G,$AP48),0)</f>
        <v>18.47</v>
      </c>
      <c r="AR48" s="251">
        <f>IF($S48,INDEX('Tarieven W&amp;O'!$G:$G,MATCH(N48&amp;R48,'Tarieven W&amp;O'!$B:$B,0)),0)</f>
        <v>0</v>
      </c>
      <c r="AS48" s="205">
        <f>-INDEX(Parameters!$B:$B,MATCH(AS$3,Parameters!$A:$A,0))*(AQ48+AR48)</f>
        <v>0</v>
      </c>
      <c r="AT48" s="205">
        <f>INDEX(hulpblad!$E:$E,MATCH(M48&amp;Q48,hulpblad!$B:$B,0))</f>
        <v>2</v>
      </c>
      <c r="AU48" s="150">
        <f t="shared" si="33"/>
        <v>20.47</v>
      </c>
      <c r="AV48" s="150">
        <f t="shared" si="34"/>
        <v>21.164444444444442</v>
      </c>
      <c r="AX48" s="526">
        <f>Parameters!$B$6*AV48</f>
        <v>0.21164444444444441</v>
      </c>
      <c r="AY48" s="150">
        <v>0</v>
      </c>
      <c r="AZ48" s="150"/>
      <c r="BA48" s="150">
        <f t="shared" si="31"/>
        <v>0.21164444444444441</v>
      </c>
      <c r="BB48" s="150"/>
      <c r="BC48" s="522">
        <f t="shared" si="32"/>
        <v>21.376088888888887</v>
      </c>
      <c r="BD48" s="175"/>
      <c r="BE48" s="527">
        <f t="shared" si="35"/>
        <v>1006.4016888888889</v>
      </c>
      <c r="BF48" s="181">
        <f t="shared" si="36"/>
        <v>0.97920164324324321</v>
      </c>
      <c r="BG48" s="520" t="b">
        <f t="shared" si="25"/>
        <v>0</v>
      </c>
      <c r="BI48" s="528" t="s">
        <v>2181</v>
      </c>
      <c r="BL48" s="151" t="str">
        <f t="shared" si="38"/>
        <v>EoKMetro - Nationaal</v>
      </c>
      <c r="BM48" s="529">
        <v>0</v>
      </c>
      <c r="BN48" s="180">
        <f>BM48/INDEX(Parameters!$B:$B,MATCH("AfschrijftermijnVVE"&amp;12*$C48,Parameters!$A:$A,0))</f>
        <v>0</v>
      </c>
      <c r="BO48" s="184">
        <f>INDEX('inkoop ULL tbv EVPN'!I:I,MATCH(BL48,'inkoop ULL tbv EVPN'!H:H,0))</f>
        <v>2</v>
      </c>
      <c r="BP48" s="184">
        <f t="shared" si="39"/>
        <v>2</v>
      </c>
      <c r="BR48" s="180">
        <f>Parameters!$B$12*AG48</f>
        <v>102.77777777777779</v>
      </c>
      <c r="BS48" s="180">
        <f>SUM(Distributievergoedingen!$F$12,Distributievergoedingen!$I$12,Distributievergoedingen!$L$12,Distributievergoedingen!$O$12)*AF48+SUM(Distributievergoedingen!$O$12*AA48+Distributievergoedingen!$R$12+Distributievergoedingen!$U$12+Distributievergoedingen!$X$12)/(MAX(36,12*C48))</f>
        <v>112.77777777777777</v>
      </c>
      <c r="BT48" s="150"/>
      <c r="BU48" s="150">
        <f t="shared" si="40"/>
        <v>215.55555555555554</v>
      </c>
      <c r="BW48" s="522">
        <f t="shared" si="41"/>
        <v>217.55555555555554</v>
      </c>
      <c r="BY48" s="527">
        <f t="shared" si="42"/>
        <v>810.22222222222229</v>
      </c>
      <c r="BZ48" s="181">
        <f t="shared" si="43"/>
        <v>0.78832432432432431</v>
      </c>
      <c r="CA48" s="520" t="b">
        <f t="shared" si="44"/>
        <v>0</v>
      </c>
    </row>
    <row r="49" spans="1:79" s="151" customFormat="1">
      <c r="A49" s="151" t="str">
        <f t="shared" si="37"/>
        <v>1EoKEntryNationaal10</v>
      </c>
      <c r="B49" s="520" t="str">
        <f t="shared" si="22"/>
        <v>1EoKEntryNationaal10</v>
      </c>
      <c r="C49" s="179">
        <v>1</v>
      </c>
      <c r="D49" s="179" t="s">
        <v>303</v>
      </c>
      <c r="E49" s="178" t="s">
        <v>45</v>
      </c>
      <c r="F49" s="178" t="s">
        <v>266</v>
      </c>
      <c r="G49" s="185" t="s">
        <v>412</v>
      </c>
      <c r="J49" s="520" t="str">
        <f t="shared" si="23"/>
        <v>EntryNationaal10</v>
      </c>
      <c r="L49" s="204">
        <f>INDEX(Mapping!$H:$H,MATCH(C$3&amp;C49,Mapping!$B:$B,0))</f>
        <v>1</v>
      </c>
      <c r="M49" s="204" t="str">
        <f>INDEX(Mapping!$H:$H,MATCH(D$3&amp;$D49,Mapping!$B:$B,0))</f>
        <v>EoK</v>
      </c>
      <c r="N49" s="204" t="str">
        <f>INDEX(Mapping!$H:$H,MATCH(E$3&amp;E49,Mapping!$B:$B,0))</f>
        <v>Lite</v>
      </c>
      <c r="O49" s="204" t="str">
        <f>INDEX(Mapping!$H:$H,MATCH(F$3&amp;F49,Mapping!$B:$B,0))</f>
        <v>Metro</v>
      </c>
      <c r="P49" s="204">
        <f>INDEX(Mapping!$H:$H,MATCH(G$3&amp;G49,Mapping!$B:$B,0))</f>
        <v>10</v>
      </c>
      <c r="Q49" s="204" t="str">
        <f>INDEX(Mapping!$H:$H,MATCH(Q$3&amp;$F49,Mapping!$B:$B,0))</f>
        <v>Metro - Nationaal</v>
      </c>
      <c r="R49" s="204" t="str">
        <f>INDEX(Mapping!$H:$H,MATCH("ZM VPN Service Level"&amp;E49,Mapping!$B:$B,0))</f>
        <v>Advanced</v>
      </c>
      <c r="S49" s="139" t="b">
        <f>IF($D49="EoK",INDEX(Mapping!$I:$I,MATCH($G$3&amp;$G49,Mapping!B:B,0)),FALSE)</f>
        <v>0</v>
      </c>
      <c r="T49" s="139"/>
      <c r="U49" s="520" t="str">
        <f t="shared" si="24"/>
        <v>LiteMetro10</v>
      </c>
      <c r="W49" s="521">
        <f>MATCH($J49,'Tarieven ZM'!$B:$B,0)</f>
        <v>53</v>
      </c>
      <c r="X49" s="204">
        <f>INDEX('Tarieven ZM'!$H:$H,$W49)</f>
        <v>1000</v>
      </c>
      <c r="Y49" s="198">
        <f>-INDEX(Parameters!$B:$B,MATCH(Y$3&amp;$C49,Parameters!$A:$A,0))*$X49</f>
        <v>0</v>
      </c>
      <c r="Z49" s="198">
        <f>-INDEX(Parameters!$B:$B,MATCH(Z$3&amp;$C49,Parameters!$A:$A,0))*$X49</f>
        <v>0</v>
      </c>
      <c r="AA49" s="139">
        <f t="shared" si="26"/>
        <v>1000</v>
      </c>
      <c r="AB49" s="205">
        <f>AA49/INDEX(Parameters!$B:$B,MATCH("AfschrijftermijnVVE"&amp;12*$C49,Parameters!$A:$A,0))</f>
        <v>27.777777777777779</v>
      </c>
      <c r="AC49" s="204">
        <f>INDEX('Tarieven ZM'!$G:$G,$W49)</f>
        <v>1000</v>
      </c>
      <c r="AD49" s="198">
        <f>-INDEX(Parameters!$B:$B,MATCH(AD$3&amp;$C49,Parameters!$A:$A,0))*$AC49</f>
        <v>0</v>
      </c>
      <c r="AE49" s="198">
        <f>-INDEX(Parameters!$B:$B,MATCH(AE$3,Parameters!$A:$A,0))*$AC49</f>
        <v>0</v>
      </c>
      <c r="AF49" s="139">
        <f t="shared" si="27"/>
        <v>1000</v>
      </c>
      <c r="AG49" s="522">
        <f t="shared" si="28"/>
        <v>1027.7777777777778</v>
      </c>
      <c r="AH49" s="175"/>
      <c r="AI49" s="523">
        <f>MATCH($U49,'Tarieven W&amp;O'!$B:$B,0)</f>
        <v>43</v>
      </c>
      <c r="AJ49" s="204">
        <f>IF(AI49&lt;&gt;"nvt",INDEX('Tarieven W&amp;O'!$H:$H,$AI49),0)</f>
        <v>0</v>
      </c>
      <c r="AK49" s="204">
        <f>IF(AI49&lt;&gt;"nvt",INDEX('Tarieven W&amp;O'!$I:$I,$AI49),0)</f>
        <v>25</v>
      </c>
      <c r="AL49" s="524">
        <f>IF(AI49&lt;&gt;"nvt",-INDEX(Parameters!$B:$B,MATCH(AL$3,Parameters!$A:$A,0))*(AJ49+AK49),0)</f>
        <v>0</v>
      </c>
      <c r="AM49" s="525"/>
      <c r="AN49" s="139">
        <f t="shared" si="29"/>
        <v>25</v>
      </c>
      <c r="AO49" s="205">
        <f>AN49/INDEX(Parameters!$B:$B,MATCH("AfschrijftermijnVVE"&amp;12*$C49,Parameters!$A:$A,0))</f>
        <v>0.69444444444444442</v>
      </c>
      <c r="AP49" s="139">
        <f t="shared" si="30"/>
        <v>43</v>
      </c>
      <c r="AQ49" s="526">
        <f>IF(AP49&lt;&gt;"nvt",INDEX('Tarieven W&amp;O'!$G:$G,$AP49),0)</f>
        <v>18.47</v>
      </c>
      <c r="AR49" s="251">
        <f>IF($S49,INDEX('Tarieven W&amp;O'!$G:$G,MATCH(N49&amp;R49,'Tarieven W&amp;O'!$B:$B,0)),0)</f>
        <v>0</v>
      </c>
      <c r="AS49" s="205">
        <f>-INDEX(Parameters!$B:$B,MATCH(AS$3,Parameters!$A:$A,0))*(AQ49+AR49)</f>
        <v>0</v>
      </c>
      <c r="AT49" s="205">
        <f>INDEX(hulpblad!$E:$E,MATCH(M49&amp;Q49,hulpblad!$B:$B,0))</f>
        <v>2</v>
      </c>
      <c r="AU49" s="150">
        <f t="shared" si="33"/>
        <v>20.47</v>
      </c>
      <c r="AV49" s="150">
        <f t="shared" si="34"/>
        <v>21.164444444444442</v>
      </c>
      <c r="AX49" s="526">
        <f>Parameters!$B$6*AV49</f>
        <v>0.21164444444444441</v>
      </c>
      <c r="AY49" s="150">
        <v>0</v>
      </c>
      <c r="AZ49" s="150"/>
      <c r="BA49" s="150">
        <f t="shared" si="31"/>
        <v>0.21164444444444441</v>
      </c>
      <c r="BB49" s="150"/>
      <c r="BC49" s="522">
        <f t="shared" si="32"/>
        <v>21.376088888888887</v>
      </c>
      <c r="BD49" s="175"/>
      <c r="BE49" s="527">
        <f t="shared" si="35"/>
        <v>1006.4016888888889</v>
      </c>
      <c r="BF49" s="181">
        <f t="shared" si="36"/>
        <v>0.97920164324324321</v>
      </c>
      <c r="BG49" s="520" t="b">
        <f t="shared" si="25"/>
        <v>0</v>
      </c>
      <c r="BI49" s="528" t="s">
        <v>2181</v>
      </c>
      <c r="BL49" s="151" t="str">
        <f t="shared" si="38"/>
        <v>EoKMetro - Nationaal</v>
      </c>
      <c r="BM49" s="529">
        <v>0</v>
      </c>
      <c r="BN49" s="180">
        <f>BM49/INDEX(Parameters!$B:$B,MATCH("AfschrijftermijnVVE"&amp;12*$C49,Parameters!$A:$A,0))</f>
        <v>0</v>
      </c>
      <c r="BO49" s="184">
        <f>INDEX('inkoop ULL tbv EVPN'!I:I,MATCH(BL49,'inkoop ULL tbv EVPN'!H:H,0))</f>
        <v>2</v>
      </c>
      <c r="BP49" s="184">
        <f t="shared" si="39"/>
        <v>2</v>
      </c>
      <c r="BR49" s="180">
        <f>Parameters!$B$12*AG49</f>
        <v>102.77777777777779</v>
      </c>
      <c r="BS49" s="180">
        <f>SUM(Distributievergoedingen!$F$12,Distributievergoedingen!$I$12,Distributievergoedingen!$L$12,Distributievergoedingen!$O$12)*AF49+SUM(Distributievergoedingen!$O$12*AA49+Distributievergoedingen!$R$12+Distributievergoedingen!$U$12+Distributievergoedingen!$X$12)/(MAX(36,12*C49))</f>
        <v>112.77777777777777</v>
      </c>
      <c r="BT49" s="150"/>
      <c r="BU49" s="150">
        <f t="shared" si="40"/>
        <v>215.55555555555554</v>
      </c>
      <c r="BW49" s="522">
        <f t="shared" si="41"/>
        <v>217.55555555555554</v>
      </c>
      <c r="BY49" s="527">
        <f t="shared" si="42"/>
        <v>810.22222222222229</v>
      </c>
      <c r="BZ49" s="181">
        <f t="shared" si="43"/>
        <v>0.78832432432432431</v>
      </c>
      <c r="CA49" s="520" t="b">
        <f t="shared" si="44"/>
        <v>0</v>
      </c>
    </row>
    <row r="50" spans="1:79" s="151" customFormat="1">
      <c r="A50" s="151" t="str">
        <f t="shared" si="37"/>
        <v>1EoKEntryNationaal15</v>
      </c>
      <c r="B50" s="520" t="str">
        <f t="shared" si="22"/>
        <v>1EoKEntryNationaal15</v>
      </c>
      <c r="C50" s="179">
        <v>1</v>
      </c>
      <c r="D50" s="179" t="s">
        <v>303</v>
      </c>
      <c r="E50" s="178" t="s">
        <v>45</v>
      </c>
      <c r="F50" s="178" t="s">
        <v>266</v>
      </c>
      <c r="G50" s="185" t="s">
        <v>413</v>
      </c>
      <c r="J50" s="520" t="str">
        <f t="shared" si="23"/>
        <v>EntryNationaal15</v>
      </c>
      <c r="L50" s="204">
        <f>INDEX(Mapping!$H:$H,MATCH(C$3&amp;C50,Mapping!$B:$B,0))</f>
        <v>1</v>
      </c>
      <c r="M50" s="204" t="str">
        <f>INDEX(Mapping!$H:$H,MATCH(D$3&amp;$D50,Mapping!$B:$B,0))</f>
        <v>EoK</v>
      </c>
      <c r="N50" s="204" t="str">
        <f>INDEX(Mapping!$H:$H,MATCH(E$3&amp;E50,Mapping!$B:$B,0))</f>
        <v>Lite</v>
      </c>
      <c r="O50" s="204" t="str">
        <f>INDEX(Mapping!$H:$H,MATCH(F$3&amp;F50,Mapping!$B:$B,0))</f>
        <v>Metro</v>
      </c>
      <c r="P50" s="204">
        <f>INDEX(Mapping!$H:$H,MATCH(G$3&amp;G50,Mapping!$B:$B,0))</f>
        <v>15</v>
      </c>
      <c r="Q50" s="204" t="str">
        <f>INDEX(Mapping!$H:$H,MATCH(Q$3&amp;$F50,Mapping!$B:$B,0))</f>
        <v>Metro - Nationaal</v>
      </c>
      <c r="R50" s="204" t="str">
        <f>INDEX(Mapping!$H:$H,MATCH("ZM VPN Service Level"&amp;E50,Mapping!$B:$B,0))</f>
        <v>Advanced</v>
      </c>
      <c r="S50" s="139" t="b">
        <f>IF($D50="EoK",INDEX(Mapping!$I:$I,MATCH($G$3&amp;$G50,Mapping!B:B,0)),FALSE)</f>
        <v>0</v>
      </c>
      <c r="T50" s="139"/>
      <c r="U50" s="520" t="str">
        <f t="shared" si="24"/>
        <v>LiteMetro15</v>
      </c>
      <c r="W50" s="521">
        <f>MATCH($J50,'Tarieven ZM'!$B:$B,0)</f>
        <v>54</v>
      </c>
      <c r="X50" s="204">
        <f>INDEX('Tarieven ZM'!$H:$H,$W50)</f>
        <v>1000</v>
      </c>
      <c r="Y50" s="198">
        <f>-INDEX(Parameters!$B:$B,MATCH(Y$3&amp;$C50,Parameters!$A:$A,0))*$X50</f>
        <v>0</v>
      </c>
      <c r="Z50" s="198">
        <f>-INDEX(Parameters!$B:$B,MATCH(Z$3&amp;$C50,Parameters!$A:$A,0))*$X50</f>
        <v>0</v>
      </c>
      <c r="AA50" s="139">
        <f t="shared" si="26"/>
        <v>1000</v>
      </c>
      <c r="AB50" s="205">
        <f>AA50/INDEX(Parameters!$B:$B,MATCH("AfschrijftermijnVVE"&amp;12*$C50,Parameters!$A:$A,0))</f>
        <v>27.777777777777779</v>
      </c>
      <c r="AC50" s="204">
        <f>INDEX('Tarieven ZM'!$G:$G,$W50)</f>
        <v>1000</v>
      </c>
      <c r="AD50" s="198">
        <f>-INDEX(Parameters!$B:$B,MATCH(AD$3&amp;$C50,Parameters!$A:$A,0))*$AC50</f>
        <v>0</v>
      </c>
      <c r="AE50" s="198">
        <f>-INDEX(Parameters!$B:$B,MATCH(AE$3,Parameters!$A:$A,0))*$AC50</f>
        <v>0</v>
      </c>
      <c r="AF50" s="139">
        <f t="shared" si="27"/>
        <v>1000</v>
      </c>
      <c r="AG50" s="522">
        <f t="shared" si="28"/>
        <v>1027.7777777777778</v>
      </c>
      <c r="AH50" s="175"/>
      <c r="AI50" s="523">
        <f>MATCH($U50,'Tarieven W&amp;O'!$B:$B,0)</f>
        <v>44</v>
      </c>
      <c r="AJ50" s="204">
        <f>IF(AI50&lt;&gt;"nvt",INDEX('Tarieven W&amp;O'!$H:$H,$AI50),0)</f>
        <v>0</v>
      </c>
      <c r="AK50" s="204">
        <f>IF(AI50&lt;&gt;"nvt",INDEX('Tarieven W&amp;O'!$I:$I,$AI50),0)</f>
        <v>25</v>
      </c>
      <c r="AL50" s="524">
        <f>IF(AI50&lt;&gt;"nvt",-INDEX(Parameters!$B:$B,MATCH(AL$3,Parameters!$A:$A,0))*(AJ50+AK50),0)</f>
        <v>0</v>
      </c>
      <c r="AM50" s="525"/>
      <c r="AN50" s="139">
        <f t="shared" si="29"/>
        <v>25</v>
      </c>
      <c r="AO50" s="205">
        <f>AN50/INDEX(Parameters!$B:$B,MATCH("AfschrijftermijnVVE"&amp;12*$C50,Parameters!$A:$A,0))</f>
        <v>0.69444444444444442</v>
      </c>
      <c r="AP50" s="139">
        <f t="shared" si="30"/>
        <v>44</v>
      </c>
      <c r="AQ50" s="526">
        <f>IF(AP50&lt;&gt;"nvt",INDEX('Tarieven W&amp;O'!$G:$G,$AP50),0)</f>
        <v>22.24</v>
      </c>
      <c r="AR50" s="251">
        <f>IF($S50,INDEX('Tarieven W&amp;O'!$G:$G,MATCH(N50&amp;R50,'Tarieven W&amp;O'!$B:$B,0)),0)</f>
        <v>0</v>
      </c>
      <c r="AS50" s="205">
        <f>-INDEX(Parameters!$B:$B,MATCH(AS$3,Parameters!$A:$A,0))*(AQ50+AR50)</f>
        <v>0</v>
      </c>
      <c r="AT50" s="205">
        <f>INDEX(hulpblad!$E:$E,MATCH(M50&amp;Q50,hulpblad!$B:$B,0))</f>
        <v>2</v>
      </c>
      <c r="AU50" s="150">
        <f t="shared" si="33"/>
        <v>24.24</v>
      </c>
      <c r="AV50" s="150">
        <f t="shared" si="34"/>
        <v>24.934444444444441</v>
      </c>
      <c r="AX50" s="526">
        <f>Parameters!$B$6*AV50</f>
        <v>0.24934444444444442</v>
      </c>
      <c r="AY50" s="150">
        <v>0</v>
      </c>
      <c r="AZ50" s="150"/>
      <c r="BA50" s="150">
        <f t="shared" si="31"/>
        <v>0.24934444444444442</v>
      </c>
      <c r="BB50" s="150"/>
      <c r="BC50" s="522">
        <f t="shared" si="32"/>
        <v>25.183788888888884</v>
      </c>
      <c r="BD50" s="175"/>
      <c r="BE50" s="527">
        <f t="shared" si="35"/>
        <v>1002.5939888888889</v>
      </c>
      <c r="BF50" s="181">
        <f t="shared" si="36"/>
        <v>0.97549685405405406</v>
      </c>
      <c r="BG50" s="520" t="b">
        <f t="shared" si="25"/>
        <v>0</v>
      </c>
      <c r="BI50" s="528" t="s">
        <v>2181</v>
      </c>
      <c r="BL50" s="151" t="str">
        <f t="shared" si="38"/>
        <v>EoKMetro - Nationaal</v>
      </c>
      <c r="BM50" s="529">
        <v>0</v>
      </c>
      <c r="BN50" s="180">
        <f>BM50/INDEX(Parameters!$B:$B,MATCH("AfschrijftermijnVVE"&amp;12*$C50,Parameters!$A:$A,0))</f>
        <v>0</v>
      </c>
      <c r="BO50" s="184">
        <f>INDEX('inkoop ULL tbv EVPN'!I:I,MATCH(BL50,'inkoop ULL tbv EVPN'!H:H,0))</f>
        <v>2</v>
      </c>
      <c r="BP50" s="184">
        <f t="shared" si="39"/>
        <v>2</v>
      </c>
      <c r="BR50" s="180">
        <f>Parameters!$B$12*AG50</f>
        <v>102.77777777777779</v>
      </c>
      <c r="BS50" s="180">
        <f>SUM(Distributievergoedingen!$F$12,Distributievergoedingen!$I$12,Distributievergoedingen!$L$12,Distributievergoedingen!$O$12)*AF50+SUM(Distributievergoedingen!$O$12*AA50+Distributievergoedingen!$R$12+Distributievergoedingen!$U$12+Distributievergoedingen!$X$12)/(MAX(36,12*C50))</f>
        <v>112.77777777777777</v>
      </c>
      <c r="BT50" s="150"/>
      <c r="BU50" s="150">
        <f t="shared" si="40"/>
        <v>215.55555555555554</v>
      </c>
      <c r="BW50" s="522">
        <f t="shared" si="41"/>
        <v>217.55555555555554</v>
      </c>
      <c r="BY50" s="527">
        <f t="shared" si="42"/>
        <v>810.22222222222229</v>
      </c>
      <c r="BZ50" s="181">
        <f t="shared" si="43"/>
        <v>0.78832432432432431</v>
      </c>
      <c r="CA50" s="520" t="b">
        <f t="shared" si="44"/>
        <v>0</v>
      </c>
    </row>
    <row r="51" spans="1:79" s="151" customFormat="1">
      <c r="A51" s="151" t="str">
        <f t="shared" si="37"/>
        <v>1EoKEntryNationaal20</v>
      </c>
      <c r="B51" s="520" t="str">
        <f t="shared" si="22"/>
        <v>1EoKEntryNationaal20</v>
      </c>
      <c r="C51" s="179">
        <v>1</v>
      </c>
      <c r="D51" s="179" t="s">
        <v>303</v>
      </c>
      <c r="E51" s="178" t="s">
        <v>45</v>
      </c>
      <c r="F51" s="178" t="s">
        <v>266</v>
      </c>
      <c r="G51" s="185" t="s">
        <v>414</v>
      </c>
      <c r="J51" s="520" t="str">
        <f t="shared" si="23"/>
        <v>EntryNationaal20</v>
      </c>
      <c r="L51" s="204">
        <f>INDEX(Mapping!$H:$H,MATCH(C$3&amp;C51,Mapping!$B:$B,0))</f>
        <v>1</v>
      </c>
      <c r="M51" s="204" t="str">
        <f>INDEX(Mapping!$H:$H,MATCH(D$3&amp;$D51,Mapping!$B:$B,0))</f>
        <v>EoK</v>
      </c>
      <c r="N51" s="204" t="str">
        <f>INDEX(Mapping!$H:$H,MATCH(E$3&amp;E51,Mapping!$B:$B,0))</f>
        <v>Lite</v>
      </c>
      <c r="O51" s="204" t="str">
        <f>INDEX(Mapping!$H:$H,MATCH(F$3&amp;F51,Mapping!$B:$B,0))</f>
        <v>Metro</v>
      </c>
      <c r="P51" s="204">
        <f>INDEX(Mapping!$H:$H,MATCH(G$3&amp;G51,Mapping!$B:$B,0))</f>
        <v>20</v>
      </c>
      <c r="Q51" s="204" t="str">
        <f>INDEX(Mapping!$H:$H,MATCH(Q$3&amp;$F51,Mapping!$B:$B,0))</f>
        <v>Metro - Nationaal</v>
      </c>
      <c r="R51" s="204" t="str">
        <f>INDEX(Mapping!$H:$H,MATCH("ZM VPN Service Level"&amp;E51,Mapping!$B:$B,0))</f>
        <v>Advanced</v>
      </c>
      <c r="S51" s="139" t="b">
        <f>IF($D51="EoK",INDEX(Mapping!$I:$I,MATCH($G$3&amp;$G51,Mapping!B:B,0)),FALSE)</f>
        <v>0</v>
      </c>
      <c r="T51" s="139"/>
      <c r="U51" s="520" t="str">
        <f t="shared" si="24"/>
        <v>LiteMetro20</v>
      </c>
      <c r="W51" s="521">
        <f>MATCH($J51,'Tarieven ZM'!$B:$B,0)</f>
        <v>55</v>
      </c>
      <c r="X51" s="204">
        <f>INDEX('Tarieven ZM'!$H:$H,$W51)</f>
        <v>1000</v>
      </c>
      <c r="Y51" s="198">
        <f>-INDEX(Parameters!$B:$B,MATCH(Y$3&amp;$C51,Parameters!$A:$A,0))*$X51</f>
        <v>0</v>
      </c>
      <c r="Z51" s="198">
        <f>-INDEX(Parameters!$B:$B,MATCH(Z$3&amp;$C51,Parameters!$A:$A,0))*$X51</f>
        <v>0</v>
      </c>
      <c r="AA51" s="139">
        <f t="shared" si="26"/>
        <v>1000</v>
      </c>
      <c r="AB51" s="205">
        <f>AA51/INDEX(Parameters!$B:$B,MATCH("AfschrijftermijnVVE"&amp;12*$C51,Parameters!$A:$A,0))</f>
        <v>27.777777777777779</v>
      </c>
      <c r="AC51" s="204">
        <f>INDEX('Tarieven ZM'!$G:$G,$W51)</f>
        <v>1000</v>
      </c>
      <c r="AD51" s="198">
        <f>-INDEX(Parameters!$B:$B,MATCH(AD$3&amp;$C51,Parameters!$A:$A,0))*$AC51</f>
        <v>0</v>
      </c>
      <c r="AE51" s="198">
        <f>-INDEX(Parameters!$B:$B,MATCH(AE$3,Parameters!$A:$A,0))*$AC51</f>
        <v>0</v>
      </c>
      <c r="AF51" s="139">
        <f t="shared" si="27"/>
        <v>1000</v>
      </c>
      <c r="AG51" s="522">
        <f t="shared" si="28"/>
        <v>1027.7777777777778</v>
      </c>
      <c r="AH51" s="175"/>
      <c r="AI51" s="523">
        <f>MATCH($U51,'Tarieven W&amp;O'!$B:$B,0)</f>
        <v>45</v>
      </c>
      <c r="AJ51" s="204">
        <f>IF(AI51&lt;&gt;"nvt",INDEX('Tarieven W&amp;O'!$H:$H,$AI51),0)</f>
        <v>0</v>
      </c>
      <c r="AK51" s="204">
        <f>IF(AI51&lt;&gt;"nvt",INDEX('Tarieven W&amp;O'!$I:$I,$AI51),0)</f>
        <v>25</v>
      </c>
      <c r="AL51" s="524">
        <f>IF(AI51&lt;&gt;"nvt",-INDEX(Parameters!$B:$B,MATCH(AL$3,Parameters!$A:$A,0))*(AJ51+AK51),0)</f>
        <v>0</v>
      </c>
      <c r="AM51" s="525"/>
      <c r="AN51" s="139">
        <f t="shared" si="29"/>
        <v>25</v>
      </c>
      <c r="AO51" s="205">
        <f>AN51/INDEX(Parameters!$B:$B,MATCH("AfschrijftermijnVVE"&amp;12*$C51,Parameters!$A:$A,0))</f>
        <v>0.69444444444444442</v>
      </c>
      <c r="AP51" s="139">
        <f t="shared" si="30"/>
        <v>45</v>
      </c>
      <c r="AQ51" s="526">
        <f>IF(AP51&lt;&gt;"nvt",INDEX('Tarieven W&amp;O'!$G:$G,$AP51),0)</f>
        <v>29.78</v>
      </c>
      <c r="AR51" s="251">
        <f>IF($S51,INDEX('Tarieven W&amp;O'!$G:$G,MATCH(N51&amp;R51,'Tarieven W&amp;O'!$B:$B,0)),0)</f>
        <v>0</v>
      </c>
      <c r="AS51" s="205">
        <f>-INDEX(Parameters!$B:$B,MATCH(AS$3,Parameters!$A:$A,0))*(AQ51+AR51)</f>
        <v>0</v>
      </c>
      <c r="AT51" s="205">
        <f>INDEX(hulpblad!$E:$E,MATCH(M51&amp;Q51,hulpblad!$B:$B,0))</f>
        <v>2</v>
      </c>
      <c r="AU51" s="150">
        <f t="shared" si="33"/>
        <v>31.78</v>
      </c>
      <c r="AV51" s="150">
        <f t="shared" si="34"/>
        <v>32.474444444444444</v>
      </c>
      <c r="AX51" s="526">
        <f>Parameters!$B$6*AV51</f>
        <v>0.32474444444444445</v>
      </c>
      <c r="AY51" s="150">
        <v>0</v>
      </c>
      <c r="AZ51" s="150"/>
      <c r="BA51" s="150">
        <f t="shared" si="31"/>
        <v>0.32474444444444445</v>
      </c>
      <c r="BB51" s="150"/>
      <c r="BC51" s="522">
        <f t="shared" si="32"/>
        <v>32.799188888888885</v>
      </c>
      <c r="BD51" s="175"/>
      <c r="BE51" s="527">
        <f t="shared" si="35"/>
        <v>994.97858888888891</v>
      </c>
      <c r="BF51" s="181">
        <f t="shared" si="36"/>
        <v>0.96808727567567565</v>
      </c>
      <c r="BG51" s="520" t="b">
        <f t="shared" si="25"/>
        <v>0</v>
      </c>
      <c r="BI51" s="528" t="s">
        <v>2181</v>
      </c>
      <c r="BL51" s="151" t="str">
        <f t="shared" si="38"/>
        <v>EoKMetro - Nationaal</v>
      </c>
      <c r="BM51" s="529">
        <v>0</v>
      </c>
      <c r="BN51" s="180">
        <f>BM51/INDEX(Parameters!$B:$B,MATCH("AfschrijftermijnVVE"&amp;12*$C51,Parameters!$A:$A,0))</f>
        <v>0</v>
      </c>
      <c r="BO51" s="184">
        <f>INDEX('inkoop ULL tbv EVPN'!I:I,MATCH(BL51,'inkoop ULL tbv EVPN'!H:H,0))</f>
        <v>2</v>
      </c>
      <c r="BP51" s="184">
        <f t="shared" si="39"/>
        <v>2</v>
      </c>
      <c r="BR51" s="180">
        <f>Parameters!$B$12*AG51</f>
        <v>102.77777777777779</v>
      </c>
      <c r="BS51" s="180">
        <f>SUM(Distributievergoedingen!$F$12,Distributievergoedingen!$I$12,Distributievergoedingen!$L$12,Distributievergoedingen!$O$12)*AF51+SUM(Distributievergoedingen!$O$12*AA51+Distributievergoedingen!$R$12+Distributievergoedingen!$U$12+Distributievergoedingen!$X$12)/(MAX(36,12*C51))</f>
        <v>112.77777777777777</v>
      </c>
      <c r="BT51" s="150"/>
      <c r="BU51" s="150">
        <f t="shared" si="40"/>
        <v>215.55555555555554</v>
      </c>
      <c r="BW51" s="522">
        <f t="shared" si="41"/>
        <v>217.55555555555554</v>
      </c>
      <c r="BY51" s="527">
        <f t="shared" si="42"/>
        <v>810.22222222222229</v>
      </c>
      <c r="BZ51" s="181">
        <f t="shared" si="43"/>
        <v>0.78832432432432431</v>
      </c>
      <c r="CA51" s="520" t="b">
        <f t="shared" si="44"/>
        <v>0</v>
      </c>
    </row>
    <row r="52" spans="1:79" s="151" customFormat="1">
      <c r="A52" s="151" t="str">
        <f t="shared" si="37"/>
        <v>1EoKEntryNationaal30</v>
      </c>
      <c r="B52" s="520" t="str">
        <f t="shared" si="22"/>
        <v>1EoKEntryNationaal30</v>
      </c>
      <c r="C52" s="179">
        <v>1</v>
      </c>
      <c r="D52" s="179" t="s">
        <v>303</v>
      </c>
      <c r="E52" s="178" t="s">
        <v>45</v>
      </c>
      <c r="F52" s="178" t="s">
        <v>266</v>
      </c>
      <c r="G52" s="185" t="s">
        <v>415</v>
      </c>
      <c r="J52" s="520" t="str">
        <f t="shared" si="23"/>
        <v>EntryNationaal30</v>
      </c>
      <c r="L52" s="204">
        <f>INDEX(Mapping!$H:$H,MATCH(C$3&amp;C52,Mapping!$B:$B,0))</f>
        <v>1</v>
      </c>
      <c r="M52" s="204" t="str">
        <f>INDEX(Mapping!$H:$H,MATCH(D$3&amp;$D52,Mapping!$B:$B,0))</f>
        <v>EoK</v>
      </c>
      <c r="N52" s="204" t="str">
        <f>INDEX(Mapping!$H:$H,MATCH(E$3&amp;E52,Mapping!$B:$B,0))</f>
        <v>Lite</v>
      </c>
      <c r="O52" s="204" t="str">
        <f>INDEX(Mapping!$H:$H,MATCH(F$3&amp;F52,Mapping!$B:$B,0))</f>
        <v>Metro</v>
      </c>
      <c r="P52" s="204">
        <f>INDEX(Mapping!$H:$H,MATCH(G$3&amp;G52,Mapping!$B:$B,0))</f>
        <v>30</v>
      </c>
      <c r="Q52" s="204" t="str">
        <f>INDEX(Mapping!$H:$H,MATCH(Q$3&amp;$F52,Mapping!$B:$B,0))</f>
        <v>Metro - Nationaal</v>
      </c>
      <c r="R52" s="204" t="str">
        <f>INDEX(Mapping!$H:$H,MATCH("ZM VPN Service Level"&amp;E52,Mapping!$B:$B,0))</f>
        <v>Advanced</v>
      </c>
      <c r="S52" s="139" t="b">
        <f>IF($D52="EoK",INDEX(Mapping!$I:$I,MATCH($G$3&amp;$G52,Mapping!B:B,0)),FALSE)</f>
        <v>0</v>
      </c>
      <c r="T52" s="139"/>
      <c r="U52" s="520" t="str">
        <f t="shared" si="24"/>
        <v>LiteMetro30</v>
      </c>
      <c r="W52" s="521">
        <f>MATCH($J52,'Tarieven ZM'!$B:$B,0)</f>
        <v>56</v>
      </c>
      <c r="X52" s="204">
        <f>INDEX('Tarieven ZM'!$H:$H,$W52)</f>
        <v>1000</v>
      </c>
      <c r="Y52" s="198">
        <f>-INDEX(Parameters!$B:$B,MATCH(Y$3&amp;$C52,Parameters!$A:$A,0))*$X52</f>
        <v>0</v>
      </c>
      <c r="Z52" s="198">
        <f>-INDEX(Parameters!$B:$B,MATCH(Z$3&amp;$C52,Parameters!$A:$A,0))*$X52</f>
        <v>0</v>
      </c>
      <c r="AA52" s="139">
        <f t="shared" si="26"/>
        <v>1000</v>
      </c>
      <c r="AB52" s="205">
        <f>AA52/INDEX(Parameters!$B:$B,MATCH("AfschrijftermijnVVE"&amp;12*$C52,Parameters!$A:$A,0))</f>
        <v>27.777777777777779</v>
      </c>
      <c r="AC52" s="204">
        <f>INDEX('Tarieven ZM'!$G:$G,$W52)</f>
        <v>1000</v>
      </c>
      <c r="AD52" s="198">
        <f>-INDEX(Parameters!$B:$B,MATCH(AD$3&amp;$C52,Parameters!$A:$A,0))*$AC52</f>
        <v>0</v>
      </c>
      <c r="AE52" s="198">
        <f>-INDEX(Parameters!$B:$B,MATCH(AE$3,Parameters!$A:$A,0))*$AC52</f>
        <v>0</v>
      </c>
      <c r="AF52" s="139">
        <f t="shared" si="27"/>
        <v>1000</v>
      </c>
      <c r="AG52" s="522">
        <f t="shared" si="28"/>
        <v>1027.7777777777778</v>
      </c>
      <c r="AH52" s="175"/>
      <c r="AI52" s="523">
        <f>MATCH($U52,'Tarieven W&amp;O'!$B:$B,0)</f>
        <v>46</v>
      </c>
      <c r="AJ52" s="204">
        <f>IF(AI52&lt;&gt;"nvt",INDEX('Tarieven W&amp;O'!$H:$H,$AI52),0)</f>
        <v>0</v>
      </c>
      <c r="AK52" s="204">
        <f>IF(AI52&lt;&gt;"nvt",INDEX('Tarieven W&amp;O'!$I:$I,$AI52),0)</f>
        <v>25</v>
      </c>
      <c r="AL52" s="524">
        <f>IF(AI52&lt;&gt;"nvt",-INDEX(Parameters!$B:$B,MATCH(AL$3,Parameters!$A:$A,0))*(AJ52+AK52),0)</f>
        <v>0</v>
      </c>
      <c r="AM52" s="525"/>
      <c r="AN52" s="139">
        <f t="shared" si="29"/>
        <v>25</v>
      </c>
      <c r="AO52" s="205">
        <f>AN52/INDEX(Parameters!$B:$B,MATCH("AfschrijftermijnVVE"&amp;12*$C52,Parameters!$A:$A,0))</f>
        <v>0.69444444444444442</v>
      </c>
      <c r="AP52" s="139">
        <f t="shared" si="30"/>
        <v>46</v>
      </c>
      <c r="AQ52" s="526">
        <f>IF(AP52&lt;&gt;"nvt",INDEX('Tarieven W&amp;O'!$G:$G,$AP52),0)</f>
        <v>33.54</v>
      </c>
      <c r="AR52" s="251">
        <f>IF($S52,INDEX('Tarieven W&amp;O'!$G:$G,MATCH(N52&amp;R52,'Tarieven W&amp;O'!$B:$B,0)),0)</f>
        <v>0</v>
      </c>
      <c r="AS52" s="205">
        <f>-INDEX(Parameters!$B:$B,MATCH(AS$3,Parameters!$A:$A,0))*(AQ52+AR52)</f>
        <v>0</v>
      </c>
      <c r="AT52" s="205">
        <f>INDEX(hulpblad!$E:$E,MATCH(M52&amp;Q52,hulpblad!$B:$B,0))</f>
        <v>2</v>
      </c>
      <c r="AU52" s="150">
        <f t="shared" si="33"/>
        <v>35.54</v>
      </c>
      <c r="AV52" s="150">
        <f t="shared" si="34"/>
        <v>36.234444444444442</v>
      </c>
      <c r="AX52" s="526">
        <f>Parameters!$B$6*AV52</f>
        <v>0.36234444444444441</v>
      </c>
      <c r="AY52" s="150">
        <v>0</v>
      </c>
      <c r="AZ52" s="150"/>
      <c r="BA52" s="150">
        <f t="shared" si="31"/>
        <v>0.36234444444444441</v>
      </c>
      <c r="BB52" s="150"/>
      <c r="BC52" s="522">
        <f t="shared" si="32"/>
        <v>36.596788888888888</v>
      </c>
      <c r="BD52" s="175"/>
      <c r="BE52" s="527">
        <f t="shared" si="35"/>
        <v>991.18098888888892</v>
      </c>
      <c r="BF52" s="181">
        <f t="shared" si="36"/>
        <v>0.96439231351351351</v>
      </c>
      <c r="BG52" s="520" t="b">
        <f t="shared" si="25"/>
        <v>0</v>
      </c>
      <c r="BI52" s="528" t="s">
        <v>2181</v>
      </c>
      <c r="BL52" s="151" t="str">
        <f t="shared" si="38"/>
        <v>EoKMetro - Nationaal</v>
      </c>
      <c r="BM52" s="529">
        <v>0</v>
      </c>
      <c r="BN52" s="180">
        <f>BM52/INDEX(Parameters!$B:$B,MATCH("AfschrijftermijnVVE"&amp;12*$C52,Parameters!$A:$A,0))</f>
        <v>0</v>
      </c>
      <c r="BO52" s="184">
        <f>INDEX('inkoop ULL tbv EVPN'!I:I,MATCH(BL52,'inkoop ULL tbv EVPN'!H:H,0))</f>
        <v>2</v>
      </c>
      <c r="BP52" s="184">
        <f t="shared" si="39"/>
        <v>2</v>
      </c>
      <c r="BR52" s="180">
        <f>Parameters!$B$12*AG52</f>
        <v>102.77777777777779</v>
      </c>
      <c r="BS52" s="180">
        <f>SUM(Distributievergoedingen!$F$12,Distributievergoedingen!$I$12,Distributievergoedingen!$L$12,Distributievergoedingen!$O$12)*AF52+SUM(Distributievergoedingen!$O$12*AA52+Distributievergoedingen!$R$12+Distributievergoedingen!$U$12+Distributievergoedingen!$X$12)/(MAX(36,12*C52))</f>
        <v>112.77777777777777</v>
      </c>
      <c r="BT52" s="150"/>
      <c r="BU52" s="150">
        <f t="shared" si="40"/>
        <v>215.55555555555554</v>
      </c>
      <c r="BW52" s="522">
        <f t="shared" si="41"/>
        <v>217.55555555555554</v>
      </c>
      <c r="BY52" s="527">
        <f t="shared" si="42"/>
        <v>810.22222222222229</v>
      </c>
      <c r="BZ52" s="181">
        <f t="shared" si="43"/>
        <v>0.78832432432432431</v>
      </c>
      <c r="CA52" s="520" t="b">
        <f t="shared" si="44"/>
        <v>0</v>
      </c>
    </row>
    <row r="53" spans="1:79" s="151" customFormat="1">
      <c r="A53" s="151" t="str">
        <f t="shared" si="37"/>
        <v>1EoKEntryNationaal50</v>
      </c>
      <c r="B53" s="520" t="str">
        <f t="shared" si="22"/>
        <v>1EoKEntryNationaal50</v>
      </c>
      <c r="C53" s="179">
        <v>1</v>
      </c>
      <c r="D53" s="179" t="s">
        <v>303</v>
      </c>
      <c r="E53" s="178" t="s">
        <v>45</v>
      </c>
      <c r="F53" s="178" t="s">
        <v>266</v>
      </c>
      <c r="G53" s="185" t="s">
        <v>416</v>
      </c>
      <c r="J53" s="520" t="str">
        <f t="shared" si="23"/>
        <v>EntryNationaal50</v>
      </c>
      <c r="L53" s="204">
        <f>INDEX(Mapping!$H:$H,MATCH(C$3&amp;C53,Mapping!$B:$B,0))</f>
        <v>1</v>
      </c>
      <c r="M53" s="204" t="str">
        <f>INDEX(Mapping!$H:$H,MATCH(D$3&amp;$D53,Mapping!$B:$B,0))</f>
        <v>EoK</v>
      </c>
      <c r="N53" s="204" t="str">
        <f>INDEX(Mapping!$H:$H,MATCH(E$3&amp;E53,Mapping!$B:$B,0))</f>
        <v>Lite</v>
      </c>
      <c r="O53" s="204" t="str">
        <f>INDEX(Mapping!$H:$H,MATCH(F$3&amp;F53,Mapping!$B:$B,0))</f>
        <v>Metro</v>
      </c>
      <c r="P53" s="204">
        <f>INDEX(Mapping!$H:$H,MATCH(G$3&amp;G53,Mapping!$B:$B,0))</f>
        <v>50</v>
      </c>
      <c r="Q53" s="204" t="str">
        <f>INDEX(Mapping!$H:$H,MATCH(Q$3&amp;$F53,Mapping!$B:$B,0))</f>
        <v>Metro - Nationaal</v>
      </c>
      <c r="R53" s="204" t="str">
        <f>INDEX(Mapping!$H:$H,MATCH("ZM VPN Service Level"&amp;E53,Mapping!$B:$B,0))</f>
        <v>Advanced</v>
      </c>
      <c r="S53" s="139" t="b">
        <f>IF($D53="EoK",INDEX(Mapping!$I:$I,MATCH($G$3&amp;$G53,Mapping!B:B,0)),FALSE)</f>
        <v>0</v>
      </c>
      <c r="T53" s="139"/>
      <c r="U53" s="520" t="str">
        <f t="shared" si="24"/>
        <v>LiteMetro50</v>
      </c>
      <c r="W53" s="521">
        <f>MATCH($J53,'Tarieven ZM'!$B:$B,0)</f>
        <v>57</v>
      </c>
      <c r="X53" s="204">
        <f>INDEX('Tarieven ZM'!$H:$H,$W53)</f>
        <v>1000</v>
      </c>
      <c r="Y53" s="198">
        <f>-INDEX(Parameters!$B:$B,MATCH(Y$3&amp;$C53,Parameters!$A:$A,0))*$X53</f>
        <v>0</v>
      </c>
      <c r="Z53" s="198">
        <f>-INDEX(Parameters!$B:$B,MATCH(Z$3&amp;$C53,Parameters!$A:$A,0))*$X53</f>
        <v>0</v>
      </c>
      <c r="AA53" s="139">
        <f t="shared" si="26"/>
        <v>1000</v>
      </c>
      <c r="AB53" s="205">
        <f>AA53/INDEX(Parameters!$B:$B,MATCH("AfschrijftermijnVVE"&amp;12*$C53,Parameters!$A:$A,0))</f>
        <v>27.777777777777779</v>
      </c>
      <c r="AC53" s="204">
        <f>INDEX('Tarieven ZM'!$G:$G,$W53)</f>
        <v>1000</v>
      </c>
      <c r="AD53" s="198">
        <f>-INDEX(Parameters!$B:$B,MATCH(AD$3&amp;$C53,Parameters!$A:$A,0))*$AC53</f>
        <v>0</v>
      </c>
      <c r="AE53" s="198">
        <f>-INDEX(Parameters!$B:$B,MATCH(AE$3,Parameters!$A:$A,0))*$AC53</f>
        <v>0</v>
      </c>
      <c r="AF53" s="139">
        <f t="shared" si="27"/>
        <v>1000</v>
      </c>
      <c r="AG53" s="522">
        <f t="shared" si="28"/>
        <v>1027.7777777777778</v>
      </c>
      <c r="AH53" s="175"/>
      <c r="AI53" s="523">
        <f>MATCH($U53,'Tarieven W&amp;O'!$B:$B,0)</f>
        <v>47</v>
      </c>
      <c r="AJ53" s="204">
        <f>IF(AI53&lt;&gt;"nvt",INDEX('Tarieven W&amp;O'!$H:$H,$AI53),0)</f>
        <v>0</v>
      </c>
      <c r="AK53" s="204">
        <f>IF(AI53&lt;&gt;"nvt",INDEX('Tarieven W&amp;O'!$I:$I,$AI53),0)</f>
        <v>25</v>
      </c>
      <c r="AL53" s="524">
        <f>IF(AI53&lt;&gt;"nvt",-INDEX(Parameters!$B:$B,MATCH(AL$3,Parameters!$A:$A,0))*(AJ53+AK53),0)</f>
        <v>0</v>
      </c>
      <c r="AM53" s="525"/>
      <c r="AN53" s="139">
        <f t="shared" si="29"/>
        <v>25</v>
      </c>
      <c r="AO53" s="205">
        <f>AN53/INDEX(Parameters!$B:$B,MATCH("AfschrijftermijnVVE"&amp;12*$C53,Parameters!$A:$A,0))</f>
        <v>0.69444444444444442</v>
      </c>
      <c r="AP53" s="139">
        <f t="shared" si="30"/>
        <v>47</v>
      </c>
      <c r="AQ53" s="526">
        <f>IF(AP53&lt;&gt;"nvt",INDEX('Tarieven W&amp;O'!$G:$G,$AP53),0)</f>
        <v>48.62</v>
      </c>
      <c r="AR53" s="251">
        <f>IF($S53,INDEX('Tarieven W&amp;O'!$G:$G,MATCH(N53&amp;R53,'Tarieven W&amp;O'!$B:$B,0)),0)</f>
        <v>0</v>
      </c>
      <c r="AS53" s="205">
        <f>-INDEX(Parameters!$B:$B,MATCH(AS$3,Parameters!$A:$A,0))*(AQ53+AR53)</f>
        <v>0</v>
      </c>
      <c r="AT53" s="205">
        <f>INDEX(hulpblad!$E:$E,MATCH(M53&amp;Q53,hulpblad!$B:$B,0))</f>
        <v>2</v>
      </c>
      <c r="AU53" s="150">
        <f t="shared" si="33"/>
        <v>50.62</v>
      </c>
      <c r="AV53" s="150">
        <f t="shared" si="34"/>
        <v>51.31444444444444</v>
      </c>
      <c r="AX53" s="526">
        <f>Parameters!$B$6*AV53</f>
        <v>0.5131444444444444</v>
      </c>
      <c r="AY53" s="150">
        <v>0</v>
      </c>
      <c r="AZ53" s="150"/>
      <c r="BA53" s="150">
        <f t="shared" si="31"/>
        <v>0.5131444444444444</v>
      </c>
      <c r="BB53" s="150"/>
      <c r="BC53" s="522">
        <f t="shared" si="32"/>
        <v>51.827588888888883</v>
      </c>
      <c r="BD53" s="175"/>
      <c r="BE53" s="527">
        <f t="shared" si="35"/>
        <v>975.95018888888899</v>
      </c>
      <c r="BF53" s="181">
        <f t="shared" si="36"/>
        <v>0.9495731567567568</v>
      </c>
      <c r="BG53" s="520" t="b">
        <f t="shared" si="25"/>
        <v>0</v>
      </c>
      <c r="BI53" s="528" t="s">
        <v>2181</v>
      </c>
      <c r="BL53" s="151" t="str">
        <f t="shared" si="38"/>
        <v>EoKMetro - Nationaal</v>
      </c>
      <c r="BM53" s="529">
        <v>0</v>
      </c>
      <c r="BN53" s="180">
        <f>BM53/INDEX(Parameters!$B:$B,MATCH("AfschrijftermijnVVE"&amp;12*$C53,Parameters!$A:$A,0))</f>
        <v>0</v>
      </c>
      <c r="BO53" s="184">
        <f>INDEX('inkoop ULL tbv EVPN'!I:I,MATCH(BL53,'inkoop ULL tbv EVPN'!H:H,0))</f>
        <v>2</v>
      </c>
      <c r="BP53" s="184">
        <f t="shared" si="39"/>
        <v>2</v>
      </c>
      <c r="BR53" s="180">
        <f>Parameters!$B$12*AG53</f>
        <v>102.77777777777779</v>
      </c>
      <c r="BS53" s="180">
        <f>SUM(Distributievergoedingen!$F$12,Distributievergoedingen!$I$12,Distributievergoedingen!$L$12,Distributievergoedingen!$O$12)*AF53+SUM(Distributievergoedingen!$O$12*AA53+Distributievergoedingen!$R$12+Distributievergoedingen!$U$12+Distributievergoedingen!$X$12)/(MAX(36,12*C53))</f>
        <v>112.77777777777777</v>
      </c>
      <c r="BT53" s="150"/>
      <c r="BU53" s="150">
        <f t="shared" si="40"/>
        <v>215.55555555555554</v>
      </c>
      <c r="BW53" s="522">
        <f t="shared" si="41"/>
        <v>217.55555555555554</v>
      </c>
      <c r="BY53" s="527">
        <f t="shared" si="42"/>
        <v>810.22222222222229</v>
      </c>
      <c r="BZ53" s="181">
        <f t="shared" si="43"/>
        <v>0.78832432432432431</v>
      </c>
      <c r="CA53" s="520" t="b">
        <f t="shared" si="44"/>
        <v>0</v>
      </c>
    </row>
    <row r="54" spans="1:79" s="151" customFormat="1">
      <c r="A54" s="151" t="str">
        <f t="shared" si="37"/>
        <v>1EoKEntryNationaal80</v>
      </c>
      <c r="B54" s="520" t="str">
        <f t="shared" si="22"/>
        <v>1EoKEntryNationaal80</v>
      </c>
      <c r="C54" s="179">
        <v>1</v>
      </c>
      <c r="D54" s="179" t="s">
        <v>303</v>
      </c>
      <c r="E54" s="178" t="s">
        <v>45</v>
      </c>
      <c r="F54" s="178" t="s">
        <v>266</v>
      </c>
      <c r="G54" s="185" t="s">
        <v>417</v>
      </c>
      <c r="J54" s="520" t="str">
        <f t="shared" si="23"/>
        <v>EntryNationaal80</v>
      </c>
      <c r="L54" s="204">
        <f>INDEX(Mapping!$H:$H,MATCH(C$3&amp;C54,Mapping!$B:$B,0))</f>
        <v>1</v>
      </c>
      <c r="M54" s="204" t="str">
        <f>INDEX(Mapping!$H:$H,MATCH(D$3&amp;$D54,Mapping!$B:$B,0))</f>
        <v>EoK</v>
      </c>
      <c r="N54" s="204" t="str">
        <f>INDEX(Mapping!$H:$H,MATCH(E$3&amp;E54,Mapping!$B:$B,0))</f>
        <v>Lite</v>
      </c>
      <c r="O54" s="204" t="str">
        <f>INDEX(Mapping!$H:$H,MATCH(F$3&amp;F54,Mapping!$B:$B,0))</f>
        <v>Metro</v>
      </c>
      <c r="P54" s="204">
        <f>INDEX(Mapping!$H:$H,MATCH(G$3&amp;G54,Mapping!$B:$B,0))</f>
        <v>80</v>
      </c>
      <c r="Q54" s="204" t="str">
        <f>INDEX(Mapping!$H:$H,MATCH(Q$3&amp;$F54,Mapping!$B:$B,0))</f>
        <v>Metro - Nationaal</v>
      </c>
      <c r="R54" s="204" t="str">
        <f>INDEX(Mapping!$H:$H,MATCH("ZM VPN Service Level"&amp;E54,Mapping!$B:$B,0))</f>
        <v>Advanced</v>
      </c>
      <c r="S54" s="139" t="b">
        <f>IF($D54="EoK",INDEX(Mapping!$I:$I,MATCH($G$3&amp;$G54,Mapping!B:B,0)),FALSE)</f>
        <v>0</v>
      </c>
      <c r="T54" s="139"/>
      <c r="U54" s="520" t="str">
        <f t="shared" si="24"/>
        <v>LiteMetro80</v>
      </c>
      <c r="W54" s="521">
        <f>MATCH($J54,'Tarieven ZM'!$B:$B,0)</f>
        <v>58</v>
      </c>
      <c r="X54" s="204">
        <f>INDEX('Tarieven ZM'!$H:$H,$W54)</f>
        <v>1000</v>
      </c>
      <c r="Y54" s="198">
        <f>-INDEX(Parameters!$B:$B,MATCH(Y$3&amp;$C54,Parameters!$A:$A,0))*$X54</f>
        <v>0</v>
      </c>
      <c r="Z54" s="198">
        <f>-INDEX(Parameters!$B:$B,MATCH(Z$3&amp;$C54,Parameters!$A:$A,0))*$X54</f>
        <v>0</v>
      </c>
      <c r="AA54" s="139">
        <f t="shared" si="26"/>
        <v>1000</v>
      </c>
      <c r="AB54" s="205">
        <f>AA54/INDEX(Parameters!$B:$B,MATCH("AfschrijftermijnVVE"&amp;12*$C54,Parameters!$A:$A,0))</f>
        <v>27.777777777777779</v>
      </c>
      <c r="AC54" s="204">
        <f>INDEX('Tarieven ZM'!$G:$G,$W54)</f>
        <v>1000</v>
      </c>
      <c r="AD54" s="198">
        <f>-INDEX(Parameters!$B:$B,MATCH(AD$3&amp;$C54,Parameters!$A:$A,0))*$AC54</f>
        <v>0</v>
      </c>
      <c r="AE54" s="198">
        <f>-INDEX(Parameters!$B:$B,MATCH(AE$3,Parameters!$A:$A,0))*$AC54</f>
        <v>0</v>
      </c>
      <c r="AF54" s="139">
        <f t="shared" si="27"/>
        <v>1000</v>
      </c>
      <c r="AG54" s="522">
        <f t="shared" si="28"/>
        <v>1027.7777777777778</v>
      </c>
      <c r="AH54" s="175"/>
      <c r="AI54" s="523">
        <f>MATCH($U54,'Tarieven W&amp;O'!$B:$B,0)</f>
        <v>48</v>
      </c>
      <c r="AJ54" s="204">
        <f>IF(AI54&lt;&gt;"nvt",INDEX('Tarieven W&amp;O'!$H:$H,$AI54),0)</f>
        <v>0</v>
      </c>
      <c r="AK54" s="204">
        <f>IF(AI54&lt;&gt;"nvt",INDEX('Tarieven W&amp;O'!$I:$I,$AI54),0)</f>
        <v>25</v>
      </c>
      <c r="AL54" s="524">
        <f>IF(AI54&lt;&gt;"nvt",-INDEX(Parameters!$B:$B,MATCH(AL$3,Parameters!$A:$A,0))*(AJ54+AK54),0)</f>
        <v>0</v>
      </c>
      <c r="AM54" s="525"/>
      <c r="AN54" s="139">
        <f t="shared" si="29"/>
        <v>25</v>
      </c>
      <c r="AO54" s="205">
        <f>AN54/INDEX(Parameters!$B:$B,MATCH("AfschrijftermijnVVE"&amp;12*$C54,Parameters!$A:$A,0))</f>
        <v>0.69444444444444442</v>
      </c>
      <c r="AP54" s="139">
        <f t="shared" si="30"/>
        <v>48</v>
      </c>
      <c r="AQ54" s="526">
        <f>IF(AP54&lt;&gt;"nvt",INDEX('Tarieven W&amp;O'!$G:$G,$AP54),0)</f>
        <v>63.7</v>
      </c>
      <c r="AR54" s="251">
        <f>IF($S54,INDEX('Tarieven W&amp;O'!$G:$G,MATCH(N54&amp;R54,'Tarieven W&amp;O'!$B:$B,0)),0)</f>
        <v>0</v>
      </c>
      <c r="AS54" s="205">
        <f>-INDEX(Parameters!$B:$B,MATCH(AS$3,Parameters!$A:$A,0))*(AQ54+AR54)</f>
        <v>0</v>
      </c>
      <c r="AT54" s="205">
        <f>INDEX(hulpblad!$E:$E,MATCH(M54&amp;Q54,hulpblad!$B:$B,0))</f>
        <v>2</v>
      </c>
      <c r="AU54" s="150">
        <f t="shared" si="33"/>
        <v>65.7</v>
      </c>
      <c r="AV54" s="150">
        <f t="shared" si="34"/>
        <v>66.394444444444446</v>
      </c>
      <c r="AX54" s="526">
        <f>Parameters!$B$6*AV54</f>
        <v>0.66394444444444445</v>
      </c>
      <c r="AY54" s="150">
        <v>0</v>
      </c>
      <c r="AZ54" s="150"/>
      <c r="BA54" s="150">
        <f t="shared" si="31"/>
        <v>0.66394444444444445</v>
      </c>
      <c r="BB54" s="150"/>
      <c r="BC54" s="522">
        <f t="shared" si="32"/>
        <v>67.058388888888885</v>
      </c>
      <c r="BD54" s="175"/>
      <c r="BE54" s="527">
        <f t="shared" si="35"/>
        <v>960.71938888888894</v>
      </c>
      <c r="BF54" s="181">
        <f t="shared" si="36"/>
        <v>0.93475399999999997</v>
      </c>
      <c r="BG54" s="520" t="b">
        <f t="shared" si="25"/>
        <v>0</v>
      </c>
      <c r="BI54" s="528" t="s">
        <v>2181</v>
      </c>
      <c r="BL54" s="151" t="str">
        <f t="shared" si="38"/>
        <v>EoKMetro - Nationaal</v>
      </c>
      <c r="BM54" s="529">
        <v>0</v>
      </c>
      <c r="BN54" s="180">
        <f>BM54/INDEX(Parameters!$B:$B,MATCH("AfschrijftermijnVVE"&amp;12*$C54,Parameters!$A:$A,0))</f>
        <v>0</v>
      </c>
      <c r="BO54" s="184">
        <f>INDEX('inkoop ULL tbv EVPN'!I:I,MATCH(BL54,'inkoop ULL tbv EVPN'!H:H,0))</f>
        <v>2</v>
      </c>
      <c r="BP54" s="184">
        <f t="shared" si="39"/>
        <v>2</v>
      </c>
      <c r="BR54" s="180">
        <f>Parameters!$B$12*AG54</f>
        <v>102.77777777777779</v>
      </c>
      <c r="BS54" s="180">
        <f>SUM(Distributievergoedingen!$F$12,Distributievergoedingen!$I$12,Distributievergoedingen!$L$12,Distributievergoedingen!$O$12)*AF54+SUM(Distributievergoedingen!$O$12*AA54+Distributievergoedingen!$R$12+Distributievergoedingen!$U$12+Distributievergoedingen!$X$12)/(MAX(36,12*C54))</f>
        <v>112.77777777777777</v>
      </c>
      <c r="BT54" s="150"/>
      <c r="BU54" s="150">
        <f t="shared" si="40"/>
        <v>215.55555555555554</v>
      </c>
      <c r="BW54" s="522">
        <f t="shared" si="41"/>
        <v>217.55555555555554</v>
      </c>
      <c r="BY54" s="527">
        <f t="shared" si="42"/>
        <v>810.22222222222229</v>
      </c>
      <c r="BZ54" s="181">
        <f t="shared" si="43"/>
        <v>0.78832432432432431</v>
      </c>
      <c r="CA54" s="520" t="b">
        <f t="shared" si="44"/>
        <v>0</v>
      </c>
    </row>
    <row r="55" spans="1:79" s="151" customFormat="1">
      <c r="A55" s="151" t="str">
        <f t="shared" si="37"/>
        <v>1EoKEntryNationaal100</v>
      </c>
      <c r="B55" s="520" t="str">
        <f t="shared" si="22"/>
        <v>1EoKEntryNationaal100</v>
      </c>
      <c r="C55" s="179">
        <v>1</v>
      </c>
      <c r="D55" s="179" t="s">
        <v>303</v>
      </c>
      <c r="E55" s="178" t="s">
        <v>45</v>
      </c>
      <c r="F55" s="178" t="s">
        <v>266</v>
      </c>
      <c r="G55" s="185" t="s">
        <v>418</v>
      </c>
      <c r="J55" s="520" t="str">
        <f t="shared" si="23"/>
        <v>EntryNationaal100</v>
      </c>
      <c r="L55" s="204">
        <f>INDEX(Mapping!$H:$H,MATCH(C$3&amp;C55,Mapping!$B:$B,0))</f>
        <v>1</v>
      </c>
      <c r="M55" s="204" t="str">
        <f>INDEX(Mapping!$H:$H,MATCH(D$3&amp;$D55,Mapping!$B:$B,0))</f>
        <v>EoK</v>
      </c>
      <c r="N55" s="204" t="str">
        <f>INDEX(Mapping!$H:$H,MATCH(E$3&amp;E55,Mapping!$B:$B,0))</f>
        <v>Lite</v>
      </c>
      <c r="O55" s="204" t="str">
        <f>INDEX(Mapping!$H:$H,MATCH(F$3&amp;F55,Mapping!$B:$B,0))</f>
        <v>Metro</v>
      </c>
      <c r="P55" s="204">
        <f>INDEX(Mapping!$H:$H,MATCH(G$3&amp;G55,Mapping!$B:$B,0))</f>
        <v>100</v>
      </c>
      <c r="Q55" s="204" t="str">
        <f>INDEX(Mapping!$H:$H,MATCH(Q$3&amp;$F55,Mapping!$B:$B,0))</f>
        <v>Metro - Nationaal</v>
      </c>
      <c r="R55" s="204" t="str">
        <f>INDEX(Mapping!$H:$H,MATCH("ZM VPN Service Level"&amp;E55,Mapping!$B:$B,0))</f>
        <v>Advanced</v>
      </c>
      <c r="S55" s="139" t="b">
        <f>IF($D55="EoK",INDEX(Mapping!$I:$I,MATCH($G$3&amp;$G55,Mapping!B:B,0)),FALSE)</f>
        <v>0</v>
      </c>
      <c r="T55" s="139"/>
      <c r="U55" s="520" t="str">
        <f t="shared" si="24"/>
        <v>LiteMetro100</v>
      </c>
      <c r="W55" s="521">
        <f>MATCH($J55,'Tarieven ZM'!$B:$B,0)</f>
        <v>59</v>
      </c>
      <c r="X55" s="204">
        <f>INDEX('Tarieven ZM'!$H:$H,$W55)</f>
        <v>1000</v>
      </c>
      <c r="Y55" s="198">
        <f>-INDEX(Parameters!$B:$B,MATCH(Y$3&amp;$C55,Parameters!$A:$A,0))*$X55</f>
        <v>0</v>
      </c>
      <c r="Z55" s="198">
        <f>-INDEX(Parameters!$B:$B,MATCH(Z$3&amp;$C55,Parameters!$A:$A,0))*$X55</f>
        <v>0</v>
      </c>
      <c r="AA55" s="139">
        <f t="shared" si="26"/>
        <v>1000</v>
      </c>
      <c r="AB55" s="205">
        <f>AA55/INDEX(Parameters!$B:$B,MATCH("AfschrijftermijnVVE"&amp;12*$C55,Parameters!$A:$A,0))</f>
        <v>27.777777777777779</v>
      </c>
      <c r="AC55" s="204">
        <f>INDEX('Tarieven ZM'!$G:$G,$W55)</f>
        <v>1000</v>
      </c>
      <c r="AD55" s="198">
        <f>-INDEX(Parameters!$B:$B,MATCH(AD$3&amp;$C55,Parameters!$A:$A,0))*$AC55</f>
        <v>0</v>
      </c>
      <c r="AE55" s="198">
        <f>-INDEX(Parameters!$B:$B,MATCH(AE$3,Parameters!$A:$A,0))*$AC55</f>
        <v>0</v>
      </c>
      <c r="AF55" s="139">
        <f t="shared" si="27"/>
        <v>1000</v>
      </c>
      <c r="AG55" s="522">
        <f t="shared" si="28"/>
        <v>1027.7777777777778</v>
      </c>
      <c r="AH55" s="175"/>
      <c r="AI55" s="523">
        <f>MATCH($U55,'Tarieven W&amp;O'!$B:$B,0)</f>
        <v>49</v>
      </c>
      <c r="AJ55" s="204">
        <f>IF(AI55&lt;&gt;"nvt",INDEX('Tarieven W&amp;O'!$H:$H,$AI55),0)</f>
        <v>0</v>
      </c>
      <c r="AK55" s="204">
        <f>IF(AI55&lt;&gt;"nvt",INDEX('Tarieven W&amp;O'!$I:$I,$AI55),0)</f>
        <v>25</v>
      </c>
      <c r="AL55" s="524">
        <f>IF(AI55&lt;&gt;"nvt",-INDEX(Parameters!$B:$B,MATCH(AL$3,Parameters!$A:$A,0))*(AJ55+AK55),0)</f>
        <v>0</v>
      </c>
      <c r="AM55" s="525"/>
      <c r="AN55" s="139">
        <f t="shared" si="29"/>
        <v>25</v>
      </c>
      <c r="AO55" s="205">
        <f>AN55/INDEX(Parameters!$B:$B,MATCH("AfschrijftermijnVVE"&amp;12*$C55,Parameters!$A:$A,0))</f>
        <v>0.69444444444444442</v>
      </c>
      <c r="AP55" s="139">
        <f t="shared" si="30"/>
        <v>49</v>
      </c>
      <c r="AQ55" s="526">
        <f>IF(AP55&lt;&gt;"nvt",INDEX('Tarieven W&amp;O'!$G:$G,$AP55),0)</f>
        <v>71.239999999999995</v>
      </c>
      <c r="AR55" s="251">
        <f>IF($S55,INDEX('Tarieven W&amp;O'!$G:$G,MATCH(N55&amp;R55,'Tarieven W&amp;O'!$B:$B,0)),0)</f>
        <v>0</v>
      </c>
      <c r="AS55" s="205">
        <f>-INDEX(Parameters!$B:$B,MATCH(AS$3,Parameters!$A:$A,0))*(AQ55+AR55)</f>
        <v>0</v>
      </c>
      <c r="AT55" s="205">
        <f>INDEX(hulpblad!$E:$E,MATCH(M55&amp;Q55,hulpblad!$B:$B,0))</f>
        <v>2</v>
      </c>
      <c r="AU55" s="150">
        <f t="shared" si="33"/>
        <v>73.239999999999995</v>
      </c>
      <c r="AV55" s="150">
        <f t="shared" si="34"/>
        <v>73.934444444444438</v>
      </c>
      <c r="AX55" s="526">
        <f>Parameters!$B$6*AV55</f>
        <v>0.73934444444444436</v>
      </c>
      <c r="AY55" s="150">
        <v>0</v>
      </c>
      <c r="AZ55" s="150"/>
      <c r="BA55" s="150">
        <f t="shared" si="31"/>
        <v>0.73934444444444436</v>
      </c>
      <c r="BB55" s="150"/>
      <c r="BC55" s="522">
        <f t="shared" si="32"/>
        <v>74.673788888888879</v>
      </c>
      <c r="BD55" s="175"/>
      <c r="BE55" s="527">
        <f t="shared" si="35"/>
        <v>953.10398888888892</v>
      </c>
      <c r="BF55" s="181">
        <f t="shared" si="36"/>
        <v>0.92734442162162156</v>
      </c>
      <c r="BG55" s="520" t="b">
        <f t="shared" si="25"/>
        <v>0</v>
      </c>
      <c r="BI55" s="528" t="s">
        <v>2181</v>
      </c>
      <c r="BL55" s="151" t="str">
        <f t="shared" si="38"/>
        <v>EoKMetro - Nationaal</v>
      </c>
      <c r="BM55" s="529">
        <v>0</v>
      </c>
      <c r="BN55" s="180">
        <f>BM55/INDEX(Parameters!$B:$B,MATCH("AfschrijftermijnVVE"&amp;12*$C55,Parameters!$A:$A,0))</f>
        <v>0</v>
      </c>
      <c r="BO55" s="184">
        <f>INDEX('inkoop ULL tbv EVPN'!I:I,MATCH(BL55,'inkoop ULL tbv EVPN'!H:H,0))</f>
        <v>2</v>
      </c>
      <c r="BP55" s="184">
        <f t="shared" si="39"/>
        <v>2</v>
      </c>
      <c r="BR55" s="180">
        <f>Parameters!$B$12*AG55</f>
        <v>102.77777777777779</v>
      </c>
      <c r="BS55" s="180">
        <f>SUM(Distributievergoedingen!$F$12,Distributievergoedingen!$I$12,Distributievergoedingen!$L$12,Distributievergoedingen!$O$12)*AF55+SUM(Distributievergoedingen!$O$12*AA55+Distributievergoedingen!$R$12+Distributievergoedingen!$U$12+Distributievergoedingen!$X$12)/(MAX(36,12*C55))</f>
        <v>112.77777777777777</v>
      </c>
      <c r="BT55" s="150"/>
      <c r="BU55" s="150">
        <f t="shared" si="40"/>
        <v>215.55555555555554</v>
      </c>
      <c r="BW55" s="522">
        <f t="shared" si="41"/>
        <v>217.55555555555554</v>
      </c>
      <c r="BY55" s="527">
        <f t="shared" si="42"/>
        <v>810.22222222222229</v>
      </c>
      <c r="BZ55" s="181">
        <f t="shared" si="43"/>
        <v>0.78832432432432431</v>
      </c>
      <c r="CA55" s="520" t="b">
        <f t="shared" si="44"/>
        <v>0</v>
      </c>
    </row>
    <row r="56" spans="1:79" s="151" customFormat="1">
      <c r="A56" s="151" t="str">
        <f t="shared" si="37"/>
        <v>1EoKEntryNationaal200</v>
      </c>
      <c r="B56" s="520" t="str">
        <f t="shared" si="22"/>
        <v>1EoKEntryNationaal200</v>
      </c>
      <c r="C56" s="179">
        <v>1</v>
      </c>
      <c r="D56" s="179" t="s">
        <v>303</v>
      </c>
      <c r="E56" s="178" t="s">
        <v>45</v>
      </c>
      <c r="F56" s="178" t="s">
        <v>266</v>
      </c>
      <c r="G56" s="185" t="s">
        <v>419</v>
      </c>
      <c r="J56" s="520" t="str">
        <f t="shared" si="23"/>
        <v>EntryNationaal200</v>
      </c>
      <c r="L56" s="204">
        <f>INDEX(Mapping!$H:$H,MATCH(C$3&amp;C56,Mapping!$B:$B,0))</f>
        <v>1</v>
      </c>
      <c r="M56" s="204" t="str">
        <f>INDEX(Mapping!$H:$H,MATCH(D$3&amp;$D56,Mapping!$B:$B,0))</f>
        <v>EoK</v>
      </c>
      <c r="N56" s="204" t="str">
        <f>INDEX(Mapping!$H:$H,MATCH(E$3&amp;E56,Mapping!$B:$B,0))</f>
        <v>Lite</v>
      </c>
      <c r="O56" s="204" t="str">
        <f>INDEX(Mapping!$H:$H,MATCH(F$3&amp;F56,Mapping!$B:$B,0))</f>
        <v>Metro</v>
      </c>
      <c r="P56" s="204">
        <f>INDEX(Mapping!$H:$H,MATCH(G$3&amp;G56,Mapping!$B:$B,0))</f>
        <v>200</v>
      </c>
      <c r="Q56" s="204" t="str">
        <f>INDEX(Mapping!$H:$H,MATCH(Q$3&amp;$F56,Mapping!$B:$B,0))</f>
        <v>Metro - Nationaal</v>
      </c>
      <c r="R56" s="204" t="str">
        <f>INDEX(Mapping!$H:$H,MATCH("ZM VPN Service Level"&amp;E56,Mapping!$B:$B,0))</f>
        <v>Advanced</v>
      </c>
      <c r="S56" s="139" t="b">
        <f>IF($D56="EoK",INDEX(Mapping!$I:$I,MATCH($G$3&amp;$G56,Mapping!B:B,0)),FALSE)</f>
        <v>0</v>
      </c>
      <c r="T56" s="139"/>
      <c r="U56" s="520" t="str">
        <f t="shared" si="24"/>
        <v>LiteMetro200</v>
      </c>
      <c r="W56" s="521">
        <f>MATCH($J56,'Tarieven ZM'!$B:$B,0)</f>
        <v>60</v>
      </c>
      <c r="X56" s="204">
        <f>INDEX('Tarieven ZM'!$H:$H,$W56)</f>
        <v>1000</v>
      </c>
      <c r="Y56" s="198">
        <f>-INDEX(Parameters!$B:$B,MATCH(Y$3&amp;$C56,Parameters!$A:$A,0))*$X56</f>
        <v>0</v>
      </c>
      <c r="Z56" s="198">
        <f>-INDEX(Parameters!$B:$B,MATCH(Z$3&amp;$C56,Parameters!$A:$A,0))*$X56</f>
        <v>0</v>
      </c>
      <c r="AA56" s="139">
        <f t="shared" si="26"/>
        <v>1000</v>
      </c>
      <c r="AB56" s="205">
        <f>AA56/INDEX(Parameters!$B:$B,MATCH("AfschrijftermijnVVE"&amp;12*$C56,Parameters!$A:$A,0))</f>
        <v>27.777777777777779</v>
      </c>
      <c r="AC56" s="204">
        <f>INDEX('Tarieven ZM'!$G:$G,$W56)</f>
        <v>1000</v>
      </c>
      <c r="AD56" s="198">
        <f>-INDEX(Parameters!$B:$B,MATCH(AD$3&amp;$C56,Parameters!$A:$A,0))*$AC56</f>
        <v>0</v>
      </c>
      <c r="AE56" s="198">
        <f>-INDEX(Parameters!$B:$B,MATCH(AE$3,Parameters!$A:$A,0))*$AC56</f>
        <v>0</v>
      </c>
      <c r="AF56" s="139">
        <f t="shared" si="27"/>
        <v>1000</v>
      </c>
      <c r="AG56" s="522">
        <f t="shared" si="28"/>
        <v>1027.7777777777778</v>
      </c>
      <c r="AH56" s="175"/>
      <c r="AI56" s="523">
        <f>MATCH($U56,'Tarieven W&amp;O'!$B:$B,0)</f>
        <v>50</v>
      </c>
      <c r="AJ56" s="204">
        <f>IF(AI56&lt;&gt;"nvt",INDEX('Tarieven W&amp;O'!$H:$H,$AI56),0)</f>
        <v>0</v>
      </c>
      <c r="AK56" s="204">
        <f>IF(AI56&lt;&gt;"nvt",INDEX('Tarieven W&amp;O'!$I:$I,$AI56),0)</f>
        <v>25</v>
      </c>
      <c r="AL56" s="524">
        <f>IF(AI56&lt;&gt;"nvt",-INDEX(Parameters!$B:$B,MATCH(AL$3,Parameters!$A:$A,0))*(AJ56+AK56),0)</f>
        <v>0</v>
      </c>
      <c r="AM56" s="525"/>
      <c r="AN56" s="139">
        <f t="shared" si="29"/>
        <v>25</v>
      </c>
      <c r="AO56" s="205">
        <f>AN56/INDEX(Parameters!$B:$B,MATCH("AfschrijftermijnVVE"&amp;12*$C56,Parameters!$A:$A,0))</f>
        <v>0.69444444444444442</v>
      </c>
      <c r="AP56" s="139">
        <f t="shared" si="30"/>
        <v>50</v>
      </c>
      <c r="AQ56" s="526">
        <f>IF(AP56&lt;&gt;"nvt",INDEX('Tarieven W&amp;O'!$G:$G,$AP56),0)</f>
        <v>108.93</v>
      </c>
      <c r="AR56" s="251">
        <f>IF($S56,INDEX('Tarieven W&amp;O'!$G:$G,MATCH(N56&amp;R56,'Tarieven W&amp;O'!$B:$B,0)),0)</f>
        <v>0</v>
      </c>
      <c r="AS56" s="205">
        <f>-INDEX(Parameters!$B:$B,MATCH(AS$3,Parameters!$A:$A,0))*(AQ56+AR56)</f>
        <v>0</v>
      </c>
      <c r="AT56" s="205">
        <f>INDEX(hulpblad!$E:$E,MATCH(M56&amp;Q56,hulpblad!$B:$B,0))</f>
        <v>2</v>
      </c>
      <c r="AU56" s="150">
        <f t="shared" si="33"/>
        <v>110.93</v>
      </c>
      <c r="AV56" s="150">
        <f t="shared" si="34"/>
        <v>111.62444444444445</v>
      </c>
      <c r="AX56" s="526">
        <f>Parameters!$B$6*AV56</f>
        <v>1.1162444444444446</v>
      </c>
      <c r="AY56" s="150">
        <v>0</v>
      </c>
      <c r="AZ56" s="150"/>
      <c r="BA56" s="150">
        <f t="shared" si="31"/>
        <v>1.1162444444444446</v>
      </c>
      <c r="BB56" s="150"/>
      <c r="BC56" s="522">
        <f t="shared" si="32"/>
        <v>112.7406888888889</v>
      </c>
      <c r="BD56" s="175"/>
      <c r="BE56" s="527">
        <f t="shared" si="35"/>
        <v>915.03708888888889</v>
      </c>
      <c r="BF56" s="181">
        <f t="shared" si="36"/>
        <v>0.89030635675675673</v>
      </c>
      <c r="BG56" s="520" t="b">
        <f t="shared" si="25"/>
        <v>0</v>
      </c>
      <c r="BI56" s="528" t="s">
        <v>2181</v>
      </c>
      <c r="BL56" s="151" t="str">
        <f t="shared" si="38"/>
        <v>EoKMetro - Nationaal</v>
      </c>
      <c r="BM56" s="529">
        <v>0</v>
      </c>
      <c r="BN56" s="180">
        <f>BM56/INDEX(Parameters!$B:$B,MATCH("AfschrijftermijnVVE"&amp;12*$C56,Parameters!$A:$A,0))</f>
        <v>0</v>
      </c>
      <c r="BO56" s="184">
        <f>INDEX('inkoop ULL tbv EVPN'!I:I,MATCH(BL56,'inkoop ULL tbv EVPN'!H:H,0))</f>
        <v>2</v>
      </c>
      <c r="BP56" s="184">
        <f t="shared" si="39"/>
        <v>2</v>
      </c>
      <c r="BR56" s="180">
        <f>Parameters!$B$12*AG56</f>
        <v>102.77777777777779</v>
      </c>
      <c r="BS56" s="180">
        <f>SUM(Distributievergoedingen!$F$12,Distributievergoedingen!$I$12,Distributievergoedingen!$L$12,Distributievergoedingen!$O$12)*AF56+SUM(Distributievergoedingen!$O$12*AA56+Distributievergoedingen!$R$12+Distributievergoedingen!$U$12+Distributievergoedingen!$X$12)/(MAX(36,12*C56))</f>
        <v>112.77777777777777</v>
      </c>
      <c r="BT56" s="150"/>
      <c r="BU56" s="150">
        <f t="shared" si="40"/>
        <v>215.55555555555554</v>
      </c>
      <c r="BW56" s="522">
        <f t="shared" si="41"/>
        <v>217.55555555555554</v>
      </c>
      <c r="BY56" s="527">
        <f t="shared" si="42"/>
        <v>810.22222222222229</v>
      </c>
      <c r="BZ56" s="181">
        <f t="shared" si="43"/>
        <v>0.78832432432432431</v>
      </c>
      <c r="CA56" s="520" t="b">
        <f t="shared" si="44"/>
        <v>0</v>
      </c>
    </row>
    <row r="57" spans="1:79" s="151" customFormat="1">
      <c r="A57" s="151" t="str">
        <f t="shared" si="37"/>
        <v>1EoKEntryNationaal300</v>
      </c>
      <c r="B57" s="520" t="str">
        <f t="shared" si="22"/>
        <v>1EoKEntryNationaal300</v>
      </c>
      <c r="C57" s="179">
        <v>1</v>
      </c>
      <c r="D57" s="179" t="s">
        <v>303</v>
      </c>
      <c r="E57" s="178" t="s">
        <v>45</v>
      </c>
      <c r="F57" s="178" t="s">
        <v>266</v>
      </c>
      <c r="G57" s="185" t="s">
        <v>420</v>
      </c>
      <c r="J57" s="520" t="str">
        <f t="shared" si="23"/>
        <v>EntryNationaal300</v>
      </c>
      <c r="L57" s="204">
        <f>INDEX(Mapping!$H:$H,MATCH(C$3&amp;C57,Mapping!$B:$B,0))</f>
        <v>1</v>
      </c>
      <c r="M57" s="204" t="str">
        <f>INDEX(Mapping!$H:$H,MATCH(D$3&amp;$D57,Mapping!$B:$B,0))</f>
        <v>EoK</v>
      </c>
      <c r="N57" s="204" t="str">
        <f>INDEX(Mapping!$H:$H,MATCH(E$3&amp;E57,Mapping!$B:$B,0))</f>
        <v>Lite</v>
      </c>
      <c r="O57" s="204" t="str">
        <f>INDEX(Mapping!$H:$H,MATCH(F$3&amp;F57,Mapping!$B:$B,0))</f>
        <v>Metro</v>
      </c>
      <c r="P57" s="204">
        <f>INDEX(Mapping!$H:$H,MATCH(G$3&amp;G57,Mapping!$B:$B,0))</f>
        <v>300</v>
      </c>
      <c r="Q57" s="204" t="str">
        <f>INDEX(Mapping!$H:$H,MATCH(Q$3&amp;$F57,Mapping!$B:$B,0))</f>
        <v>Metro - Nationaal</v>
      </c>
      <c r="R57" s="204" t="str">
        <f>INDEX(Mapping!$H:$H,MATCH("ZM VPN Service Level"&amp;E57,Mapping!$B:$B,0))</f>
        <v>Advanced</v>
      </c>
      <c r="S57" s="139" t="b">
        <f>IF($D57="EoK",INDEX(Mapping!$I:$I,MATCH($G$3&amp;$G57,Mapping!B:B,0)),FALSE)</f>
        <v>0</v>
      </c>
      <c r="T57" s="139"/>
      <c r="U57" s="520" t="str">
        <f t="shared" si="24"/>
        <v>LiteMetro300</v>
      </c>
      <c r="W57" s="521">
        <f>MATCH($J57,'Tarieven ZM'!$B:$B,0)</f>
        <v>61</v>
      </c>
      <c r="X57" s="204">
        <f>INDEX('Tarieven ZM'!$H:$H,$W57)</f>
        <v>1000</v>
      </c>
      <c r="Y57" s="198">
        <f>-INDEX(Parameters!$B:$B,MATCH(Y$3&amp;$C57,Parameters!$A:$A,0))*$X57</f>
        <v>0</v>
      </c>
      <c r="Z57" s="198">
        <f>-INDEX(Parameters!$B:$B,MATCH(Z$3&amp;$C57,Parameters!$A:$A,0))*$X57</f>
        <v>0</v>
      </c>
      <c r="AA57" s="139">
        <f t="shared" si="26"/>
        <v>1000</v>
      </c>
      <c r="AB57" s="205">
        <f>AA57/INDEX(Parameters!$B:$B,MATCH("AfschrijftermijnVVE"&amp;12*$C57,Parameters!$A:$A,0))</f>
        <v>27.777777777777779</v>
      </c>
      <c r="AC57" s="204">
        <f>INDEX('Tarieven ZM'!$G:$G,$W57)</f>
        <v>1000</v>
      </c>
      <c r="AD57" s="198">
        <f>-INDEX(Parameters!$B:$B,MATCH(AD$3&amp;$C57,Parameters!$A:$A,0))*$AC57</f>
        <v>0</v>
      </c>
      <c r="AE57" s="198">
        <f>-INDEX(Parameters!$B:$B,MATCH(AE$3,Parameters!$A:$A,0))*$AC57</f>
        <v>0</v>
      </c>
      <c r="AF57" s="139">
        <f t="shared" si="27"/>
        <v>1000</v>
      </c>
      <c r="AG57" s="522">
        <f t="shared" si="28"/>
        <v>1027.7777777777778</v>
      </c>
      <c r="AH57" s="175"/>
      <c r="AI57" s="523">
        <f>MATCH($U57,'Tarieven W&amp;O'!$B:$B,0)</f>
        <v>51</v>
      </c>
      <c r="AJ57" s="204">
        <f>IF(AI57&lt;&gt;"nvt",INDEX('Tarieven W&amp;O'!$H:$H,$AI57),0)</f>
        <v>0</v>
      </c>
      <c r="AK57" s="204">
        <f>IF(AI57&lt;&gt;"nvt",INDEX('Tarieven W&amp;O'!$I:$I,$AI57),0)</f>
        <v>25</v>
      </c>
      <c r="AL57" s="524">
        <f>IF(AI57&lt;&gt;"nvt",-INDEX(Parameters!$B:$B,MATCH(AL$3,Parameters!$A:$A,0))*(AJ57+AK57),0)</f>
        <v>0</v>
      </c>
      <c r="AM57" s="525"/>
      <c r="AN57" s="139">
        <f t="shared" si="29"/>
        <v>25</v>
      </c>
      <c r="AO57" s="205">
        <f>AN57/INDEX(Parameters!$B:$B,MATCH("AfschrijftermijnVVE"&amp;12*$C57,Parameters!$A:$A,0))</f>
        <v>0.69444444444444442</v>
      </c>
      <c r="AP57" s="139">
        <f t="shared" si="30"/>
        <v>51</v>
      </c>
      <c r="AQ57" s="526">
        <f>IF(AP57&lt;&gt;"nvt",INDEX('Tarieven W&amp;O'!$G:$G,$AP57),0)</f>
        <v>127.77</v>
      </c>
      <c r="AR57" s="251">
        <f>IF($S57,INDEX('Tarieven W&amp;O'!$G:$G,MATCH(N57&amp;R57,'Tarieven W&amp;O'!$B:$B,0)),0)</f>
        <v>0</v>
      </c>
      <c r="AS57" s="205">
        <f>-INDEX(Parameters!$B:$B,MATCH(AS$3,Parameters!$A:$A,0))*(AQ57+AR57)</f>
        <v>0</v>
      </c>
      <c r="AT57" s="205">
        <f>INDEX(hulpblad!$E:$E,MATCH(M57&amp;Q57,hulpblad!$B:$B,0))</f>
        <v>2</v>
      </c>
      <c r="AU57" s="150">
        <f t="shared" si="33"/>
        <v>129.76999999999998</v>
      </c>
      <c r="AV57" s="150">
        <f t="shared" si="34"/>
        <v>130.46444444444444</v>
      </c>
      <c r="AX57" s="526">
        <f>Parameters!$B$6*AV57</f>
        <v>1.3046444444444445</v>
      </c>
      <c r="AY57" s="150">
        <v>0</v>
      </c>
      <c r="AZ57" s="150"/>
      <c r="BA57" s="150">
        <f t="shared" si="31"/>
        <v>1.3046444444444445</v>
      </c>
      <c r="BB57" s="150"/>
      <c r="BC57" s="522">
        <f t="shared" si="32"/>
        <v>131.76908888888889</v>
      </c>
      <c r="BD57" s="175"/>
      <c r="BE57" s="527">
        <f t="shared" si="35"/>
        <v>896.00868888888897</v>
      </c>
      <c r="BF57" s="181">
        <f t="shared" si="36"/>
        <v>0.87179223783783788</v>
      </c>
      <c r="BG57" s="520" t="b">
        <f t="shared" si="25"/>
        <v>0</v>
      </c>
      <c r="BI57" s="528" t="s">
        <v>2181</v>
      </c>
      <c r="BL57" s="151" t="str">
        <f t="shared" si="38"/>
        <v>EoKMetro - Nationaal</v>
      </c>
      <c r="BM57" s="529">
        <v>0</v>
      </c>
      <c r="BN57" s="180">
        <f>BM57/INDEX(Parameters!$B:$B,MATCH("AfschrijftermijnVVE"&amp;12*$C57,Parameters!$A:$A,0))</f>
        <v>0</v>
      </c>
      <c r="BO57" s="184">
        <f>INDEX('inkoop ULL tbv EVPN'!I:I,MATCH(BL57,'inkoop ULL tbv EVPN'!H:H,0))</f>
        <v>2</v>
      </c>
      <c r="BP57" s="184">
        <f t="shared" si="39"/>
        <v>2</v>
      </c>
      <c r="BR57" s="180">
        <f>Parameters!$B$12*AG57</f>
        <v>102.77777777777779</v>
      </c>
      <c r="BS57" s="180">
        <f>SUM(Distributievergoedingen!$F$12,Distributievergoedingen!$I$12,Distributievergoedingen!$L$12,Distributievergoedingen!$O$12)*AF57+SUM(Distributievergoedingen!$O$12*AA57+Distributievergoedingen!$R$12+Distributievergoedingen!$U$12+Distributievergoedingen!$X$12)/(MAX(36,12*C57))</f>
        <v>112.77777777777777</v>
      </c>
      <c r="BT57" s="150"/>
      <c r="BU57" s="150">
        <f t="shared" si="40"/>
        <v>215.55555555555554</v>
      </c>
      <c r="BW57" s="522">
        <f t="shared" si="41"/>
        <v>217.55555555555554</v>
      </c>
      <c r="BY57" s="527">
        <f t="shared" si="42"/>
        <v>810.22222222222229</v>
      </c>
      <c r="BZ57" s="181">
        <f t="shared" si="43"/>
        <v>0.78832432432432431</v>
      </c>
      <c r="CA57" s="520" t="b">
        <f t="shared" si="44"/>
        <v>0</v>
      </c>
    </row>
    <row r="58" spans="1:79" s="151" customFormat="1">
      <c r="A58" s="151" t="str">
        <f t="shared" si="37"/>
        <v>1EoKEntryNationaal500</v>
      </c>
      <c r="B58" s="520" t="str">
        <f t="shared" si="22"/>
        <v>1EoKEntryNationaal500</v>
      </c>
      <c r="C58" s="179">
        <v>1</v>
      </c>
      <c r="D58" s="179" t="s">
        <v>303</v>
      </c>
      <c r="E58" s="178" t="s">
        <v>45</v>
      </c>
      <c r="F58" s="178" t="s">
        <v>266</v>
      </c>
      <c r="G58" s="185" t="s">
        <v>421</v>
      </c>
      <c r="J58" s="520" t="str">
        <f t="shared" si="23"/>
        <v>EntryNationaal500</v>
      </c>
      <c r="L58" s="204">
        <f>INDEX(Mapping!$H:$H,MATCH(C$3&amp;C58,Mapping!$B:$B,0))</f>
        <v>1</v>
      </c>
      <c r="M58" s="204" t="str">
        <f>INDEX(Mapping!$H:$H,MATCH(D$3&amp;$D58,Mapping!$B:$B,0))</f>
        <v>EoK</v>
      </c>
      <c r="N58" s="204" t="str">
        <f>INDEX(Mapping!$H:$H,MATCH(E$3&amp;E58,Mapping!$B:$B,0))</f>
        <v>Lite</v>
      </c>
      <c r="O58" s="204" t="str">
        <f>INDEX(Mapping!$H:$H,MATCH(F$3&amp;F58,Mapping!$B:$B,0))</f>
        <v>Metro</v>
      </c>
      <c r="P58" s="204">
        <f>INDEX(Mapping!$H:$H,MATCH(G$3&amp;G58,Mapping!$B:$B,0))</f>
        <v>500</v>
      </c>
      <c r="Q58" s="204" t="str">
        <f>INDEX(Mapping!$H:$H,MATCH(Q$3&amp;$F58,Mapping!$B:$B,0))</f>
        <v>Metro - Nationaal</v>
      </c>
      <c r="R58" s="204" t="str">
        <f>INDEX(Mapping!$H:$H,MATCH("ZM VPN Service Level"&amp;E58,Mapping!$B:$B,0))</f>
        <v>Advanced</v>
      </c>
      <c r="S58" s="139" t="b">
        <f>IF($D58="EoK",INDEX(Mapping!$I:$I,MATCH($G$3&amp;$G58,Mapping!B:B,0)),FALSE)</f>
        <v>0</v>
      </c>
      <c r="T58" s="139"/>
      <c r="U58" s="520" t="str">
        <f t="shared" si="24"/>
        <v>LiteMetro500</v>
      </c>
      <c r="W58" s="521">
        <f>MATCH($J58,'Tarieven ZM'!$B:$B,0)</f>
        <v>62</v>
      </c>
      <c r="X58" s="204">
        <f>INDEX('Tarieven ZM'!$H:$H,$W58)</f>
        <v>1000</v>
      </c>
      <c r="Y58" s="198">
        <f>-INDEX(Parameters!$B:$B,MATCH(Y$3&amp;$C58,Parameters!$A:$A,0))*$X58</f>
        <v>0</v>
      </c>
      <c r="Z58" s="198">
        <f>-INDEX(Parameters!$B:$B,MATCH(Z$3&amp;$C58,Parameters!$A:$A,0))*$X58</f>
        <v>0</v>
      </c>
      <c r="AA58" s="139">
        <f t="shared" si="26"/>
        <v>1000</v>
      </c>
      <c r="AB58" s="205">
        <f>AA58/INDEX(Parameters!$B:$B,MATCH("AfschrijftermijnVVE"&amp;12*$C58,Parameters!$A:$A,0))</f>
        <v>27.777777777777779</v>
      </c>
      <c r="AC58" s="204">
        <f>INDEX('Tarieven ZM'!$G:$G,$W58)</f>
        <v>1000</v>
      </c>
      <c r="AD58" s="198">
        <f>-INDEX(Parameters!$B:$B,MATCH(AD$3&amp;$C58,Parameters!$A:$A,0))*$AC58</f>
        <v>0</v>
      </c>
      <c r="AE58" s="198">
        <f>-INDEX(Parameters!$B:$B,MATCH(AE$3,Parameters!$A:$A,0))*$AC58</f>
        <v>0</v>
      </c>
      <c r="AF58" s="139">
        <f t="shared" si="27"/>
        <v>1000</v>
      </c>
      <c r="AG58" s="522">
        <f t="shared" si="28"/>
        <v>1027.7777777777778</v>
      </c>
      <c r="AH58" s="175"/>
      <c r="AI58" s="523">
        <f>MATCH($U58,'Tarieven W&amp;O'!$B:$B,0)</f>
        <v>52</v>
      </c>
      <c r="AJ58" s="204">
        <f>IF(AI58&lt;&gt;"nvt",INDEX('Tarieven W&amp;O'!$H:$H,$AI58),0)</f>
        <v>0</v>
      </c>
      <c r="AK58" s="204">
        <f>IF(AI58&lt;&gt;"nvt",INDEX('Tarieven W&amp;O'!$I:$I,$AI58),0)</f>
        <v>25</v>
      </c>
      <c r="AL58" s="524">
        <f>IF(AI58&lt;&gt;"nvt",-INDEX(Parameters!$B:$B,MATCH(AL$3,Parameters!$A:$A,0))*(AJ58+AK58),0)</f>
        <v>0</v>
      </c>
      <c r="AM58" s="525"/>
      <c r="AN58" s="139">
        <f t="shared" si="29"/>
        <v>25</v>
      </c>
      <c r="AO58" s="205">
        <f>AN58/INDEX(Parameters!$B:$B,MATCH("AfschrijftermijnVVE"&amp;12*$C58,Parameters!$A:$A,0))</f>
        <v>0.69444444444444442</v>
      </c>
      <c r="AP58" s="139">
        <f t="shared" si="30"/>
        <v>52</v>
      </c>
      <c r="AQ58" s="526">
        <f>IF(AP58&lt;&gt;"nvt",INDEX('Tarieven W&amp;O'!$G:$G,$AP58),0)</f>
        <v>161.69</v>
      </c>
      <c r="AR58" s="251">
        <f>IF($S58,INDEX('Tarieven W&amp;O'!$G:$G,MATCH(N58&amp;R58,'Tarieven W&amp;O'!$B:$B,0)),0)</f>
        <v>0</v>
      </c>
      <c r="AS58" s="205">
        <f>-INDEX(Parameters!$B:$B,MATCH(AS$3,Parameters!$A:$A,0))*(AQ58+AR58)</f>
        <v>0</v>
      </c>
      <c r="AT58" s="205">
        <f>INDEX(hulpblad!$E:$E,MATCH(M58&amp;Q58,hulpblad!$B:$B,0))</f>
        <v>2</v>
      </c>
      <c r="AU58" s="150">
        <f t="shared" si="33"/>
        <v>163.69</v>
      </c>
      <c r="AV58" s="150">
        <f t="shared" si="34"/>
        <v>164.38444444444445</v>
      </c>
      <c r="AX58" s="526">
        <f>Parameters!$B$6*AV58</f>
        <v>1.6438444444444447</v>
      </c>
      <c r="AY58" s="150">
        <v>0</v>
      </c>
      <c r="AZ58" s="150"/>
      <c r="BA58" s="150">
        <f t="shared" si="31"/>
        <v>1.6438444444444447</v>
      </c>
      <c r="BB58" s="150"/>
      <c r="BC58" s="522">
        <f t="shared" si="32"/>
        <v>166.02828888888891</v>
      </c>
      <c r="BD58" s="175"/>
      <c r="BE58" s="527">
        <f t="shared" si="35"/>
        <v>861.74948888888889</v>
      </c>
      <c r="BF58" s="181">
        <f t="shared" si="36"/>
        <v>0.83845896216216209</v>
      </c>
      <c r="BG58" s="520" t="b">
        <f t="shared" si="25"/>
        <v>0</v>
      </c>
      <c r="BI58" s="528" t="s">
        <v>2181</v>
      </c>
      <c r="BL58" s="151" t="str">
        <f t="shared" si="38"/>
        <v>EoKMetro - Nationaal</v>
      </c>
      <c r="BM58" s="529">
        <v>0</v>
      </c>
      <c r="BN58" s="180">
        <f>BM58/INDEX(Parameters!$B:$B,MATCH("AfschrijftermijnVVE"&amp;12*$C58,Parameters!$A:$A,0))</f>
        <v>0</v>
      </c>
      <c r="BO58" s="184">
        <f>INDEX('inkoop ULL tbv EVPN'!I:I,MATCH(BL58,'inkoop ULL tbv EVPN'!H:H,0))</f>
        <v>2</v>
      </c>
      <c r="BP58" s="184">
        <f t="shared" si="39"/>
        <v>2</v>
      </c>
      <c r="BR58" s="180">
        <f>Parameters!$B$12*AG58</f>
        <v>102.77777777777779</v>
      </c>
      <c r="BS58" s="180">
        <f>SUM(Distributievergoedingen!$F$12,Distributievergoedingen!$I$12,Distributievergoedingen!$L$12,Distributievergoedingen!$O$12)*AF58+SUM(Distributievergoedingen!$O$12*AA58+Distributievergoedingen!$R$12+Distributievergoedingen!$U$12+Distributievergoedingen!$X$12)/(MAX(36,12*C58))</f>
        <v>112.77777777777777</v>
      </c>
      <c r="BT58" s="150"/>
      <c r="BU58" s="150">
        <f t="shared" si="40"/>
        <v>215.55555555555554</v>
      </c>
      <c r="BW58" s="522">
        <f t="shared" si="41"/>
        <v>217.55555555555554</v>
      </c>
      <c r="BY58" s="527">
        <f t="shared" si="42"/>
        <v>810.22222222222229</v>
      </c>
      <c r="BZ58" s="181">
        <f t="shared" si="43"/>
        <v>0.78832432432432431</v>
      </c>
      <c r="CA58" s="520" t="b">
        <f t="shared" si="44"/>
        <v>0</v>
      </c>
    </row>
    <row r="59" spans="1:79" s="151" customFormat="1">
      <c r="A59" s="151" t="str">
        <f t="shared" si="37"/>
        <v>1EoKEntryNationaal800</v>
      </c>
      <c r="B59" s="520" t="str">
        <f t="shared" si="22"/>
        <v>1EoKEntryNationaal800</v>
      </c>
      <c r="C59" s="179">
        <v>1</v>
      </c>
      <c r="D59" s="179" t="s">
        <v>303</v>
      </c>
      <c r="E59" s="178" t="s">
        <v>45</v>
      </c>
      <c r="F59" s="178" t="s">
        <v>266</v>
      </c>
      <c r="G59" s="185" t="s">
        <v>422</v>
      </c>
      <c r="J59" s="520" t="str">
        <f t="shared" si="23"/>
        <v>EntryNationaal800</v>
      </c>
      <c r="L59" s="204">
        <f>INDEX(Mapping!$H:$H,MATCH(C$3&amp;C59,Mapping!$B:$B,0))</f>
        <v>1</v>
      </c>
      <c r="M59" s="204" t="str">
        <f>INDEX(Mapping!$H:$H,MATCH(D$3&amp;$D59,Mapping!$B:$B,0))</f>
        <v>EoK</v>
      </c>
      <c r="N59" s="204" t="str">
        <f>INDEX(Mapping!$H:$H,MATCH(E$3&amp;E59,Mapping!$B:$B,0))</f>
        <v>Lite</v>
      </c>
      <c r="O59" s="204" t="str">
        <f>INDEX(Mapping!$H:$H,MATCH(F$3&amp;F59,Mapping!$B:$B,0))</f>
        <v>Metro</v>
      </c>
      <c r="P59" s="204">
        <f>INDEX(Mapping!$H:$H,MATCH(G$3&amp;G59,Mapping!$B:$B,0))</f>
        <v>800</v>
      </c>
      <c r="Q59" s="204" t="str">
        <f>INDEX(Mapping!$H:$H,MATCH(Q$3&amp;$F59,Mapping!$B:$B,0))</f>
        <v>Metro - Nationaal</v>
      </c>
      <c r="R59" s="204" t="str">
        <f>INDEX(Mapping!$H:$H,MATCH("ZM VPN Service Level"&amp;E59,Mapping!$B:$B,0))</f>
        <v>Advanced</v>
      </c>
      <c r="S59" s="139" t="b">
        <f>IF($D59="EoK",INDEX(Mapping!$I:$I,MATCH($G$3&amp;$G59,Mapping!B:B,0)),FALSE)</f>
        <v>0</v>
      </c>
      <c r="T59" s="139"/>
      <c r="U59" s="520" t="str">
        <f t="shared" si="24"/>
        <v>LiteMetro800</v>
      </c>
      <c r="W59" s="521">
        <f>MATCH($J59,'Tarieven ZM'!$B:$B,0)</f>
        <v>63</v>
      </c>
      <c r="X59" s="204">
        <f>INDEX('Tarieven ZM'!$H:$H,$W59)</f>
        <v>1000</v>
      </c>
      <c r="Y59" s="198">
        <f>-INDEX(Parameters!$B:$B,MATCH(Y$3&amp;$C59,Parameters!$A:$A,0))*$X59</f>
        <v>0</v>
      </c>
      <c r="Z59" s="198">
        <f>-INDEX(Parameters!$B:$B,MATCH(Z$3&amp;$C59,Parameters!$A:$A,0))*$X59</f>
        <v>0</v>
      </c>
      <c r="AA59" s="139">
        <f t="shared" si="26"/>
        <v>1000</v>
      </c>
      <c r="AB59" s="205">
        <f>AA59/INDEX(Parameters!$B:$B,MATCH("AfschrijftermijnVVE"&amp;12*$C59,Parameters!$A:$A,0))</f>
        <v>27.777777777777779</v>
      </c>
      <c r="AC59" s="204">
        <f>INDEX('Tarieven ZM'!$G:$G,$W59)</f>
        <v>1000</v>
      </c>
      <c r="AD59" s="198">
        <f>-INDEX(Parameters!$B:$B,MATCH(AD$3&amp;$C59,Parameters!$A:$A,0))*$AC59</f>
        <v>0</v>
      </c>
      <c r="AE59" s="198">
        <f>-INDEX(Parameters!$B:$B,MATCH(AE$3,Parameters!$A:$A,0))*$AC59</f>
        <v>0</v>
      </c>
      <c r="AF59" s="139">
        <f t="shared" si="27"/>
        <v>1000</v>
      </c>
      <c r="AG59" s="522">
        <f t="shared" si="28"/>
        <v>1027.7777777777778</v>
      </c>
      <c r="AH59" s="175"/>
      <c r="AI59" s="523">
        <f>MATCH($U59,'Tarieven W&amp;O'!$B:$B,0)</f>
        <v>53</v>
      </c>
      <c r="AJ59" s="204">
        <f>IF(AI59&lt;&gt;"nvt",INDEX('Tarieven W&amp;O'!$H:$H,$AI59),0)</f>
        <v>0</v>
      </c>
      <c r="AK59" s="204">
        <f>IF(AI59&lt;&gt;"nvt",INDEX('Tarieven W&amp;O'!$I:$I,$AI59),0)</f>
        <v>25</v>
      </c>
      <c r="AL59" s="524">
        <f>IF(AI59&lt;&gt;"nvt",-INDEX(Parameters!$B:$B,MATCH(AL$3,Parameters!$A:$A,0))*(AJ59+AK59),0)</f>
        <v>0</v>
      </c>
      <c r="AM59" s="525"/>
      <c r="AN59" s="139">
        <f t="shared" si="29"/>
        <v>25</v>
      </c>
      <c r="AO59" s="205">
        <f>AN59/INDEX(Parameters!$B:$B,MATCH("AfschrijftermijnVVE"&amp;12*$C59,Parameters!$A:$A,0))</f>
        <v>0.69444444444444442</v>
      </c>
      <c r="AP59" s="139">
        <f t="shared" si="30"/>
        <v>53</v>
      </c>
      <c r="AQ59" s="526">
        <f>IF(AP59&lt;&gt;"nvt",INDEX('Tarieven W&amp;O'!$G:$G,$AP59),0)</f>
        <v>184.31</v>
      </c>
      <c r="AR59" s="251">
        <f>IF($S59,INDEX('Tarieven W&amp;O'!$G:$G,MATCH(N59&amp;R59,'Tarieven W&amp;O'!$B:$B,0)),0)</f>
        <v>0</v>
      </c>
      <c r="AS59" s="205">
        <f>-INDEX(Parameters!$B:$B,MATCH(AS$3,Parameters!$A:$A,0))*(AQ59+AR59)</f>
        <v>0</v>
      </c>
      <c r="AT59" s="205">
        <f>INDEX(hulpblad!$E:$E,MATCH(M59&amp;Q59,hulpblad!$B:$B,0))</f>
        <v>2</v>
      </c>
      <c r="AU59" s="150">
        <f t="shared" si="33"/>
        <v>186.31</v>
      </c>
      <c r="AV59" s="150">
        <f t="shared" si="34"/>
        <v>187.00444444444446</v>
      </c>
      <c r="AX59" s="526">
        <f>Parameters!$B$6*AV59</f>
        <v>1.8700444444444446</v>
      </c>
      <c r="AY59" s="150">
        <v>0</v>
      </c>
      <c r="AZ59" s="150"/>
      <c r="BA59" s="150">
        <f t="shared" si="31"/>
        <v>1.8700444444444446</v>
      </c>
      <c r="BB59" s="150"/>
      <c r="BC59" s="522">
        <f t="shared" si="32"/>
        <v>188.87448888888889</v>
      </c>
      <c r="BD59" s="175"/>
      <c r="BE59" s="527">
        <f t="shared" si="35"/>
        <v>838.90328888888894</v>
      </c>
      <c r="BF59" s="181">
        <f t="shared" si="36"/>
        <v>0.81623022702702708</v>
      </c>
      <c r="BG59" s="520" t="b">
        <f t="shared" si="25"/>
        <v>0</v>
      </c>
      <c r="BI59" s="528" t="s">
        <v>2181</v>
      </c>
      <c r="BL59" s="151" t="str">
        <f t="shared" si="38"/>
        <v>EoKMetro - Nationaal</v>
      </c>
      <c r="BM59" s="529">
        <v>0</v>
      </c>
      <c r="BN59" s="180">
        <f>BM59/INDEX(Parameters!$B:$B,MATCH("AfschrijftermijnVVE"&amp;12*$C59,Parameters!$A:$A,0))</f>
        <v>0</v>
      </c>
      <c r="BO59" s="184">
        <f>INDEX('inkoop ULL tbv EVPN'!I:I,MATCH(BL59,'inkoop ULL tbv EVPN'!H:H,0))</f>
        <v>2</v>
      </c>
      <c r="BP59" s="184">
        <f t="shared" si="39"/>
        <v>2</v>
      </c>
      <c r="BR59" s="180">
        <f>Parameters!$B$12*AG59</f>
        <v>102.77777777777779</v>
      </c>
      <c r="BS59" s="180">
        <f>SUM(Distributievergoedingen!$F$12,Distributievergoedingen!$I$12,Distributievergoedingen!$L$12,Distributievergoedingen!$O$12)*AF59+SUM(Distributievergoedingen!$O$12*AA59+Distributievergoedingen!$R$12+Distributievergoedingen!$U$12+Distributievergoedingen!$X$12)/(MAX(36,12*C59))</f>
        <v>112.77777777777777</v>
      </c>
      <c r="BT59" s="150"/>
      <c r="BU59" s="150">
        <f t="shared" si="40"/>
        <v>215.55555555555554</v>
      </c>
      <c r="BW59" s="522">
        <f t="shared" si="41"/>
        <v>217.55555555555554</v>
      </c>
      <c r="BY59" s="527">
        <f t="shared" si="42"/>
        <v>810.22222222222229</v>
      </c>
      <c r="BZ59" s="181">
        <f t="shared" si="43"/>
        <v>0.78832432432432431</v>
      </c>
      <c r="CA59" s="520" t="b">
        <f t="shared" si="44"/>
        <v>0</v>
      </c>
    </row>
    <row r="60" spans="1:79" s="151" customFormat="1">
      <c r="A60" s="151" t="str">
        <f t="shared" si="37"/>
        <v>1EoKEntryNationaal1000</v>
      </c>
      <c r="B60" s="520" t="str">
        <f t="shared" si="22"/>
        <v>1EoKEntryNationaal1000</v>
      </c>
      <c r="C60" s="179">
        <v>1</v>
      </c>
      <c r="D60" s="179" t="s">
        <v>303</v>
      </c>
      <c r="E60" s="178" t="s">
        <v>45</v>
      </c>
      <c r="F60" s="178" t="s">
        <v>266</v>
      </c>
      <c r="G60" s="185" t="s">
        <v>423</v>
      </c>
      <c r="J60" s="520" t="str">
        <f t="shared" si="23"/>
        <v>EntryNationaal1000</v>
      </c>
      <c r="L60" s="204">
        <f>INDEX(Mapping!$H:$H,MATCH(C$3&amp;C60,Mapping!$B:$B,0))</f>
        <v>1</v>
      </c>
      <c r="M60" s="204" t="str">
        <f>INDEX(Mapping!$H:$H,MATCH(D$3&amp;$D60,Mapping!$B:$B,0))</f>
        <v>EoK</v>
      </c>
      <c r="N60" s="204" t="str">
        <f>INDEX(Mapping!$H:$H,MATCH(E$3&amp;E60,Mapping!$B:$B,0))</f>
        <v>Lite</v>
      </c>
      <c r="O60" s="204" t="str">
        <f>INDEX(Mapping!$H:$H,MATCH(F$3&amp;F60,Mapping!$B:$B,0))</f>
        <v>Metro</v>
      </c>
      <c r="P60" s="204">
        <f>INDEX(Mapping!$H:$H,MATCH(G$3&amp;G60,Mapping!$B:$B,0))</f>
        <v>1000</v>
      </c>
      <c r="Q60" s="204" t="str">
        <f>INDEX(Mapping!$H:$H,MATCH(Q$3&amp;$F60,Mapping!$B:$B,0))</f>
        <v>Metro - Nationaal</v>
      </c>
      <c r="R60" s="204" t="str">
        <f>INDEX(Mapping!$H:$H,MATCH("ZM VPN Service Level"&amp;E60,Mapping!$B:$B,0))</f>
        <v>Advanced</v>
      </c>
      <c r="S60" s="139" t="b">
        <f>IF($D60="EoK",INDEX(Mapping!$I:$I,MATCH($G$3&amp;$G60,Mapping!B:B,0)),FALSE)</f>
        <v>0</v>
      </c>
      <c r="T60" s="139"/>
      <c r="U60" s="520" t="str">
        <f t="shared" si="24"/>
        <v>LiteMetro1000</v>
      </c>
      <c r="W60" s="521">
        <f>MATCH($J60,'Tarieven ZM'!$B:$B,0)</f>
        <v>64</v>
      </c>
      <c r="X60" s="204">
        <f>INDEX('Tarieven ZM'!$H:$H,$W60)</f>
        <v>1000</v>
      </c>
      <c r="Y60" s="198">
        <f>-INDEX(Parameters!$B:$B,MATCH(Y$3&amp;$C60,Parameters!$A:$A,0))*$X60</f>
        <v>0</v>
      </c>
      <c r="Z60" s="198">
        <f>-INDEX(Parameters!$B:$B,MATCH(Z$3&amp;$C60,Parameters!$A:$A,0))*$X60</f>
        <v>0</v>
      </c>
      <c r="AA60" s="139">
        <f t="shared" si="26"/>
        <v>1000</v>
      </c>
      <c r="AB60" s="205">
        <f>AA60/INDEX(Parameters!$B:$B,MATCH("AfschrijftermijnVVE"&amp;12*$C60,Parameters!$A:$A,0))</f>
        <v>27.777777777777779</v>
      </c>
      <c r="AC60" s="204">
        <f>INDEX('Tarieven ZM'!$G:$G,$W60)</f>
        <v>1000</v>
      </c>
      <c r="AD60" s="198">
        <f>-INDEX(Parameters!$B:$B,MATCH(AD$3&amp;$C60,Parameters!$A:$A,0))*$AC60</f>
        <v>0</v>
      </c>
      <c r="AE60" s="198">
        <f>-INDEX(Parameters!$B:$B,MATCH(AE$3,Parameters!$A:$A,0))*$AC60</f>
        <v>0</v>
      </c>
      <c r="AF60" s="139">
        <f t="shared" si="27"/>
        <v>1000</v>
      </c>
      <c r="AG60" s="522">
        <f t="shared" si="28"/>
        <v>1027.7777777777778</v>
      </c>
      <c r="AH60" s="175"/>
      <c r="AI60" s="523">
        <f>MATCH($U60,'Tarieven W&amp;O'!$B:$B,0)</f>
        <v>54</v>
      </c>
      <c r="AJ60" s="204">
        <f>IF(AI60&lt;&gt;"nvt",INDEX('Tarieven W&amp;O'!$H:$H,$AI60),0)</f>
        <v>0</v>
      </c>
      <c r="AK60" s="204">
        <f>IF(AI60&lt;&gt;"nvt",INDEX('Tarieven W&amp;O'!$I:$I,$AI60),0)</f>
        <v>25</v>
      </c>
      <c r="AL60" s="524">
        <f>IF(AI60&lt;&gt;"nvt",-INDEX(Parameters!$B:$B,MATCH(AL$3,Parameters!$A:$A,0))*(AJ60+AK60),0)</f>
        <v>0</v>
      </c>
      <c r="AM60" s="525"/>
      <c r="AN60" s="139">
        <f t="shared" si="29"/>
        <v>25</v>
      </c>
      <c r="AO60" s="205">
        <f>AN60/INDEX(Parameters!$B:$B,MATCH("AfschrijftermijnVVE"&amp;12*$C60,Parameters!$A:$A,0))</f>
        <v>0.69444444444444442</v>
      </c>
      <c r="AP60" s="139">
        <f t="shared" si="30"/>
        <v>54</v>
      </c>
      <c r="AQ60" s="526">
        <f>IF(AP60&lt;&gt;"nvt",INDEX('Tarieven W&amp;O'!$G:$G,$AP60),0)</f>
        <v>203.15</v>
      </c>
      <c r="AR60" s="251">
        <f>IF($S60,INDEX('Tarieven W&amp;O'!$G:$G,MATCH(N60&amp;R60,'Tarieven W&amp;O'!$B:$B,0)),0)</f>
        <v>0</v>
      </c>
      <c r="AS60" s="205">
        <f>-INDEX(Parameters!$B:$B,MATCH(AS$3,Parameters!$A:$A,0))*(AQ60+AR60)</f>
        <v>0</v>
      </c>
      <c r="AT60" s="205">
        <f>INDEX(hulpblad!$E:$E,MATCH(M60&amp;Q60,hulpblad!$B:$B,0))</f>
        <v>2</v>
      </c>
      <c r="AU60" s="150">
        <f t="shared" si="33"/>
        <v>205.15</v>
      </c>
      <c r="AV60" s="150">
        <f t="shared" si="34"/>
        <v>205.84444444444446</v>
      </c>
      <c r="AX60" s="526">
        <f>Parameters!$B$6*AV60</f>
        <v>2.0584444444444445</v>
      </c>
      <c r="AY60" s="150">
        <v>0</v>
      </c>
      <c r="AZ60" s="150"/>
      <c r="BA60" s="150">
        <f t="shared" si="31"/>
        <v>2.0584444444444445</v>
      </c>
      <c r="BB60" s="150"/>
      <c r="BC60" s="522">
        <f t="shared" si="32"/>
        <v>207.9028888888889</v>
      </c>
      <c r="BD60" s="175"/>
      <c r="BE60" s="527">
        <f t="shared" si="35"/>
        <v>819.8748888888889</v>
      </c>
      <c r="BF60" s="181">
        <f t="shared" si="36"/>
        <v>0.79771610810810811</v>
      </c>
      <c r="BG60" s="520" t="b">
        <f t="shared" si="25"/>
        <v>0</v>
      </c>
      <c r="BI60" s="528" t="s">
        <v>2181</v>
      </c>
      <c r="BL60" s="151" t="str">
        <f t="shared" si="38"/>
        <v>EoKMetro - Nationaal</v>
      </c>
      <c r="BM60" s="529">
        <v>0</v>
      </c>
      <c r="BN60" s="180">
        <f>BM60/INDEX(Parameters!$B:$B,MATCH("AfschrijftermijnVVE"&amp;12*$C60,Parameters!$A:$A,0))</f>
        <v>0</v>
      </c>
      <c r="BO60" s="184">
        <f>INDEX('inkoop ULL tbv EVPN'!I:I,MATCH(BL60,'inkoop ULL tbv EVPN'!H:H,0))</f>
        <v>2</v>
      </c>
      <c r="BP60" s="184">
        <f t="shared" si="39"/>
        <v>2</v>
      </c>
      <c r="BR60" s="180">
        <f>Parameters!$B$12*AG60</f>
        <v>102.77777777777779</v>
      </c>
      <c r="BS60" s="180">
        <f>SUM(Distributievergoedingen!$F$12,Distributievergoedingen!$I$12,Distributievergoedingen!$L$12,Distributievergoedingen!$O$12)*AF60+SUM(Distributievergoedingen!$O$12*AA60+Distributievergoedingen!$R$12+Distributievergoedingen!$U$12+Distributievergoedingen!$X$12)/(MAX(36,12*C60))</f>
        <v>112.77777777777777</v>
      </c>
      <c r="BT60" s="150"/>
      <c r="BU60" s="150">
        <f t="shared" si="40"/>
        <v>215.55555555555554</v>
      </c>
      <c r="BW60" s="522">
        <f t="shared" si="41"/>
        <v>217.55555555555554</v>
      </c>
      <c r="BY60" s="527">
        <f t="shared" si="42"/>
        <v>810.22222222222229</v>
      </c>
      <c r="BZ60" s="181">
        <f t="shared" si="43"/>
        <v>0.78832432432432431</v>
      </c>
      <c r="CA60" s="520" t="b">
        <f t="shared" si="44"/>
        <v>0</v>
      </c>
    </row>
    <row r="61" spans="1:79" s="151" customFormat="1">
      <c r="A61" s="151" t="str">
        <f t="shared" si="37"/>
        <v>1EoKPremiumCity1</v>
      </c>
      <c r="B61" s="520" t="str">
        <f t="shared" si="22"/>
        <v>1EoKPremiumCity1</v>
      </c>
      <c r="C61" s="179">
        <v>1</v>
      </c>
      <c r="D61" s="179" t="s">
        <v>303</v>
      </c>
      <c r="E61" s="178" t="s">
        <v>267</v>
      </c>
      <c r="F61" s="178" t="s">
        <v>262</v>
      </c>
      <c r="G61" s="185" t="s">
        <v>362</v>
      </c>
      <c r="J61" s="520" t="str">
        <f t="shared" si="23"/>
        <v>PremiumCity1</v>
      </c>
      <c r="L61" s="204">
        <f>INDEX(Mapping!$H:$H,MATCH(C$3&amp;C61,Mapping!$B:$B,0))</f>
        <v>1</v>
      </c>
      <c r="M61" s="204" t="str">
        <f>INDEX(Mapping!$H:$H,MATCH(D$3&amp;$D61,Mapping!$B:$B,0))</f>
        <v>EoK</v>
      </c>
      <c r="N61" s="204" t="str">
        <f>INDEX(Mapping!$H:$H,MATCH(E$3&amp;E61,Mapping!$B:$B,0))</f>
        <v>Premium</v>
      </c>
      <c r="O61" s="204" t="str">
        <f>INDEX(Mapping!$H:$H,MATCH(F$3&amp;F61,Mapping!$B:$B,0))</f>
        <v>Metro</v>
      </c>
      <c r="P61" s="204">
        <f>INDEX(Mapping!$H:$H,MATCH(G$3&amp;G61,Mapping!$B:$B,0))</f>
        <v>1</v>
      </c>
      <c r="Q61" s="204" t="str">
        <f>INDEX(Mapping!$H:$H,MATCH(Q$3&amp;$F61,Mapping!$B:$B,0))</f>
        <v>Metro - Regionaal</v>
      </c>
      <c r="R61" s="204" t="str">
        <f>INDEX(Mapping!$H:$H,MATCH("ZM VPN Service Level"&amp;E61,Mapping!$B:$B,0))</f>
        <v>Advanced</v>
      </c>
      <c r="S61" s="139" t="b">
        <f>IF($D61="EoK",INDEX(Mapping!$I:$I,MATCH($G$3&amp;$G61,Mapping!B:B,0)),FALSE)</f>
        <v>1</v>
      </c>
      <c r="T61" s="139"/>
      <c r="U61" s="520" t="str">
        <f t="shared" si="24"/>
        <v>PremiumMetro1</v>
      </c>
      <c r="W61" s="521">
        <f>MATCH($J61,'Tarieven ZM'!$B:$B,0)</f>
        <v>65</v>
      </c>
      <c r="X61" s="204">
        <f>INDEX('Tarieven ZM'!$H:$H,$W61)</f>
        <v>1000</v>
      </c>
      <c r="Y61" s="198">
        <f>-INDEX(Parameters!$B:$B,MATCH(Y$3&amp;$C61,Parameters!$A:$A,0))*$X61</f>
        <v>0</v>
      </c>
      <c r="Z61" s="198">
        <f>-INDEX(Parameters!$B:$B,MATCH(Z$3&amp;$C61,Parameters!$A:$A,0))*$X61</f>
        <v>0</v>
      </c>
      <c r="AA61" s="139">
        <f t="shared" si="26"/>
        <v>1000</v>
      </c>
      <c r="AB61" s="205">
        <f>AA61/INDEX(Parameters!$B:$B,MATCH("AfschrijftermijnVVE"&amp;12*$C61,Parameters!$A:$A,0))</f>
        <v>27.777777777777779</v>
      </c>
      <c r="AC61" s="204">
        <f>INDEX('Tarieven ZM'!$G:$G,$W61)</f>
        <v>1000</v>
      </c>
      <c r="AD61" s="198">
        <f>-INDEX(Parameters!$B:$B,MATCH(AD$3&amp;$C61,Parameters!$A:$A,0))*$AC61</f>
        <v>0</v>
      </c>
      <c r="AE61" s="198">
        <f>-INDEX(Parameters!$B:$B,MATCH(AE$3,Parameters!$A:$A,0))*$AC61</f>
        <v>0</v>
      </c>
      <c r="AF61" s="139">
        <f t="shared" si="27"/>
        <v>1000</v>
      </c>
      <c r="AG61" s="522">
        <f t="shared" si="28"/>
        <v>1027.7777777777778</v>
      </c>
      <c r="AH61" s="175"/>
      <c r="AI61" s="523">
        <f>MATCH($U61,'Tarieven W&amp;O'!$B:$B,0)</f>
        <v>57</v>
      </c>
      <c r="AJ61" s="204">
        <f>IF(AI61&lt;&gt;"nvt",INDEX('Tarieven W&amp;O'!$H:$H,$AI61),0)</f>
        <v>0</v>
      </c>
      <c r="AK61" s="204">
        <f>IF(AI61&lt;&gt;"nvt",INDEX('Tarieven W&amp;O'!$I:$I,$AI61),0)</f>
        <v>25</v>
      </c>
      <c r="AL61" s="524">
        <f>IF(AI61&lt;&gt;"nvt",-INDEX(Parameters!$B:$B,MATCH(AL$3,Parameters!$A:$A,0))*(AJ61+AK61),0)</f>
        <v>0</v>
      </c>
      <c r="AM61" s="525"/>
      <c r="AN61" s="139">
        <f t="shared" si="29"/>
        <v>25</v>
      </c>
      <c r="AO61" s="205">
        <f>AN61/INDEX(Parameters!$B:$B,MATCH("AfschrijftermijnVVE"&amp;12*$C61,Parameters!$A:$A,0))</f>
        <v>0.69444444444444442</v>
      </c>
      <c r="AP61" s="139">
        <f t="shared" si="30"/>
        <v>57</v>
      </c>
      <c r="AQ61" s="526">
        <f>IF(AP61&lt;&gt;"nvt",INDEX('Tarieven W&amp;O'!$G:$G,$AP61),0)</f>
        <v>14.29</v>
      </c>
      <c r="AR61" s="251">
        <f>IF($S61,INDEX('Tarieven W&amp;O'!$G:$G,MATCH(N61&amp;R61,'Tarieven W&amp;O'!$B:$B,0)),0)</f>
        <v>0</v>
      </c>
      <c r="AS61" s="205">
        <f>-INDEX(Parameters!$B:$B,MATCH(AS$3,Parameters!$A:$A,0))*(AQ61+AR61)</f>
        <v>0</v>
      </c>
      <c r="AT61" s="205">
        <f>INDEX(hulpblad!$E:$E,MATCH(M61&amp;Q61,hulpblad!$B:$B,0))</f>
        <v>1</v>
      </c>
      <c r="AU61" s="150">
        <f t="shared" si="33"/>
        <v>15.29</v>
      </c>
      <c r="AV61" s="150">
        <f t="shared" si="34"/>
        <v>15.984444444444444</v>
      </c>
      <c r="AX61" s="526">
        <f>Parameters!$B$6*AV61</f>
        <v>0.15984444444444443</v>
      </c>
      <c r="AY61" s="150">
        <v>0</v>
      </c>
      <c r="AZ61" s="150"/>
      <c r="BA61" s="150">
        <f t="shared" si="31"/>
        <v>0.15984444444444443</v>
      </c>
      <c r="BB61" s="150"/>
      <c r="BC61" s="522">
        <f t="shared" si="32"/>
        <v>16.144288888888887</v>
      </c>
      <c r="BD61" s="175"/>
      <c r="BE61" s="527">
        <f t="shared" si="35"/>
        <v>1011.6334888888889</v>
      </c>
      <c r="BF61" s="181">
        <f t="shared" si="36"/>
        <v>0.98429204324324326</v>
      </c>
      <c r="BG61" s="520" t="b">
        <f t="shared" si="25"/>
        <v>0</v>
      </c>
      <c r="BI61" s="528" t="s">
        <v>2181</v>
      </c>
      <c r="BL61" s="151" t="str">
        <f t="shared" si="38"/>
        <v>EoKMetro - Regionaal</v>
      </c>
      <c r="BM61" s="529">
        <v>0</v>
      </c>
      <c r="BN61" s="180">
        <f>BM61/INDEX(Parameters!$B:$B,MATCH("AfschrijftermijnVVE"&amp;12*$C61,Parameters!$A:$A,0))</f>
        <v>0</v>
      </c>
      <c r="BO61" s="184">
        <f>INDEX('inkoop ULL tbv EVPN'!I:I,MATCH(BL61,'inkoop ULL tbv EVPN'!H:H,0))</f>
        <v>2</v>
      </c>
      <c r="BP61" s="184">
        <f t="shared" si="39"/>
        <v>2</v>
      </c>
      <c r="BR61" s="180">
        <f>Parameters!$B$12*AG61</f>
        <v>102.77777777777779</v>
      </c>
      <c r="BS61" s="180">
        <f>SUM(Distributievergoedingen!$F$12,Distributievergoedingen!$I$12,Distributievergoedingen!$L$12,Distributievergoedingen!$O$12)*AF61+SUM(Distributievergoedingen!$O$12*AA61+Distributievergoedingen!$R$12+Distributievergoedingen!$U$12+Distributievergoedingen!$X$12)/(MAX(36,12*C61))</f>
        <v>112.77777777777777</v>
      </c>
      <c r="BT61" s="150"/>
      <c r="BU61" s="150">
        <f t="shared" si="40"/>
        <v>215.55555555555554</v>
      </c>
      <c r="BW61" s="522">
        <f t="shared" si="41"/>
        <v>217.55555555555554</v>
      </c>
      <c r="BY61" s="527">
        <f t="shared" si="42"/>
        <v>810.22222222222229</v>
      </c>
      <c r="BZ61" s="181">
        <f t="shared" si="43"/>
        <v>0.78832432432432431</v>
      </c>
      <c r="CA61" s="520" t="b">
        <f t="shared" si="44"/>
        <v>0</v>
      </c>
    </row>
    <row r="62" spans="1:79" s="151" customFormat="1">
      <c r="A62" s="151" t="str">
        <f t="shared" si="37"/>
        <v>1EoKPremiumCity2</v>
      </c>
      <c r="B62" s="520" t="str">
        <f t="shared" si="22"/>
        <v>1EoKPremiumCity2</v>
      </c>
      <c r="C62" s="179">
        <v>1</v>
      </c>
      <c r="D62" s="179" t="s">
        <v>303</v>
      </c>
      <c r="E62" s="178" t="s">
        <v>267</v>
      </c>
      <c r="F62" s="178" t="s">
        <v>262</v>
      </c>
      <c r="G62" s="185" t="s">
        <v>363</v>
      </c>
      <c r="J62" s="520" t="str">
        <f t="shared" si="23"/>
        <v>PremiumCity2</v>
      </c>
      <c r="L62" s="204">
        <f>INDEX(Mapping!$H:$H,MATCH(C$3&amp;C62,Mapping!$B:$B,0))</f>
        <v>1</v>
      </c>
      <c r="M62" s="204" t="str">
        <f>INDEX(Mapping!$H:$H,MATCH(D$3&amp;$D62,Mapping!$B:$B,0))</f>
        <v>EoK</v>
      </c>
      <c r="N62" s="204" t="str">
        <f>INDEX(Mapping!$H:$H,MATCH(E$3&amp;E62,Mapping!$B:$B,0))</f>
        <v>Premium</v>
      </c>
      <c r="O62" s="204" t="str">
        <f>INDEX(Mapping!$H:$H,MATCH(F$3&amp;F62,Mapping!$B:$B,0))</f>
        <v>Metro</v>
      </c>
      <c r="P62" s="204">
        <f>INDEX(Mapping!$H:$H,MATCH(G$3&amp;G62,Mapping!$B:$B,0))</f>
        <v>2</v>
      </c>
      <c r="Q62" s="204" t="str">
        <f>INDEX(Mapping!$H:$H,MATCH(Q$3&amp;$F62,Mapping!$B:$B,0))</f>
        <v>Metro - Regionaal</v>
      </c>
      <c r="R62" s="204" t="str">
        <f>INDEX(Mapping!$H:$H,MATCH("ZM VPN Service Level"&amp;E62,Mapping!$B:$B,0))</f>
        <v>Advanced</v>
      </c>
      <c r="S62" s="139" t="b">
        <f>IF($D62="EoK",INDEX(Mapping!$I:$I,MATCH($G$3&amp;$G62,Mapping!B:B,0)),FALSE)</f>
        <v>1</v>
      </c>
      <c r="T62" s="139"/>
      <c r="U62" s="520" t="str">
        <f t="shared" si="24"/>
        <v>PremiumMetro2</v>
      </c>
      <c r="W62" s="521">
        <f>MATCH($J62,'Tarieven ZM'!$B:$B,0)</f>
        <v>66</v>
      </c>
      <c r="X62" s="204">
        <f>INDEX('Tarieven ZM'!$H:$H,$W62)</f>
        <v>1000</v>
      </c>
      <c r="Y62" s="198">
        <f>-INDEX(Parameters!$B:$B,MATCH(Y$3&amp;$C62,Parameters!$A:$A,0))*$X62</f>
        <v>0</v>
      </c>
      <c r="Z62" s="198">
        <f>-INDEX(Parameters!$B:$B,MATCH(Z$3&amp;$C62,Parameters!$A:$A,0))*$X62</f>
        <v>0</v>
      </c>
      <c r="AA62" s="139">
        <f t="shared" si="26"/>
        <v>1000</v>
      </c>
      <c r="AB62" s="205">
        <f>AA62/INDEX(Parameters!$B:$B,MATCH("AfschrijftermijnVVE"&amp;12*$C62,Parameters!$A:$A,0))</f>
        <v>27.777777777777779</v>
      </c>
      <c r="AC62" s="204">
        <f>INDEX('Tarieven ZM'!$G:$G,$W62)</f>
        <v>1000</v>
      </c>
      <c r="AD62" s="198">
        <f>-INDEX(Parameters!$B:$B,MATCH(AD$3&amp;$C62,Parameters!$A:$A,0))*$AC62</f>
        <v>0</v>
      </c>
      <c r="AE62" s="198">
        <f>-INDEX(Parameters!$B:$B,MATCH(AE$3,Parameters!$A:$A,0))*$AC62</f>
        <v>0</v>
      </c>
      <c r="AF62" s="139">
        <f t="shared" si="27"/>
        <v>1000</v>
      </c>
      <c r="AG62" s="522">
        <f t="shared" si="28"/>
        <v>1027.7777777777778</v>
      </c>
      <c r="AH62" s="175"/>
      <c r="AI62" s="523">
        <f>MATCH($U62,'Tarieven W&amp;O'!$B:$B,0)</f>
        <v>58</v>
      </c>
      <c r="AJ62" s="204">
        <f>IF(AI62&lt;&gt;"nvt",INDEX('Tarieven W&amp;O'!$H:$H,$AI62),0)</f>
        <v>0</v>
      </c>
      <c r="AK62" s="204">
        <f>IF(AI62&lt;&gt;"nvt",INDEX('Tarieven W&amp;O'!$I:$I,$AI62),0)</f>
        <v>25</v>
      </c>
      <c r="AL62" s="524">
        <f>IF(AI62&lt;&gt;"nvt",-INDEX(Parameters!$B:$B,MATCH(AL$3,Parameters!$A:$A,0))*(AJ62+AK62),0)</f>
        <v>0</v>
      </c>
      <c r="AM62" s="525"/>
      <c r="AN62" s="139">
        <f t="shared" si="29"/>
        <v>25</v>
      </c>
      <c r="AO62" s="205">
        <f>AN62/INDEX(Parameters!$B:$B,MATCH("AfschrijftermijnVVE"&amp;12*$C62,Parameters!$A:$A,0))</f>
        <v>0.69444444444444442</v>
      </c>
      <c r="AP62" s="139">
        <f t="shared" si="30"/>
        <v>58</v>
      </c>
      <c r="AQ62" s="526">
        <f>IF(AP62&lt;&gt;"nvt",INDEX('Tarieven W&amp;O'!$G:$G,$AP62),0)</f>
        <v>16.55</v>
      </c>
      <c r="AR62" s="251">
        <f>IF($S62,INDEX('Tarieven W&amp;O'!$G:$G,MATCH(N62&amp;R62,'Tarieven W&amp;O'!$B:$B,0)),0)</f>
        <v>0</v>
      </c>
      <c r="AS62" s="205">
        <f>-INDEX(Parameters!$B:$B,MATCH(AS$3,Parameters!$A:$A,0))*(AQ62+AR62)</f>
        <v>0</v>
      </c>
      <c r="AT62" s="205">
        <f>INDEX(hulpblad!$E:$E,MATCH(M62&amp;Q62,hulpblad!$B:$B,0))</f>
        <v>1</v>
      </c>
      <c r="AU62" s="150">
        <f t="shared" si="33"/>
        <v>17.55</v>
      </c>
      <c r="AV62" s="150">
        <f t="shared" si="34"/>
        <v>18.244444444444444</v>
      </c>
      <c r="AX62" s="526">
        <f>Parameters!$B$6*AV62</f>
        <v>0.18244444444444444</v>
      </c>
      <c r="AY62" s="150">
        <v>0</v>
      </c>
      <c r="AZ62" s="150"/>
      <c r="BA62" s="150">
        <f t="shared" si="31"/>
        <v>0.18244444444444444</v>
      </c>
      <c r="BB62" s="150"/>
      <c r="BC62" s="522">
        <f t="shared" si="32"/>
        <v>18.42688888888889</v>
      </c>
      <c r="BD62" s="175"/>
      <c r="BE62" s="527">
        <f t="shared" si="35"/>
        <v>1009.3508888888889</v>
      </c>
      <c r="BF62" s="181">
        <f t="shared" si="36"/>
        <v>0.98207113513513511</v>
      </c>
      <c r="BG62" s="520" t="b">
        <f t="shared" si="25"/>
        <v>0</v>
      </c>
      <c r="BI62" s="528" t="s">
        <v>2181</v>
      </c>
      <c r="BL62" s="151" t="str">
        <f t="shared" si="38"/>
        <v>EoKMetro - Regionaal</v>
      </c>
      <c r="BM62" s="529">
        <v>0</v>
      </c>
      <c r="BN62" s="180">
        <f>BM62/INDEX(Parameters!$B:$B,MATCH("AfschrijftermijnVVE"&amp;12*$C62,Parameters!$A:$A,0))</f>
        <v>0</v>
      </c>
      <c r="BO62" s="184">
        <f>INDEX('inkoop ULL tbv EVPN'!I:I,MATCH(BL62,'inkoop ULL tbv EVPN'!H:H,0))</f>
        <v>2</v>
      </c>
      <c r="BP62" s="184">
        <f t="shared" si="39"/>
        <v>2</v>
      </c>
      <c r="BR62" s="180">
        <f>Parameters!$B$12*AG62</f>
        <v>102.77777777777779</v>
      </c>
      <c r="BS62" s="180">
        <f>SUM(Distributievergoedingen!$F$12,Distributievergoedingen!$I$12,Distributievergoedingen!$L$12,Distributievergoedingen!$O$12)*AF62+SUM(Distributievergoedingen!$O$12*AA62+Distributievergoedingen!$R$12+Distributievergoedingen!$U$12+Distributievergoedingen!$X$12)/(MAX(36,12*C62))</f>
        <v>112.77777777777777</v>
      </c>
      <c r="BT62" s="150"/>
      <c r="BU62" s="150">
        <f t="shared" si="40"/>
        <v>215.55555555555554</v>
      </c>
      <c r="BW62" s="522">
        <f t="shared" si="41"/>
        <v>217.55555555555554</v>
      </c>
      <c r="BY62" s="527">
        <f t="shared" si="42"/>
        <v>810.22222222222229</v>
      </c>
      <c r="BZ62" s="181">
        <f t="shared" si="43"/>
        <v>0.78832432432432431</v>
      </c>
      <c r="CA62" s="520" t="b">
        <f t="shared" si="44"/>
        <v>0</v>
      </c>
    </row>
    <row r="63" spans="1:79" s="151" customFormat="1">
      <c r="A63" s="151" t="str">
        <f t="shared" si="37"/>
        <v>1EoKPremiumCity3</v>
      </c>
      <c r="B63" s="520" t="str">
        <f t="shared" si="22"/>
        <v>1EoKPremiumCity3</v>
      </c>
      <c r="C63" s="179">
        <v>1</v>
      </c>
      <c r="D63" s="179" t="s">
        <v>303</v>
      </c>
      <c r="E63" s="178" t="s">
        <v>267</v>
      </c>
      <c r="F63" s="178" t="s">
        <v>262</v>
      </c>
      <c r="G63" s="185" t="s">
        <v>407</v>
      </c>
      <c r="J63" s="520" t="str">
        <f t="shared" si="23"/>
        <v>PremiumCity3</v>
      </c>
      <c r="L63" s="204">
        <f>INDEX(Mapping!$H:$H,MATCH(C$3&amp;C63,Mapping!$B:$B,0))</f>
        <v>1</v>
      </c>
      <c r="M63" s="204" t="str">
        <f>INDEX(Mapping!$H:$H,MATCH(D$3&amp;$D63,Mapping!$B:$B,0))</f>
        <v>EoK</v>
      </c>
      <c r="N63" s="204" t="str">
        <f>INDEX(Mapping!$H:$H,MATCH(E$3&amp;E63,Mapping!$B:$B,0))</f>
        <v>Premium</v>
      </c>
      <c r="O63" s="204" t="str">
        <f>INDEX(Mapping!$H:$H,MATCH(F$3&amp;F63,Mapping!$B:$B,0))</f>
        <v>Metro</v>
      </c>
      <c r="P63" s="204">
        <f>INDEX(Mapping!$H:$H,MATCH(G$3&amp;G63,Mapping!$B:$B,0))</f>
        <v>3</v>
      </c>
      <c r="Q63" s="204" t="str">
        <f>INDEX(Mapping!$H:$H,MATCH(Q$3&amp;$F63,Mapping!$B:$B,0))</f>
        <v>Metro - Regionaal</v>
      </c>
      <c r="R63" s="204" t="str">
        <f>INDEX(Mapping!$H:$H,MATCH("ZM VPN Service Level"&amp;E63,Mapping!$B:$B,0))</f>
        <v>Advanced</v>
      </c>
      <c r="S63" s="139" t="b">
        <f>IF($D63="EoK",INDEX(Mapping!$I:$I,MATCH($G$3&amp;$G63,Mapping!B:B,0)),FALSE)</f>
        <v>0</v>
      </c>
      <c r="T63" s="139"/>
      <c r="U63" s="520" t="str">
        <f t="shared" si="24"/>
        <v>PremiumMetro3</v>
      </c>
      <c r="W63" s="521">
        <f>MATCH($J63,'Tarieven ZM'!$B:$B,0)</f>
        <v>67</v>
      </c>
      <c r="X63" s="204">
        <f>INDEX('Tarieven ZM'!$H:$H,$W63)</f>
        <v>1000</v>
      </c>
      <c r="Y63" s="198">
        <f>-INDEX(Parameters!$B:$B,MATCH(Y$3&amp;$C63,Parameters!$A:$A,0))*$X63</f>
        <v>0</v>
      </c>
      <c r="Z63" s="198">
        <f>-INDEX(Parameters!$B:$B,MATCH(Z$3&amp;$C63,Parameters!$A:$A,0))*$X63</f>
        <v>0</v>
      </c>
      <c r="AA63" s="139">
        <f t="shared" si="26"/>
        <v>1000</v>
      </c>
      <c r="AB63" s="205">
        <f>AA63/INDEX(Parameters!$B:$B,MATCH("AfschrijftermijnVVE"&amp;12*$C63,Parameters!$A:$A,0))</f>
        <v>27.777777777777779</v>
      </c>
      <c r="AC63" s="204">
        <f>INDEX('Tarieven ZM'!$G:$G,$W63)</f>
        <v>1000</v>
      </c>
      <c r="AD63" s="198">
        <f>-INDEX(Parameters!$B:$B,MATCH(AD$3&amp;$C63,Parameters!$A:$A,0))*$AC63</f>
        <v>0</v>
      </c>
      <c r="AE63" s="198">
        <f>-INDEX(Parameters!$B:$B,MATCH(AE$3,Parameters!$A:$A,0))*$AC63</f>
        <v>0</v>
      </c>
      <c r="AF63" s="139">
        <f t="shared" si="27"/>
        <v>1000</v>
      </c>
      <c r="AG63" s="522">
        <f t="shared" si="28"/>
        <v>1027.7777777777778</v>
      </c>
      <c r="AH63" s="175"/>
      <c r="AI63" s="523">
        <f>MATCH($U63,'Tarieven W&amp;O'!$B:$B,0)</f>
        <v>59</v>
      </c>
      <c r="AJ63" s="204">
        <f>IF(AI63&lt;&gt;"nvt",INDEX('Tarieven W&amp;O'!$H:$H,$AI63),0)</f>
        <v>0</v>
      </c>
      <c r="AK63" s="204">
        <f>IF(AI63&lt;&gt;"nvt",INDEX('Tarieven W&amp;O'!$I:$I,$AI63),0)</f>
        <v>25</v>
      </c>
      <c r="AL63" s="524">
        <f>IF(AI63&lt;&gt;"nvt",-INDEX(Parameters!$B:$B,MATCH(AL$3,Parameters!$A:$A,0))*(AJ63+AK63),0)</f>
        <v>0</v>
      </c>
      <c r="AM63" s="525"/>
      <c r="AN63" s="139">
        <f t="shared" si="29"/>
        <v>25</v>
      </c>
      <c r="AO63" s="205">
        <f>AN63/INDEX(Parameters!$B:$B,MATCH("AfschrijftermijnVVE"&amp;12*$C63,Parameters!$A:$A,0))</f>
        <v>0.69444444444444442</v>
      </c>
      <c r="AP63" s="139">
        <f t="shared" si="30"/>
        <v>59</v>
      </c>
      <c r="AQ63" s="526">
        <f>IF(AP63&lt;&gt;"nvt",INDEX('Tarieven W&amp;O'!$G:$G,$AP63),0)</f>
        <v>27.86</v>
      </c>
      <c r="AR63" s="251">
        <f>IF($S63,INDEX('Tarieven W&amp;O'!$G:$G,MATCH(N63&amp;R63,'Tarieven W&amp;O'!$B:$B,0)),0)</f>
        <v>0</v>
      </c>
      <c r="AS63" s="205">
        <f>-INDEX(Parameters!$B:$B,MATCH(AS$3,Parameters!$A:$A,0))*(AQ63+AR63)</f>
        <v>0</v>
      </c>
      <c r="AT63" s="205">
        <f>INDEX(hulpblad!$E:$E,MATCH(M63&amp;Q63,hulpblad!$B:$B,0))</f>
        <v>1</v>
      </c>
      <c r="AU63" s="150">
        <f t="shared" si="33"/>
        <v>28.86</v>
      </c>
      <c r="AV63" s="150">
        <f t="shared" si="34"/>
        <v>29.554444444444442</v>
      </c>
      <c r="AX63" s="526">
        <f>Parameters!$B$6*AV63</f>
        <v>0.29554444444444444</v>
      </c>
      <c r="AY63" s="150">
        <v>0</v>
      </c>
      <c r="AZ63" s="150"/>
      <c r="BA63" s="150">
        <f t="shared" si="31"/>
        <v>0.29554444444444444</v>
      </c>
      <c r="BB63" s="150"/>
      <c r="BC63" s="522">
        <f t="shared" si="32"/>
        <v>29.849988888888888</v>
      </c>
      <c r="BD63" s="175"/>
      <c r="BE63" s="527">
        <f t="shared" si="35"/>
        <v>997.92778888888893</v>
      </c>
      <c r="BF63" s="181">
        <f t="shared" si="36"/>
        <v>0.97095676756756755</v>
      </c>
      <c r="BG63" s="520" t="b">
        <f t="shared" si="25"/>
        <v>0</v>
      </c>
      <c r="BI63" s="528" t="s">
        <v>2181</v>
      </c>
      <c r="BL63" s="151" t="str">
        <f t="shared" si="38"/>
        <v>EoKMetro - Regionaal</v>
      </c>
      <c r="BM63" s="529">
        <v>0</v>
      </c>
      <c r="BN63" s="180">
        <f>BM63/INDEX(Parameters!$B:$B,MATCH("AfschrijftermijnVVE"&amp;12*$C63,Parameters!$A:$A,0))</f>
        <v>0</v>
      </c>
      <c r="BO63" s="184">
        <f>INDEX('inkoop ULL tbv EVPN'!I:I,MATCH(BL63,'inkoop ULL tbv EVPN'!H:H,0))</f>
        <v>2</v>
      </c>
      <c r="BP63" s="184">
        <f t="shared" si="39"/>
        <v>2</v>
      </c>
      <c r="BR63" s="180">
        <f>Parameters!$B$12*AG63</f>
        <v>102.77777777777779</v>
      </c>
      <c r="BS63" s="180">
        <f>SUM(Distributievergoedingen!$F$12,Distributievergoedingen!$I$12,Distributievergoedingen!$L$12,Distributievergoedingen!$O$12)*AF63+SUM(Distributievergoedingen!$O$12*AA63+Distributievergoedingen!$R$12+Distributievergoedingen!$U$12+Distributievergoedingen!$X$12)/(MAX(36,12*C63))</f>
        <v>112.77777777777777</v>
      </c>
      <c r="BT63" s="150"/>
      <c r="BU63" s="150">
        <f t="shared" si="40"/>
        <v>215.55555555555554</v>
      </c>
      <c r="BW63" s="522">
        <f t="shared" si="41"/>
        <v>217.55555555555554</v>
      </c>
      <c r="BY63" s="527">
        <f t="shared" si="42"/>
        <v>810.22222222222229</v>
      </c>
      <c r="BZ63" s="181">
        <f t="shared" si="43"/>
        <v>0.78832432432432431</v>
      </c>
      <c r="CA63" s="520" t="b">
        <f t="shared" si="44"/>
        <v>0</v>
      </c>
    </row>
    <row r="64" spans="1:79" s="151" customFormat="1">
      <c r="A64" s="151" t="str">
        <f t="shared" si="37"/>
        <v>1EoKPremiumCity4</v>
      </c>
      <c r="B64" s="520" t="str">
        <f t="shared" si="22"/>
        <v>1EoKPremiumCity4</v>
      </c>
      <c r="C64" s="179">
        <v>1</v>
      </c>
      <c r="D64" s="179" t="s">
        <v>303</v>
      </c>
      <c r="E64" s="178" t="s">
        <v>267</v>
      </c>
      <c r="F64" s="178" t="s">
        <v>262</v>
      </c>
      <c r="G64" s="185" t="s">
        <v>408</v>
      </c>
      <c r="J64" s="520" t="str">
        <f t="shared" si="23"/>
        <v>PremiumCity4</v>
      </c>
      <c r="L64" s="204">
        <f>INDEX(Mapping!$H:$H,MATCH(C$3&amp;C64,Mapping!$B:$B,0))</f>
        <v>1</v>
      </c>
      <c r="M64" s="204" t="str">
        <f>INDEX(Mapping!$H:$H,MATCH(D$3&amp;$D64,Mapping!$B:$B,0))</f>
        <v>EoK</v>
      </c>
      <c r="N64" s="204" t="str">
        <f>INDEX(Mapping!$H:$H,MATCH(E$3&amp;E64,Mapping!$B:$B,0))</f>
        <v>Premium</v>
      </c>
      <c r="O64" s="204" t="str">
        <f>INDEX(Mapping!$H:$H,MATCH(F$3&amp;F64,Mapping!$B:$B,0))</f>
        <v>Metro</v>
      </c>
      <c r="P64" s="204">
        <f>INDEX(Mapping!$H:$H,MATCH(G$3&amp;G64,Mapping!$B:$B,0))</f>
        <v>4</v>
      </c>
      <c r="Q64" s="204" t="str">
        <f>INDEX(Mapping!$H:$H,MATCH(Q$3&amp;$F64,Mapping!$B:$B,0))</f>
        <v>Metro - Regionaal</v>
      </c>
      <c r="R64" s="204" t="str">
        <f>INDEX(Mapping!$H:$H,MATCH("ZM VPN Service Level"&amp;E64,Mapping!$B:$B,0))</f>
        <v>Advanced</v>
      </c>
      <c r="S64" s="139" t="b">
        <f>IF($D64="EoK",INDEX(Mapping!$I:$I,MATCH($G$3&amp;$G64,Mapping!B:B,0)),FALSE)</f>
        <v>0</v>
      </c>
      <c r="T64" s="139"/>
      <c r="U64" s="520" t="str">
        <f t="shared" si="24"/>
        <v>PremiumMetro4</v>
      </c>
      <c r="W64" s="521">
        <f>MATCH($J64,'Tarieven ZM'!$B:$B,0)</f>
        <v>68</v>
      </c>
      <c r="X64" s="204">
        <f>INDEX('Tarieven ZM'!$H:$H,$W64)</f>
        <v>1000</v>
      </c>
      <c r="Y64" s="198">
        <f>-INDEX(Parameters!$B:$B,MATCH(Y$3&amp;$C64,Parameters!$A:$A,0))*$X64</f>
        <v>0</v>
      </c>
      <c r="Z64" s="198">
        <f>-INDEX(Parameters!$B:$B,MATCH(Z$3&amp;$C64,Parameters!$A:$A,0))*$X64</f>
        <v>0</v>
      </c>
      <c r="AA64" s="139">
        <f t="shared" si="26"/>
        <v>1000</v>
      </c>
      <c r="AB64" s="205">
        <f>AA64/INDEX(Parameters!$B:$B,MATCH("AfschrijftermijnVVE"&amp;12*$C64,Parameters!$A:$A,0))</f>
        <v>27.777777777777779</v>
      </c>
      <c r="AC64" s="204">
        <f>INDEX('Tarieven ZM'!$G:$G,$W64)</f>
        <v>1000</v>
      </c>
      <c r="AD64" s="198">
        <f>-INDEX(Parameters!$B:$B,MATCH(AD$3&amp;$C64,Parameters!$A:$A,0))*$AC64</f>
        <v>0</v>
      </c>
      <c r="AE64" s="198">
        <f>-INDEX(Parameters!$B:$B,MATCH(AE$3,Parameters!$A:$A,0))*$AC64</f>
        <v>0</v>
      </c>
      <c r="AF64" s="139">
        <f t="shared" si="27"/>
        <v>1000</v>
      </c>
      <c r="AG64" s="522">
        <f t="shared" si="28"/>
        <v>1027.7777777777778</v>
      </c>
      <c r="AH64" s="175"/>
      <c r="AI64" s="523">
        <f>MATCH($U64,'Tarieven W&amp;O'!$B:$B,0)</f>
        <v>60</v>
      </c>
      <c r="AJ64" s="204">
        <f>IF(AI64&lt;&gt;"nvt",INDEX('Tarieven W&amp;O'!$H:$H,$AI64),0)</f>
        <v>0</v>
      </c>
      <c r="AK64" s="204">
        <f>IF(AI64&lt;&gt;"nvt",INDEX('Tarieven W&amp;O'!$I:$I,$AI64),0)</f>
        <v>25</v>
      </c>
      <c r="AL64" s="524">
        <f>IF(AI64&lt;&gt;"nvt",-INDEX(Parameters!$B:$B,MATCH(AL$3,Parameters!$A:$A,0))*(AJ64+AK64),0)</f>
        <v>0</v>
      </c>
      <c r="AM64" s="525"/>
      <c r="AN64" s="139">
        <f t="shared" si="29"/>
        <v>25</v>
      </c>
      <c r="AO64" s="205">
        <f>AN64/INDEX(Parameters!$B:$B,MATCH("AfschrijftermijnVVE"&amp;12*$C64,Parameters!$A:$A,0))</f>
        <v>0.69444444444444442</v>
      </c>
      <c r="AP64" s="139">
        <f t="shared" si="30"/>
        <v>60</v>
      </c>
      <c r="AQ64" s="526">
        <f>IF(AP64&lt;&gt;"nvt",INDEX('Tarieven W&amp;O'!$G:$G,$AP64),0)</f>
        <v>42.94</v>
      </c>
      <c r="AR64" s="251">
        <f>IF($S64,INDEX('Tarieven W&amp;O'!$G:$G,MATCH(N64&amp;R64,'Tarieven W&amp;O'!$B:$B,0)),0)</f>
        <v>0</v>
      </c>
      <c r="AS64" s="205">
        <f>-INDEX(Parameters!$B:$B,MATCH(AS$3,Parameters!$A:$A,0))*(AQ64+AR64)</f>
        <v>0</v>
      </c>
      <c r="AT64" s="205">
        <f>INDEX(hulpblad!$E:$E,MATCH(M64&amp;Q64,hulpblad!$B:$B,0))</f>
        <v>1</v>
      </c>
      <c r="AU64" s="150">
        <f t="shared" si="33"/>
        <v>43.94</v>
      </c>
      <c r="AV64" s="150">
        <f t="shared" si="34"/>
        <v>44.634444444444441</v>
      </c>
      <c r="AX64" s="526">
        <f>Parameters!$B$6*AV64</f>
        <v>0.44634444444444443</v>
      </c>
      <c r="AY64" s="150">
        <v>0</v>
      </c>
      <c r="AZ64" s="150"/>
      <c r="BA64" s="150">
        <f t="shared" si="31"/>
        <v>0.44634444444444443</v>
      </c>
      <c r="BB64" s="150"/>
      <c r="BC64" s="522">
        <f t="shared" si="32"/>
        <v>45.080788888888883</v>
      </c>
      <c r="BD64" s="175"/>
      <c r="BE64" s="527">
        <f t="shared" si="35"/>
        <v>982.696988888889</v>
      </c>
      <c r="BF64" s="181">
        <f t="shared" si="36"/>
        <v>0.95613761081081083</v>
      </c>
      <c r="BG64" s="520" t="b">
        <f t="shared" si="25"/>
        <v>0</v>
      </c>
      <c r="BI64" s="528" t="s">
        <v>2181</v>
      </c>
      <c r="BL64" s="151" t="str">
        <f t="shared" si="38"/>
        <v>EoKMetro - Regionaal</v>
      </c>
      <c r="BM64" s="529">
        <v>0</v>
      </c>
      <c r="BN64" s="180">
        <f>BM64/INDEX(Parameters!$B:$B,MATCH("AfschrijftermijnVVE"&amp;12*$C64,Parameters!$A:$A,0))</f>
        <v>0</v>
      </c>
      <c r="BO64" s="184">
        <f>INDEX('inkoop ULL tbv EVPN'!I:I,MATCH(BL64,'inkoop ULL tbv EVPN'!H:H,0))</f>
        <v>2</v>
      </c>
      <c r="BP64" s="184">
        <f t="shared" si="39"/>
        <v>2</v>
      </c>
      <c r="BR64" s="180">
        <f>Parameters!$B$12*AG64</f>
        <v>102.77777777777779</v>
      </c>
      <c r="BS64" s="180">
        <f>SUM(Distributievergoedingen!$F$12,Distributievergoedingen!$I$12,Distributievergoedingen!$L$12,Distributievergoedingen!$O$12)*AF64+SUM(Distributievergoedingen!$O$12*AA64+Distributievergoedingen!$R$12+Distributievergoedingen!$U$12+Distributievergoedingen!$X$12)/(MAX(36,12*C64))</f>
        <v>112.77777777777777</v>
      </c>
      <c r="BT64" s="150"/>
      <c r="BU64" s="150">
        <f t="shared" si="40"/>
        <v>215.55555555555554</v>
      </c>
      <c r="BW64" s="522">
        <f t="shared" si="41"/>
        <v>217.55555555555554</v>
      </c>
      <c r="BY64" s="527">
        <f t="shared" si="42"/>
        <v>810.22222222222229</v>
      </c>
      <c r="BZ64" s="181">
        <f t="shared" si="43"/>
        <v>0.78832432432432431</v>
      </c>
      <c r="CA64" s="520" t="b">
        <f t="shared" si="44"/>
        <v>0</v>
      </c>
    </row>
    <row r="65" spans="1:79" s="151" customFormat="1">
      <c r="A65" s="151" t="str">
        <f t="shared" si="37"/>
        <v>1EoKPremiumCity5</v>
      </c>
      <c r="B65" s="520" t="str">
        <f t="shared" si="22"/>
        <v>1EoKPremiumCity5</v>
      </c>
      <c r="C65" s="179">
        <v>1</v>
      </c>
      <c r="D65" s="179" t="s">
        <v>303</v>
      </c>
      <c r="E65" s="178" t="s">
        <v>267</v>
      </c>
      <c r="F65" s="178" t="s">
        <v>262</v>
      </c>
      <c r="G65" s="185" t="s">
        <v>409</v>
      </c>
      <c r="J65" s="520" t="str">
        <f t="shared" si="23"/>
        <v>PremiumCity5</v>
      </c>
      <c r="L65" s="204">
        <f>INDEX(Mapping!$H:$H,MATCH(C$3&amp;C65,Mapping!$B:$B,0))</f>
        <v>1</v>
      </c>
      <c r="M65" s="204" t="str">
        <f>INDEX(Mapping!$H:$H,MATCH(D$3&amp;$D65,Mapping!$B:$B,0))</f>
        <v>EoK</v>
      </c>
      <c r="N65" s="204" t="str">
        <f>INDEX(Mapping!$H:$H,MATCH(E$3&amp;E65,Mapping!$B:$B,0))</f>
        <v>Premium</v>
      </c>
      <c r="O65" s="204" t="str">
        <f>INDEX(Mapping!$H:$H,MATCH(F$3&amp;F65,Mapping!$B:$B,0))</f>
        <v>Metro</v>
      </c>
      <c r="P65" s="204">
        <f>INDEX(Mapping!$H:$H,MATCH(G$3&amp;G65,Mapping!$B:$B,0))</f>
        <v>5</v>
      </c>
      <c r="Q65" s="204" t="str">
        <f>INDEX(Mapping!$H:$H,MATCH(Q$3&amp;$F65,Mapping!$B:$B,0))</f>
        <v>Metro - Regionaal</v>
      </c>
      <c r="R65" s="204" t="str">
        <f>INDEX(Mapping!$H:$H,MATCH("ZM VPN Service Level"&amp;E65,Mapping!$B:$B,0))</f>
        <v>Advanced</v>
      </c>
      <c r="S65" s="139" t="b">
        <f>IF($D65="EoK",INDEX(Mapping!$I:$I,MATCH($G$3&amp;$G65,Mapping!B:B,0)),FALSE)</f>
        <v>0</v>
      </c>
      <c r="T65" s="139"/>
      <c r="U65" s="520" t="str">
        <f t="shared" si="24"/>
        <v>PremiumMetro5</v>
      </c>
      <c r="W65" s="521">
        <f>MATCH($J65,'Tarieven ZM'!$B:$B,0)</f>
        <v>69</v>
      </c>
      <c r="X65" s="204">
        <f>INDEX('Tarieven ZM'!$H:$H,$W65)</f>
        <v>1000</v>
      </c>
      <c r="Y65" s="198">
        <f>-INDEX(Parameters!$B:$B,MATCH(Y$3&amp;$C65,Parameters!$A:$A,0))*$X65</f>
        <v>0</v>
      </c>
      <c r="Z65" s="198">
        <f>-INDEX(Parameters!$B:$B,MATCH(Z$3&amp;$C65,Parameters!$A:$A,0))*$X65</f>
        <v>0</v>
      </c>
      <c r="AA65" s="139">
        <f t="shared" si="26"/>
        <v>1000</v>
      </c>
      <c r="AB65" s="205">
        <f>AA65/INDEX(Parameters!$B:$B,MATCH("AfschrijftermijnVVE"&amp;12*$C65,Parameters!$A:$A,0))</f>
        <v>27.777777777777779</v>
      </c>
      <c r="AC65" s="204">
        <f>INDEX('Tarieven ZM'!$G:$G,$W65)</f>
        <v>1000</v>
      </c>
      <c r="AD65" s="198">
        <f>-INDEX(Parameters!$B:$B,MATCH(AD$3&amp;$C65,Parameters!$A:$A,0))*$AC65</f>
        <v>0</v>
      </c>
      <c r="AE65" s="198">
        <f>-INDEX(Parameters!$B:$B,MATCH(AE$3,Parameters!$A:$A,0))*$AC65</f>
        <v>0</v>
      </c>
      <c r="AF65" s="139">
        <f t="shared" si="27"/>
        <v>1000</v>
      </c>
      <c r="AG65" s="522">
        <f t="shared" si="28"/>
        <v>1027.7777777777778</v>
      </c>
      <c r="AH65" s="175"/>
      <c r="AI65" s="523">
        <f>MATCH($U65,'Tarieven W&amp;O'!$B:$B,0)</f>
        <v>61</v>
      </c>
      <c r="AJ65" s="204">
        <f>IF(AI65&lt;&gt;"nvt",INDEX('Tarieven W&amp;O'!$H:$H,$AI65),0)</f>
        <v>0</v>
      </c>
      <c r="AK65" s="204">
        <f>IF(AI65&lt;&gt;"nvt",INDEX('Tarieven W&amp;O'!$I:$I,$AI65),0)</f>
        <v>25</v>
      </c>
      <c r="AL65" s="524">
        <f>IF(AI65&lt;&gt;"nvt",-INDEX(Parameters!$B:$B,MATCH(AL$3,Parameters!$A:$A,0))*(AJ65+AK65),0)</f>
        <v>0</v>
      </c>
      <c r="AM65" s="525"/>
      <c r="AN65" s="139">
        <f t="shared" si="29"/>
        <v>25</v>
      </c>
      <c r="AO65" s="205">
        <f>AN65/INDEX(Parameters!$B:$B,MATCH("AfschrijftermijnVVE"&amp;12*$C65,Parameters!$A:$A,0))</f>
        <v>0.69444444444444442</v>
      </c>
      <c r="AP65" s="139">
        <f t="shared" si="30"/>
        <v>61</v>
      </c>
      <c r="AQ65" s="526">
        <f>IF(AP65&lt;&gt;"nvt",INDEX('Tarieven W&amp;O'!$G:$G,$AP65),0)</f>
        <v>46.71</v>
      </c>
      <c r="AR65" s="251">
        <f>IF($S65,INDEX('Tarieven W&amp;O'!$G:$G,MATCH(N65&amp;R65,'Tarieven W&amp;O'!$B:$B,0)),0)</f>
        <v>0</v>
      </c>
      <c r="AS65" s="205">
        <f>-INDEX(Parameters!$B:$B,MATCH(AS$3,Parameters!$A:$A,0))*(AQ65+AR65)</f>
        <v>0</v>
      </c>
      <c r="AT65" s="205">
        <f>INDEX(hulpblad!$E:$E,MATCH(M65&amp;Q65,hulpblad!$B:$B,0))</f>
        <v>1</v>
      </c>
      <c r="AU65" s="150">
        <f t="shared" si="33"/>
        <v>47.71</v>
      </c>
      <c r="AV65" s="150">
        <f t="shared" si="34"/>
        <v>48.404444444444444</v>
      </c>
      <c r="AX65" s="526">
        <f>Parameters!$B$6*AV65</f>
        <v>0.48404444444444444</v>
      </c>
      <c r="AY65" s="150">
        <v>0</v>
      </c>
      <c r="AZ65" s="150"/>
      <c r="BA65" s="150">
        <f t="shared" si="31"/>
        <v>0.48404444444444444</v>
      </c>
      <c r="BB65" s="150"/>
      <c r="BC65" s="522">
        <f t="shared" si="32"/>
        <v>48.888488888888887</v>
      </c>
      <c r="BD65" s="175"/>
      <c r="BE65" s="527">
        <f t="shared" si="35"/>
        <v>978.88928888888893</v>
      </c>
      <c r="BF65" s="181">
        <f t="shared" si="36"/>
        <v>0.95243282162162157</v>
      </c>
      <c r="BG65" s="520" t="b">
        <f t="shared" si="25"/>
        <v>0</v>
      </c>
      <c r="BI65" s="528" t="s">
        <v>2181</v>
      </c>
      <c r="BL65" s="151" t="str">
        <f t="shared" si="38"/>
        <v>EoKMetro - Regionaal</v>
      </c>
      <c r="BM65" s="529">
        <v>0</v>
      </c>
      <c r="BN65" s="180">
        <f>BM65/INDEX(Parameters!$B:$B,MATCH("AfschrijftermijnVVE"&amp;12*$C65,Parameters!$A:$A,0))</f>
        <v>0</v>
      </c>
      <c r="BO65" s="184">
        <f>INDEX('inkoop ULL tbv EVPN'!I:I,MATCH(BL65,'inkoop ULL tbv EVPN'!H:H,0))</f>
        <v>2</v>
      </c>
      <c r="BP65" s="184">
        <f t="shared" si="39"/>
        <v>2</v>
      </c>
      <c r="BR65" s="180">
        <f>Parameters!$B$12*AG65</f>
        <v>102.77777777777779</v>
      </c>
      <c r="BS65" s="180">
        <f>SUM(Distributievergoedingen!$F$12,Distributievergoedingen!$I$12,Distributievergoedingen!$L$12,Distributievergoedingen!$O$12)*AF65+SUM(Distributievergoedingen!$O$12*AA65+Distributievergoedingen!$R$12+Distributievergoedingen!$U$12+Distributievergoedingen!$X$12)/(MAX(36,12*C65))</f>
        <v>112.77777777777777</v>
      </c>
      <c r="BT65" s="150"/>
      <c r="BU65" s="150">
        <f t="shared" si="40"/>
        <v>215.55555555555554</v>
      </c>
      <c r="BW65" s="522">
        <f t="shared" si="41"/>
        <v>217.55555555555554</v>
      </c>
      <c r="BY65" s="527">
        <f t="shared" si="42"/>
        <v>810.22222222222229</v>
      </c>
      <c r="BZ65" s="181">
        <f t="shared" si="43"/>
        <v>0.78832432432432431</v>
      </c>
      <c r="CA65" s="520" t="b">
        <f t="shared" si="44"/>
        <v>0</v>
      </c>
    </row>
    <row r="66" spans="1:79" s="151" customFormat="1">
      <c r="A66" s="151" t="str">
        <f t="shared" si="37"/>
        <v>1EoKPremiumCity6</v>
      </c>
      <c r="B66" s="520" t="str">
        <f t="shared" si="22"/>
        <v>1EoKPremiumCity6</v>
      </c>
      <c r="C66" s="179">
        <v>1</v>
      </c>
      <c r="D66" s="179" t="s">
        <v>303</v>
      </c>
      <c r="E66" s="178" t="s">
        <v>267</v>
      </c>
      <c r="F66" s="178" t="s">
        <v>262</v>
      </c>
      <c r="G66" s="185" t="s">
        <v>410</v>
      </c>
      <c r="J66" s="520" t="str">
        <f t="shared" si="23"/>
        <v>PremiumCity6</v>
      </c>
      <c r="L66" s="204">
        <f>INDEX(Mapping!$H:$H,MATCH(C$3&amp;C66,Mapping!$B:$B,0))</f>
        <v>1</v>
      </c>
      <c r="M66" s="204" t="str">
        <f>INDEX(Mapping!$H:$H,MATCH(D$3&amp;$D66,Mapping!$B:$B,0))</f>
        <v>EoK</v>
      </c>
      <c r="N66" s="204" t="str">
        <f>INDEX(Mapping!$H:$H,MATCH(E$3&amp;E66,Mapping!$B:$B,0))</f>
        <v>Premium</v>
      </c>
      <c r="O66" s="204" t="str">
        <f>INDEX(Mapping!$H:$H,MATCH(F$3&amp;F66,Mapping!$B:$B,0))</f>
        <v>Metro</v>
      </c>
      <c r="P66" s="204">
        <f>INDEX(Mapping!$H:$H,MATCH(G$3&amp;G66,Mapping!$B:$B,0))</f>
        <v>6</v>
      </c>
      <c r="Q66" s="204" t="str">
        <f>INDEX(Mapping!$H:$H,MATCH(Q$3&amp;$F66,Mapping!$B:$B,0))</f>
        <v>Metro - Regionaal</v>
      </c>
      <c r="R66" s="204" t="str">
        <f>INDEX(Mapping!$H:$H,MATCH("ZM VPN Service Level"&amp;E66,Mapping!$B:$B,0))</f>
        <v>Advanced</v>
      </c>
      <c r="S66" s="139" t="b">
        <f>IF($D66="EoK",INDEX(Mapping!$I:$I,MATCH($G$3&amp;$G66,Mapping!B:B,0)),FALSE)</f>
        <v>0</v>
      </c>
      <c r="T66" s="139"/>
      <c r="U66" s="520" t="str">
        <f t="shared" si="24"/>
        <v>PremiumMetro6</v>
      </c>
      <c r="W66" s="521">
        <f>MATCH($J66,'Tarieven ZM'!$B:$B,0)</f>
        <v>70</v>
      </c>
      <c r="X66" s="204">
        <f>INDEX('Tarieven ZM'!$H:$H,$W66)</f>
        <v>1000</v>
      </c>
      <c r="Y66" s="198">
        <f>-INDEX(Parameters!$B:$B,MATCH(Y$3&amp;$C66,Parameters!$A:$A,0))*$X66</f>
        <v>0</v>
      </c>
      <c r="Z66" s="198">
        <f>-INDEX(Parameters!$B:$B,MATCH(Z$3&amp;$C66,Parameters!$A:$A,0))*$X66</f>
        <v>0</v>
      </c>
      <c r="AA66" s="139">
        <f t="shared" si="26"/>
        <v>1000</v>
      </c>
      <c r="AB66" s="205">
        <f>AA66/INDEX(Parameters!$B:$B,MATCH("AfschrijftermijnVVE"&amp;12*$C66,Parameters!$A:$A,0))</f>
        <v>27.777777777777779</v>
      </c>
      <c r="AC66" s="204">
        <f>INDEX('Tarieven ZM'!$G:$G,$W66)</f>
        <v>1000</v>
      </c>
      <c r="AD66" s="198">
        <f>-INDEX(Parameters!$B:$B,MATCH(AD$3&amp;$C66,Parameters!$A:$A,0))*$AC66</f>
        <v>0</v>
      </c>
      <c r="AE66" s="198">
        <f>-INDEX(Parameters!$B:$B,MATCH(AE$3,Parameters!$A:$A,0))*$AC66</f>
        <v>0</v>
      </c>
      <c r="AF66" s="139">
        <f t="shared" si="27"/>
        <v>1000</v>
      </c>
      <c r="AG66" s="522">
        <f t="shared" si="28"/>
        <v>1027.7777777777778</v>
      </c>
      <c r="AH66" s="175"/>
      <c r="AI66" s="523">
        <f>MATCH($U66,'Tarieven W&amp;O'!$B:$B,0)</f>
        <v>62</v>
      </c>
      <c r="AJ66" s="204">
        <f>IF(AI66&lt;&gt;"nvt",INDEX('Tarieven W&amp;O'!$H:$H,$AI66),0)</f>
        <v>0</v>
      </c>
      <c r="AK66" s="204">
        <f>IF(AI66&lt;&gt;"nvt",INDEX('Tarieven W&amp;O'!$I:$I,$AI66),0)</f>
        <v>25</v>
      </c>
      <c r="AL66" s="524">
        <f>IF(AI66&lt;&gt;"nvt",-INDEX(Parameters!$B:$B,MATCH(AL$3,Parameters!$A:$A,0))*(AJ66+AK66),0)</f>
        <v>0</v>
      </c>
      <c r="AM66" s="525"/>
      <c r="AN66" s="139">
        <f t="shared" si="29"/>
        <v>25</v>
      </c>
      <c r="AO66" s="205">
        <f>AN66/INDEX(Parameters!$B:$B,MATCH("AfschrijftermijnVVE"&amp;12*$C66,Parameters!$A:$A,0))</f>
        <v>0.69444444444444442</v>
      </c>
      <c r="AP66" s="139">
        <f t="shared" si="30"/>
        <v>62</v>
      </c>
      <c r="AQ66" s="526">
        <f>IF(AP66&lt;&gt;"nvt",INDEX('Tarieven W&amp;O'!$G:$G,$AP66),0)</f>
        <v>50.48</v>
      </c>
      <c r="AR66" s="251">
        <f>IF($S66,INDEX('Tarieven W&amp;O'!$G:$G,MATCH(N66&amp;R66,'Tarieven W&amp;O'!$B:$B,0)),0)</f>
        <v>0</v>
      </c>
      <c r="AS66" s="205">
        <f>-INDEX(Parameters!$B:$B,MATCH(AS$3,Parameters!$A:$A,0))*(AQ66+AR66)</f>
        <v>0</v>
      </c>
      <c r="AT66" s="205">
        <f>INDEX(hulpblad!$E:$E,MATCH(M66&amp;Q66,hulpblad!$B:$B,0))</f>
        <v>1</v>
      </c>
      <c r="AU66" s="150">
        <f t="shared" si="33"/>
        <v>51.48</v>
      </c>
      <c r="AV66" s="150">
        <f t="shared" si="34"/>
        <v>52.17444444444444</v>
      </c>
      <c r="AX66" s="526">
        <f>Parameters!$B$6*AV66</f>
        <v>0.52174444444444446</v>
      </c>
      <c r="AY66" s="150">
        <v>0</v>
      </c>
      <c r="AZ66" s="150"/>
      <c r="BA66" s="150">
        <f t="shared" si="31"/>
        <v>0.52174444444444446</v>
      </c>
      <c r="BB66" s="150"/>
      <c r="BC66" s="522">
        <f t="shared" si="32"/>
        <v>52.696188888888884</v>
      </c>
      <c r="BD66" s="175"/>
      <c r="BE66" s="527">
        <f t="shared" si="35"/>
        <v>975.08158888888897</v>
      </c>
      <c r="BF66" s="181">
        <f t="shared" si="36"/>
        <v>0.94872803243243242</v>
      </c>
      <c r="BG66" s="520" t="b">
        <f t="shared" si="25"/>
        <v>0</v>
      </c>
      <c r="BI66" s="528" t="s">
        <v>2181</v>
      </c>
      <c r="BL66" s="151" t="str">
        <f t="shared" si="38"/>
        <v>EoKMetro - Regionaal</v>
      </c>
      <c r="BM66" s="529">
        <v>0</v>
      </c>
      <c r="BN66" s="180">
        <f>BM66/INDEX(Parameters!$B:$B,MATCH("AfschrijftermijnVVE"&amp;12*$C66,Parameters!$A:$A,0))</f>
        <v>0</v>
      </c>
      <c r="BO66" s="184">
        <f>INDEX('inkoop ULL tbv EVPN'!I:I,MATCH(BL66,'inkoop ULL tbv EVPN'!H:H,0))</f>
        <v>2</v>
      </c>
      <c r="BP66" s="184">
        <f t="shared" si="39"/>
        <v>2</v>
      </c>
      <c r="BR66" s="180">
        <f>Parameters!$B$12*AG66</f>
        <v>102.77777777777779</v>
      </c>
      <c r="BS66" s="180">
        <f>SUM(Distributievergoedingen!$F$12,Distributievergoedingen!$I$12,Distributievergoedingen!$L$12,Distributievergoedingen!$O$12)*AF66+SUM(Distributievergoedingen!$O$12*AA66+Distributievergoedingen!$R$12+Distributievergoedingen!$U$12+Distributievergoedingen!$X$12)/(MAX(36,12*C66))</f>
        <v>112.77777777777777</v>
      </c>
      <c r="BT66" s="150"/>
      <c r="BU66" s="150">
        <f t="shared" si="40"/>
        <v>215.55555555555554</v>
      </c>
      <c r="BW66" s="522">
        <f t="shared" si="41"/>
        <v>217.55555555555554</v>
      </c>
      <c r="BY66" s="527">
        <f t="shared" si="42"/>
        <v>810.22222222222229</v>
      </c>
      <c r="BZ66" s="181">
        <f t="shared" si="43"/>
        <v>0.78832432432432431</v>
      </c>
      <c r="CA66" s="520" t="b">
        <f t="shared" si="44"/>
        <v>0</v>
      </c>
    </row>
    <row r="67" spans="1:79" s="151" customFormat="1">
      <c r="A67" s="151" t="str">
        <f t="shared" si="37"/>
        <v>1EoKPremiumCity8</v>
      </c>
      <c r="B67" s="520" t="str">
        <f t="shared" si="22"/>
        <v>1EoKPremiumCity8</v>
      </c>
      <c r="C67" s="179">
        <v>1</v>
      </c>
      <c r="D67" s="179" t="s">
        <v>303</v>
      </c>
      <c r="E67" s="178" t="s">
        <v>267</v>
      </c>
      <c r="F67" s="178" t="s">
        <v>262</v>
      </c>
      <c r="G67" s="185" t="s">
        <v>411</v>
      </c>
      <c r="J67" s="520" t="str">
        <f t="shared" si="23"/>
        <v>PremiumCity8</v>
      </c>
      <c r="L67" s="204">
        <f>INDEX(Mapping!$H:$H,MATCH(C$3&amp;C67,Mapping!$B:$B,0))</f>
        <v>1</v>
      </c>
      <c r="M67" s="204" t="str">
        <f>INDEX(Mapping!$H:$H,MATCH(D$3&amp;$D67,Mapping!$B:$B,0))</f>
        <v>EoK</v>
      </c>
      <c r="N67" s="204" t="str">
        <f>INDEX(Mapping!$H:$H,MATCH(E$3&amp;E67,Mapping!$B:$B,0))</f>
        <v>Premium</v>
      </c>
      <c r="O67" s="204" t="str">
        <f>INDEX(Mapping!$H:$H,MATCH(F$3&amp;F67,Mapping!$B:$B,0))</f>
        <v>Metro</v>
      </c>
      <c r="P67" s="204">
        <f>INDEX(Mapping!$H:$H,MATCH(G$3&amp;G67,Mapping!$B:$B,0))</f>
        <v>8</v>
      </c>
      <c r="Q67" s="204" t="str">
        <f>INDEX(Mapping!$H:$H,MATCH(Q$3&amp;$F67,Mapping!$B:$B,0))</f>
        <v>Metro - Regionaal</v>
      </c>
      <c r="R67" s="204" t="str">
        <f>INDEX(Mapping!$H:$H,MATCH("ZM VPN Service Level"&amp;E67,Mapping!$B:$B,0))</f>
        <v>Advanced</v>
      </c>
      <c r="S67" s="139" t="b">
        <f>IF($D67="EoK",INDEX(Mapping!$I:$I,MATCH($G$3&amp;$G67,Mapping!B:B,0)),FALSE)</f>
        <v>0</v>
      </c>
      <c r="T67" s="139"/>
      <c r="U67" s="520" t="str">
        <f t="shared" si="24"/>
        <v>PremiumMetro8</v>
      </c>
      <c r="W67" s="521">
        <f>MATCH($J67,'Tarieven ZM'!$B:$B,0)</f>
        <v>71</v>
      </c>
      <c r="X67" s="204">
        <f>INDEX('Tarieven ZM'!$H:$H,$W67)</f>
        <v>1000</v>
      </c>
      <c r="Y67" s="198">
        <f>-INDEX(Parameters!$B:$B,MATCH(Y$3&amp;$C67,Parameters!$A:$A,0))*$X67</f>
        <v>0</v>
      </c>
      <c r="Z67" s="198">
        <f>-INDEX(Parameters!$B:$B,MATCH(Z$3&amp;$C67,Parameters!$A:$A,0))*$X67</f>
        <v>0</v>
      </c>
      <c r="AA67" s="139">
        <f t="shared" si="26"/>
        <v>1000</v>
      </c>
      <c r="AB67" s="205">
        <f>AA67/INDEX(Parameters!$B:$B,MATCH("AfschrijftermijnVVE"&amp;12*$C67,Parameters!$A:$A,0))</f>
        <v>27.777777777777779</v>
      </c>
      <c r="AC67" s="204">
        <f>INDEX('Tarieven ZM'!$G:$G,$W67)</f>
        <v>1000</v>
      </c>
      <c r="AD67" s="198">
        <f>-INDEX(Parameters!$B:$B,MATCH(AD$3&amp;$C67,Parameters!$A:$A,0))*$AC67</f>
        <v>0</v>
      </c>
      <c r="AE67" s="198">
        <f>-INDEX(Parameters!$B:$B,MATCH(AE$3,Parameters!$A:$A,0))*$AC67</f>
        <v>0</v>
      </c>
      <c r="AF67" s="139">
        <f t="shared" si="27"/>
        <v>1000</v>
      </c>
      <c r="AG67" s="522">
        <f t="shared" si="28"/>
        <v>1027.7777777777778</v>
      </c>
      <c r="AH67" s="175"/>
      <c r="AI67" s="523">
        <f>MATCH($U67,'Tarieven W&amp;O'!$B:$B,0)</f>
        <v>63</v>
      </c>
      <c r="AJ67" s="204">
        <f>IF(AI67&lt;&gt;"nvt",INDEX('Tarieven W&amp;O'!$H:$H,$AI67),0)</f>
        <v>0</v>
      </c>
      <c r="AK67" s="204">
        <f>IF(AI67&lt;&gt;"nvt",INDEX('Tarieven W&amp;O'!$I:$I,$AI67),0)</f>
        <v>25</v>
      </c>
      <c r="AL67" s="524">
        <f>IF(AI67&lt;&gt;"nvt",-INDEX(Parameters!$B:$B,MATCH(AL$3,Parameters!$A:$A,0))*(AJ67+AK67),0)</f>
        <v>0</v>
      </c>
      <c r="AM67" s="525"/>
      <c r="AN67" s="139">
        <f t="shared" si="29"/>
        <v>25</v>
      </c>
      <c r="AO67" s="205">
        <f>AN67/INDEX(Parameters!$B:$B,MATCH("AfschrijftermijnVVE"&amp;12*$C67,Parameters!$A:$A,0))</f>
        <v>0.69444444444444442</v>
      </c>
      <c r="AP67" s="139">
        <f t="shared" si="30"/>
        <v>63</v>
      </c>
      <c r="AQ67" s="526">
        <f>IF(AP67&lt;&gt;"nvt",INDEX('Tarieven W&amp;O'!$G:$G,$AP67),0)</f>
        <v>54.24</v>
      </c>
      <c r="AR67" s="251">
        <f>IF($S67,INDEX('Tarieven W&amp;O'!$G:$G,MATCH(N67&amp;R67,'Tarieven W&amp;O'!$B:$B,0)),0)</f>
        <v>0</v>
      </c>
      <c r="AS67" s="205">
        <f>-INDEX(Parameters!$B:$B,MATCH(AS$3,Parameters!$A:$A,0))*(AQ67+AR67)</f>
        <v>0</v>
      </c>
      <c r="AT67" s="205">
        <f>INDEX(hulpblad!$E:$E,MATCH(M67&amp;Q67,hulpblad!$B:$B,0))</f>
        <v>1</v>
      </c>
      <c r="AU67" s="150">
        <f t="shared" si="33"/>
        <v>55.24</v>
      </c>
      <c r="AV67" s="150">
        <f t="shared" si="34"/>
        <v>55.934444444444445</v>
      </c>
      <c r="AX67" s="526">
        <f>Parameters!$B$6*AV67</f>
        <v>0.55934444444444442</v>
      </c>
      <c r="AY67" s="150">
        <v>0</v>
      </c>
      <c r="AZ67" s="150"/>
      <c r="BA67" s="150">
        <f t="shared" si="31"/>
        <v>0.55934444444444442</v>
      </c>
      <c r="BB67" s="150"/>
      <c r="BC67" s="522">
        <f t="shared" si="32"/>
        <v>56.493788888888886</v>
      </c>
      <c r="BD67" s="175"/>
      <c r="BE67" s="527">
        <f t="shared" si="35"/>
        <v>971.28398888888898</v>
      </c>
      <c r="BF67" s="181">
        <f t="shared" si="36"/>
        <v>0.94503307027027028</v>
      </c>
      <c r="BG67" s="520" t="b">
        <f t="shared" si="25"/>
        <v>0</v>
      </c>
      <c r="BI67" s="528" t="s">
        <v>2181</v>
      </c>
      <c r="BL67" s="151" t="str">
        <f t="shared" si="38"/>
        <v>EoKMetro - Regionaal</v>
      </c>
      <c r="BM67" s="529">
        <v>0</v>
      </c>
      <c r="BN67" s="180">
        <f>BM67/INDEX(Parameters!$B:$B,MATCH("AfschrijftermijnVVE"&amp;12*$C67,Parameters!$A:$A,0))</f>
        <v>0</v>
      </c>
      <c r="BO67" s="184">
        <f>INDEX('inkoop ULL tbv EVPN'!I:I,MATCH(BL67,'inkoop ULL tbv EVPN'!H:H,0))</f>
        <v>2</v>
      </c>
      <c r="BP67" s="184">
        <f t="shared" si="39"/>
        <v>2</v>
      </c>
      <c r="BR67" s="180">
        <f>Parameters!$B$12*AG67</f>
        <v>102.77777777777779</v>
      </c>
      <c r="BS67" s="180">
        <f>SUM(Distributievergoedingen!$F$12,Distributievergoedingen!$I$12,Distributievergoedingen!$L$12,Distributievergoedingen!$O$12)*AF67+SUM(Distributievergoedingen!$O$12*AA67+Distributievergoedingen!$R$12+Distributievergoedingen!$U$12+Distributievergoedingen!$X$12)/(MAX(36,12*C67))</f>
        <v>112.77777777777777</v>
      </c>
      <c r="BT67" s="150"/>
      <c r="BU67" s="150">
        <f t="shared" si="40"/>
        <v>215.55555555555554</v>
      </c>
      <c r="BW67" s="522">
        <f t="shared" si="41"/>
        <v>217.55555555555554</v>
      </c>
      <c r="BY67" s="527">
        <f t="shared" si="42"/>
        <v>810.22222222222229</v>
      </c>
      <c r="BZ67" s="181">
        <f t="shared" si="43"/>
        <v>0.78832432432432431</v>
      </c>
      <c r="CA67" s="520" t="b">
        <f t="shared" si="44"/>
        <v>0</v>
      </c>
    </row>
    <row r="68" spans="1:79" s="151" customFormat="1">
      <c r="A68" s="151" t="str">
        <f t="shared" si="37"/>
        <v>1EoKPremiumCity10</v>
      </c>
      <c r="B68" s="520" t="str">
        <f t="shared" si="22"/>
        <v>1EoKPremiumCity10</v>
      </c>
      <c r="C68" s="179">
        <v>1</v>
      </c>
      <c r="D68" s="179" t="s">
        <v>303</v>
      </c>
      <c r="E68" s="178" t="s">
        <v>267</v>
      </c>
      <c r="F68" s="178" t="s">
        <v>262</v>
      </c>
      <c r="G68" s="185" t="s">
        <v>412</v>
      </c>
      <c r="J68" s="520" t="str">
        <f t="shared" si="23"/>
        <v>PremiumCity10</v>
      </c>
      <c r="L68" s="204">
        <f>INDEX(Mapping!$H:$H,MATCH(C$3&amp;C68,Mapping!$B:$B,0))</f>
        <v>1</v>
      </c>
      <c r="M68" s="204" t="str">
        <f>INDEX(Mapping!$H:$H,MATCH(D$3&amp;$D68,Mapping!$B:$B,0))</f>
        <v>EoK</v>
      </c>
      <c r="N68" s="204" t="str">
        <f>INDEX(Mapping!$H:$H,MATCH(E$3&amp;E68,Mapping!$B:$B,0))</f>
        <v>Premium</v>
      </c>
      <c r="O68" s="204" t="str">
        <f>INDEX(Mapping!$H:$H,MATCH(F$3&amp;F68,Mapping!$B:$B,0))</f>
        <v>Metro</v>
      </c>
      <c r="P68" s="204">
        <f>INDEX(Mapping!$H:$H,MATCH(G$3&amp;G68,Mapping!$B:$B,0))</f>
        <v>10</v>
      </c>
      <c r="Q68" s="204" t="str">
        <f>INDEX(Mapping!$H:$H,MATCH(Q$3&amp;$F68,Mapping!$B:$B,0))</f>
        <v>Metro - Regionaal</v>
      </c>
      <c r="R68" s="204" t="str">
        <f>INDEX(Mapping!$H:$H,MATCH("ZM VPN Service Level"&amp;E68,Mapping!$B:$B,0))</f>
        <v>Advanced</v>
      </c>
      <c r="S68" s="139" t="b">
        <f>IF($D68="EoK",INDEX(Mapping!$I:$I,MATCH($G$3&amp;$G68,Mapping!B:B,0)),FALSE)</f>
        <v>0</v>
      </c>
      <c r="T68" s="139"/>
      <c r="U68" s="520" t="str">
        <f t="shared" si="24"/>
        <v>PremiumMetro10</v>
      </c>
      <c r="W68" s="521">
        <f>MATCH($J68,'Tarieven ZM'!$B:$B,0)</f>
        <v>72</v>
      </c>
      <c r="X68" s="204">
        <f>INDEX('Tarieven ZM'!$H:$H,$W68)</f>
        <v>1000</v>
      </c>
      <c r="Y68" s="198">
        <f>-INDEX(Parameters!$B:$B,MATCH(Y$3&amp;$C68,Parameters!$A:$A,0))*$X68</f>
        <v>0</v>
      </c>
      <c r="Z68" s="198">
        <f>-INDEX(Parameters!$B:$B,MATCH(Z$3&amp;$C68,Parameters!$A:$A,0))*$X68</f>
        <v>0</v>
      </c>
      <c r="AA68" s="139">
        <f t="shared" si="26"/>
        <v>1000</v>
      </c>
      <c r="AB68" s="205">
        <f>AA68/INDEX(Parameters!$B:$B,MATCH("AfschrijftermijnVVE"&amp;12*$C68,Parameters!$A:$A,0))</f>
        <v>27.777777777777779</v>
      </c>
      <c r="AC68" s="204">
        <f>INDEX('Tarieven ZM'!$G:$G,$W68)</f>
        <v>1000</v>
      </c>
      <c r="AD68" s="198">
        <f>-INDEX(Parameters!$B:$B,MATCH(AD$3&amp;$C68,Parameters!$A:$A,0))*$AC68</f>
        <v>0</v>
      </c>
      <c r="AE68" s="198">
        <f>-INDEX(Parameters!$B:$B,MATCH(AE$3,Parameters!$A:$A,0))*$AC68</f>
        <v>0</v>
      </c>
      <c r="AF68" s="139">
        <f t="shared" si="27"/>
        <v>1000</v>
      </c>
      <c r="AG68" s="522">
        <f t="shared" si="28"/>
        <v>1027.7777777777778</v>
      </c>
      <c r="AH68" s="175"/>
      <c r="AI68" s="523">
        <f>MATCH($U68,'Tarieven W&amp;O'!$B:$B,0)</f>
        <v>64</v>
      </c>
      <c r="AJ68" s="204">
        <f>IF(AI68&lt;&gt;"nvt",INDEX('Tarieven W&amp;O'!$H:$H,$AI68),0)</f>
        <v>0</v>
      </c>
      <c r="AK68" s="204">
        <f>IF(AI68&lt;&gt;"nvt",INDEX('Tarieven W&amp;O'!$I:$I,$AI68),0)</f>
        <v>25</v>
      </c>
      <c r="AL68" s="524">
        <f>IF(AI68&lt;&gt;"nvt",-INDEX(Parameters!$B:$B,MATCH(AL$3,Parameters!$A:$A,0))*(AJ68+AK68),0)</f>
        <v>0</v>
      </c>
      <c r="AM68" s="525"/>
      <c r="AN68" s="139">
        <f t="shared" si="29"/>
        <v>25</v>
      </c>
      <c r="AO68" s="205">
        <f>AN68/INDEX(Parameters!$B:$B,MATCH("AfschrijftermijnVVE"&amp;12*$C68,Parameters!$A:$A,0))</f>
        <v>0.69444444444444442</v>
      </c>
      <c r="AP68" s="139">
        <f t="shared" si="30"/>
        <v>64</v>
      </c>
      <c r="AQ68" s="526">
        <f>IF(AP68&lt;&gt;"nvt",INDEX('Tarieven W&amp;O'!$G:$G,$AP68),0)</f>
        <v>58.01</v>
      </c>
      <c r="AR68" s="251">
        <f>IF($S68,INDEX('Tarieven W&amp;O'!$G:$G,MATCH(N68&amp;R68,'Tarieven W&amp;O'!$B:$B,0)),0)</f>
        <v>0</v>
      </c>
      <c r="AS68" s="205">
        <f>-INDEX(Parameters!$B:$B,MATCH(AS$3,Parameters!$A:$A,0))*(AQ68+AR68)</f>
        <v>0</v>
      </c>
      <c r="AT68" s="205">
        <f>INDEX(hulpblad!$E:$E,MATCH(M68&amp;Q68,hulpblad!$B:$B,0))</f>
        <v>1</v>
      </c>
      <c r="AU68" s="150">
        <f t="shared" si="33"/>
        <v>59.01</v>
      </c>
      <c r="AV68" s="150">
        <f t="shared" si="34"/>
        <v>59.704444444444441</v>
      </c>
      <c r="AX68" s="526">
        <f>Parameters!$B$6*AV68</f>
        <v>0.59704444444444438</v>
      </c>
      <c r="AY68" s="150">
        <v>0</v>
      </c>
      <c r="AZ68" s="150"/>
      <c r="BA68" s="150">
        <f t="shared" si="31"/>
        <v>0.59704444444444438</v>
      </c>
      <c r="BB68" s="150"/>
      <c r="BC68" s="522">
        <f t="shared" si="32"/>
        <v>60.301488888888883</v>
      </c>
      <c r="BD68" s="175"/>
      <c r="BE68" s="527">
        <f t="shared" si="35"/>
        <v>967.47628888888892</v>
      </c>
      <c r="BF68" s="181">
        <f t="shared" si="36"/>
        <v>0.94132828108108102</v>
      </c>
      <c r="BG68" s="520" t="b">
        <f t="shared" si="25"/>
        <v>0</v>
      </c>
      <c r="BI68" s="528" t="s">
        <v>2181</v>
      </c>
      <c r="BL68" s="151" t="str">
        <f t="shared" si="38"/>
        <v>EoKMetro - Regionaal</v>
      </c>
      <c r="BM68" s="529">
        <v>0</v>
      </c>
      <c r="BN68" s="180">
        <f>BM68/INDEX(Parameters!$B:$B,MATCH("AfschrijftermijnVVE"&amp;12*$C68,Parameters!$A:$A,0))</f>
        <v>0</v>
      </c>
      <c r="BO68" s="184">
        <f>INDEX('inkoop ULL tbv EVPN'!I:I,MATCH(BL68,'inkoop ULL tbv EVPN'!H:H,0))</f>
        <v>2</v>
      </c>
      <c r="BP68" s="184">
        <f t="shared" si="39"/>
        <v>2</v>
      </c>
      <c r="BR68" s="180">
        <f>Parameters!$B$12*AG68</f>
        <v>102.77777777777779</v>
      </c>
      <c r="BS68" s="180">
        <f>SUM(Distributievergoedingen!$F$12,Distributievergoedingen!$I$12,Distributievergoedingen!$L$12,Distributievergoedingen!$O$12)*AF68+SUM(Distributievergoedingen!$O$12*AA68+Distributievergoedingen!$R$12+Distributievergoedingen!$U$12+Distributievergoedingen!$X$12)/(MAX(36,12*C68))</f>
        <v>112.77777777777777</v>
      </c>
      <c r="BT68" s="150"/>
      <c r="BU68" s="150">
        <f t="shared" si="40"/>
        <v>215.55555555555554</v>
      </c>
      <c r="BW68" s="522">
        <f t="shared" si="41"/>
        <v>217.55555555555554</v>
      </c>
      <c r="BY68" s="527">
        <f t="shared" si="42"/>
        <v>810.22222222222229</v>
      </c>
      <c r="BZ68" s="181">
        <f t="shared" si="43"/>
        <v>0.78832432432432431</v>
      </c>
      <c r="CA68" s="520" t="b">
        <f t="shared" si="44"/>
        <v>0</v>
      </c>
    </row>
    <row r="69" spans="1:79" s="151" customFormat="1">
      <c r="A69" s="151" t="str">
        <f t="shared" si="37"/>
        <v>1EoKPremiumCity15</v>
      </c>
      <c r="B69" s="520" t="str">
        <f t="shared" si="22"/>
        <v>1EoKPremiumCity15</v>
      </c>
      <c r="C69" s="179">
        <v>1</v>
      </c>
      <c r="D69" s="179" t="s">
        <v>303</v>
      </c>
      <c r="E69" s="178" t="s">
        <v>267</v>
      </c>
      <c r="F69" s="178" t="s">
        <v>262</v>
      </c>
      <c r="G69" s="185" t="s">
        <v>413</v>
      </c>
      <c r="J69" s="520" t="str">
        <f t="shared" si="23"/>
        <v>PremiumCity15</v>
      </c>
      <c r="L69" s="204">
        <f>INDEX(Mapping!$H:$H,MATCH(C$3&amp;C69,Mapping!$B:$B,0))</f>
        <v>1</v>
      </c>
      <c r="M69" s="204" t="str">
        <f>INDEX(Mapping!$H:$H,MATCH(D$3&amp;$D69,Mapping!$B:$B,0))</f>
        <v>EoK</v>
      </c>
      <c r="N69" s="204" t="str">
        <f>INDEX(Mapping!$H:$H,MATCH(E$3&amp;E69,Mapping!$B:$B,0))</f>
        <v>Premium</v>
      </c>
      <c r="O69" s="204" t="str">
        <f>INDEX(Mapping!$H:$H,MATCH(F$3&amp;F69,Mapping!$B:$B,0))</f>
        <v>Metro</v>
      </c>
      <c r="P69" s="204">
        <f>INDEX(Mapping!$H:$H,MATCH(G$3&amp;G69,Mapping!$B:$B,0))</f>
        <v>15</v>
      </c>
      <c r="Q69" s="204" t="str">
        <f>INDEX(Mapping!$H:$H,MATCH(Q$3&amp;$F69,Mapping!$B:$B,0))</f>
        <v>Metro - Regionaal</v>
      </c>
      <c r="R69" s="204" t="str">
        <f>INDEX(Mapping!$H:$H,MATCH("ZM VPN Service Level"&amp;E69,Mapping!$B:$B,0))</f>
        <v>Advanced</v>
      </c>
      <c r="S69" s="139" t="b">
        <f>IF($D69="EoK",INDEX(Mapping!$I:$I,MATCH($G$3&amp;$G69,Mapping!B:B,0)),FALSE)</f>
        <v>0</v>
      </c>
      <c r="T69" s="139"/>
      <c r="U69" s="520" t="str">
        <f t="shared" si="24"/>
        <v>PremiumMetro15</v>
      </c>
      <c r="W69" s="521">
        <f>MATCH($J69,'Tarieven ZM'!$B:$B,0)</f>
        <v>73</v>
      </c>
      <c r="X69" s="204">
        <f>INDEX('Tarieven ZM'!$H:$H,$W69)</f>
        <v>1000</v>
      </c>
      <c r="Y69" s="198">
        <f>-INDEX(Parameters!$B:$B,MATCH(Y$3&amp;$C69,Parameters!$A:$A,0))*$X69</f>
        <v>0</v>
      </c>
      <c r="Z69" s="198">
        <f>-INDEX(Parameters!$B:$B,MATCH(Z$3&amp;$C69,Parameters!$A:$A,0))*$X69</f>
        <v>0</v>
      </c>
      <c r="AA69" s="139">
        <f t="shared" si="26"/>
        <v>1000</v>
      </c>
      <c r="AB69" s="205">
        <f>AA69/INDEX(Parameters!$B:$B,MATCH("AfschrijftermijnVVE"&amp;12*$C69,Parameters!$A:$A,0))</f>
        <v>27.777777777777779</v>
      </c>
      <c r="AC69" s="204">
        <f>INDEX('Tarieven ZM'!$G:$G,$W69)</f>
        <v>1000</v>
      </c>
      <c r="AD69" s="198">
        <f>-INDEX(Parameters!$B:$B,MATCH(AD$3&amp;$C69,Parameters!$A:$A,0))*$AC69</f>
        <v>0</v>
      </c>
      <c r="AE69" s="198">
        <f>-INDEX(Parameters!$B:$B,MATCH(AE$3,Parameters!$A:$A,0))*$AC69</f>
        <v>0</v>
      </c>
      <c r="AF69" s="139">
        <f t="shared" si="27"/>
        <v>1000</v>
      </c>
      <c r="AG69" s="522">
        <f t="shared" si="28"/>
        <v>1027.7777777777778</v>
      </c>
      <c r="AH69" s="175"/>
      <c r="AI69" s="523">
        <f>MATCH($U69,'Tarieven W&amp;O'!$B:$B,0)</f>
        <v>65</v>
      </c>
      <c r="AJ69" s="204">
        <f>IF(AI69&lt;&gt;"nvt",INDEX('Tarieven W&amp;O'!$H:$H,$AI69),0)</f>
        <v>0</v>
      </c>
      <c r="AK69" s="204">
        <f>IF(AI69&lt;&gt;"nvt",INDEX('Tarieven W&amp;O'!$I:$I,$AI69),0)</f>
        <v>25</v>
      </c>
      <c r="AL69" s="524">
        <f>IF(AI69&lt;&gt;"nvt",-INDEX(Parameters!$B:$B,MATCH(AL$3,Parameters!$A:$A,0))*(AJ69+AK69),0)</f>
        <v>0</v>
      </c>
      <c r="AM69" s="525"/>
      <c r="AN69" s="139">
        <f t="shared" si="29"/>
        <v>25</v>
      </c>
      <c r="AO69" s="205">
        <f>AN69/INDEX(Parameters!$B:$B,MATCH("AfschrijftermijnVVE"&amp;12*$C69,Parameters!$A:$A,0))</f>
        <v>0.69444444444444442</v>
      </c>
      <c r="AP69" s="139">
        <f t="shared" si="30"/>
        <v>65</v>
      </c>
      <c r="AQ69" s="526">
        <f>IF(AP69&lt;&gt;"nvt",INDEX('Tarieven W&amp;O'!$G:$G,$AP69),0)</f>
        <v>80.63</v>
      </c>
      <c r="AR69" s="251">
        <f>IF($S69,INDEX('Tarieven W&amp;O'!$G:$G,MATCH(N69&amp;R69,'Tarieven W&amp;O'!$B:$B,0)),0)</f>
        <v>0</v>
      </c>
      <c r="AS69" s="205">
        <f>-INDEX(Parameters!$B:$B,MATCH(AS$3,Parameters!$A:$A,0))*(AQ69+AR69)</f>
        <v>0</v>
      </c>
      <c r="AT69" s="205">
        <f>INDEX(hulpblad!$E:$E,MATCH(M69&amp;Q69,hulpblad!$B:$B,0))</f>
        <v>1</v>
      </c>
      <c r="AU69" s="150">
        <f t="shared" si="33"/>
        <v>81.63</v>
      </c>
      <c r="AV69" s="150">
        <f t="shared" si="34"/>
        <v>82.324444444444438</v>
      </c>
      <c r="AX69" s="526">
        <f>Parameters!$B$6*AV69</f>
        <v>0.82324444444444445</v>
      </c>
      <c r="AY69" s="150">
        <v>0</v>
      </c>
      <c r="AZ69" s="150"/>
      <c r="BA69" s="150">
        <f t="shared" si="31"/>
        <v>0.82324444444444445</v>
      </c>
      <c r="BB69" s="150"/>
      <c r="BC69" s="522">
        <f t="shared" si="32"/>
        <v>83.147688888888879</v>
      </c>
      <c r="BD69" s="175"/>
      <c r="BE69" s="527">
        <f t="shared" si="35"/>
        <v>944.63008888888896</v>
      </c>
      <c r="BF69" s="181">
        <f t="shared" si="36"/>
        <v>0.91909954594594601</v>
      </c>
      <c r="BG69" s="520" t="b">
        <f t="shared" si="25"/>
        <v>0</v>
      </c>
      <c r="BI69" s="528" t="s">
        <v>2181</v>
      </c>
      <c r="BL69" s="151" t="str">
        <f t="shared" si="38"/>
        <v>EoKMetro - Regionaal</v>
      </c>
      <c r="BM69" s="529">
        <v>0</v>
      </c>
      <c r="BN69" s="180">
        <f>BM69/INDEX(Parameters!$B:$B,MATCH("AfschrijftermijnVVE"&amp;12*$C69,Parameters!$A:$A,0))</f>
        <v>0</v>
      </c>
      <c r="BO69" s="184">
        <f>INDEX('inkoop ULL tbv EVPN'!I:I,MATCH(BL69,'inkoop ULL tbv EVPN'!H:H,0))</f>
        <v>2</v>
      </c>
      <c r="BP69" s="184">
        <f t="shared" si="39"/>
        <v>2</v>
      </c>
      <c r="BR69" s="180">
        <f>Parameters!$B$12*AG69</f>
        <v>102.77777777777779</v>
      </c>
      <c r="BS69" s="180">
        <f>SUM(Distributievergoedingen!$F$12,Distributievergoedingen!$I$12,Distributievergoedingen!$L$12,Distributievergoedingen!$O$12)*AF69+SUM(Distributievergoedingen!$O$12*AA69+Distributievergoedingen!$R$12+Distributievergoedingen!$U$12+Distributievergoedingen!$X$12)/(MAX(36,12*C69))</f>
        <v>112.77777777777777</v>
      </c>
      <c r="BT69" s="150"/>
      <c r="BU69" s="150">
        <f t="shared" si="40"/>
        <v>215.55555555555554</v>
      </c>
      <c r="BW69" s="522">
        <f t="shared" si="41"/>
        <v>217.55555555555554</v>
      </c>
      <c r="BY69" s="527">
        <f t="shared" si="42"/>
        <v>810.22222222222229</v>
      </c>
      <c r="BZ69" s="181">
        <f t="shared" si="43"/>
        <v>0.78832432432432431</v>
      </c>
      <c r="CA69" s="520" t="b">
        <f t="shared" si="44"/>
        <v>0</v>
      </c>
    </row>
    <row r="70" spans="1:79" s="151" customFormat="1">
      <c r="A70" s="151" t="str">
        <f t="shared" si="37"/>
        <v>1EoKPremiumCity20</v>
      </c>
      <c r="B70" s="520" t="str">
        <f t="shared" ref="B70:B117" si="45">A70</f>
        <v>1EoKPremiumCity20</v>
      </c>
      <c r="C70" s="179">
        <v>1</v>
      </c>
      <c r="D70" s="179" t="s">
        <v>303</v>
      </c>
      <c r="E70" s="178" t="s">
        <v>267</v>
      </c>
      <c r="F70" s="178" t="s">
        <v>262</v>
      </c>
      <c r="G70" s="185" t="s">
        <v>414</v>
      </c>
      <c r="J70" s="520" t="str">
        <f t="shared" si="23"/>
        <v>PremiumCity20</v>
      </c>
      <c r="L70" s="204">
        <f>INDEX(Mapping!$H:$H,MATCH(C$3&amp;C70,Mapping!$B:$B,0))</f>
        <v>1</v>
      </c>
      <c r="M70" s="204" t="str">
        <f>INDEX(Mapping!$H:$H,MATCH(D$3&amp;$D70,Mapping!$B:$B,0))</f>
        <v>EoK</v>
      </c>
      <c r="N70" s="204" t="str">
        <f>INDEX(Mapping!$H:$H,MATCH(E$3&amp;E70,Mapping!$B:$B,0))</f>
        <v>Premium</v>
      </c>
      <c r="O70" s="204" t="str">
        <f>INDEX(Mapping!$H:$H,MATCH(F$3&amp;F70,Mapping!$B:$B,0))</f>
        <v>Metro</v>
      </c>
      <c r="P70" s="204">
        <f>INDEX(Mapping!$H:$H,MATCH(G$3&amp;G70,Mapping!$B:$B,0))</f>
        <v>20</v>
      </c>
      <c r="Q70" s="204" t="str">
        <f>INDEX(Mapping!$H:$H,MATCH(Q$3&amp;$F70,Mapping!$B:$B,0))</f>
        <v>Metro - Regionaal</v>
      </c>
      <c r="R70" s="204" t="str">
        <f>INDEX(Mapping!$H:$H,MATCH("ZM VPN Service Level"&amp;E70,Mapping!$B:$B,0))</f>
        <v>Advanced</v>
      </c>
      <c r="S70" s="139" t="b">
        <f>IF($D70="EoK",INDEX(Mapping!$I:$I,MATCH($G$3&amp;$G70,Mapping!B:B,0)),FALSE)</f>
        <v>0</v>
      </c>
      <c r="T70" s="139"/>
      <c r="U70" s="520" t="str">
        <f t="shared" si="24"/>
        <v>PremiumMetro20</v>
      </c>
      <c r="W70" s="521">
        <f>MATCH($J70,'Tarieven ZM'!$B:$B,0)</f>
        <v>74</v>
      </c>
      <c r="X70" s="204">
        <f>INDEX('Tarieven ZM'!$H:$H,$W70)</f>
        <v>1000</v>
      </c>
      <c r="Y70" s="198">
        <f>-INDEX(Parameters!$B:$B,MATCH(Y$3&amp;$C70,Parameters!$A:$A,0))*$X70</f>
        <v>0</v>
      </c>
      <c r="Z70" s="198">
        <f>-INDEX(Parameters!$B:$B,MATCH(Z$3&amp;$C70,Parameters!$A:$A,0))*$X70</f>
        <v>0</v>
      </c>
      <c r="AA70" s="139">
        <f t="shared" si="26"/>
        <v>1000</v>
      </c>
      <c r="AB70" s="205">
        <f>AA70/INDEX(Parameters!$B:$B,MATCH("AfschrijftermijnVVE"&amp;12*$C70,Parameters!$A:$A,0))</f>
        <v>27.777777777777779</v>
      </c>
      <c r="AC70" s="204">
        <f>INDEX('Tarieven ZM'!$G:$G,$W70)</f>
        <v>1000</v>
      </c>
      <c r="AD70" s="198">
        <f>-INDEX(Parameters!$B:$B,MATCH(AD$3&amp;$C70,Parameters!$A:$A,0))*$AC70</f>
        <v>0</v>
      </c>
      <c r="AE70" s="198">
        <f>-INDEX(Parameters!$B:$B,MATCH(AE$3,Parameters!$A:$A,0))*$AC70</f>
        <v>0</v>
      </c>
      <c r="AF70" s="139">
        <f t="shared" si="27"/>
        <v>1000</v>
      </c>
      <c r="AG70" s="522">
        <f t="shared" si="28"/>
        <v>1027.7777777777778</v>
      </c>
      <c r="AH70" s="175"/>
      <c r="AI70" s="523">
        <f>MATCH($U70,'Tarieven W&amp;O'!$B:$B,0)</f>
        <v>66</v>
      </c>
      <c r="AJ70" s="204">
        <f>IF(AI70&lt;&gt;"nvt",INDEX('Tarieven W&amp;O'!$H:$H,$AI70),0)</f>
        <v>0</v>
      </c>
      <c r="AK70" s="204">
        <f>IF(AI70&lt;&gt;"nvt",INDEX('Tarieven W&amp;O'!$I:$I,$AI70),0)</f>
        <v>25</v>
      </c>
      <c r="AL70" s="524">
        <f>IF(AI70&lt;&gt;"nvt",-INDEX(Parameters!$B:$B,MATCH(AL$3,Parameters!$A:$A,0))*(AJ70+AK70),0)</f>
        <v>0</v>
      </c>
      <c r="AM70" s="525"/>
      <c r="AN70" s="139">
        <f t="shared" si="29"/>
        <v>25</v>
      </c>
      <c r="AO70" s="205">
        <f>AN70/INDEX(Parameters!$B:$B,MATCH("AfschrijftermijnVVE"&amp;12*$C70,Parameters!$A:$A,0))</f>
        <v>0.69444444444444442</v>
      </c>
      <c r="AP70" s="139">
        <f t="shared" si="30"/>
        <v>66</v>
      </c>
      <c r="AQ70" s="526">
        <f>IF(AP70&lt;&gt;"nvt",INDEX('Tarieven W&amp;O'!$G:$G,$AP70),0)</f>
        <v>88.17</v>
      </c>
      <c r="AR70" s="251">
        <f>IF($S70,INDEX('Tarieven W&amp;O'!$G:$G,MATCH(N70&amp;R70,'Tarieven W&amp;O'!$B:$B,0)),0)</f>
        <v>0</v>
      </c>
      <c r="AS70" s="205">
        <f>-INDEX(Parameters!$B:$B,MATCH(AS$3,Parameters!$A:$A,0))*(AQ70+AR70)</f>
        <v>0</v>
      </c>
      <c r="AT70" s="205">
        <f>INDEX(hulpblad!$E:$E,MATCH(M70&amp;Q70,hulpblad!$B:$B,0))</f>
        <v>1</v>
      </c>
      <c r="AU70" s="150">
        <f t="shared" si="33"/>
        <v>89.17</v>
      </c>
      <c r="AV70" s="150">
        <f t="shared" si="34"/>
        <v>89.864444444444445</v>
      </c>
      <c r="AX70" s="526">
        <f>Parameters!$B$6*AV70</f>
        <v>0.89864444444444447</v>
      </c>
      <c r="AY70" s="150">
        <v>0</v>
      </c>
      <c r="AZ70" s="150"/>
      <c r="BA70" s="150">
        <f t="shared" si="31"/>
        <v>0.89864444444444447</v>
      </c>
      <c r="BB70" s="150"/>
      <c r="BC70" s="522">
        <f t="shared" si="32"/>
        <v>90.763088888888888</v>
      </c>
      <c r="BD70" s="175"/>
      <c r="BE70" s="527">
        <f t="shared" si="35"/>
        <v>937.01468888888894</v>
      </c>
      <c r="BF70" s="181">
        <f t="shared" si="36"/>
        <v>0.91168996756756759</v>
      </c>
      <c r="BG70" s="520" t="b">
        <f t="shared" si="25"/>
        <v>0</v>
      </c>
      <c r="BI70" s="528" t="s">
        <v>2181</v>
      </c>
      <c r="BL70" s="151" t="str">
        <f t="shared" si="38"/>
        <v>EoKMetro - Regionaal</v>
      </c>
      <c r="BM70" s="529">
        <v>0</v>
      </c>
      <c r="BN70" s="180">
        <f>BM70/INDEX(Parameters!$B:$B,MATCH("AfschrijftermijnVVE"&amp;12*$C70,Parameters!$A:$A,0))</f>
        <v>0</v>
      </c>
      <c r="BO70" s="184">
        <f>INDEX('inkoop ULL tbv EVPN'!I:I,MATCH(BL70,'inkoop ULL tbv EVPN'!H:H,0))</f>
        <v>2</v>
      </c>
      <c r="BP70" s="184">
        <f t="shared" si="39"/>
        <v>2</v>
      </c>
      <c r="BR70" s="180">
        <f>Parameters!$B$12*AG70</f>
        <v>102.77777777777779</v>
      </c>
      <c r="BS70" s="180">
        <f>SUM(Distributievergoedingen!$F$12,Distributievergoedingen!$I$12,Distributievergoedingen!$L$12,Distributievergoedingen!$O$12)*AF70+SUM(Distributievergoedingen!$O$12*AA70+Distributievergoedingen!$R$12+Distributievergoedingen!$U$12+Distributievergoedingen!$X$12)/(MAX(36,12*C70))</f>
        <v>112.77777777777777</v>
      </c>
      <c r="BT70" s="150"/>
      <c r="BU70" s="150">
        <f t="shared" si="40"/>
        <v>215.55555555555554</v>
      </c>
      <c r="BW70" s="522">
        <f t="shared" si="41"/>
        <v>217.55555555555554</v>
      </c>
      <c r="BY70" s="527">
        <f t="shared" si="42"/>
        <v>810.22222222222229</v>
      </c>
      <c r="BZ70" s="181">
        <f t="shared" si="43"/>
        <v>0.78832432432432431</v>
      </c>
      <c r="CA70" s="520" t="b">
        <f t="shared" si="44"/>
        <v>0</v>
      </c>
    </row>
    <row r="71" spans="1:79" s="151" customFormat="1">
      <c r="A71" s="151" t="str">
        <f t="shared" si="37"/>
        <v>1EoKPremiumCity30</v>
      </c>
      <c r="B71" s="520" t="str">
        <f t="shared" si="45"/>
        <v>1EoKPremiumCity30</v>
      </c>
      <c r="C71" s="179">
        <v>1</v>
      </c>
      <c r="D71" s="179" t="s">
        <v>303</v>
      </c>
      <c r="E71" s="178" t="s">
        <v>267</v>
      </c>
      <c r="F71" s="178" t="s">
        <v>262</v>
      </c>
      <c r="G71" s="185" t="s">
        <v>415</v>
      </c>
      <c r="J71" s="520" t="str">
        <f t="shared" si="23"/>
        <v>PremiumCity30</v>
      </c>
      <c r="L71" s="204">
        <f>INDEX(Mapping!$H:$H,MATCH(C$3&amp;C71,Mapping!$B:$B,0))</f>
        <v>1</v>
      </c>
      <c r="M71" s="204" t="str">
        <f>INDEX(Mapping!$H:$H,MATCH(D$3&amp;$D71,Mapping!$B:$B,0))</f>
        <v>EoK</v>
      </c>
      <c r="N71" s="204" t="str">
        <f>INDEX(Mapping!$H:$H,MATCH(E$3&amp;E71,Mapping!$B:$B,0))</f>
        <v>Premium</v>
      </c>
      <c r="O71" s="204" t="str">
        <f>INDEX(Mapping!$H:$H,MATCH(F$3&amp;F71,Mapping!$B:$B,0))</f>
        <v>Metro</v>
      </c>
      <c r="P71" s="204">
        <f>INDEX(Mapping!$H:$H,MATCH(G$3&amp;G71,Mapping!$B:$B,0))</f>
        <v>30</v>
      </c>
      <c r="Q71" s="204" t="str">
        <f>INDEX(Mapping!$H:$H,MATCH(Q$3&amp;$F71,Mapping!$B:$B,0))</f>
        <v>Metro - Regionaal</v>
      </c>
      <c r="R71" s="204" t="str">
        <f>INDEX(Mapping!$H:$H,MATCH("ZM VPN Service Level"&amp;E71,Mapping!$B:$B,0))</f>
        <v>Advanced</v>
      </c>
      <c r="S71" s="139" t="b">
        <f>IF($D71="EoK",INDEX(Mapping!$I:$I,MATCH($G$3&amp;$G71,Mapping!B:B,0)),FALSE)</f>
        <v>0</v>
      </c>
      <c r="T71" s="139"/>
      <c r="U71" s="520" t="str">
        <f t="shared" si="24"/>
        <v>PremiumMetro30</v>
      </c>
      <c r="W71" s="521">
        <f>MATCH($J71,'Tarieven ZM'!$B:$B,0)</f>
        <v>75</v>
      </c>
      <c r="X71" s="204">
        <f>INDEX('Tarieven ZM'!$H:$H,$W71)</f>
        <v>1000</v>
      </c>
      <c r="Y71" s="198">
        <f>-INDEX(Parameters!$B:$B,MATCH(Y$3&amp;$C71,Parameters!$A:$A,0))*$X71</f>
        <v>0</v>
      </c>
      <c r="Z71" s="198">
        <f>-INDEX(Parameters!$B:$B,MATCH(Z$3&amp;$C71,Parameters!$A:$A,0))*$X71</f>
        <v>0</v>
      </c>
      <c r="AA71" s="139">
        <f t="shared" si="26"/>
        <v>1000</v>
      </c>
      <c r="AB71" s="205">
        <f>AA71/INDEX(Parameters!$B:$B,MATCH("AfschrijftermijnVVE"&amp;12*$C71,Parameters!$A:$A,0))</f>
        <v>27.777777777777779</v>
      </c>
      <c r="AC71" s="204">
        <f>INDEX('Tarieven ZM'!$G:$G,$W71)</f>
        <v>1000</v>
      </c>
      <c r="AD71" s="198">
        <f>-INDEX(Parameters!$B:$B,MATCH(AD$3&amp;$C71,Parameters!$A:$A,0))*$AC71</f>
        <v>0</v>
      </c>
      <c r="AE71" s="198">
        <f>-INDEX(Parameters!$B:$B,MATCH(AE$3,Parameters!$A:$A,0))*$AC71</f>
        <v>0</v>
      </c>
      <c r="AF71" s="139">
        <f t="shared" si="27"/>
        <v>1000</v>
      </c>
      <c r="AG71" s="522">
        <f t="shared" si="28"/>
        <v>1027.7777777777778</v>
      </c>
      <c r="AH71" s="175"/>
      <c r="AI71" s="523">
        <f>MATCH($U71,'Tarieven W&amp;O'!$B:$B,0)</f>
        <v>67</v>
      </c>
      <c r="AJ71" s="204">
        <f>IF(AI71&lt;&gt;"nvt",INDEX('Tarieven W&amp;O'!$H:$H,$AI71),0)</f>
        <v>0</v>
      </c>
      <c r="AK71" s="204">
        <f>IF(AI71&lt;&gt;"nvt",INDEX('Tarieven W&amp;O'!$I:$I,$AI71),0)</f>
        <v>25</v>
      </c>
      <c r="AL71" s="524">
        <f>IF(AI71&lt;&gt;"nvt",-INDEX(Parameters!$B:$B,MATCH(AL$3,Parameters!$A:$A,0))*(AJ71+AK71),0)</f>
        <v>0</v>
      </c>
      <c r="AM71" s="525"/>
      <c r="AN71" s="139">
        <f t="shared" si="29"/>
        <v>25</v>
      </c>
      <c r="AO71" s="205">
        <f>AN71/INDEX(Parameters!$B:$B,MATCH("AfschrijftermijnVVE"&amp;12*$C71,Parameters!$A:$A,0))</f>
        <v>0.69444444444444442</v>
      </c>
      <c r="AP71" s="139">
        <f t="shared" si="30"/>
        <v>67</v>
      </c>
      <c r="AQ71" s="526">
        <f>IF(AP71&lt;&gt;"nvt",INDEX('Tarieven W&amp;O'!$G:$G,$AP71),0)</f>
        <v>110.78</v>
      </c>
      <c r="AR71" s="251">
        <f>IF($S71,INDEX('Tarieven W&amp;O'!$G:$G,MATCH(N71&amp;R71,'Tarieven W&amp;O'!$B:$B,0)),0)</f>
        <v>0</v>
      </c>
      <c r="AS71" s="205">
        <f>-INDEX(Parameters!$B:$B,MATCH(AS$3,Parameters!$A:$A,0))*(AQ71+AR71)</f>
        <v>0</v>
      </c>
      <c r="AT71" s="205">
        <f>INDEX(hulpblad!$E:$E,MATCH(M71&amp;Q71,hulpblad!$B:$B,0))</f>
        <v>1</v>
      </c>
      <c r="AU71" s="150">
        <f t="shared" si="33"/>
        <v>111.78</v>
      </c>
      <c r="AV71" s="150">
        <f t="shared" si="34"/>
        <v>112.47444444444444</v>
      </c>
      <c r="AX71" s="526">
        <f>Parameters!$B$6*AV71</f>
        <v>1.1247444444444445</v>
      </c>
      <c r="AY71" s="150">
        <v>0</v>
      </c>
      <c r="AZ71" s="150"/>
      <c r="BA71" s="150">
        <f t="shared" si="31"/>
        <v>1.1247444444444445</v>
      </c>
      <c r="BB71" s="150"/>
      <c r="BC71" s="522">
        <f t="shared" si="32"/>
        <v>113.59918888888889</v>
      </c>
      <c r="BD71" s="175"/>
      <c r="BE71" s="527">
        <f t="shared" si="35"/>
        <v>914.17858888888895</v>
      </c>
      <c r="BF71" s="181">
        <f t="shared" si="36"/>
        <v>0.88947105945945948</v>
      </c>
      <c r="BG71" s="520" t="b">
        <f t="shared" si="25"/>
        <v>0</v>
      </c>
      <c r="BI71" s="528" t="s">
        <v>2181</v>
      </c>
      <c r="BL71" s="151" t="str">
        <f t="shared" si="38"/>
        <v>EoKMetro - Regionaal</v>
      </c>
      <c r="BM71" s="529">
        <v>0</v>
      </c>
      <c r="BN71" s="180">
        <f>BM71/INDEX(Parameters!$B:$B,MATCH("AfschrijftermijnVVE"&amp;12*$C71,Parameters!$A:$A,0))</f>
        <v>0</v>
      </c>
      <c r="BO71" s="184">
        <f>INDEX('inkoop ULL tbv EVPN'!I:I,MATCH(BL71,'inkoop ULL tbv EVPN'!H:H,0))</f>
        <v>2</v>
      </c>
      <c r="BP71" s="184">
        <f t="shared" si="39"/>
        <v>2</v>
      </c>
      <c r="BR71" s="180">
        <f>Parameters!$B$12*AG71</f>
        <v>102.77777777777779</v>
      </c>
      <c r="BS71" s="180">
        <f>SUM(Distributievergoedingen!$F$12,Distributievergoedingen!$I$12,Distributievergoedingen!$L$12,Distributievergoedingen!$O$12)*AF71+SUM(Distributievergoedingen!$O$12*AA71+Distributievergoedingen!$R$12+Distributievergoedingen!$U$12+Distributievergoedingen!$X$12)/(MAX(36,12*C71))</f>
        <v>112.77777777777777</v>
      </c>
      <c r="BT71" s="150"/>
      <c r="BU71" s="150">
        <f t="shared" si="40"/>
        <v>215.55555555555554</v>
      </c>
      <c r="BW71" s="522">
        <f t="shared" si="41"/>
        <v>217.55555555555554</v>
      </c>
      <c r="BY71" s="527">
        <f t="shared" si="42"/>
        <v>810.22222222222229</v>
      </c>
      <c r="BZ71" s="181">
        <f t="shared" si="43"/>
        <v>0.78832432432432431</v>
      </c>
      <c r="CA71" s="520" t="b">
        <f t="shared" si="44"/>
        <v>0</v>
      </c>
    </row>
    <row r="72" spans="1:79" s="151" customFormat="1">
      <c r="A72" s="151" t="str">
        <f t="shared" si="37"/>
        <v>1EoKPremiumCity50</v>
      </c>
      <c r="B72" s="520" t="str">
        <f t="shared" si="45"/>
        <v>1EoKPremiumCity50</v>
      </c>
      <c r="C72" s="179">
        <v>1</v>
      </c>
      <c r="D72" s="179" t="s">
        <v>303</v>
      </c>
      <c r="E72" s="178" t="s">
        <v>267</v>
      </c>
      <c r="F72" s="178" t="s">
        <v>262</v>
      </c>
      <c r="G72" s="185" t="s">
        <v>416</v>
      </c>
      <c r="J72" s="520" t="str">
        <f t="shared" si="23"/>
        <v>PremiumCity50</v>
      </c>
      <c r="L72" s="204">
        <f>INDEX(Mapping!$H:$H,MATCH(C$3&amp;C72,Mapping!$B:$B,0))</f>
        <v>1</v>
      </c>
      <c r="M72" s="204" t="str">
        <f>INDEX(Mapping!$H:$H,MATCH(D$3&amp;$D72,Mapping!$B:$B,0))</f>
        <v>EoK</v>
      </c>
      <c r="N72" s="204" t="str">
        <f>INDEX(Mapping!$H:$H,MATCH(E$3&amp;E72,Mapping!$B:$B,0))</f>
        <v>Premium</v>
      </c>
      <c r="O72" s="204" t="str">
        <f>INDEX(Mapping!$H:$H,MATCH(F$3&amp;F72,Mapping!$B:$B,0))</f>
        <v>Metro</v>
      </c>
      <c r="P72" s="204">
        <f>INDEX(Mapping!$H:$H,MATCH(G$3&amp;G72,Mapping!$B:$B,0))</f>
        <v>50</v>
      </c>
      <c r="Q72" s="204" t="str">
        <f>INDEX(Mapping!$H:$H,MATCH(Q$3&amp;$F72,Mapping!$B:$B,0))</f>
        <v>Metro - Regionaal</v>
      </c>
      <c r="R72" s="204" t="str">
        <f>INDEX(Mapping!$H:$H,MATCH("ZM VPN Service Level"&amp;E72,Mapping!$B:$B,0))</f>
        <v>Advanced</v>
      </c>
      <c r="S72" s="139" t="b">
        <f>IF($D72="EoK",INDEX(Mapping!$I:$I,MATCH($G$3&amp;$G72,Mapping!B:B,0)),FALSE)</f>
        <v>0</v>
      </c>
      <c r="T72" s="139"/>
      <c r="U72" s="520" t="str">
        <f t="shared" si="24"/>
        <v>PremiumMetro50</v>
      </c>
      <c r="W72" s="521">
        <f>MATCH($J72,'Tarieven ZM'!$B:$B,0)</f>
        <v>76</v>
      </c>
      <c r="X72" s="204">
        <f>INDEX('Tarieven ZM'!$H:$H,$W72)</f>
        <v>1000</v>
      </c>
      <c r="Y72" s="198">
        <f>-INDEX(Parameters!$B:$B,MATCH(Y$3&amp;$C72,Parameters!$A:$A,0))*$X72</f>
        <v>0</v>
      </c>
      <c r="Z72" s="198">
        <f>-INDEX(Parameters!$B:$B,MATCH(Z$3&amp;$C72,Parameters!$A:$A,0))*$X72</f>
        <v>0</v>
      </c>
      <c r="AA72" s="139">
        <f t="shared" si="26"/>
        <v>1000</v>
      </c>
      <c r="AB72" s="205">
        <f>AA72/INDEX(Parameters!$B:$B,MATCH("AfschrijftermijnVVE"&amp;12*$C72,Parameters!$A:$A,0))</f>
        <v>27.777777777777779</v>
      </c>
      <c r="AC72" s="204">
        <f>INDEX('Tarieven ZM'!$G:$G,$W72)</f>
        <v>1000</v>
      </c>
      <c r="AD72" s="198">
        <f>-INDEX(Parameters!$B:$B,MATCH(AD$3&amp;$C72,Parameters!$A:$A,0))*$AC72</f>
        <v>0</v>
      </c>
      <c r="AE72" s="198">
        <f>-INDEX(Parameters!$B:$B,MATCH(AE$3,Parameters!$A:$A,0))*$AC72</f>
        <v>0</v>
      </c>
      <c r="AF72" s="139">
        <f t="shared" si="27"/>
        <v>1000</v>
      </c>
      <c r="AG72" s="522">
        <f t="shared" si="28"/>
        <v>1027.7777777777778</v>
      </c>
      <c r="AH72" s="175"/>
      <c r="AI72" s="523">
        <f>MATCH($U72,'Tarieven W&amp;O'!$B:$B,0)</f>
        <v>68</v>
      </c>
      <c r="AJ72" s="204">
        <f>IF(AI72&lt;&gt;"nvt",INDEX('Tarieven W&amp;O'!$H:$H,$AI72),0)</f>
        <v>0</v>
      </c>
      <c r="AK72" s="204">
        <f>IF(AI72&lt;&gt;"nvt",INDEX('Tarieven W&amp;O'!$I:$I,$AI72),0)</f>
        <v>25</v>
      </c>
      <c r="AL72" s="524">
        <f>IF(AI72&lt;&gt;"nvt",-INDEX(Parameters!$B:$B,MATCH(AL$3,Parameters!$A:$A,0))*(AJ72+AK72),0)</f>
        <v>0</v>
      </c>
      <c r="AM72" s="525"/>
      <c r="AN72" s="139">
        <f t="shared" si="29"/>
        <v>25</v>
      </c>
      <c r="AO72" s="205">
        <f>AN72/INDEX(Parameters!$B:$B,MATCH("AfschrijftermijnVVE"&amp;12*$C72,Parameters!$A:$A,0))</f>
        <v>0.69444444444444442</v>
      </c>
      <c r="AP72" s="139">
        <f t="shared" si="30"/>
        <v>68</v>
      </c>
      <c r="AQ72" s="526">
        <f>IF(AP72&lt;&gt;"nvt",INDEX('Tarieven W&amp;O'!$G:$G,$AP72),0)</f>
        <v>133.4</v>
      </c>
      <c r="AR72" s="251">
        <f>IF($S72,INDEX('Tarieven W&amp;O'!$G:$G,MATCH(N72&amp;R72,'Tarieven W&amp;O'!$B:$B,0)),0)</f>
        <v>0</v>
      </c>
      <c r="AS72" s="205">
        <f>-INDEX(Parameters!$B:$B,MATCH(AS$3,Parameters!$A:$A,0))*(AQ72+AR72)</f>
        <v>0</v>
      </c>
      <c r="AT72" s="205">
        <f>INDEX(hulpblad!$E:$E,MATCH(M72&amp;Q72,hulpblad!$B:$B,0))</f>
        <v>1</v>
      </c>
      <c r="AU72" s="150">
        <f t="shared" si="33"/>
        <v>134.4</v>
      </c>
      <c r="AV72" s="150">
        <f t="shared" si="34"/>
        <v>135.09444444444446</v>
      </c>
      <c r="AX72" s="526">
        <f>Parameters!$B$6*AV72</f>
        <v>1.3509444444444447</v>
      </c>
      <c r="AY72" s="150">
        <v>0</v>
      </c>
      <c r="AZ72" s="150"/>
      <c r="BA72" s="150">
        <f t="shared" si="31"/>
        <v>1.3509444444444447</v>
      </c>
      <c r="BB72" s="150"/>
      <c r="BC72" s="522">
        <f t="shared" si="32"/>
        <v>136.44538888888891</v>
      </c>
      <c r="BD72" s="175"/>
      <c r="BE72" s="527">
        <f t="shared" si="35"/>
        <v>891.33238888888889</v>
      </c>
      <c r="BF72" s="181">
        <f t="shared" si="36"/>
        <v>0.86724232432432424</v>
      </c>
      <c r="BG72" s="520" t="b">
        <f t="shared" si="25"/>
        <v>0</v>
      </c>
      <c r="BI72" s="528" t="s">
        <v>2181</v>
      </c>
      <c r="BL72" s="151" t="str">
        <f t="shared" si="38"/>
        <v>EoKMetro - Regionaal</v>
      </c>
      <c r="BM72" s="529">
        <v>0</v>
      </c>
      <c r="BN72" s="180">
        <f>BM72/INDEX(Parameters!$B:$B,MATCH("AfschrijftermijnVVE"&amp;12*$C72,Parameters!$A:$A,0))</f>
        <v>0</v>
      </c>
      <c r="BO72" s="184">
        <f>INDEX('inkoop ULL tbv EVPN'!I:I,MATCH(BL72,'inkoop ULL tbv EVPN'!H:H,0))</f>
        <v>2</v>
      </c>
      <c r="BP72" s="184">
        <f t="shared" si="39"/>
        <v>2</v>
      </c>
      <c r="BR72" s="180">
        <f>Parameters!$B$12*AG72</f>
        <v>102.77777777777779</v>
      </c>
      <c r="BS72" s="180">
        <f>SUM(Distributievergoedingen!$F$12,Distributievergoedingen!$I$12,Distributievergoedingen!$L$12,Distributievergoedingen!$O$12)*AF72+SUM(Distributievergoedingen!$O$12*AA72+Distributievergoedingen!$R$12+Distributievergoedingen!$U$12+Distributievergoedingen!$X$12)/(MAX(36,12*C72))</f>
        <v>112.77777777777777</v>
      </c>
      <c r="BT72" s="150"/>
      <c r="BU72" s="150">
        <f t="shared" si="40"/>
        <v>215.55555555555554</v>
      </c>
      <c r="BW72" s="522">
        <f t="shared" si="41"/>
        <v>217.55555555555554</v>
      </c>
      <c r="BY72" s="527">
        <f t="shared" si="42"/>
        <v>810.22222222222229</v>
      </c>
      <c r="BZ72" s="181">
        <f t="shared" si="43"/>
        <v>0.78832432432432431</v>
      </c>
      <c r="CA72" s="520" t="b">
        <f t="shared" si="44"/>
        <v>0</v>
      </c>
    </row>
    <row r="73" spans="1:79" s="151" customFormat="1">
      <c r="A73" s="151" t="str">
        <f t="shared" si="37"/>
        <v>1EoKPremiumCity80</v>
      </c>
      <c r="B73" s="520" t="str">
        <f t="shared" si="45"/>
        <v>1EoKPremiumCity80</v>
      </c>
      <c r="C73" s="179">
        <v>1</v>
      </c>
      <c r="D73" s="179" t="s">
        <v>303</v>
      </c>
      <c r="E73" s="178" t="s">
        <v>267</v>
      </c>
      <c r="F73" s="178" t="s">
        <v>262</v>
      </c>
      <c r="G73" s="185" t="s">
        <v>417</v>
      </c>
      <c r="J73" s="520" t="str">
        <f t="shared" si="23"/>
        <v>PremiumCity80</v>
      </c>
      <c r="L73" s="204">
        <f>INDEX(Mapping!$H:$H,MATCH(C$3&amp;C73,Mapping!$B:$B,0))</f>
        <v>1</v>
      </c>
      <c r="M73" s="204" t="str">
        <f>INDEX(Mapping!$H:$H,MATCH(D$3&amp;$D73,Mapping!$B:$B,0))</f>
        <v>EoK</v>
      </c>
      <c r="N73" s="204" t="str">
        <f>INDEX(Mapping!$H:$H,MATCH(E$3&amp;E73,Mapping!$B:$B,0))</f>
        <v>Premium</v>
      </c>
      <c r="O73" s="204" t="str">
        <f>INDEX(Mapping!$H:$H,MATCH(F$3&amp;F73,Mapping!$B:$B,0))</f>
        <v>Metro</v>
      </c>
      <c r="P73" s="204">
        <f>INDEX(Mapping!$H:$H,MATCH(G$3&amp;G73,Mapping!$B:$B,0))</f>
        <v>80</v>
      </c>
      <c r="Q73" s="204" t="str">
        <f>INDEX(Mapping!$H:$H,MATCH(Q$3&amp;$F73,Mapping!$B:$B,0))</f>
        <v>Metro - Regionaal</v>
      </c>
      <c r="R73" s="204" t="str">
        <f>INDEX(Mapping!$H:$H,MATCH("ZM VPN Service Level"&amp;E73,Mapping!$B:$B,0))</f>
        <v>Advanced</v>
      </c>
      <c r="S73" s="139" t="b">
        <f>IF($D73="EoK",INDEX(Mapping!$I:$I,MATCH($G$3&amp;$G73,Mapping!B:B,0)),FALSE)</f>
        <v>0</v>
      </c>
      <c r="T73" s="139"/>
      <c r="U73" s="520" t="str">
        <f t="shared" si="24"/>
        <v>PremiumMetro80</v>
      </c>
      <c r="W73" s="521">
        <f>MATCH($J73,'Tarieven ZM'!$B:$B,0)</f>
        <v>77</v>
      </c>
      <c r="X73" s="204">
        <f>INDEX('Tarieven ZM'!$H:$H,$W73)</f>
        <v>1000</v>
      </c>
      <c r="Y73" s="198">
        <f>-INDEX(Parameters!$B:$B,MATCH(Y$3&amp;$C73,Parameters!$A:$A,0))*$X73</f>
        <v>0</v>
      </c>
      <c r="Z73" s="198">
        <f>-INDEX(Parameters!$B:$B,MATCH(Z$3&amp;$C73,Parameters!$A:$A,0))*$X73</f>
        <v>0</v>
      </c>
      <c r="AA73" s="139">
        <f t="shared" si="26"/>
        <v>1000</v>
      </c>
      <c r="AB73" s="205">
        <f>AA73/INDEX(Parameters!$B:$B,MATCH("AfschrijftermijnVVE"&amp;12*$C73,Parameters!$A:$A,0))</f>
        <v>27.777777777777779</v>
      </c>
      <c r="AC73" s="204">
        <f>INDEX('Tarieven ZM'!$G:$G,$W73)</f>
        <v>1000</v>
      </c>
      <c r="AD73" s="198">
        <f>-INDEX(Parameters!$B:$B,MATCH(AD$3&amp;$C73,Parameters!$A:$A,0))*$AC73</f>
        <v>0</v>
      </c>
      <c r="AE73" s="198">
        <f>-INDEX(Parameters!$B:$B,MATCH(AE$3,Parameters!$A:$A,0))*$AC73</f>
        <v>0</v>
      </c>
      <c r="AF73" s="139">
        <f t="shared" si="27"/>
        <v>1000</v>
      </c>
      <c r="AG73" s="522">
        <f t="shared" si="28"/>
        <v>1027.7777777777778</v>
      </c>
      <c r="AH73" s="175"/>
      <c r="AI73" s="523">
        <f>MATCH($U73,'Tarieven W&amp;O'!$B:$B,0)</f>
        <v>69</v>
      </c>
      <c r="AJ73" s="204">
        <f>IF(AI73&lt;&gt;"nvt",INDEX('Tarieven W&amp;O'!$H:$H,$AI73),0)</f>
        <v>0</v>
      </c>
      <c r="AK73" s="204">
        <f>IF(AI73&lt;&gt;"nvt",INDEX('Tarieven W&amp;O'!$I:$I,$AI73),0)</f>
        <v>25</v>
      </c>
      <c r="AL73" s="524">
        <f>IF(AI73&lt;&gt;"nvt",-INDEX(Parameters!$B:$B,MATCH(AL$3,Parameters!$A:$A,0))*(AJ73+AK73),0)</f>
        <v>0</v>
      </c>
      <c r="AM73" s="525"/>
      <c r="AN73" s="139">
        <f t="shared" si="29"/>
        <v>25</v>
      </c>
      <c r="AO73" s="205">
        <f>AN73/INDEX(Parameters!$B:$B,MATCH("AfschrijftermijnVVE"&amp;12*$C73,Parameters!$A:$A,0))</f>
        <v>0.69444444444444442</v>
      </c>
      <c r="AP73" s="139">
        <f t="shared" si="30"/>
        <v>69</v>
      </c>
      <c r="AQ73" s="526">
        <f>IF(AP73&lt;&gt;"nvt",INDEX('Tarieven W&amp;O'!$G:$G,$AP73),0)</f>
        <v>159.78</v>
      </c>
      <c r="AR73" s="251">
        <f>IF($S73,INDEX('Tarieven W&amp;O'!$G:$G,MATCH(N73&amp;R73,'Tarieven W&amp;O'!$B:$B,0)),0)</f>
        <v>0</v>
      </c>
      <c r="AS73" s="205">
        <f>-INDEX(Parameters!$B:$B,MATCH(AS$3,Parameters!$A:$A,0))*(AQ73+AR73)</f>
        <v>0</v>
      </c>
      <c r="AT73" s="205">
        <f>INDEX(hulpblad!$E:$E,MATCH(M73&amp;Q73,hulpblad!$B:$B,0))</f>
        <v>1</v>
      </c>
      <c r="AU73" s="150">
        <f t="shared" si="33"/>
        <v>160.78</v>
      </c>
      <c r="AV73" s="150">
        <f t="shared" si="34"/>
        <v>161.47444444444446</v>
      </c>
      <c r="AX73" s="526">
        <f>Parameters!$B$6*AV73</f>
        <v>1.6147444444444445</v>
      </c>
      <c r="AY73" s="150">
        <v>0</v>
      </c>
      <c r="AZ73" s="150"/>
      <c r="BA73" s="150">
        <f t="shared" si="31"/>
        <v>1.6147444444444445</v>
      </c>
      <c r="BB73" s="150"/>
      <c r="BC73" s="522">
        <f t="shared" si="32"/>
        <v>163.08918888888891</v>
      </c>
      <c r="BD73" s="175"/>
      <c r="BE73" s="527">
        <f t="shared" si="35"/>
        <v>864.68858888888894</v>
      </c>
      <c r="BF73" s="181">
        <f t="shared" si="36"/>
        <v>0.84131862702702709</v>
      </c>
      <c r="BG73" s="520" t="b">
        <f t="shared" si="25"/>
        <v>0</v>
      </c>
      <c r="BI73" s="528" t="s">
        <v>2181</v>
      </c>
      <c r="BL73" s="151" t="str">
        <f t="shared" si="38"/>
        <v>EoKMetro - Regionaal</v>
      </c>
      <c r="BM73" s="529">
        <v>0</v>
      </c>
      <c r="BN73" s="180">
        <f>BM73/INDEX(Parameters!$B:$B,MATCH("AfschrijftermijnVVE"&amp;12*$C73,Parameters!$A:$A,0))</f>
        <v>0</v>
      </c>
      <c r="BO73" s="184">
        <f>INDEX('inkoop ULL tbv EVPN'!I:I,MATCH(BL73,'inkoop ULL tbv EVPN'!H:H,0))</f>
        <v>2</v>
      </c>
      <c r="BP73" s="184">
        <f t="shared" si="39"/>
        <v>2</v>
      </c>
      <c r="BR73" s="180">
        <f>Parameters!$B$12*AG73</f>
        <v>102.77777777777779</v>
      </c>
      <c r="BS73" s="180">
        <f>SUM(Distributievergoedingen!$F$12,Distributievergoedingen!$I$12,Distributievergoedingen!$L$12,Distributievergoedingen!$O$12)*AF73+SUM(Distributievergoedingen!$O$12*AA73+Distributievergoedingen!$R$12+Distributievergoedingen!$U$12+Distributievergoedingen!$X$12)/(MAX(36,12*C73))</f>
        <v>112.77777777777777</v>
      </c>
      <c r="BT73" s="150"/>
      <c r="BU73" s="150">
        <f t="shared" si="40"/>
        <v>215.55555555555554</v>
      </c>
      <c r="BW73" s="522">
        <f t="shared" si="41"/>
        <v>217.55555555555554</v>
      </c>
      <c r="BY73" s="527">
        <f t="shared" si="42"/>
        <v>810.22222222222229</v>
      </c>
      <c r="BZ73" s="181">
        <f t="shared" si="43"/>
        <v>0.78832432432432431</v>
      </c>
      <c r="CA73" s="520" t="b">
        <f t="shared" si="44"/>
        <v>0</v>
      </c>
    </row>
    <row r="74" spans="1:79" s="151" customFormat="1">
      <c r="A74" s="151" t="str">
        <f t="shared" si="37"/>
        <v>1EoKPremiumCity100</v>
      </c>
      <c r="B74" s="520" t="str">
        <f t="shared" si="45"/>
        <v>1EoKPremiumCity100</v>
      </c>
      <c r="C74" s="179">
        <v>1</v>
      </c>
      <c r="D74" s="179" t="s">
        <v>303</v>
      </c>
      <c r="E74" s="178" t="s">
        <v>267</v>
      </c>
      <c r="F74" s="178" t="s">
        <v>262</v>
      </c>
      <c r="G74" s="185" t="s">
        <v>418</v>
      </c>
      <c r="J74" s="520" t="str">
        <f t="shared" ref="J74:J117" si="46">E74&amp;F74&amp;G74&amp;H74</f>
        <v>PremiumCity100</v>
      </c>
      <c r="L74" s="204">
        <f>INDEX(Mapping!$H:$H,MATCH(C$3&amp;C74,Mapping!$B:$B,0))</f>
        <v>1</v>
      </c>
      <c r="M74" s="204" t="str">
        <f>INDEX(Mapping!$H:$H,MATCH(D$3&amp;$D74,Mapping!$B:$B,0))</f>
        <v>EoK</v>
      </c>
      <c r="N74" s="204" t="str">
        <f>INDEX(Mapping!$H:$H,MATCH(E$3&amp;E74,Mapping!$B:$B,0))</f>
        <v>Premium</v>
      </c>
      <c r="O74" s="204" t="str">
        <f>INDEX(Mapping!$H:$H,MATCH(F$3&amp;F74,Mapping!$B:$B,0))</f>
        <v>Metro</v>
      </c>
      <c r="P74" s="204">
        <f>INDEX(Mapping!$H:$H,MATCH(G$3&amp;G74,Mapping!$B:$B,0))</f>
        <v>100</v>
      </c>
      <c r="Q74" s="204" t="str">
        <f>INDEX(Mapping!$H:$H,MATCH(Q$3&amp;$F74,Mapping!$B:$B,0))</f>
        <v>Metro - Regionaal</v>
      </c>
      <c r="R74" s="204" t="str">
        <f>INDEX(Mapping!$H:$H,MATCH("ZM VPN Service Level"&amp;E74,Mapping!$B:$B,0))</f>
        <v>Advanced</v>
      </c>
      <c r="S74" s="139" t="b">
        <f>IF($D74="EoK",INDEX(Mapping!$I:$I,MATCH($G$3&amp;$G74,Mapping!B:B,0)),FALSE)</f>
        <v>0</v>
      </c>
      <c r="T74" s="139"/>
      <c r="U74" s="520" t="str">
        <f t="shared" ref="U74:U117" si="47">N74&amp;O74&amp;P74</f>
        <v>PremiumMetro100</v>
      </c>
      <c r="W74" s="521">
        <f>MATCH($J74,'Tarieven ZM'!$B:$B,0)</f>
        <v>78</v>
      </c>
      <c r="X74" s="204">
        <f>INDEX('Tarieven ZM'!$H:$H,$W74)</f>
        <v>1000</v>
      </c>
      <c r="Y74" s="198">
        <f>-INDEX(Parameters!$B:$B,MATCH(Y$3&amp;$C74,Parameters!$A:$A,0))*$X74</f>
        <v>0</v>
      </c>
      <c r="Z74" s="198">
        <f>-INDEX(Parameters!$B:$B,MATCH(Z$3&amp;$C74,Parameters!$A:$A,0))*$X74</f>
        <v>0</v>
      </c>
      <c r="AA74" s="139">
        <f t="shared" si="26"/>
        <v>1000</v>
      </c>
      <c r="AB74" s="205">
        <f>AA74/INDEX(Parameters!$B:$B,MATCH("AfschrijftermijnVVE"&amp;12*$C74,Parameters!$A:$A,0))</f>
        <v>27.777777777777779</v>
      </c>
      <c r="AC74" s="204">
        <f>INDEX('Tarieven ZM'!$G:$G,$W74)</f>
        <v>1000</v>
      </c>
      <c r="AD74" s="198">
        <f>-INDEX(Parameters!$B:$B,MATCH(AD$3&amp;$C74,Parameters!$A:$A,0))*$AC74</f>
        <v>0</v>
      </c>
      <c r="AE74" s="198">
        <f>-INDEX(Parameters!$B:$B,MATCH(AE$3,Parameters!$A:$A,0))*$AC74</f>
        <v>0</v>
      </c>
      <c r="AF74" s="139">
        <f t="shared" si="27"/>
        <v>1000</v>
      </c>
      <c r="AG74" s="522">
        <f t="shared" si="28"/>
        <v>1027.7777777777778</v>
      </c>
      <c r="AH74" s="175"/>
      <c r="AI74" s="523">
        <f>MATCH($U74,'Tarieven W&amp;O'!$B:$B,0)</f>
        <v>70</v>
      </c>
      <c r="AJ74" s="204">
        <f>IF(AI74&lt;&gt;"nvt",INDEX('Tarieven W&amp;O'!$H:$H,$AI74),0)</f>
        <v>0</v>
      </c>
      <c r="AK74" s="204">
        <f>IF(AI74&lt;&gt;"nvt",INDEX('Tarieven W&amp;O'!$I:$I,$AI74),0)</f>
        <v>25</v>
      </c>
      <c r="AL74" s="524">
        <f>IF(AI74&lt;&gt;"nvt",-INDEX(Parameters!$B:$B,MATCH(AL$3,Parameters!$A:$A,0))*(AJ74+AK74),0)</f>
        <v>0</v>
      </c>
      <c r="AM74" s="525"/>
      <c r="AN74" s="139">
        <f t="shared" si="29"/>
        <v>25</v>
      </c>
      <c r="AO74" s="205">
        <f>AN74/INDEX(Parameters!$B:$B,MATCH("AfschrijftermijnVVE"&amp;12*$C74,Parameters!$A:$A,0))</f>
        <v>0.69444444444444442</v>
      </c>
      <c r="AP74" s="139">
        <f t="shared" si="30"/>
        <v>70</v>
      </c>
      <c r="AQ74" s="526">
        <f>IF(AP74&lt;&gt;"nvt",INDEX('Tarieven W&amp;O'!$G:$G,$AP74),0)</f>
        <v>178.63</v>
      </c>
      <c r="AR74" s="251">
        <f>IF($S74,INDEX('Tarieven W&amp;O'!$G:$G,MATCH(N74&amp;R74,'Tarieven W&amp;O'!$B:$B,0)),0)</f>
        <v>0</v>
      </c>
      <c r="AS74" s="205">
        <f>-INDEX(Parameters!$B:$B,MATCH(AS$3,Parameters!$A:$A,0))*(AQ74+AR74)</f>
        <v>0</v>
      </c>
      <c r="AT74" s="205">
        <f>INDEX(hulpblad!$E:$E,MATCH(M74&amp;Q74,hulpblad!$B:$B,0))</f>
        <v>1</v>
      </c>
      <c r="AU74" s="150">
        <f t="shared" si="33"/>
        <v>179.63</v>
      </c>
      <c r="AV74" s="150">
        <f t="shared" si="34"/>
        <v>180.32444444444445</v>
      </c>
      <c r="AX74" s="526">
        <f>Parameters!$B$6*AV74</f>
        <v>1.8032444444444446</v>
      </c>
      <c r="AY74" s="150">
        <v>0</v>
      </c>
      <c r="AZ74" s="150"/>
      <c r="BA74" s="150">
        <f t="shared" si="31"/>
        <v>1.8032444444444446</v>
      </c>
      <c r="BB74" s="150"/>
      <c r="BC74" s="522">
        <f t="shared" si="32"/>
        <v>182.12768888888888</v>
      </c>
      <c r="BD74" s="175"/>
      <c r="BE74" s="527">
        <f t="shared" si="35"/>
        <v>845.65008888888894</v>
      </c>
      <c r="BF74" s="181">
        <f t="shared" si="36"/>
        <v>0.82279468108108111</v>
      </c>
      <c r="BG74" s="520" t="b">
        <f t="shared" ref="BG74:BG117" si="48">BF74&lt;0</f>
        <v>0</v>
      </c>
      <c r="BI74" s="528" t="s">
        <v>2181</v>
      </c>
      <c r="BL74" s="151" t="str">
        <f t="shared" si="38"/>
        <v>EoKMetro - Regionaal</v>
      </c>
      <c r="BM74" s="529">
        <v>0</v>
      </c>
      <c r="BN74" s="180">
        <f>BM74/INDEX(Parameters!$B:$B,MATCH("AfschrijftermijnVVE"&amp;12*$C74,Parameters!$A:$A,0))</f>
        <v>0</v>
      </c>
      <c r="BO74" s="184">
        <f>INDEX('inkoop ULL tbv EVPN'!I:I,MATCH(BL74,'inkoop ULL tbv EVPN'!H:H,0))</f>
        <v>2</v>
      </c>
      <c r="BP74" s="184">
        <f t="shared" si="39"/>
        <v>2</v>
      </c>
      <c r="BR74" s="180">
        <f>Parameters!$B$12*AG74</f>
        <v>102.77777777777779</v>
      </c>
      <c r="BS74" s="180">
        <f>SUM(Distributievergoedingen!$F$12,Distributievergoedingen!$I$12,Distributievergoedingen!$L$12,Distributievergoedingen!$O$12)*AF74+SUM(Distributievergoedingen!$O$12*AA74+Distributievergoedingen!$R$12+Distributievergoedingen!$U$12+Distributievergoedingen!$X$12)/(MAX(36,12*C74))</f>
        <v>112.77777777777777</v>
      </c>
      <c r="BT74" s="150"/>
      <c r="BU74" s="150">
        <f t="shared" si="40"/>
        <v>215.55555555555554</v>
      </c>
      <c r="BW74" s="522">
        <f t="shared" si="41"/>
        <v>217.55555555555554</v>
      </c>
      <c r="BY74" s="527">
        <f t="shared" si="42"/>
        <v>810.22222222222229</v>
      </c>
      <c r="BZ74" s="181">
        <f t="shared" si="43"/>
        <v>0.78832432432432431</v>
      </c>
      <c r="CA74" s="520" t="b">
        <f t="shared" si="44"/>
        <v>0</v>
      </c>
    </row>
    <row r="75" spans="1:79" s="151" customFormat="1">
      <c r="A75" s="151" t="str">
        <f t="shared" si="37"/>
        <v>1EoKPremiumCity200</v>
      </c>
      <c r="B75" s="520" t="str">
        <f t="shared" si="45"/>
        <v>1EoKPremiumCity200</v>
      </c>
      <c r="C75" s="179">
        <v>1</v>
      </c>
      <c r="D75" s="179" t="s">
        <v>303</v>
      </c>
      <c r="E75" s="178" t="s">
        <v>267</v>
      </c>
      <c r="F75" s="178" t="s">
        <v>262</v>
      </c>
      <c r="G75" s="185" t="s">
        <v>419</v>
      </c>
      <c r="J75" s="520" t="str">
        <f t="shared" si="46"/>
        <v>PremiumCity200</v>
      </c>
      <c r="L75" s="204">
        <f>INDEX(Mapping!$H:$H,MATCH(C$3&amp;C75,Mapping!$B:$B,0))</f>
        <v>1</v>
      </c>
      <c r="M75" s="204" t="str">
        <f>INDEX(Mapping!$H:$H,MATCH(D$3&amp;$D75,Mapping!$B:$B,0))</f>
        <v>EoK</v>
      </c>
      <c r="N75" s="204" t="str">
        <f>INDEX(Mapping!$H:$H,MATCH(E$3&amp;E75,Mapping!$B:$B,0))</f>
        <v>Premium</v>
      </c>
      <c r="O75" s="204" t="str">
        <f>INDEX(Mapping!$H:$H,MATCH(F$3&amp;F75,Mapping!$B:$B,0))</f>
        <v>Metro</v>
      </c>
      <c r="P75" s="204">
        <f>INDEX(Mapping!$H:$H,MATCH(G$3&amp;G75,Mapping!$B:$B,0))</f>
        <v>200</v>
      </c>
      <c r="Q75" s="204" t="str">
        <f>INDEX(Mapping!$H:$H,MATCH(Q$3&amp;$F75,Mapping!$B:$B,0))</f>
        <v>Metro - Regionaal</v>
      </c>
      <c r="R75" s="204" t="str">
        <f>INDEX(Mapping!$H:$H,MATCH("ZM VPN Service Level"&amp;E75,Mapping!$B:$B,0))</f>
        <v>Advanced</v>
      </c>
      <c r="S75" s="139" t="b">
        <f>IF($D75="EoK",INDEX(Mapping!$I:$I,MATCH($G$3&amp;$G75,Mapping!B:B,0)),FALSE)</f>
        <v>0</v>
      </c>
      <c r="T75" s="139"/>
      <c r="U75" s="520" t="str">
        <f t="shared" si="47"/>
        <v>PremiumMetro200</v>
      </c>
      <c r="W75" s="521">
        <f>MATCH($J75,'Tarieven ZM'!$B:$B,0)</f>
        <v>79</v>
      </c>
      <c r="X75" s="204">
        <f>INDEX('Tarieven ZM'!$H:$H,$W75)</f>
        <v>1000</v>
      </c>
      <c r="Y75" s="198">
        <f>-INDEX(Parameters!$B:$B,MATCH(Y$3&amp;$C75,Parameters!$A:$A,0))*$X75</f>
        <v>0</v>
      </c>
      <c r="Z75" s="198">
        <f>-INDEX(Parameters!$B:$B,MATCH(Z$3&amp;$C75,Parameters!$A:$A,0))*$X75</f>
        <v>0</v>
      </c>
      <c r="AA75" s="139">
        <f t="shared" si="26"/>
        <v>1000</v>
      </c>
      <c r="AB75" s="205">
        <f>AA75/INDEX(Parameters!$B:$B,MATCH("AfschrijftermijnVVE"&amp;12*$C75,Parameters!$A:$A,0))</f>
        <v>27.777777777777779</v>
      </c>
      <c r="AC75" s="204">
        <f>INDEX('Tarieven ZM'!$G:$G,$W75)</f>
        <v>1000</v>
      </c>
      <c r="AD75" s="198">
        <f>-INDEX(Parameters!$B:$B,MATCH(AD$3&amp;$C75,Parameters!$A:$A,0))*$AC75</f>
        <v>0</v>
      </c>
      <c r="AE75" s="198">
        <f>-INDEX(Parameters!$B:$B,MATCH(AE$3,Parameters!$A:$A,0))*$AC75</f>
        <v>0</v>
      </c>
      <c r="AF75" s="139">
        <f t="shared" si="27"/>
        <v>1000</v>
      </c>
      <c r="AG75" s="522">
        <f t="shared" si="28"/>
        <v>1027.7777777777778</v>
      </c>
      <c r="AH75" s="175"/>
      <c r="AI75" s="523">
        <f>MATCH($U75,'Tarieven W&amp;O'!$B:$B,0)</f>
        <v>71</v>
      </c>
      <c r="AJ75" s="204">
        <f>IF(AI75&lt;&gt;"nvt",INDEX('Tarieven W&amp;O'!$H:$H,$AI75),0)</f>
        <v>0</v>
      </c>
      <c r="AK75" s="204">
        <f>IF(AI75&lt;&gt;"nvt",INDEX('Tarieven W&amp;O'!$I:$I,$AI75),0)</f>
        <v>25</v>
      </c>
      <c r="AL75" s="524">
        <f>IF(AI75&lt;&gt;"nvt",-INDEX(Parameters!$B:$B,MATCH(AL$3,Parameters!$A:$A,0))*(AJ75+AK75),0)</f>
        <v>0</v>
      </c>
      <c r="AM75" s="525"/>
      <c r="AN75" s="139">
        <f t="shared" si="29"/>
        <v>25</v>
      </c>
      <c r="AO75" s="205">
        <f>AN75/INDEX(Parameters!$B:$B,MATCH("AfschrijftermijnVVE"&amp;12*$C75,Parameters!$A:$A,0))</f>
        <v>0.69444444444444442</v>
      </c>
      <c r="AP75" s="139">
        <f t="shared" si="30"/>
        <v>71</v>
      </c>
      <c r="AQ75" s="526">
        <f>IF(AP75&lt;&gt;"nvt",INDEX('Tarieven W&amp;O'!$G:$G,$AP75),0)</f>
        <v>216.32</v>
      </c>
      <c r="AR75" s="251">
        <f>IF($S75,INDEX('Tarieven W&amp;O'!$G:$G,MATCH(N75&amp;R75,'Tarieven W&amp;O'!$B:$B,0)),0)</f>
        <v>0</v>
      </c>
      <c r="AS75" s="205">
        <f>-INDEX(Parameters!$B:$B,MATCH(AS$3,Parameters!$A:$A,0))*(AQ75+AR75)</f>
        <v>0</v>
      </c>
      <c r="AT75" s="205">
        <f>INDEX(hulpblad!$E:$E,MATCH(M75&amp;Q75,hulpblad!$B:$B,0))</f>
        <v>1</v>
      </c>
      <c r="AU75" s="150">
        <f t="shared" si="33"/>
        <v>217.32</v>
      </c>
      <c r="AV75" s="150">
        <f t="shared" si="34"/>
        <v>218.01444444444445</v>
      </c>
      <c r="AX75" s="526">
        <f>Parameters!$B$6*AV75</f>
        <v>2.1801444444444447</v>
      </c>
      <c r="AY75" s="150">
        <v>0</v>
      </c>
      <c r="AZ75" s="150"/>
      <c r="BA75" s="150">
        <f t="shared" si="31"/>
        <v>2.1801444444444447</v>
      </c>
      <c r="BB75" s="150"/>
      <c r="BC75" s="522">
        <f t="shared" si="32"/>
        <v>220.19458888888889</v>
      </c>
      <c r="BD75" s="175"/>
      <c r="BE75" s="527">
        <f t="shared" si="35"/>
        <v>807.58318888888891</v>
      </c>
      <c r="BF75" s="181">
        <f t="shared" si="36"/>
        <v>0.78575661621621617</v>
      </c>
      <c r="BG75" s="520" t="b">
        <f t="shared" si="48"/>
        <v>0</v>
      </c>
      <c r="BI75" s="528" t="s">
        <v>2181</v>
      </c>
      <c r="BL75" s="151" t="str">
        <f t="shared" si="38"/>
        <v>EoKMetro - Regionaal</v>
      </c>
      <c r="BM75" s="529">
        <v>0</v>
      </c>
      <c r="BN75" s="180">
        <f>BM75/INDEX(Parameters!$B:$B,MATCH("AfschrijftermijnVVE"&amp;12*$C75,Parameters!$A:$A,0))</f>
        <v>0</v>
      </c>
      <c r="BO75" s="184">
        <f>INDEX('inkoop ULL tbv EVPN'!I:I,MATCH(BL75,'inkoop ULL tbv EVPN'!H:H,0))</f>
        <v>2</v>
      </c>
      <c r="BP75" s="184">
        <f t="shared" si="39"/>
        <v>2</v>
      </c>
      <c r="BR75" s="180">
        <f>Parameters!$B$12*AG75</f>
        <v>102.77777777777779</v>
      </c>
      <c r="BS75" s="180">
        <f>SUM(Distributievergoedingen!$F$12,Distributievergoedingen!$I$12,Distributievergoedingen!$L$12,Distributievergoedingen!$O$12)*AF75+SUM(Distributievergoedingen!$O$12*AA75+Distributievergoedingen!$R$12+Distributievergoedingen!$U$12+Distributievergoedingen!$X$12)/(MAX(36,12*C75))</f>
        <v>112.77777777777777</v>
      </c>
      <c r="BT75" s="150"/>
      <c r="BU75" s="150">
        <f t="shared" si="40"/>
        <v>215.55555555555554</v>
      </c>
      <c r="BW75" s="522">
        <f t="shared" si="41"/>
        <v>217.55555555555554</v>
      </c>
      <c r="BY75" s="527">
        <f t="shared" si="42"/>
        <v>810.22222222222229</v>
      </c>
      <c r="BZ75" s="181">
        <f t="shared" si="43"/>
        <v>0.78832432432432431</v>
      </c>
      <c r="CA75" s="520" t="b">
        <f t="shared" si="44"/>
        <v>0</v>
      </c>
    </row>
    <row r="76" spans="1:79" s="151" customFormat="1">
      <c r="A76" s="151" t="str">
        <f t="shared" si="37"/>
        <v>1EoKPremiumCity300</v>
      </c>
      <c r="B76" s="520" t="str">
        <f t="shared" si="45"/>
        <v>1EoKPremiumCity300</v>
      </c>
      <c r="C76" s="179">
        <v>1</v>
      </c>
      <c r="D76" s="179" t="s">
        <v>303</v>
      </c>
      <c r="E76" s="178" t="s">
        <v>267</v>
      </c>
      <c r="F76" s="178" t="s">
        <v>262</v>
      </c>
      <c r="G76" s="185" t="s">
        <v>420</v>
      </c>
      <c r="J76" s="520" t="str">
        <f t="shared" si="46"/>
        <v>PremiumCity300</v>
      </c>
      <c r="L76" s="204">
        <f>INDEX(Mapping!$H:$H,MATCH(C$3&amp;C76,Mapping!$B:$B,0))</f>
        <v>1</v>
      </c>
      <c r="M76" s="204" t="str">
        <f>INDEX(Mapping!$H:$H,MATCH(D$3&amp;$D76,Mapping!$B:$B,0))</f>
        <v>EoK</v>
      </c>
      <c r="N76" s="204" t="str">
        <f>INDEX(Mapping!$H:$H,MATCH(E$3&amp;E76,Mapping!$B:$B,0))</f>
        <v>Premium</v>
      </c>
      <c r="O76" s="204" t="str">
        <f>INDEX(Mapping!$H:$H,MATCH(F$3&amp;F76,Mapping!$B:$B,0))</f>
        <v>Metro</v>
      </c>
      <c r="P76" s="204">
        <f>INDEX(Mapping!$H:$H,MATCH(G$3&amp;G76,Mapping!$B:$B,0))</f>
        <v>300</v>
      </c>
      <c r="Q76" s="204" t="str">
        <f>INDEX(Mapping!$H:$H,MATCH(Q$3&amp;$F76,Mapping!$B:$B,0))</f>
        <v>Metro - Regionaal</v>
      </c>
      <c r="R76" s="204" t="str">
        <f>INDEX(Mapping!$H:$H,MATCH("ZM VPN Service Level"&amp;E76,Mapping!$B:$B,0))</f>
        <v>Advanced</v>
      </c>
      <c r="S76" s="139" t="b">
        <f>IF($D76="EoK",INDEX(Mapping!$I:$I,MATCH($G$3&amp;$G76,Mapping!B:B,0)),FALSE)</f>
        <v>0</v>
      </c>
      <c r="T76" s="139"/>
      <c r="U76" s="520" t="str">
        <f t="shared" si="47"/>
        <v>PremiumMetro300</v>
      </c>
      <c r="W76" s="521">
        <f>MATCH($J76,'Tarieven ZM'!$B:$B,0)</f>
        <v>80</v>
      </c>
      <c r="X76" s="204">
        <f>INDEX('Tarieven ZM'!$H:$H,$W76)</f>
        <v>1000</v>
      </c>
      <c r="Y76" s="198">
        <f>-INDEX(Parameters!$B:$B,MATCH(Y$3&amp;$C76,Parameters!$A:$A,0))*$X76</f>
        <v>0</v>
      </c>
      <c r="Z76" s="198">
        <f>-INDEX(Parameters!$B:$B,MATCH(Z$3&amp;$C76,Parameters!$A:$A,0))*$X76</f>
        <v>0</v>
      </c>
      <c r="AA76" s="139">
        <f t="shared" si="26"/>
        <v>1000</v>
      </c>
      <c r="AB76" s="205">
        <f>AA76/INDEX(Parameters!$B:$B,MATCH("AfschrijftermijnVVE"&amp;12*$C76,Parameters!$A:$A,0))</f>
        <v>27.777777777777779</v>
      </c>
      <c r="AC76" s="204">
        <f>INDEX('Tarieven ZM'!$G:$G,$W76)</f>
        <v>1000</v>
      </c>
      <c r="AD76" s="198">
        <f>-INDEX(Parameters!$B:$B,MATCH(AD$3&amp;$C76,Parameters!$A:$A,0))*$AC76</f>
        <v>0</v>
      </c>
      <c r="AE76" s="198">
        <f>-INDEX(Parameters!$B:$B,MATCH(AE$3,Parameters!$A:$A,0))*$AC76</f>
        <v>0</v>
      </c>
      <c r="AF76" s="139">
        <f t="shared" si="27"/>
        <v>1000</v>
      </c>
      <c r="AG76" s="522">
        <f t="shared" si="28"/>
        <v>1027.7777777777778</v>
      </c>
      <c r="AH76" s="175"/>
      <c r="AI76" s="523">
        <f>MATCH($U76,'Tarieven W&amp;O'!$B:$B,0)</f>
        <v>72</v>
      </c>
      <c r="AJ76" s="204">
        <f>IF(AI76&lt;&gt;"nvt",INDEX('Tarieven W&amp;O'!$H:$H,$AI76),0)</f>
        <v>0</v>
      </c>
      <c r="AK76" s="204">
        <f>IF(AI76&lt;&gt;"nvt",INDEX('Tarieven W&amp;O'!$I:$I,$AI76),0)</f>
        <v>25</v>
      </c>
      <c r="AL76" s="524">
        <f>IF(AI76&lt;&gt;"nvt",-INDEX(Parameters!$B:$B,MATCH(AL$3,Parameters!$A:$A,0))*(AJ76+AK76),0)</f>
        <v>0</v>
      </c>
      <c r="AM76" s="525"/>
      <c r="AN76" s="139">
        <f t="shared" si="29"/>
        <v>25</v>
      </c>
      <c r="AO76" s="205">
        <f>AN76/INDEX(Parameters!$B:$B,MATCH("AfschrijftermijnVVE"&amp;12*$C76,Parameters!$A:$A,0))</f>
        <v>0.69444444444444442</v>
      </c>
      <c r="AP76" s="139">
        <f t="shared" si="30"/>
        <v>72</v>
      </c>
      <c r="AQ76" s="526">
        <f>IF(AP76&lt;&gt;"nvt",INDEX('Tarieven W&amp;O'!$G:$G,$AP76),0)</f>
        <v>254.01</v>
      </c>
      <c r="AR76" s="251">
        <f>IF($S76,INDEX('Tarieven W&amp;O'!$G:$G,MATCH(N76&amp;R76,'Tarieven W&amp;O'!$B:$B,0)),0)</f>
        <v>0</v>
      </c>
      <c r="AS76" s="205">
        <f>-INDEX(Parameters!$B:$B,MATCH(AS$3,Parameters!$A:$A,0))*(AQ76+AR76)</f>
        <v>0</v>
      </c>
      <c r="AT76" s="205">
        <f>INDEX(hulpblad!$E:$E,MATCH(M76&amp;Q76,hulpblad!$B:$B,0))</f>
        <v>1</v>
      </c>
      <c r="AU76" s="150">
        <f t="shared" si="33"/>
        <v>255.01</v>
      </c>
      <c r="AV76" s="150">
        <f t="shared" si="34"/>
        <v>255.70444444444445</v>
      </c>
      <c r="AX76" s="526">
        <f>Parameters!$B$6*AV76</f>
        <v>2.5570444444444447</v>
      </c>
      <c r="AY76" s="150">
        <v>0</v>
      </c>
      <c r="AZ76" s="150"/>
      <c r="BA76" s="150">
        <f t="shared" si="31"/>
        <v>2.5570444444444447</v>
      </c>
      <c r="BB76" s="150"/>
      <c r="BC76" s="522">
        <f t="shared" si="32"/>
        <v>258.26148888888889</v>
      </c>
      <c r="BD76" s="175"/>
      <c r="BE76" s="527">
        <f t="shared" si="35"/>
        <v>769.51628888888899</v>
      </c>
      <c r="BF76" s="181">
        <f t="shared" si="36"/>
        <v>0.74871855135135146</v>
      </c>
      <c r="BG76" s="520" t="b">
        <f t="shared" si="48"/>
        <v>0</v>
      </c>
      <c r="BI76" s="528" t="s">
        <v>2181</v>
      </c>
      <c r="BL76" s="151" t="str">
        <f t="shared" si="38"/>
        <v>EoKMetro - Regionaal</v>
      </c>
      <c r="BM76" s="529">
        <v>0</v>
      </c>
      <c r="BN76" s="180">
        <f>BM76/INDEX(Parameters!$B:$B,MATCH("AfschrijftermijnVVE"&amp;12*$C76,Parameters!$A:$A,0))</f>
        <v>0</v>
      </c>
      <c r="BO76" s="184">
        <f>INDEX('inkoop ULL tbv EVPN'!I:I,MATCH(BL76,'inkoop ULL tbv EVPN'!H:H,0))</f>
        <v>2</v>
      </c>
      <c r="BP76" s="184">
        <f t="shared" si="39"/>
        <v>2</v>
      </c>
      <c r="BR76" s="180">
        <f>Parameters!$B$12*AG76</f>
        <v>102.77777777777779</v>
      </c>
      <c r="BS76" s="180">
        <f>SUM(Distributievergoedingen!$F$12,Distributievergoedingen!$I$12,Distributievergoedingen!$L$12,Distributievergoedingen!$O$12)*AF76+SUM(Distributievergoedingen!$O$12*AA76+Distributievergoedingen!$R$12+Distributievergoedingen!$U$12+Distributievergoedingen!$X$12)/(MAX(36,12*C76))</f>
        <v>112.77777777777777</v>
      </c>
      <c r="BT76" s="150"/>
      <c r="BU76" s="150">
        <f t="shared" si="40"/>
        <v>215.55555555555554</v>
      </c>
      <c r="BW76" s="522">
        <f t="shared" si="41"/>
        <v>217.55555555555554</v>
      </c>
      <c r="BY76" s="527">
        <f t="shared" si="42"/>
        <v>810.22222222222229</v>
      </c>
      <c r="BZ76" s="181">
        <f t="shared" si="43"/>
        <v>0.78832432432432431</v>
      </c>
      <c r="CA76" s="520" t="b">
        <f t="shared" si="44"/>
        <v>0</v>
      </c>
    </row>
    <row r="77" spans="1:79" s="151" customFormat="1">
      <c r="A77" s="151" t="str">
        <f t="shared" si="37"/>
        <v>1EoKPremiumCity500</v>
      </c>
      <c r="B77" s="520" t="str">
        <f t="shared" si="45"/>
        <v>1EoKPremiumCity500</v>
      </c>
      <c r="C77" s="179">
        <v>1</v>
      </c>
      <c r="D77" s="179" t="s">
        <v>303</v>
      </c>
      <c r="E77" s="178" t="s">
        <v>267</v>
      </c>
      <c r="F77" s="178" t="s">
        <v>262</v>
      </c>
      <c r="G77" s="185" t="s">
        <v>421</v>
      </c>
      <c r="J77" s="520" t="str">
        <f t="shared" si="46"/>
        <v>PremiumCity500</v>
      </c>
      <c r="L77" s="204">
        <f>INDEX(Mapping!$H:$H,MATCH(C$3&amp;C77,Mapping!$B:$B,0))</f>
        <v>1</v>
      </c>
      <c r="M77" s="204" t="str">
        <f>INDEX(Mapping!$H:$H,MATCH(D$3&amp;$D77,Mapping!$B:$B,0))</f>
        <v>EoK</v>
      </c>
      <c r="N77" s="204" t="str">
        <f>INDEX(Mapping!$H:$H,MATCH(E$3&amp;E77,Mapping!$B:$B,0))</f>
        <v>Premium</v>
      </c>
      <c r="O77" s="204" t="str">
        <f>INDEX(Mapping!$H:$H,MATCH(F$3&amp;F77,Mapping!$B:$B,0))</f>
        <v>Metro</v>
      </c>
      <c r="P77" s="204">
        <f>INDEX(Mapping!$H:$H,MATCH(G$3&amp;G77,Mapping!$B:$B,0))</f>
        <v>500</v>
      </c>
      <c r="Q77" s="204" t="str">
        <f>INDEX(Mapping!$H:$H,MATCH(Q$3&amp;$F77,Mapping!$B:$B,0))</f>
        <v>Metro - Regionaal</v>
      </c>
      <c r="R77" s="204" t="str">
        <f>INDEX(Mapping!$H:$H,MATCH("ZM VPN Service Level"&amp;E77,Mapping!$B:$B,0))</f>
        <v>Advanced</v>
      </c>
      <c r="S77" s="139" t="b">
        <f>IF($D77="EoK",INDEX(Mapping!$I:$I,MATCH($G$3&amp;$G77,Mapping!B:B,0)),FALSE)</f>
        <v>0</v>
      </c>
      <c r="T77" s="139"/>
      <c r="U77" s="520" t="str">
        <f t="shared" si="47"/>
        <v>PremiumMetro500</v>
      </c>
      <c r="W77" s="521">
        <f>MATCH($J77,'Tarieven ZM'!$B:$B,0)</f>
        <v>81</v>
      </c>
      <c r="X77" s="204">
        <f>INDEX('Tarieven ZM'!$H:$H,$W77)</f>
        <v>1000</v>
      </c>
      <c r="Y77" s="198">
        <f>-INDEX(Parameters!$B:$B,MATCH(Y$3&amp;$C77,Parameters!$A:$A,0))*$X77</f>
        <v>0</v>
      </c>
      <c r="Z77" s="198">
        <f>-INDEX(Parameters!$B:$B,MATCH(Z$3&amp;$C77,Parameters!$A:$A,0))*$X77</f>
        <v>0</v>
      </c>
      <c r="AA77" s="139">
        <f t="shared" si="26"/>
        <v>1000</v>
      </c>
      <c r="AB77" s="205">
        <f>AA77/INDEX(Parameters!$B:$B,MATCH("AfschrijftermijnVVE"&amp;12*$C77,Parameters!$A:$A,0))</f>
        <v>27.777777777777779</v>
      </c>
      <c r="AC77" s="204">
        <f>INDEX('Tarieven ZM'!$G:$G,$W77)</f>
        <v>1000</v>
      </c>
      <c r="AD77" s="198">
        <f>-INDEX(Parameters!$B:$B,MATCH(AD$3&amp;$C77,Parameters!$A:$A,0))*$AC77</f>
        <v>0</v>
      </c>
      <c r="AE77" s="198">
        <f>-INDEX(Parameters!$B:$B,MATCH(AE$3,Parameters!$A:$A,0))*$AC77</f>
        <v>0</v>
      </c>
      <c r="AF77" s="139">
        <f t="shared" si="27"/>
        <v>1000</v>
      </c>
      <c r="AG77" s="522">
        <f t="shared" si="28"/>
        <v>1027.7777777777778</v>
      </c>
      <c r="AH77" s="175"/>
      <c r="AI77" s="523">
        <f>MATCH($U77,'Tarieven W&amp;O'!$B:$B,0)</f>
        <v>73</v>
      </c>
      <c r="AJ77" s="204">
        <f>IF(AI77&lt;&gt;"nvt",INDEX('Tarieven W&amp;O'!$H:$H,$AI77),0)</f>
        <v>0</v>
      </c>
      <c r="AK77" s="204">
        <f>IF(AI77&lt;&gt;"nvt",INDEX('Tarieven W&amp;O'!$I:$I,$AI77),0)</f>
        <v>25</v>
      </c>
      <c r="AL77" s="524">
        <f>IF(AI77&lt;&gt;"nvt",-INDEX(Parameters!$B:$B,MATCH(AL$3,Parameters!$A:$A,0))*(AJ77+AK77),0)</f>
        <v>0</v>
      </c>
      <c r="AM77" s="525"/>
      <c r="AN77" s="139">
        <f t="shared" si="29"/>
        <v>25</v>
      </c>
      <c r="AO77" s="205">
        <f>AN77/INDEX(Parameters!$B:$B,MATCH("AfschrijftermijnVVE"&amp;12*$C77,Parameters!$A:$A,0))</f>
        <v>0.69444444444444442</v>
      </c>
      <c r="AP77" s="139">
        <f t="shared" si="30"/>
        <v>73</v>
      </c>
      <c r="AQ77" s="526">
        <f>IF(AP77&lt;&gt;"nvt",INDEX('Tarieven W&amp;O'!$G:$G,$AP77),0)</f>
        <v>310.54000000000002</v>
      </c>
      <c r="AR77" s="251">
        <f>IF($S77,INDEX('Tarieven W&amp;O'!$G:$G,MATCH(N77&amp;R77,'Tarieven W&amp;O'!$B:$B,0)),0)</f>
        <v>0</v>
      </c>
      <c r="AS77" s="205">
        <f>-INDEX(Parameters!$B:$B,MATCH(AS$3,Parameters!$A:$A,0))*(AQ77+AR77)</f>
        <v>0</v>
      </c>
      <c r="AT77" s="205">
        <f>INDEX(hulpblad!$E:$E,MATCH(M77&amp;Q77,hulpblad!$B:$B,0))</f>
        <v>1</v>
      </c>
      <c r="AU77" s="150">
        <f t="shared" si="33"/>
        <v>311.54000000000002</v>
      </c>
      <c r="AV77" s="150">
        <f t="shared" si="34"/>
        <v>312.23444444444448</v>
      </c>
      <c r="AX77" s="526">
        <f>Parameters!$B$6*AV77</f>
        <v>3.1223444444444448</v>
      </c>
      <c r="AY77" s="150">
        <v>0</v>
      </c>
      <c r="AZ77" s="150"/>
      <c r="BA77" s="150">
        <f t="shared" si="31"/>
        <v>3.1223444444444448</v>
      </c>
      <c r="BB77" s="150"/>
      <c r="BC77" s="522">
        <f t="shared" si="32"/>
        <v>315.3567888888889</v>
      </c>
      <c r="BD77" s="175"/>
      <c r="BE77" s="527">
        <f t="shared" si="35"/>
        <v>712.42098888888893</v>
      </c>
      <c r="BF77" s="181">
        <f t="shared" si="36"/>
        <v>0.69316636756756755</v>
      </c>
      <c r="BG77" s="520" t="b">
        <f t="shared" si="48"/>
        <v>0</v>
      </c>
      <c r="BI77" s="528" t="s">
        <v>2181</v>
      </c>
      <c r="BL77" s="151" t="str">
        <f t="shared" si="38"/>
        <v>EoKMetro - Regionaal</v>
      </c>
      <c r="BM77" s="529">
        <v>0</v>
      </c>
      <c r="BN77" s="180">
        <f>BM77/INDEX(Parameters!$B:$B,MATCH("AfschrijftermijnVVE"&amp;12*$C77,Parameters!$A:$A,0))</f>
        <v>0</v>
      </c>
      <c r="BO77" s="184">
        <f>INDEX('inkoop ULL tbv EVPN'!I:I,MATCH(BL77,'inkoop ULL tbv EVPN'!H:H,0))</f>
        <v>2</v>
      </c>
      <c r="BP77" s="184">
        <f t="shared" si="39"/>
        <v>2</v>
      </c>
      <c r="BR77" s="180">
        <f>Parameters!$B$12*AG77</f>
        <v>102.77777777777779</v>
      </c>
      <c r="BS77" s="180">
        <f>SUM(Distributievergoedingen!$F$12,Distributievergoedingen!$I$12,Distributievergoedingen!$L$12,Distributievergoedingen!$O$12)*AF77+SUM(Distributievergoedingen!$O$12*AA77+Distributievergoedingen!$R$12+Distributievergoedingen!$U$12+Distributievergoedingen!$X$12)/(MAX(36,12*C77))</f>
        <v>112.77777777777777</v>
      </c>
      <c r="BT77" s="150"/>
      <c r="BU77" s="150">
        <f t="shared" si="40"/>
        <v>215.55555555555554</v>
      </c>
      <c r="BW77" s="522">
        <f t="shared" si="41"/>
        <v>217.55555555555554</v>
      </c>
      <c r="BY77" s="527">
        <f t="shared" si="42"/>
        <v>810.22222222222229</v>
      </c>
      <c r="BZ77" s="181">
        <f t="shared" si="43"/>
        <v>0.78832432432432431</v>
      </c>
      <c r="CA77" s="520" t="b">
        <f t="shared" si="44"/>
        <v>0</v>
      </c>
    </row>
    <row r="78" spans="1:79" s="151" customFormat="1">
      <c r="A78" s="151" t="str">
        <f t="shared" si="37"/>
        <v>1EoKPremiumCity800</v>
      </c>
      <c r="B78" s="520" t="str">
        <f t="shared" si="45"/>
        <v>1EoKPremiumCity800</v>
      </c>
      <c r="C78" s="179">
        <v>1</v>
      </c>
      <c r="D78" s="179" t="s">
        <v>303</v>
      </c>
      <c r="E78" s="178" t="s">
        <v>267</v>
      </c>
      <c r="F78" s="178" t="s">
        <v>262</v>
      </c>
      <c r="G78" s="185" t="s">
        <v>422</v>
      </c>
      <c r="J78" s="520" t="str">
        <f t="shared" si="46"/>
        <v>PremiumCity800</v>
      </c>
      <c r="L78" s="204">
        <f>INDEX(Mapping!$H:$H,MATCH(C$3&amp;C78,Mapping!$B:$B,0))</f>
        <v>1</v>
      </c>
      <c r="M78" s="204" t="str">
        <f>INDEX(Mapping!$H:$H,MATCH(D$3&amp;$D78,Mapping!$B:$B,0))</f>
        <v>EoK</v>
      </c>
      <c r="N78" s="204" t="str">
        <f>INDEX(Mapping!$H:$H,MATCH(E$3&amp;E78,Mapping!$B:$B,0))</f>
        <v>Premium</v>
      </c>
      <c r="O78" s="204" t="str">
        <f>INDEX(Mapping!$H:$H,MATCH(F$3&amp;F78,Mapping!$B:$B,0))</f>
        <v>Metro</v>
      </c>
      <c r="P78" s="204">
        <f>INDEX(Mapping!$H:$H,MATCH(G$3&amp;G78,Mapping!$B:$B,0))</f>
        <v>800</v>
      </c>
      <c r="Q78" s="204" t="str">
        <f>INDEX(Mapping!$H:$H,MATCH(Q$3&amp;$F78,Mapping!$B:$B,0))</f>
        <v>Metro - Regionaal</v>
      </c>
      <c r="R78" s="204" t="str">
        <f>INDEX(Mapping!$H:$H,MATCH("ZM VPN Service Level"&amp;E78,Mapping!$B:$B,0))</f>
        <v>Advanced</v>
      </c>
      <c r="S78" s="139" t="b">
        <f>IF($D78="EoK",INDEX(Mapping!$I:$I,MATCH($G$3&amp;$G78,Mapping!B:B,0)),FALSE)</f>
        <v>0</v>
      </c>
      <c r="T78" s="139"/>
      <c r="U78" s="520" t="str">
        <f t="shared" si="47"/>
        <v>PremiumMetro800</v>
      </c>
      <c r="W78" s="521">
        <f>MATCH($J78,'Tarieven ZM'!$B:$B,0)</f>
        <v>82</v>
      </c>
      <c r="X78" s="204">
        <f>INDEX('Tarieven ZM'!$H:$H,$W78)</f>
        <v>1000</v>
      </c>
      <c r="Y78" s="198">
        <f>-INDEX(Parameters!$B:$B,MATCH(Y$3&amp;$C78,Parameters!$A:$A,0))*$X78</f>
        <v>0</v>
      </c>
      <c r="Z78" s="198">
        <f>-INDEX(Parameters!$B:$B,MATCH(Z$3&amp;$C78,Parameters!$A:$A,0))*$X78</f>
        <v>0</v>
      </c>
      <c r="AA78" s="139">
        <f t="shared" ref="AA78:AA117" si="49">SUM(X78:Z78)</f>
        <v>1000</v>
      </c>
      <c r="AB78" s="205">
        <f>AA78/INDEX(Parameters!$B:$B,MATCH("AfschrijftermijnVVE"&amp;12*$C78,Parameters!$A:$A,0))</f>
        <v>27.777777777777779</v>
      </c>
      <c r="AC78" s="204">
        <f>INDEX('Tarieven ZM'!$G:$G,$W78)</f>
        <v>1000</v>
      </c>
      <c r="AD78" s="198">
        <f>-INDEX(Parameters!$B:$B,MATCH(AD$3&amp;$C78,Parameters!$A:$A,0))*$AC78</f>
        <v>0</v>
      </c>
      <c r="AE78" s="198">
        <f>-INDEX(Parameters!$B:$B,MATCH(AE$3,Parameters!$A:$A,0))*$AC78</f>
        <v>0</v>
      </c>
      <c r="AF78" s="139">
        <f t="shared" ref="AF78:AF117" si="50">SUM(AC78:AE78)</f>
        <v>1000</v>
      </c>
      <c r="AG78" s="522">
        <f t="shared" ref="AG78:AG117" si="51">SUM(AB78,AF78)</f>
        <v>1027.7777777777778</v>
      </c>
      <c r="AH78" s="175"/>
      <c r="AI78" s="523">
        <f>MATCH($U78,'Tarieven W&amp;O'!$B:$B,0)</f>
        <v>74</v>
      </c>
      <c r="AJ78" s="204">
        <f>IF(AI78&lt;&gt;"nvt",INDEX('Tarieven W&amp;O'!$H:$H,$AI78),0)</f>
        <v>0</v>
      </c>
      <c r="AK78" s="204">
        <f>IF(AI78&lt;&gt;"nvt",INDEX('Tarieven W&amp;O'!$I:$I,$AI78),0)</f>
        <v>25</v>
      </c>
      <c r="AL78" s="524">
        <f>IF(AI78&lt;&gt;"nvt",-INDEX(Parameters!$B:$B,MATCH(AL$3,Parameters!$A:$A,0))*(AJ78+AK78),0)</f>
        <v>0</v>
      </c>
      <c r="AM78" s="525"/>
      <c r="AN78" s="139">
        <f t="shared" ref="AN78:AN117" si="52">SUM(AJ78:AM78)</f>
        <v>25</v>
      </c>
      <c r="AO78" s="205">
        <f>AN78/INDEX(Parameters!$B:$B,MATCH("AfschrijftermijnVVE"&amp;12*$C78,Parameters!$A:$A,0))</f>
        <v>0.69444444444444442</v>
      </c>
      <c r="AP78" s="139">
        <f t="shared" ref="AP78:AP117" si="53">AI78</f>
        <v>74</v>
      </c>
      <c r="AQ78" s="526">
        <f>IF(AP78&lt;&gt;"nvt",INDEX('Tarieven W&amp;O'!$G:$G,$AP78),0)</f>
        <v>348.23</v>
      </c>
      <c r="AR78" s="251">
        <f>IF($S78,INDEX('Tarieven W&amp;O'!$G:$G,MATCH(N78&amp;R78,'Tarieven W&amp;O'!$B:$B,0)),0)</f>
        <v>0</v>
      </c>
      <c r="AS78" s="205">
        <f>-INDEX(Parameters!$B:$B,MATCH(AS$3,Parameters!$A:$A,0))*(AQ78+AR78)</f>
        <v>0</v>
      </c>
      <c r="AT78" s="205">
        <f>INDEX(hulpblad!$E:$E,MATCH(M78&amp;Q78,hulpblad!$B:$B,0))</f>
        <v>1</v>
      </c>
      <c r="AU78" s="150">
        <f t="shared" si="33"/>
        <v>349.23</v>
      </c>
      <c r="AV78" s="150">
        <f t="shared" si="34"/>
        <v>349.92444444444448</v>
      </c>
      <c r="AX78" s="526">
        <f>Parameters!$B$6*AV78</f>
        <v>3.4992444444444448</v>
      </c>
      <c r="AY78" s="150">
        <v>0</v>
      </c>
      <c r="AZ78" s="150"/>
      <c r="BA78" s="150">
        <f t="shared" ref="BA78:BA117" si="54">SUM(AX78:AZ78)</f>
        <v>3.4992444444444448</v>
      </c>
      <c r="BB78" s="150"/>
      <c r="BC78" s="522">
        <f t="shared" ref="BC78:BC117" si="55">SUM(AV78,BA78)</f>
        <v>353.42368888888893</v>
      </c>
      <c r="BD78" s="175"/>
      <c r="BE78" s="527">
        <f t="shared" si="35"/>
        <v>674.3540888888889</v>
      </c>
      <c r="BF78" s="181">
        <f t="shared" si="36"/>
        <v>0.65612830270270273</v>
      </c>
      <c r="BG78" s="520" t="b">
        <f t="shared" si="48"/>
        <v>0</v>
      </c>
      <c r="BI78" s="528" t="s">
        <v>2181</v>
      </c>
      <c r="BL78" s="151" t="str">
        <f t="shared" si="38"/>
        <v>EoKMetro - Regionaal</v>
      </c>
      <c r="BM78" s="529">
        <v>0</v>
      </c>
      <c r="BN78" s="180">
        <f>BM78/INDEX(Parameters!$B:$B,MATCH("AfschrijftermijnVVE"&amp;12*$C78,Parameters!$A:$A,0))</f>
        <v>0</v>
      </c>
      <c r="BO78" s="184">
        <f>INDEX('inkoop ULL tbv EVPN'!I:I,MATCH(BL78,'inkoop ULL tbv EVPN'!H:H,0))</f>
        <v>2</v>
      </c>
      <c r="BP78" s="184">
        <f t="shared" si="39"/>
        <v>2</v>
      </c>
      <c r="BR78" s="180">
        <f>Parameters!$B$12*AG78</f>
        <v>102.77777777777779</v>
      </c>
      <c r="BS78" s="180">
        <f>SUM(Distributievergoedingen!$F$12,Distributievergoedingen!$I$12,Distributievergoedingen!$L$12,Distributievergoedingen!$O$12)*AF78+SUM(Distributievergoedingen!$O$12*AA78+Distributievergoedingen!$R$12+Distributievergoedingen!$U$12+Distributievergoedingen!$X$12)/(MAX(36,12*C78))</f>
        <v>112.77777777777777</v>
      </c>
      <c r="BT78" s="150"/>
      <c r="BU78" s="150">
        <f t="shared" si="40"/>
        <v>215.55555555555554</v>
      </c>
      <c r="BW78" s="522">
        <f t="shared" si="41"/>
        <v>217.55555555555554</v>
      </c>
      <c r="BY78" s="527">
        <f t="shared" si="42"/>
        <v>810.22222222222229</v>
      </c>
      <c r="BZ78" s="181">
        <f t="shared" si="43"/>
        <v>0.78832432432432431</v>
      </c>
      <c r="CA78" s="520" t="b">
        <f t="shared" si="44"/>
        <v>0</v>
      </c>
    </row>
    <row r="79" spans="1:79" s="151" customFormat="1">
      <c r="A79" s="151" t="str">
        <f t="shared" si="37"/>
        <v>1EoKPremiumCity1000</v>
      </c>
      <c r="B79" s="520" t="str">
        <f t="shared" si="45"/>
        <v>1EoKPremiumCity1000</v>
      </c>
      <c r="C79" s="179">
        <v>1</v>
      </c>
      <c r="D79" s="179" t="s">
        <v>303</v>
      </c>
      <c r="E79" s="178" t="s">
        <v>267</v>
      </c>
      <c r="F79" s="178" t="s">
        <v>262</v>
      </c>
      <c r="G79" s="185" t="s">
        <v>423</v>
      </c>
      <c r="J79" s="520" t="str">
        <f t="shared" si="46"/>
        <v>PremiumCity1000</v>
      </c>
      <c r="L79" s="204">
        <f>INDEX(Mapping!$H:$H,MATCH(C$3&amp;C79,Mapping!$B:$B,0))</f>
        <v>1</v>
      </c>
      <c r="M79" s="204" t="str">
        <f>INDEX(Mapping!$H:$H,MATCH(D$3&amp;$D79,Mapping!$B:$B,0))</f>
        <v>EoK</v>
      </c>
      <c r="N79" s="204" t="str">
        <f>INDEX(Mapping!$H:$H,MATCH(E$3&amp;E79,Mapping!$B:$B,0))</f>
        <v>Premium</v>
      </c>
      <c r="O79" s="204" t="str">
        <f>INDEX(Mapping!$H:$H,MATCH(F$3&amp;F79,Mapping!$B:$B,0))</f>
        <v>Metro</v>
      </c>
      <c r="P79" s="204">
        <f>INDEX(Mapping!$H:$H,MATCH(G$3&amp;G79,Mapping!$B:$B,0))</f>
        <v>1000</v>
      </c>
      <c r="Q79" s="204" t="str">
        <f>INDEX(Mapping!$H:$H,MATCH(Q$3&amp;$F79,Mapping!$B:$B,0))</f>
        <v>Metro - Regionaal</v>
      </c>
      <c r="R79" s="204" t="str">
        <f>INDEX(Mapping!$H:$H,MATCH("ZM VPN Service Level"&amp;E79,Mapping!$B:$B,0))</f>
        <v>Advanced</v>
      </c>
      <c r="S79" s="139" t="b">
        <f>IF($D79="EoK",INDEX(Mapping!$I:$I,MATCH($G$3&amp;$G79,Mapping!B:B,0)),FALSE)</f>
        <v>0</v>
      </c>
      <c r="T79" s="139"/>
      <c r="U79" s="520" t="str">
        <f t="shared" si="47"/>
        <v>PremiumMetro1000</v>
      </c>
      <c r="W79" s="521">
        <f>MATCH($J79,'Tarieven ZM'!$B:$B,0)</f>
        <v>83</v>
      </c>
      <c r="X79" s="204">
        <f>INDEX('Tarieven ZM'!$H:$H,$W79)</f>
        <v>1000</v>
      </c>
      <c r="Y79" s="198">
        <f>-INDEX(Parameters!$B:$B,MATCH(Y$3&amp;$C79,Parameters!$A:$A,0))*$X79</f>
        <v>0</v>
      </c>
      <c r="Z79" s="198">
        <f>-INDEX(Parameters!$B:$B,MATCH(Z$3&amp;$C79,Parameters!$A:$A,0))*$X79</f>
        <v>0</v>
      </c>
      <c r="AA79" s="139">
        <f t="shared" si="49"/>
        <v>1000</v>
      </c>
      <c r="AB79" s="205">
        <f>AA79/INDEX(Parameters!$B:$B,MATCH("AfschrijftermijnVVE"&amp;12*$C79,Parameters!$A:$A,0))</f>
        <v>27.777777777777779</v>
      </c>
      <c r="AC79" s="204">
        <f>INDEX('Tarieven ZM'!$G:$G,$W79)</f>
        <v>1000</v>
      </c>
      <c r="AD79" s="198">
        <f>-INDEX(Parameters!$B:$B,MATCH(AD$3&amp;$C79,Parameters!$A:$A,0))*$AC79</f>
        <v>0</v>
      </c>
      <c r="AE79" s="198">
        <f>-INDEX(Parameters!$B:$B,MATCH(AE$3,Parameters!$A:$A,0))*$AC79</f>
        <v>0</v>
      </c>
      <c r="AF79" s="139">
        <f t="shared" si="50"/>
        <v>1000</v>
      </c>
      <c r="AG79" s="522">
        <f t="shared" si="51"/>
        <v>1027.7777777777778</v>
      </c>
      <c r="AH79" s="175"/>
      <c r="AI79" s="523">
        <f>MATCH($U79,'Tarieven W&amp;O'!$B:$B,0)</f>
        <v>75</v>
      </c>
      <c r="AJ79" s="204">
        <f>IF(AI79&lt;&gt;"nvt",INDEX('Tarieven W&amp;O'!$H:$H,$AI79),0)</f>
        <v>0</v>
      </c>
      <c r="AK79" s="204">
        <f>IF(AI79&lt;&gt;"nvt",INDEX('Tarieven W&amp;O'!$I:$I,$AI79),0)</f>
        <v>25</v>
      </c>
      <c r="AL79" s="524">
        <f>IF(AI79&lt;&gt;"nvt",-INDEX(Parameters!$B:$B,MATCH(AL$3,Parameters!$A:$A,0))*(AJ79+AK79),0)</f>
        <v>0</v>
      </c>
      <c r="AM79" s="525"/>
      <c r="AN79" s="139">
        <f t="shared" si="52"/>
        <v>25</v>
      </c>
      <c r="AO79" s="205">
        <f>AN79/INDEX(Parameters!$B:$B,MATCH("AfschrijftermijnVVE"&amp;12*$C79,Parameters!$A:$A,0))</f>
        <v>0.69444444444444442</v>
      </c>
      <c r="AP79" s="139">
        <f t="shared" si="53"/>
        <v>75</v>
      </c>
      <c r="AQ79" s="526">
        <f>IF(AP79&lt;&gt;"nvt",INDEX('Tarieven W&amp;O'!$G:$G,$AP79),0)</f>
        <v>385.93</v>
      </c>
      <c r="AR79" s="251">
        <f>IF($S79,INDEX('Tarieven W&amp;O'!$G:$G,MATCH(N79&amp;R79,'Tarieven W&amp;O'!$B:$B,0)),0)</f>
        <v>0</v>
      </c>
      <c r="AS79" s="205">
        <f>-INDEX(Parameters!$B:$B,MATCH(AS$3,Parameters!$A:$A,0))*(AQ79+AR79)</f>
        <v>0</v>
      </c>
      <c r="AT79" s="205">
        <f>INDEX(hulpblad!$E:$E,MATCH(M79&amp;Q79,hulpblad!$B:$B,0))</f>
        <v>1</v>
      </c>
      <c r="AU79" s="150">
        <f t="shared" si="33"/>
        <v>386.93</v>
      </c>
      <c r="AV79" s="150">
        <f t="shared" si="34"/>
        <v>387.62444444444446</v>
      </c>
      <c r="AX79" s="526">
        <f>Parameters!$B$6*AV79</f>
        <v>3.8762444444444446</v>
      </c>
      <c r="AY79" s="150">
        <v>0</v>
      </c>
      <c r="AZ79" s="150"/>
      <c r="BA79" s="150">
        <f t="shared" si="54"/>
        <v>3.8762444444444446</v>
      </c>
      <c r="BB79" s="150"/>
      <c r="BC79" s="522">
        <f t="shared" si="55"/>
        <v>391.50068888888893</v>
      </c>
      <c r="BD79" s="175"/>
      <c r="BE79" s="527">
        <f t="shared" si="35"/>
        <v>636.2770888888889</v>
      </c>
      <c r="BF79" s="181">
        <f t="shared" si="36"/>
        <v>0.61908041081081078</v>
      </c>
      <c r="BG79" s="520" t="b">
        <f t="shared" si="48"/>
        <v>0</v>
      </c>
      <c r="BI79" s="528" t="s">
        <v>2181</v>
      </c>
      <c r="BL79" s="151" t="str">
        <f t="shared" si="38"/>
        <v>EoKMetro - Regionaal</v>
      </c>
      <c r="BM79" s="529">
        <v>0</v>
      </c>
      <c r="BN79" s="180">
        <f>BM79/INDEX(Parameters!$B:$B,MATCH("AfschrijftermijnVVE"&amp;12*$C79,Parameters!$A:$A,0))</f>
        <v>0</v>
      </c>
      <c r="BO79" s="184">
        <f>INDEX('inkoop ULL tbv EVPN'!I:I,MATCH(BL79,'inkoop ULL tbv EVPN'!H:H,0))</f>
        <v>2</v>
      </c>
      <c r="BP79" s="184">
        <f t="shared" si="39"/>
        <v>2</v>
      </c>
      <c r="BR79" s="180">
        <f>Parameters!$B$12*AG79</f>
        <v>102.77777777777779</v>
      </c>
      <c r="BS79" s="180">
        <f>SUM(Distributievergoedingen!$F$12,Distributievergoedingen!$I$12,Distributievergoedingen!$L$12,Distributievergoedingen!$O$12)*AF79+SUM(Distributievergoedingen!$O$12*AA79+Distributievergoedingen!$R$12+Distributievergoedingen!$U$12+Distributievergoedingen!$X$12)/(MAX(36,12*C79))</f>
        <v>112.77777777777777</v>
      </c>
      <c r="BT79" s="150"/>
      <c r="BU79" s="150">
        <f t="shared" si="40"/>
        <v>215.55555555555554</v>
      </c>
      <c r="BW79" s="522">
        <f t="shared" si="41"/>
        <v>217.55555555555554</v>
      </c>
      <c r="BY79" s="527">
        <f t="shared" si="42"/>
        <v>810.22222222222229</v>
      </c>
      <c r="BZ79" s="181">
        <f t="shared" si="43"/>
        <v>0.78832432432432431</v>
      </c>
      <c r="CA79" s="520" t="b">
        <f t="shared" si="44"/>
        <v>0</v>
      </c>
    </row>
    <row r="80" spans="1:79" s="151" customFormat="1">
      <c r="A80" s="151" t="str">
        <f t="shared" si="37"/>
        <v>1EoKPremiumRegionaal1</v>
      </c>
      <c r="B80" s="520" t="str">
        <f t="shared" si="45"/>
        <v>1EoKPremiumRegionaal1</v>
      </c>
      <c r="C80" s="179">
        <v>1</v>
      </c>
      <c r="D80" s="179" t="s">
        <v>303</v>
      </c>
      <c r="E80" s="178" t="s">
        <v>267</v>
      </c>
      <c r="F80" s="178" t="s">
        <v>265</v>
      </c>
      <c r="G80" s="185" t="s">
        <v>362</v>
      </c>
      <c r="J80" s="520" t="str">
        <f t="shared" si="46"/>
        <v>PremiumRegionaal1</v>
      </c>
      <c r="L80" s="204">
        <f>INDEX(Mapping!$H:$H,MATCH(C$3&amp;C80,Mapping!$B:$B,0))</f>
        <v>1</v>
      </c>
      <c r="M80" s="204" t="str">
        <f>INDEX(Mapping!$H:$H,MATCH(D$3&amp;$D80,Mapping!$B:$B,0))</f>
        <v>EoK</v>
      </c>
      <c r="N80" s="204" t="str">
        <f>INDEX(Mapping!$H:$H,MATCH(E$3&amp;E80,Mapping!$B:$B,0))</f>
        <v>Premium</v>
      </c>
      <c r="O80" s="204" t="str">
        <f>INDEX(Mapping!$H:$H,MATCH(F$3&amp;F80,Mapping!$B:$B,0))</f>
        <v>Metro</v>
      </c>
      <c r="P80" s="204">
        <f>INDEX(Mapping!$H:$H,MATCH(G$3&amp;G80,Mapping!$B:$B,0))</f>
        <v>1</v>
      </c>
      <c r="Q80" s="204" t="str">
        <f>INDEX(Mapping!$H:$H,MATCH(Q$3&amp;$F80,Mapping!$B:$B,0))</f>
        <v>Metro - Nationaal</v>
      </c>
      <c r="R80" s="204" t="str">
        <f>INDEX(Mapping!$H:$H,MATCH("ZM VPN Service Level"&amp;E80,Mapping!$B:$B,0))</f>
        <v>Advanced</v>
      </c>
      <c r="S80" s="139" t="b">
        <f>IF($D80="EoK",INDEX(Mapping!$I:$I,MATCH($G$3&amp;$G80,Mapping!B:B,0)),FALSE)</f>
        <v>1</v>
      </c>
      <c r="T80" s="139"/>
      <c r="U80" s="520" t="str">
        <f t="shared" si="47"/>
        <v>PremiumMetro1</v>
      </c>
      <c r="W80" s="521">
        <f>MATCH($J80,'Tarieven ZM'!$B:$B,0)</f>
        <v>84</v>
      </c>
      <c r="X80" s="204">
        <f>INDEX('Tarieven ZM'!$H:$H,$W80)</f>
        <v>1000</v>
      </c>
      <c r="Y80" s="198">
        <f>-INDEX(Parameters!$B:$B,MATCH(Y$3&amp;$C80,Parameters!$A:$A,0))*$X80</f>
        <v>0</v>
      </c>
      <c r="Z80" s="198">
        <f>-INDEX(Parameters!$B:$B,MATCH(Z$3&amp;$C80,Parameters!$A:$A,0))*$X80</f>
        <v>0</v>
      </c>
      <c r="AA80" s="139">
        <f t="shared" si="49"/>
        <v>1000</v>
      </c>
      <c r="AB80" s="205">
        <f>AA80/INDEX(Parameters!$B:$B,MATCH("AfschrijftermijnVVE"&amp;12*$C80,Parameters!$A:$A,0))</f>
        <v>27.777777777777779</v>
      </c>
      <c r="AC80" s="204">
        <f>INDEX('Tarieven ZM'!$G:$G,$W80)</f>
        <v>1000</v>
      </c>
      <c r="AD80" s="198">
        <f>-INDEX(Parameters!$B:$B,MATCH(AD$3&amp;$C80,Parameters!$A:$A,0))*$AC80</f>
        <v>0</v>
      </c>
      <c r="AE80" s="198">
        <f>-INDEX(Parameters!$B:$B,MATCH(AE$3,Parameters!$A:$A,0))*$AC80</f>
        <v>0</v>
      </c>
      <c r="AF80" s="139">
        <f t="shared" si="50"/>
        <v>1000</v>
      </c>
      <c r="AG80" s="522">
        <f t="shared" si="51"/>
        <v>1027.7777777777778</v>
      </c>
      <c r="AH80" s="175"/>
      <c r="AI80" s="523">
        <f>MATCH($U80,'Tarieven W&amp;O'!$B:$B,0)</f>
        <v>57</v>
      </c>
      <c r="AJ80" s="204">
        <f>IF(AI80&lt;&gt;"nvt",INDEX('Tarieven W&amp;O'!$H:$H,$AI80),0)</f>
        <v>0</v>
      </c>
      <c r="AK80" s="204">
        <f>IF(AI80&lt;&gt;"nvt",INDEX('Tarieven W&amp;O'!$I:$I,$AI80),0)</f>
        <v>25</v>
      </c>
      <c r="AL80" s="524">
        <f>IF(AI80&lt;&gt;"nvt",-INDEX(Parameters!$B:$B,MATCH(AL$3,Parameters!$A:$A,0))*(AJ80+AK80),0)</f>
        <v>0</v>
      </c>
      <c r="AM80" s="525"/>
      <c r="AN80" s="139">
        <f t="shared" si="52"/>
        <v>25</v>
      </c>
      <c r="AO80" s="205">
        <f>AN80/INDEX(Parameters!$B:$B,MATCH("AfschrijftermijnVVE"&amp;12*$C80,Parameters!$A:$A,0))</f>
        <v>0.69444444444444442</v>
      </c>
      <c r="AP80" s="139">
        <f t="shared" si="53"/>
        <v>57</v>
      </c>
      <c r="AQ80" s="526">
        <f>IF(AP80&lt;&gt;"nvt",INDEX('Tarieven W&amp;O'!$G:$G,$AP80),0)</f>
        <v>14.29</v>
      </c>
      <c r="AR80" s="251">
        <f>IF($S80,INDEX('Tarieven W&amp;O'!$G:$G,MATCH(N80&amp;R80,'Tarieven W&amp;O'!$B:$B,0)),0)</f>
        <v>0</v>
      </c>
      <c r="AS80" s="205">
        <f>-INDEX(Parameters!$B:$B,MATCH(AS$3,Parameters!$A:$A,0))*(AQ80+AR80)</f>
        <v>0</v>
      </c>
      <c r="AT80" s="205">
        <f>INDEX(hulpblad!$E:$E,MATCH(M80&amp;Q80,hulpblad!$B:$B,0))</f>
        <v>2</v>
      </c>
      <c r="AU80" s="150">
        <f t="shared" si="33"/>
        <v>16.29</v>
      </c>
      <c r="AV80" s="150">
        <f t="shared" si="34"/>
        <v>16.984444444444442</v>
      </c>
      <c r="AX80" s="526">
        <f>Parameters!$B$6*AV80</f>
        <v>0.16984444444444444</v>
      </c>
      <c r="AY80" s="150">
        <v>0</v>
      </c>
      <c r="AZ80" s="150"/>
      <c r="BA80" s="150">
        <f t="shared" si="54"/>
        <v>0.16984444444444444</v>
      </c>
      <c r="BB80" s="150"/>
      <c r="BC80" s="522">
        <f t="shared" si="55"/>
        <v>17.154288888888885</v>
      </c>
      <c r="BD80" s="175"/>
      <c r="BE80" s="527">
        <f t="shared" si="35"/>
        <v>1010.6234888888889</v>
      </c>
      <c r="BF80" s="181">
        <f t="shared" si="36"/>
        <v>0.98330934054054053</v>
      </c>
      <c r="BG80" s="520" t="b">
        <f t="shared" si="48"/>
        <v>0</v>
      </c>
      <c r="BI80" s="528" t="s">
        <v>2181</v>
      </c>
      <c r="BL80" s="151" t="str">
        <f t="shared" si="38"/>
        <v>EoKMetro - Nationaal</v>
      </c>
      <c r="BM80" s="529">
        <v>0</v>
      </c>
      <c r="BN80" s="180">
        <f>BM80/INDEX(Parameters!$B:$B,MATCH("AfschrijftermijnVVE"&amp;12*$C80,Parameters!$A:$A,0))</f>
        <v>0</v>
      </c>
      <c r="BO80" s="184">
        <f>INDEX('inkoop ULL tbv EVPN'!I:I,MATCH(BL80,'inkoop ULL tbv EVPN'!H:H,0))</f>
        <v>2</v>
      </c>
      <c r="BP80" s="184">
        <f t="shared" si="39"/>
        <v>2</v>
      </c>
      <c r="BR80" s="180">
        <f>Parameters!$B$12*AG80</f>
        <v>102.77777777777779</v>
      </c>
      <c r="BS80" s="180">
        <f>SUM(Distributievergoedingen!$F$12,Distributievergoedingen!$I$12,Distributievergoedingen!$L$12,Distributievergoedingen!$O$12)*AF80+SUM(Distributievergoedingen!$O$12*AA80+Distributievergoedingen!$R$12+Distributievergoedingen!$U$12+Distributievergoedingen!$X$12)/(MAX(36,12*C80))</f>
        <v>112.77777777777777</v>
      </c>
      <c r="BT80" s="150"/>
      <c r="BU80" s="150">
        <f t="shared" si="40"/>
        <v>215.55555555555554</v>
      </c>
      <c r="BW80" s="522">
        <f t="shared" si="41"/>
        <v>217.55555555555554</v>
      </c>
      <c r="BY80" s="527">
        <f t="shared" si="42"/>
        <v>810.22222222222229</v>
      </c>
      <c r="BZ80" s="181">
        <f t="shared" si="43"/>
        <v>0.78832432432432431</v>
      </c>
      <c r="CA80" s="520" t="b">
        <f t="shared" si="44"/>
        <v>0</v>
      </c>
    </row>
    <row r="81" spans="1:79" s="151" customFormat="1">
      <c r="A81" s="151" t="str">
        <f t="shared" si="37"/>
        <v>1EoKPremiumRegionaal2</v>
      </c>
      <c r="B81" s="520" t="str">
        <f t="shared" si="45"/>
        <v>1EoKPremiumRegionaal2</v>
      </c>
      <c r="C81" s="179">
        <v>1</v>
      </c>
      <c r="D81" s="179" t="s">
        <v>303</v>
      </c>
      <c r="E81" s="178" t="s">
        <v>267</v>
      </c>
      <c r="F81" s="178" t="s">
        <v>265</v>
      </c>
      <c r="G81" s="185" t="s">
        <v>363</v>
      </c>
      <c r="J81" s="520" t="str">
        <f t="shared" si="46"/>
        <v>PremiumRegionaal2</v>
      </c>
      <c r="L81" s="204">
        <f>INDEX(Mapping!$H:$H,MATCH(C$3&amp;C81,Mapping!$B:$B,0))</f>
        <v>1</v>
      </c>
      <c r="M81" s="204" t="str">
        <f>INDEX(Mapping!$H:$H,MATCH(D$3&amp;$D81,Mapping!$B:$B,0))</f>
        <v>EoK</v>
      </c>
      <c r="N81" s="204" t="str">
        <f>INDEX(Mapping!$H:$H,MATCH(E$3&amp;E81,Mapping!$B:$B,0))</f>
        <v>Premium</v>
      </c>
      <c r="O81" s="204" t="str">
        <f>INDEX(Mapping!$H:$H,MATCH(F$3&amp;F81,Mapping!$B:$B,0))</f>
        <v>Metro</v>
      </c>
      <c r="P81" s="204">
        <f>INDEX(Mapping!$H:$H,MATCH(G$3&amp;G81,Mapping!$B:$B,0))</f>
        <v>2</v>
      </c>
      <c r="Q81" s="204" t="str">
        <f>INDEX(Mapping!$H:$H,MATCH(Q$3&amp;$F81,Mapping!$B:$B,0))</f>
        <v>Metro - Nationaal</v>
      </c>
      <c r="R81" s="204" t="str">
        <f>INDEX(Mapping!$H:$H,MATCH("ZM VPN Service Level"&amp;E81,Mapping!$B:$B,0))</f>
        <v>Advanced</v>
      </c>
      <c r="S81" s="139" t="b">
        <f>IF($D81="EoK",INDEX(Mapping!$I:$I,MATCH($G$3&amp;$G81,Mapping!B:B,0)),FALSE)</f>
        <v>1</v>
      </c>
      <c r="T81" s="139"/>
      <c r="U81" s="520" t="str">
        <f t="shared" si="47"/>
        <v>PremiumMetro2</v>
      </c>
      <c r="W81" s="521">
        <f>MATCH($J81,'Tarieven ZM'!$B:$B,0)</f>
        <v>85</v>
      </c>
      <c r="X81" s="204">
        <f>INDEX('Tarieven ZM'!$H:$H,$W81)</f>
        <v>1000</v>
      </c>
      <c r="Y81" s="198">
        <f>-INDEX(Parameters!$B:$B,MATCH(Y$3&amp;$C81,Parameters!$A:$A,0))*$X81</f>
        <v>0</v>
      </c>
      <c r="Z81" s="198">
        <f>-INDEX(Parameters!$B:$B,MATCH(Z$3&amp;$C81,Parameters!$A:$A,0))*$X81</f>
        <v>0</v>
      </c>
      <c r="AA81" s="139">
        <f t="shared" si="49"/>
        <v>1000</v>
      </c>
      <c r="AB81" s="205">
        <f>AA81/INDEX(Parameters!$B:$B,MATCH("AfschrijftermijnVVE"&amp;12*$C81,Parameters!$A:$A,0))</f>
        <v>27.777777777777779</v>
      </c>
      <c r="AC81" s="204">
        <f>INDEX('Tarieven ZM'!$G:$G,$W81)</f>
        <v>1000</v>
      </c>
      <c r="AD81" s="198">
        <f>-INDEX(Parameters!$B:$B,MATCH(AD$3&amp;$C81,Parameters!$A:$A,0))*$AC81</f>
        <v>0</v>
      </c>
      <c r="AE81" s="198">
        <f>-INDEX(Parameters!$B:$B,MATCH(AE$3,Parameters!$A:$A,0))*$AC81</f>
        <v>0</v>
      </c>
      <c r="AF81" s="139">
        <f t="shared" si="50"/>
        <v>1000</v>
      </c>
      <c r="AG81" s="522">
        <f t="shared" si="51"/>
        <v>1027.7777777777778</v>
      </c>
      <c r="AH81" s="175"/>
      <c r="AI81" s="523">
        <f>MATCH($U81,'Tarieven W&amp;O'!$B:$B,0)</f>
        <v>58</v>
      </c>
      <c r="AJ81" s="204">
        <f>IF(AI81&lt;&gt;"nvt",INDEX('Tarieven W&amp;O'!$H:$H,$AI81),0)</f>
        <v>0</v>
      </c>
      <c r="AK81" s="204">
        <f>IF(AI81&lt;&gt;"nvt",INDEX('Tarieven W&amp;O'!$I:$I,$AI81),0)</f>
        <v>25</v>
      </c>
      <c r="AL81" s="524">
        <f>IF(AI81&lt;&gt;"nvt",-INDEX(Parameters!$B:$B,MATCH(AL$3,Parameters!$A:$A,0))*(AJ81+AK81),0)</f>
        <v>0</v>
      </c>
      <c r="AM81" s="525"/>
      <c r="AN81" s="139">
        <f t="shared" si="52"/>
        <v>25</v>
      </c>
      <c r="AO81" s="205">
        <f>AN81/INDEX(Parameters!$B:$B,MATCH("AfschrijftermijnVVE"&amp;12*$C81,Parameters!$A:$A,0))</f>
        <v>0.69444444444444442</v>
      </c>
      <c r="AP81" s="139">
        <f t="shared" si="53"/>
        <v>58</v>
      </c>
      <c r="AQ81" s="526">
        <f>IF(AP81&lt;&gt;"nvt",INDEX('Tarieven W&amp;O'!$G:$G,$AP81),0)</f>
        <v>16.55</v>
      </c>
      <c r="AR81" s="251">
        <f>IF($S81,INDEX('Tarieven W&amp;O'!$G:$G,MATCH(N81&amp;R81,'Tarieven W&amp;O'!$B:$B,0)),0)</f>
        <v>0</v>
      </c>
      <c r="AS81" s="205">
        <f>-INDEX(Parameters!$B:$B,MATCH(AS$3,Parameters!$A:$A,0))*(AQ81+AR81)</f>
        <v>0</v>
      </c>
      <c r="AT81" s="205">
        <f>INDEX(hulpblad!$E:$E,MATCH(M81&amp;Q81,hulpblad!$B:$B,0))</f>
        <v>2</v>
      </c>
      <c r="AU81" s="150">
        <f t="shared" si="33"/>
        <v>18.55</v>
      </c>
      <c r="AV81" s="150">
        <f t="shared" si="34"/>
        <v>19.244444444444444</v>
      </c>
      <c r="AX81" s="526">
        <f>Parameters!$B$6*AV81</f>
        <v>0.19244444444444445</v>
      </c>
      <c r="AY81" s="150">
        <v>0</v>
      </c>
      <c r="AZ81" s="150"/>
      <c r="BA81" s="150">
        <f t="shared" si="54"/>
        <v>0.19244444444444445</v>
      </c>
      <c r="BB81" s="150"/>
      <c r="BC81" s="522">
        <f t="shared" si="55"/>
        <v>19.436888888888888</v>
      </c>
      <c r="BD81" s="175"/>
      <c r="BE81" s="527">
        <f t="shared" si="35"/>
        <v>1008.3408888888889</v>
      </c>
      <c r="BF81" s="181">
        <f t="shared" si="36"/>
        <v>0.98108843243243238</v>
      </c>
      <c r="BG81" s="520" t="b">
        <f t="shared" si="48"/>
        <v>0</v>
      </c>
      <c r="BI81" s="528" t="s">
        <v>2181</v>
      </c>
      <c r="BL81" s="151" t="str">
        <f t="shared" si="38"/>
        <v>EoKMetro - Nationaal</v>
      </c>
      <c r="BM81" s="529">
        <v>0</v>
      </c>
      <c r="BN81" s="180">
        <f>BM81/INDEX(Parameters!$B:$B,MATCH("AfschrijftermijnVVE"&amp;12*$C81,Parameters!$A:$A,0))</f>
        <v>0</v>
      </c>
      <c r="BO81" s="184">
        <f>INDEX('inkoop ULL tbv EVPN'!I:I,MATCH(BL81,'inkoop ULL tbv EVPN'!H:H,0))</f>
        <v>2</v>
      </c>
      <c r="BP81" s="184">
        <f t="shared" si="39"/>
        <v>2</v>
      </c>
      <c r="BR81" s="180">
        <f>Parameters!$B$12*AG81</f>
        <v>102.77777777777779</v>
      </c>
      <c r="BS81" s="180">
        <f>SUM(Distributievergoedingen!$F$12,Distributievergoedingen!$I$12,Distributievergoedingen!$L$12,Distributievergoedingen!$O$12)*AF81+SUM(Distributievergoedingen!$O$12*AA81+Distributievergoedingen!$R$12+Distributievergoedingen!$U$12+Distributievergoedingen!$X$12)/(MAX(36,12*C81))</f>
        <v>112.77777777777777</v>
      </c>
      <c r="BT81" s="150"/>
      <c r="BU81" s="150">
        <f t="shared" si="40"/>
        <v>215.55555555555554</v>
      </c>
      <c r="BW81" s="522">
        <f t="shared" si="41"/>
        <v>217.55555555555554</v>
      </c>
      <c r="BY81" s="527">
        <f t="shared" si="42"/>
        <v>810.22222222222229</v>
      </c>
      <c r="BZ81" s="181">
        <f t="shared" si="43"/>
        <v>0.78832432432432431</v>
      </c>
      <c r="CA81" s="520" t="b">
        <f t="shared" si="44"/>
        <v>0</v>
      </c>
    </row>
    <row r="82" spans="1:79" s="151" customFormat="1">
      <c r="A82" s="151" t="str">
        <f t="shared" si="37"/>
        <v>1EoKPremiumRegionaal3</v>
      </c>
      <c r="B82" s="520" t="str">
        <f t="shared" si="45"/>
        <v>1EoKPremiumRegionaal3</v>
      </c>
      <c r="C82" s="179">
        <v>1</v>
      </c>
      <c r="D82" s="179" t="s">
        <v>303</v>
      </c>
      <c r="E82" s="178" t="s">
        <v>267</v>
      </c>
      <c r="F82" s="178" t="s">
        <v>265</v>
      </c>
      <c r="G82" s="185" t="s">
        <v>407</v>
      </c>
      <c r="J82" s="520" t="str">
        <f t="shared" si="46"/>
        <v>PremiumRegionaal3</v>
      </c>
      <c r="L82" s="204">
        <f>INDEX(Mapping!$H:$H,MATCH(C$3&amp;C82,Mapping!$B:$B,0))</f>
        <v>1</v>
      </c>
      <c r="M82" s="204" t="str">
        <f>INDEX(Mapping!$H:$H,MATCH(D$3&amp;$D82,Mapping!$B:$B,0))</f>
        <v>EoK</v>
      </c>
      <c r="N82" s="204" t="str">
        <f>INDEX(Mapping!$H:$H,MATCH(E$3&amp;E82,Mapping!$B:$B,0))</f>
        <v>Premium</v>
      </c>
      <c r="O82" s="204" t="str">
        <f>INDEX(Mapping!$H:$H,MATCH(F$3&amp;F82,Mapping!$B:$B,0))</f>
        <v>Metro</v>
      </c>
      <c r="P82" s="204">
        <f>INDEX(Mapping!$H:$H,MATCH(G$3&amp;G82,Mapping!$B:$B,0))</f>
        <v>3</v>
      </c>
      <c r="Q82" s="204" t="str">
        <f>INDEX(Mapping!$H:$H,MATCH(Q$3&amp;$F82,Mapping!$B:$B,0))</f>
        <v>Metro - Nationaal</v>
      </c>
      <c r="R82" s="204" t="str">
        <f>INDEX(Mapping!$H:$H,MATCH("ZM VPN Service Level"&amp;E82,Mapping!$B:$B,0))</f>
        <v>Advanced</v>
      </c>
      <c r="S82" s="139" t="b">
        <f>IF($D82="EoK",INDEX(Mapping!$I:$I,MATCH($G$3&amp;$G82,Mapping!B:B,0)),FALSE)</f>
        <v>0</v>
      </c>
      <c r="T82" s="139"/>
      <c r="U82" s="520" t="str">
        <f t="shared" si="47"/>
        <v>PremiumMetro3</v>
      </c>
      <c r="W82" s="521">
        <f>MATCH($J82,'Tarieven ZM'!$B:$B,0)</f>
        <v>86</v>
      </c>
      <c r="X82" s="204">
        <f>INDEX('Tarieven ZM'!$H:$H,$W82)</f>
        <v>1000</v>
      </c>
      <c r="Y82" s="198">
        <f>-INDEX(Parameters!$B:$B,MATCH(Y$3&amp;$C82,Parameters!$A:$A,0))*$X82</f>
        <v>0</v>
      </c>
      <c r="Z82" s="198">
        <f>-INDEX(Parameters!$B:$B,MATCH(Z$3&amp;$C82,Parameters!$A:$A,0))*$X82</f>
        <v>0</v>
      </c>
      <c r="AA82" s="139">
        <f t="shared" si="49"/>
        <v>1000</v>
      </c>
      <c r="AB82" s="205">
        <f>AA82/INDEX(Parameters!$B:$B,MATCH("AfschrijftermijnVVE"&amp;12*$C82,Parameters!$A:$A,0))</f>
        <v>27.777777777777779</v>
      </c>
      <c r="AC82" s="204">
        <f>INDEX('Tarieven ZM'!$G:$G,$W82)</f>
        <v>1000</v>
      </c>
      <c r="AD82" s="198">
        <f>-INDEX(Parameters!$B:$B,MATCH(AD$3&amp;$C82,Parameters!$A:$A,0))*$AC82</f>
        <v>0</v>
      </c>
      <c r="AE82" s="198">
        <f>-INDEX(Parameters!$B:$B,MATCH(AE$3,Parameters!$A:$A,0))*$AC82</f>
        <v>0</v>
      </c>
      <c r="AF82" s="139">
        <f t="shared" si="50"/>
        <v>1000</v>
      </c>
      <c r="AG82" s="522">
        <f t="shared" si="51"/>
        <v>1027.7777777777778</v>
      </c>
      <c r="AH82" s="175"/>
      <c r="AI82" s="523">
        <f>MATCH($U82,'Tarieven W&amp;O'!$B:$B,0)</f>
        <v>59</v>
      </c>
      <c r="AJ82" s="204">
        <f>IF(AI82&lt;&gt;"nvt",INDEX('Tarieven W&amp;O'!$H:$H,$AI82),0)</f>
        <v>0</v>
      </c>
      <c r="AK82" s="204">
        <f>IF(AI82&lt;&gt;"nvt",INDEX('Tarieven W&amp;O'!$I:$I,$AI82),0)</f>
        <v>25</v>
      </c>
      <c r="AL82" s="524">
        <f>IF(AI82&lt;&gt;"nvt",-INDEX(Parameters!$B:$B,MATCH(AL$3,Parameters!$A:$A,0))*(AJ82+AK82),0)</f>
        <v>0</v>
      </c>
      <c r="AM82" s="525"/>
      <c r="AN82" s="139">
        <f t="shared" si="52"/>
        <v>25</v>
      </c>
      <c r="AO82" s="205">
        <f>AN82/INDEX(Parameters!$B:$B,MATCH("AfschrijftermijnVVE"&amp;12*$C82,Parameters!$A:$A,0))</f>
        <v>0.69444444444444442</v>
      </c>
      <c r="AP82" s="139">
        <f t="shared" si="53"/>
        <v>59</v>
      </c>
      <c r="AQ82" s="526">
        <f>IF(AP82&lt;&gt;"nvt",INDEX('Tarieven W&amp;O'!$G:$G,$AP82),0)</f>
        <v>27.86</v>
      </c>
      <c r="AR82" s="251">
        <f>IF($S82,INDEX('Tarieven W&amp;O'!$G:$G,MATCH(N82&amp;R82,'Tarieven W&amp;O'!$B:$B,0)),0)</f>
        <v>0</v>
      </c>
      <c r="AS82" s="205">
        <f>-INDEX(Parameters!$B:$B,MATCH(AS$3,Parameters!$A:$A,0))*(AQ82+AR82)</f>
        <v>0</v>
      </c>
      <c r="AT82" s="205">
        <f>INDEX(hulpblad!$E:$E,MATCH(M82&amp;Q82,hulpblad!$B:$B,0))</f>
        <v>2</v>
      </c>
      <c r="AU82" s="150">
        <f t="shared" ref="AU82:AU117" si="56">SUM(AQ82:AT82)</f>
        <v>29.86</v>
      </c>
      <c r="AV82" s="150">
        <f t="shared" ref="AV82:AV117" si="57">SUM(AO82,AU82)</f>
        <v>30.554444444444442</v>
      </c>
      <c r="AX82" s="526">
        <f>Parameters!$B$6*AV82</f>
        <v>0.30554444444444445</v>
      </c>
      <c r="AY82" s="150">
        <v>0</v>
      </c>
      <c r="AZ82" s="150"/>
      <c r="BA82" s="150">
        <f t="shared" si="54"/>
        <v>0.30554444444444445</v>
      </c>
      <c r="BB82" s="150"/>
      <c r="BC82" s="522">
        <f t="shared" si="55"/>
        <v>30.859988888888886</v>
      </c>
      <c r="BD82" s="175"/>
      <c r="BE82" s="527">
        <f t="shared" ref="BE82:BE117" si="58">AG82-BC82</f>
        <v>996.91778888888894</v>
      </c>
      <c r="BF82" s="181">
        <f t="shared" ref="BF82:BF117" si="59">IF(AG82=0,-999%,BE82/AG82)</f>
        <v>0.96997406486486482</v>
      </c>
      <c r="BG82" s="520" t="b">
        <f t="shared" si="48"/>
        <v>0</v>
      </c>
      <c r="BI82" s="528" t="s">
        <v>2181</v>
      </c>
      <c r="BL82" s="151" t="str">
        <f t="shared" si="38"/>
        <v>EoKMetro - Nationaal</v>
      </c>
      <c r="BM82" s="529">
        <v>0</v>
      </c>
      <c r="BN82" s="180">
        <f>BM82/INDEX(Parameters!$B:$B,MATCH("AfschrijftermijnVVE"&amp;12*$C82,Parameters!$A:$A,0))</f>
        <v>0</v>
      </c>
      <c r="BO82" s="184">
        <f>INDEX('inkoop ULL tbv EVPN'!I:I,MATCH(BL82,'inkoop ULL tbv EVPN'!H:H,0))</f>
        <v>2</v>
      </c>
      <c r="BP82" s="184">
        <f t="shared" si="39"/>
        <v>2</v>
      </c>
      <c r="BR82" s="180">
        <f>Parameters!$B$12*AG82</f>
        <v>102.77777777777779</v>
      </c>
      <c r="BS82" s="180">
        <f>SUM(Distributievergoedingen!$F$12,Distributievergoedingen!$I$12,Distributievergoedingen!$L$12,Distributievergoedingen!$O$12)*AF82+SUM(Distributievergoedingen!$O$12*AA82+Distributievergoedingen!$R$12+Distributievergoedingen!$U$12+Distributievergoedingen!$X$12)/(MAX(36,12*C82))</f>
        <v>112.77777777777777</v>
      </c>
      <c r="BT82" s="150"/>
      <c r="BU82" s="150">
        <f t="shared" si="40"/>
        <v>215.55555555555554</v>
      </c>
      <c r="BW82" s="522">
        <f t="shared" si="41"/>
        <v>217.55555555555554</v>
      </c>
      <c r="BY82" s="527">
        <f t="shared" si="42"/>
        <v>810.22222222222229</v>
      </c>
      <c r="BZ82" s="181">
        <f t="shared" si="43"/>
        <v>0.78832432432432431</v>
      </c>
      <c r="CA82" s="520" t="b">
        <f t="shared" si="44"/>
        <v>0</v>
      </c>
    </row>
    <row r="83" spans="1:79" s="151" customFormat="1">
      <c r="A83" s="151" t="str">
        <f t="shared" ref="A83:A117" si="60">C83&amp;D83&amp;E83&amp;F83&amp;G83&amp;H83</f>
        <v>1EoKPremiumRegionaal4</v>
      </c>
      <c r="B83" s="520" t="str">
        <f t="shared" si="45"/>
        <v>1EoKPremiumRegionaal4</v>
      </c>
      <c r="C83" s="179">
        <v>1</v>
      </c>
      <c r="D83" s="179" t="s">
        <v>303</v>
      </c>
      <c r="E83" s="178" t="s">
        <v>267</v>
      </c>
      <c r="F83" s="178" t="s">
        <v>265</v>
      </c>
      <c r="G83" s="185" t="s">
        <v>408</v>
      </c>
      <c r="J83" s="520" t="str">
        <f t="shared" si="46"/>
        <v>PremiumRegionaal4</v>
      </c>
      <c r="L83" s="204">
        <f>INDEX(Mapping!$H:$H,MATCH(C$3&amp;C83,Mapping!$B:$B,0))</f>
        <v>1</v>
      </c>
      <c r="M83" s="204" t="str">
        <f>INDEX(Mapping!$H:$H,MATCH(D$3&amp;$D83,Mapping!$B:$B,0))</f>
        <v>EoK</v>
      </c>
      <c r="N83" s="204" t="str">
        <f>INDEX(Mapping!$H:$H,MATCH(E$3&amp;E83,Mapping!$B:$B,0))</f>
        <v>Premium</v>
      </c>
      <c r="O83" s="204" t="str">
        <f>INDEX(Mapping!$H:$H,MATCH(F$3&amp;F83,Mapping!$B:$B,0))</f>
        <v>Metro</v>
      </c>
      <c r="P83" s="204">
        <f>INDEX(Mapping!$H:$H,MATCH(G$3&amp;G83,Mapping!$B:$B,0))</f>
        <v>4</v>
      </c>
      <c r="Q83" s="204" t="str">
        <f>INDEX(Mapping!$H:$H,MATCH(Q$3&amp;$F83,Mapping!$B:$B,0))</f>
        <v>Metro - Nationaal</v>
      </c>
      <c r="R83" s="204" t="str">
        <f>INDEX(Mapping!$H:$H,MATCH("ZM VPN Service Level"&amp;E83,Mapping!$B:$B,0))</f>
        <v>Advanced</v>
      </c>
      <c r="S83" s="139" t="b">
        <f>IF($D83="EoK",INDEX(Mapping!$I:$I,MATCH($G$3&amp;$G83,Mapping!B:B,0)),FALSE)</f>
        <v>0</v>
      </c>
      <c r="T83" s="139"/>
      <c r="U83" s="520" t="str">
        <f t="shared" si="47"/>
        <v>PremiumMetro4</v>
      </c>
      <c r="W83" s="521">
        <f>MATCH($J83,'Tarieven ZM'!$B:$B,0)</f>
        <v>87</v>
      </c>
      <c r="X83" s="204">
        <f>INDEX('Tarieven ZM'!$H:$H,$W83)</f>
        <v>1000</v>
      </c>
      <c r="Y83" s="198">
        <f>-INDEX(Parameters!$B:$B,MATCH(Y$3&amp;$C83,Parameters!$A:$A,0))*$X83</f>
        <v>0</v>
      </c>
      <c r="Z83" s="198">
        <f>-INDEX(Parameters!$B:$B,MATCH(Z$3&amp;$C83,Parameters!$A:$A,0))*$X83</f>
        <v>0</v>
      </c>
      <c r="AA83" s="139">
        <f t="shared" si="49"/>
        <v>1000</v>
      </c>
      <c r="AB83" s="205">
        <f>AA83/INDEX(Parameters!$B:$B,MATCH("AfschrijftermijnVVE"&amp;12*$C83,Parameters!$A:$A,0))</f>
        <v>27.777777777777779</v>
      </c>
      <c r="AC83" s="204">
        <f>INDEX('Tarieven ZM'!$G:$G,$W83)</f>
        <v>1000</v>
      </c>
      <c r="AD83" s="198">
        <f>-INDEX(Parameters!$B:$B,MATCH(AD$3&amp;$C83,Parameters!$A:$A,0))*$AC83</f>
        <v>0</v>
      </c>
      <c r="AE83" s="198">
        <f>-INDEX(Parameters!$B:$B,MATCH(AE$3,Parameters!$A:$A,0))*$AC83</f>
        <v>0</v>
      </c>
      <c r="AF83" s="139">
        <f t="shared" si="50"/>
        <v>1000</v>
      </c>
      <c r="AG83" s="522">
        <f t="shared" si="51"/>
        <v>1027.7777777777778</v>
      </c>
      <c r="AH83" s="175"/>
      <c r="AI83" s="523">
        <f>MATCH($U83,'Tarieven W&amp;O'!$B:$B,0)</f>
        <v>60</v>
      </c>
      <c r="AJ83" s="204">
        <f>IF(AI83&lt;&gt;"nvt",INDEX('Tarieven W&amp;O'!$H:$H,$AI83),0)</f>
        <v>0</v>
      </c>
      <c r="AK83" s="204">
        <f>IF(AI83&lt;&gt;"nvt",INDEX('Tarieven W&amp;O'!$I:$I,$AI83),0)</f>
        <v>25</v>
      </c>
      <c r="AL83" s="524">
        <f>IF(AI83&lt;&gt;"nvt",-INDEX(Parameters!$B:$B,MATCH(AL$3,Parameters!$A:$A,0))*(AJ83+AK83),0)</f>
        <v>0</v>
      </c>
      <c r="AM83" s="525"/>
      <c r="AN83" s="139">
        <f t="shared" si="52"/>
        <v>25</v>
      </c>
      <c r="AO83" s="205">
        <f>AN83/INDEX(Parameters!$B:$B,MATCH("AfschrijftermijnVVE"&amp;12*$C83,Parameters!$A:$A,0))</f>
        <v>0.69444444444444442</v>
      </c>
      <c r="AP83" s="139">
        <f t="shared" si="53"/>
        <v>60</v>
      </c>
      <c r="AQ83" s="526">
        <f>IF(AP83&lt;&gt;"nvt",INDEX('Tarieven W&amp;O'!$G:$G,$AP83),0)</f>
        <v>42.94</v>
      </c>
      <c r="AR83" s="251">
        <f>IF($S83,INDEX('Tarieven W&amp;O'!$G:$G,MATCH(N83&amp;R83,'Tarieven W&amp;O'!$B:$B,0)),0)</f>
        <v>0</v>
      </c>
      <c r="AS83" s="205">
        <f>-INDEX(Parameters!$B:$B,MATCH(AS$3,Parameters!$A:$A,0))*(AQ83+AR83)</f>
        <v>0</v>
      </c>
      <c r="AT83" s="205">
        <f>INDEX(hulpblad!$E:$E,MATCH(M83&amp;Q83,hulpblad!$B:$B,0))</f>
        <v>2</v>
      </c>
      <c r="AU83" s="150">
        <f t="shared" si="56"/>
        <v>44.94</v>
      </c>
      <c r="AV83" s="150">
        <f t="shared" si="57"/>
        <v>45.634444444444441</v>
      </c>
      <c r="AX83" s="526">
        <f>Parameters!$B$6*AV83</f>
        <v>0.45634444444444444</v>
      </c>
      <c r="AY83" s="150">
        <v>0</v>
      </c>
      <c r="AZ83" s="150"/>
      <c r="BA83" s="150">
        <f t="shared" si="54"/>
        <v>0.45634444444444444</v>
      </c>
      <c r="BB83" s="150"/>
      <c r="BC83" s="522">
        <f t="shared" si="55"/>
        <v>46.090788888888888</v>
      </c>
      <c r="BD83" s="175"/>
      <c r="BE83" s="527">
        <f t="shared" si="58"/>
        <v>981.68698888888889</v>
      </c>
      <c r="BF83" s="181">
        <f t="shared" si="59"/>
        <v>0.9551549081081081</v>
      </c>
      <c r="BG83" s="520" t="b">
        <f t="shared" si="48"/>
        <v>0</v>
      </c>
      <c r="BI83" s="528" t="s">
        <v>2181</v>
      </c>
      <c r="BL83" s="151" t="str">
        <f t="shared" ref="BL83:BL117" si="61">M83&amp;Q83</f>
        <v>EoKMetro - Nationaal</v>
      </c>
      <c r="BM83" s="529">
        <v>0</v>
      </c>
      <c r="BN83" s="180">
        <f>BM83/INDEX(Parameters!$B:$B,MATCH("AfschrijftermijnVVE"&amp;12*$C83,Parameters!$A:$A,0))</f>
        <v>0</v>
      </c>
      <c r="BO83" s="184">
        <f>INDEX('inkoop ULL tbv EVPN'!I:I,MATCH(BL83,'inkoop ULL tbv EVPN'!H:H,0))</f>
        <v>2</v>
      </c>
      <c r="BP83" s="184">
        <f t="shared" ref="BP83:BP117" si="62">BN83+BO83</f>
        <v>2</v>
      </c>
      <c r="BR83" s="180">
        <f>Parameters!$B$12*AG83</f>
        <v>102.77777777777779</v>
      </c>
      <c r="BS83" s="180">
        <f>SUM(Distributievergoedingen!$F$12,Distributievergoedingen!$I$12,Distributievergoedingen!$L$12,Distributievergoedingen!$O$12)*AF83+SUM(Distributievergoedingen!$O$12*AA83+Distributievergoedingen!$R$12+Distributievergoedingen!$U$12+Distributievergoedingen!$X$12)/(MAX(36,12*C83))</f>
        <v>112.77777777777777</v>
      </c>
      <c r="BT83" s="150"/>
      <c r="BU83" s="150">
        <f t="shared" ref="BU83:BU117" si="63">SUM(BR83:BT83)</f>
        <v>215.55555555555554</v>
      </c>
      <c r="BW83" s="522">
        <f t="shared" ref="BW83:BW117" si="64">SUM(BP83,BU83)</f>
        <v>217.55555555555554</v>
      </c>
      <c r="BY83" s="527">
        <f t="shared" ref="BY83:BY117" si="65">AG83-BW83</f>
        <v>810.22222222222229</v>
      </c>
      <c r="BZ83" s="181">
        <f t="shared" ref="BZ83:BZ117" si="66">IF(AG83=0,-999%,BY83/AG83)</f>
        <v>0.78832432432432431</v>
      </c>
      <c r="CA83" s="520" t="b">
        <f t="shared" ref="CA83:CA117" si="67">BZ83&lt;0</f>
        <v>0</v>
      </c>
    </row>
    <row r="84" spans="1:79" s="151" customFormat="1">
      <c r="A84" s="151" t="str">
        <f t="shared" si="60"/>
        <v>1EoKPremiumRegionaal5</v>
      </c>
      <c r="B84" s="520" t="str">
        <f t="shared" si="45"/>
        <v>1EoKPremiumRegionaal5</v>
      </c>
      <c r="C84" s="179">
        <v>1</v>
      </c>
      <c r="D84" s="179" t="s">
        <v>303</v>
      </c>
      <c r="E84" s="178" t="s">
        <v>267</v>
      </c>
      <c r="F84" s="178" t="s">
        <v>265</v>
      </c>
      <c r="G84" s="185" t="s">
        <v>409</v>
      </c>
      <c r="J84" s="520" t="str">
        <f t="shared" si="46"/>
        <v>PremiumRegionaal5</v>
      </c>
      <c r="L84" s="204">
        <f>INDEX(Mapping!$H:$H,MATCH(C$3&amp;C84,Mapping!$B:$B,0))</f>
        <v>1</v>
      </c>
      <c r="M84" s="204" t="str">
        <f>INDEX(Mapping!$H:$H,MATCH(D$3&amp;$D84,Mapping!$B:$B,0))</f>
        <v>EoK</v>
      </c>
      <c r="N84" s="204" t="str">
        <f>INDEX(Mapping!$H:$H,MATCH(E$3&amp;E84,Mapping!$B:$B,0))</f>
        <v>Premium</v>
      </c>
      <c r="O84" s="204" t="str">
        <f>INDEX(Mapping!$H:$H,MATCH(F$3&amp;F84,Mapping!$B:$B,0))</f>
        <v>Metro</v>
      </c>
      <c r="P84" s="204">
        <f>INDEX(Mapping!$H:$H,MATCH(G$3&amp;G84,Mapping!$B:$B,0))</f>
        <v>5</v>
      </c>
      <c r="Q84" s="204" t="str">
        <f>INDEX(Mapping!$H:$H,MATCH(Q$3&amp;$F84,Mapping!$B:$B,0))</f>
        <v>Metro - Nationaal</v>
      </c>
      <c r="R84" s="204" t="str">
        <f>INDEX(Mapping!$H:$H,MATCH("ZM VPN Service Level"&amp;E84,Mapping!$B:$B,0))</f>
        <v>Advanced</v>
      </c>
      <c r="S84" s="139" t="b">
        <f>IF($D84="EoK",INDEX(Mapping!$I:$I,MATCH($G$3&amp;$G84,Mapping!B:B,0)),FALSE)</f>
        <v>0</v>
      </c>
      <c r="T84" s="139"/>
      <c r="U84" s="520" t="str">
        <f t="shared" si="47"/>
        <v>PremiumMetro5</v>
      </c>
      <c r="W84" s="521">
        <f>MATCH($J84,'Tarieven ZM'!$B:$B,0)</f>
        <v>88</v>
      </c>
      <c r="X84" s="204">
        <f>INDEX('Tarieven ZM'!$H:$H,$W84)</f>
        <v>1000</v>
      </c>
      <c r="Y84" s="198">
        <f>-INDEX(Parameters!$B:$B,MATCH(Y$3&amp;$C84,Parameters!$A:$A,0))*$X84</f>
        <v>0</v>
      </c>
      <c r="Z84" s="198">
        <f>-INDEX(Parameters!$B:$B,MATCH(Z$3&amp;$C84,Parameters!$A:$A,0))*$X84</f>
        <v>0</v>
      </c>
      <c r="AA84" s="139">
        <f t="shared" si="49"/>
        <v>1000</v>
      </c>
      <c r="AB84" s="205">
        <f>AA84/INDEX(Parameters!$B:$B,MATCH("AfschrijftermijnVVE"&amp;12*$C84,Parameters!$A:$A,0))</f>
        <v>27.777777777777779</v>
      </c>
      <c r="AC84" s="204">
        <f>INDEX('Tarieven ZM'!$G:$G,$W84)</f>
        <v>1000</v>
      </c>
      <c r="AD84" s="198">
        <f>-INDEX(Parameters!$B:$B,MATCH(AD$3&amp;$C84,Parameters!$A:$A,0))*$AC84</f>
        <v>0</v>
      </c>
      <c r="AE84" s="198">
        <f>-INDEX(Parameters!$B:$B,MATCH(AE$3,Parameters!$A:$A,0))*$AC84</f>
        <v>0</v>
      </c>
      <c r="AF84" s="139">
        <f t="shared" si="50"/>
        <v>1000</v>
      </c>
      <c r="AG84" s="522">
        <f t="shared" si="51"/>
        <v>1027.7777777777778</v>
      </c>
      <c r="AH84" s="175"/>
      <c r="AI84" s="523">
        <f>MATCH($U84,'Tarieven W&amp;O'!$B:$B,0)</f>
        <v>61</v>
      </c>
      <c r="AJ84" s="204">
        <f>IF(AI84&lt;&gt;"nvt",INDEX('Tarieven W&amp;O'!$H:$H,$AI84),0)</f>
        <v>0</v>
      </c>
      <c r="AK84" s="204">
        <f>IF(AI84&lt;&gt;"nvt",INDEX('Tarieven W&amp;O'!$I:$I,$AI84),0)</f>
        <v>25</v>
      </c>
      <c r="AL84" s="524">
        <f>IF(AI84&lt;&gt;"nvt",-INDEX(Parameters!$B:$B,MATCH(AL$3,Parameters!$A:$A,0))*(AJ84+AK84),0)</f>
        <v>0</v>
      </c>
      <c r="AM84" s="525"/>
      <c r="AN84" s="139">
        <f t="shared" si="52"/>
        <v>25</v>
      </c>
      <c r="AO84" s="205">
        <f>AN84/INDEX(Parameters!$B:$B,MATCH("AfschrijftermijnVVE"&amp;12*$C84,Parameters!$A:$A,0))</f>
        <v>0.69444444444444442</v>
      </c>
      <c r="AP84" s="139">
        <f t="shared" si="53"/>
        <v>61</v>
      </c>
      <c r="AQ84" s="526">
        <f>IF(AP84&lt;&gt;"nvt",INDEX('Tarieven W&amp;O'!$G:$G,$AP84),0)</f>
        <v>46.71</v>
      </c>
      <c r="AR84" s="251">
        <f>IF($S84,INDEX('Tarieven W&amp;O'!$G:$G,MATCH(N84&amp;R84,'Tarieven W&amp;O'!$B:$B,0)),0)</f>
        <v>0</v>
      </c>
      <c r="AS84" s="205">
        <f>-INDEX(Parameters!$B:$B,MATCH(AS$3,Parameters!$A:$A,0))*(AQ84+AR84)</f>
        <v>0</v>
      </c>
      <c r="AT84" s="205">
        <f>INDEX(hulpblad!$E:$E,MATCH(M84&amp;Q84,hulpblad!$B:$B,0))</f>
        <v>2</v>
      </c>
      <c r="AU84" s="150">
        <f t="shared" si="56"/>
        <v>48.71</v>
      </c>
      <c r="AV84" s="150">
        <f t="shared" si="57"/>
        <v>49.404444444444444</v>
      </c>
      <c r="AX84" s="526">
        <f>Parameters!$B$6*AV84</f>
        <v>0.49404444444444445</v>
      </c>
      <c r="AY84" s="150">
        <v>0</v>
      </c>
      <c r="AZ84" s="150"/>
      <c r="BA84" s="150">
        <f t="shared" si="54"/>
        <v>0.49404444444444445</v>
      </c>
      <c r="BB84" s="150"/>
      <c r="BC84" s="522">
        <f t="shared" si="55"/>
        <v>49.898488888888885</v>
      </c>
      <c r="BD84" s="175"/>
      <c r="BE84" s="527">
        <f t="shared" si="58"/>
        <v>977.87928888888894</v>
      </c>
      <c r="BF84" s="181">
        <f t="shared" si="59"/>
        <v>0.95145011891891895</v>
      </c>
      <c r="BG84" s="520" t="b">
        <f t="shared" si="48"/>
        <v>0</v>
      </c>
      <c r="BI84" s="528" t="s">
        <v>2181</v>
      </c>
      <c r="BL84" s="151" t="str">
        <f t="shared" si="61"/>
        <v>EoKMetro - Nationaal</v>
      </c>
      <c r="BM84" s="529">
        <v>0</v>
      </c>
      <c r="BN84" s="180">
        <f>BM84/INDEX(Parameters!$B:$B,MATCH("AfschrijftermijnVVE"&amp;12*$C84,Parameters!$A:$A,0))</f>
        <v>0</v>
      </c>
      <c r="BO84" s="184">
        <f>INDEX('inkoop ULL tbv EVPN'!I:I,MATCH(BL84,'inkoop ULL tbv EVPN'!H:H,0))</f>
        <v>2</v>
      </c>
      <c r="BP84" s="184">
        <f t="shared" si="62"/>
        <v>2</v>
      </c>
      <c r="BR84" s="180">
        <f>Parameters!$B$12*AG84</f>
        <v>102.77777777777779</v>
      </c>
      <c r="BS84" s="180">
        <f>SUM(Distributievergoedingen!$F$12,Distributievergoedingen!$I$12,Distributievergoedingen!$L$12,Distributievergoedingen!$O$12)*AF84+SUM(Distributievergoedingen!$O$12*AA84+Distributievergoedingen!$R$12+Distributievergoedingen!$U$12+Distributievergoedingen!$X$12)/(MAX(36,12*C84))</f>
        <v>112.77777777777777</v>
      </c>
      <c r="BT84" s="150"/>
      <c r="BU84" s="150">
        <f t="shared" si="63"/>
        <v>215.55555555555554</v>
      </c>
      <c r="BW84" s="522">
        <f t="shared" si="64"/>
        <v>217.55555555555554</v>
      </c>
      <c r="BY84" s="527">
        <f t="shared" si="65"/>
        <v>810.22222222222229</v>
      </c>
      <c r="BZ84" s="181">
        <f t="shared" si="66"/>
        <v>0.78832432432432431</v>
      </c>
      <c r="CA84" s="520" t="b">
        <f t="shared" si="67"/>
        <v>0</v>
      </c>
    </row>
    <row r="85" spans="1:79" s="151" customFormat="1">
      <c r="A85" s="151" t="str">
        <f t="shared" si="60"/>
        <v>1EoKPremiumRegionaal6</v>
      </c>
      <c r="B85" s="520" t="str">
        <f t="shared" si="45"/>
        <v>1EoKPremiumRegionaal6</v>
      </c>
      <c r="C85" s="179">
        <v>1</v>
      </c>
      <c r="D85" s="179" t="s">
        <v>303</v>
      </c>
      <c r="E85" s="178" t="s">
        <v>267</v>
      </c>
      <c r="F85" s="178" t="s">
        <v>265</v>
      </c>
      <c r="G85" s="185" t="s">
        <v>410</v>
      </c>
      <c r="J85" s="520" t="str">
        <f t="shared" si="46"/>
        <v>PremiumRegionaal6</v>
      </c>
      <c r="L85" s="204">
        <f>INDEX(Mapping!$H:$H,MATCH(C$3&amp;C85,Mapping!$B:$B,0))</f>
        <v>1</v>
      </c>
      <c r="M85" s="204" t="str">
        <f>INDEX(Mapping!$H:$H,MATCH(D$3&amp;$D85,Mapping!$B:$B,0))</f>
        <v>EoK</v>
      </c>
      <c r="N85" s="204" t="str">
        <f>INDEX(Mapping!$H:$H,MATCH(E$3&amp;E85,Mapping!$B:$B,0))</f>
        <v>Premium</v>
      </c>
      <c r="O85" s="204" t="str">
        <f>INDEX(Mapping!$H:$H,MATCH(F$3&amp;F85,Mapping!$B:$B,0))</f>
        <v>Metro</v>
      </c>
      <c r="P85" s="204">
        <f>INDEX(Mapping!$H:$H,MATCH(G$3&amp;G85,Mapping!$B:$B,0))</f>
        <v>6</v>
      </c>
      <c r="Q85" s="204" t="str">
        <f>INDEX(Mapping!$H:$H,MATCH(Q$3&amp;$F85,Mapping!$B:$B,0))</f>
        <v>Metro - Nationaal</v>
      </c>
      <c r="R85" s="204" t="str">
        <f>INDEX(Mapping!$H:$H,MATCH("ZM VPN Service Level"&amp;E85,Mapping!$B:$B,0))</f>
        <v>Advanced</v>
      </c>
      <c r="S85" s="139" t="b">
        <f>IF($D85="EoK",INDEX(Mapping!$I:$I,MATCH($G$3&amp;$G85,Mapping!B:B,0)),FALSE)</f>
        <v>0</v>
      </c>
      <c r="T85" s="139"/>
      <c r="U85" s="520" t="str">
        <f t="shared" si="47"/>
        <v>PremiumMetro6</v>
      </c>
      <c r="W85" s="521">
        <f>MATCH($J85,'Tarieven ZM'!$B:$B,0)</f>
        <v>89</v>
      </c>
      <c r="X85" s="204">
        <f>INDEX('Tarieven ZM'!$H:$H,$W85)</f>
        <v>1000</v>
      </c>
      <c r="Y85" s="198">
        <f>-INDEX(Parameters!$B:$B,MATCH(Y$3&amp;$C85,Parameters!$A:$A,0))*$X85</f>
        <v>0</v>
      </c>
      <c r="Z85" s="198">
        <f>-INDEX(Parameters!$B:$B,MATCH(Z$3&amp;$C85,Parameters!$A:$A,0))*$X85</f>
        <v>0</v>
      </c>
      <c r="AA85" s="139">
        <f t="shared" si="49"/>
        <v>1000</v>
      </c>
      <c r="AB85" s="205">
        <f>AA85/INDEX(Parameters!$B:$B,MATCH("AfschrijftermijnVVE"&amp;12*$C85,Parameters!$A:$A,0))</f>
        <v>27.777777777777779</v>
      </c>
      <c r="AC85" s="204">
        <f>INDEX('Tarieven ZM'!$G:$G,$W85)</f>
        <v>1000</v>
      </c>
      <c r="AD85" s="198">
        <f>-INDEX(Parameters!$B:$B,MATCH(AD$3&amp;$C85,Parameters!$A:$A,0))*$AC85</f>
        <v>0</v>
      </c>
      <c r="AE85" s="198">
        <f>-INDEX(Parameters!$B:$B,MATCH(AE$3,Parameters!$A:$A,0))*$AC85</f>
        <v>0</v>
      </c>
      <c r="AF85" s="139">
        <f t="shared" si="50"/>
        <v>1000</v>
      </c>
      <c r="AG85" s="522">
        <f t="shared" si="51"/>
        <v>1027.7777777777778</v>
      </c>
      <c r="AH85" s="175"/>
      <c r="AI85" s="523">
        <f>MATCH($U85,'Tarieven W&amp;O'!$B:$B,0)</f>
        <v>62</v>
      </c>
      <c r="AJ85" s="204">
        <f>IF(AI85&lt;&gt;"nvt",INDEX('Tarieven W&amp;O'!$H:$H,$AI85),0)</f>
        <v>0</v>
      </c>
      <c r="AK85" s="204">
        <f>IF(AI85&lt;&gt;"nvt",INDEX('Tarieven W&amp;O'!$I:$I,$AI85),0)</f>
        <v>25</v>
      </c>
      <c r="AL85" s="524">
        <f>IF(AI85&lt;&gt;"nvt",-INDEX(Parameters!$B:$B,MATCH(AL$3,Parameters!$A:$A,0))*(AJ85+AK85),0)</f>
        <v>0</v>
      </c>
      <c r="AM85" s="525"/>
      <c r="AN85" s="139">
        <f t="shared" si="52"/>
        <v>25</v>
      </c>
      <c r="AO85" s="205">
        <f>AN85/INDEX(Parameters!$B:$B,MATCH("AfschrijftermijnVVE"&amp;12*$C85,Parameters!$A:$A,0))</f>
        <v>0.69444444444444442</v>
      </c>
      <c r="AP85" s="139">
        <f t="shared" si="53"/>
        <v>62</v>
      </c>
      <c r="AQ85" s="526">
        <f>IF(AP85&lt;&gt;"nvt",INDEX('Tarieven W&amp;O'!$G:$G,$AP85),0)</f>
        <v>50.48</v>
      </c>
      <c r="AR85" s="251">
        <f>IF($S85,INDEX('Tarieven W&amp;O'!$G:$G,MATCH(N85&amp;R85,'Tarieven W&amp;O'!$B:$B,0)),0)</f>
        <v>0</v>
      </c>
      <c r="AS85" s="205">
        <f>-INDEX(Parameters!$B:$B,MATCH(AS$3,Parameters!$A:$A,0))*(AQ85+AR85)</f>
        <v>0</v>
      </c>
      <c r="AT85" s="205">
        <f>INDEX(hulpblad!$E:$E,MATCH(M85&amp;Q85,hulpblad!$B:$B,0))</f>
        <v>2</v>
      </c>
      <c r="AU85" s="150">
        <f t="shared" si="56"/>
        <v>52.48</v>
      </c>
      <c r="AV85" s="150">
        <f t="shared" si="57"/>
        <v>53.17444444444444</v>
      </c>
      <c r="AX85" s="526">
        <f>Parameters!$B$6*AV85</f>
        <v>0.53174444444444435</v>
      </c>
      <c r="AY85" s="150">
        <v>0</v>
      </c>
      <c r="AZ85" s="150"/>
      <c r="BA85" s="150">
        <f t="shared" si="54"/>
        <v>0.53174444444444435</v>
      </c>
      <c r="BB85" s="150"/>
      <c r="BC85" s="522">
        <f t="shared" si="55"/>
        <v>53.706188888888882</v>
      </c>
      <c r="BD85" s="175"/>
      <c r="BE85" s="527">
        <f t="shared" si="58"/>
        <v>974.07158888888898</v>
      </c>
      <c r="BF85" s="181">
        <f t="shared" si="59"/>
        <v>0.9477453297297298</v>
      </c>
      <c r="BG85" s="520" t="b">
        <f t="shared" si="48"/>
        <v>0</v>
      </c>
      <c r="BI85" s="528" t="s">
        <v>2181</v>
      </c>
      <c r="BL85" s="151" t="str">
        <f t="shared" si="61"/>
        <v>EoKMetro - Nationaal</v>
      </c>
      <c r="BM85" s="529">
        <v>0</v>
      </c>
      <c r="BN85" s="180">
        <f>BM85/INDEX(Parameters!$B:$B,MATCH("AfschrijftermijnVVE"&amp;12*$C85,Parameters!$A:$A,0))</f>
        <v>0</v>
      </c>
      <c r="BO85" s="184">
        <f>INDEX('inkoop ULL tbv EVPN'!I:I,MATCH(BL85,'inkoop ULL tbv EVPN'!H:H,0))</f>
        <v>2</v>
      </c>
      <c r="BP85" s="184">
        <f t="shared" si="62"/>
        <v>2</v>
      </c>
      <c r="BR85" s="180">
        <f>Parameters!$B$12*AG85</f>
        <v>102.77777777777779</v>
      </c>
      <c r="BS85" s="180">
        <f>SUM(Distributievergoedingen!$F$12,Distributievergoedingen!$I$12,Distributievergoedingen!$L$12,Distributievergoedingen!$O$12)*AF85+SUM(Distributievergoedingen!$O$12*AA85+Distributievergoedingen!$R$12+Distributievergoedingen!$U$12+Distributievergoedingen!$X$12)/(MAX(36,12*C85))</f>
        <v>112.77777777777777</v>
      </c>
      <c r="BT85" s="150"/>
      <c r="BU85" s="150">
        <f t="shared" si="63"/>
        <v>215.55555555555554</v>
      </c>
      <c r="BW85" s="522">
        <f t="shared" si="64"/>
        <v>217.55555555555554</v>
      </c>
      <c r="BY85" s="527">
        <f t="shared" si="65"/>
        <v>810.22222222222229</v>
      </c>
      <c r="BZ85" s="181">
        <f t="shared" si="66"/>
        <v>0.78832432432432431</v>
      </c>
      <c r="CA85" s="520" t="b">
        <f t="shared" si="67"/>
        <v>0</v>
      </c>
    </row>
    <row r="86" spans="1:79" s="151" customFormat="1">
      <c r="A86" s="151" t="str">
        <f t="shared" si="60"/>
        <v>1EoKPremiumRegionaal8</v>
      </c>
      <c r="B86" s="520" t="str">
        <f t="shared" si="45"/>
        <v>1EoKPremiumRegionaal8</v>
      </c>
      <c r="C86" s="179">
        <v>1</v>
      </c>
      <c r="D86" s="179" t="s">
        <v>303</v>
      </c>
      <c r="E86" s="178" t="s">
        <v>267</v>
      </c>
      <c r="F86" s="178" t="s">
        <v>265</v>
      </c>
      <c r="G86" s="185" t="s">
        <v>411</v>
      </c>
      <c r="J86" s="520" t="str">
        <f t="shared" si="46"/>
        <v>PremiumRegionaal8</v>
      </c>
      <c r="L86" s="204">
        <f>INDEX(Mapping!$H:$H,MATCH(C$3&amp;C86,Mapping!$B:$B,0))</f>
        <v>1</v>
      </c>
      <c r="M86" s="204" t="str">
        <f>INDEX(Mapping!$H:$H,MATCH(D$3&amp;$D86,Mapping!$B:$B,0))</f>
        <v>EoK</v>
      </c>
      <c r="N86" s="204" t="str">
        <f>INDEX(Mapping!$H:$H,MATCH(E$3&amp;E86,Mapping!$B:$B,0))</f>
        <v>Premium</v>
      </c>
      <c r="O86" s="204" t="str">
        <f>INDEX(Mapping!$H:$H,MATCH(F$3&amp;F86,Mapping!$B:$B,0))</f>
        <v>Metro</v>
      </c>
      <c r="P86" s="204">
        <f>INDEX(Mapping!$H:$H,MATCH(G$3&amp;G86,Mapping!$B:$B,0))</f>
        <v>8</v>
      </c>
      <c r="Q86" s="204" t="str">
        <f>INDEX(Mapping!$H:$H,MATCH(Q$3&amp;$F86,Mapping!$B:$B,0))</f>
        <v>Metro - Nationaal</v>
      </c>
      <c r="R86" s="204" t="str">
        <f>INDEX(Mapping!$H:$H,MATCH("ZM VPN Service Level"&amp;E86,Mapping!$B:$B,0))</f>
        <v>Advanced</v>
      </c>
      <c r="S86" s="139" t="b">
        <f>IF($D86="EoK",INDEX(Mapping!$I:$I,MATCH($G$3&amp;$G86,Mapping!B:B,0)),FALSE)</f>
        <v>0</v>
      </c>
      <c r="T86" s="139"/>
      <c r="U86" s="520" t="str">
        <f t="shared" si="47"/>
        <v>PremiumMetro8</v>
      </c>
      <c r="W86" s="521">
        <f>MATCH($J86,'Tarieven ZM'!$B:$B,0)</f>
        <v>90</v>
      </c>
      <c r="X86" s="204">
        <f>INDEX('Tarieven ZM'!$H:$H,$W86)</f>
        <v>1000</v>
      </c>
      <c r="Y86" s="198">
        <f>-INDEX(Parameters!$B:$B,MATCH(Y$3&amp;$C86,Parameters!$A:$A,0))*$X86</f>
        <v>0</v>
      </c>
      <c r="Z86" s="198">
        <f>-INDEX(Parameters!$B:$B,MATCH(Z$3&amp;$C86,Parameters!$A:$A,0))*$X86</f>
        <v>0</v>
      </c>
      <c r="AA86" s="139">
        <f t="shared" si="49"/>
        <v>1000</v>
      </c>
      <c r="AB86" s="205">
        <f>AA86/INDEX(Parameters!$B:$B,MATCH("AfschrijftermijnVVE"&amp;12*$C86,Parameters!$A:$A,0))</f>
        <v>27.777777777777779</v>
      </c>
      <c r="AC86" s="204">
        <f>INDEX('Tarieven ZM'!$G:$G,$W86)</f>
        <v>1000</v>
      </c>
      <c r="AD86" s="198">
        <f>-INDEX(Parameters!$B:$B,MATCH(AD$3&amp;$C86,Parameters!$A:$A,0))*$AC86</f>
        <v>0</v>
      </c>
      <c r="AE86" s="198">
        <f>-INDEX(Parameters!$B:$B,MATCH(AE$3,Parameters!$A:$A,0))*$AC86</f>
        <v>0</v>
      </c>
      <c r="AF86" s="139">
        <f t="shared" si="50"/>
        <v>1000</v>
      </c>
      <c r="AG86" s="522">
        <f t="shared" si="51"/>
        <v>1027.7777777777778</v>
      </c>
      <c r="AH86" s="175"/>
      <c r="AI86" s="523">
        <f>MATCH($U86,'Tarieven W&amp;O'!$B:$B,0)</f>
        <v>63</v>
      </c>
      <c r="AJ86" s="204">
        <f>IF(AI86&lt;&gt;"nvt",INDEX('Tarieven W&amp;O'!$H:$H,$AI86),0)</f>
        <v>0</v>
      </c>
      <c r="AK86" s="204">
        <f>IF(AI86&lt;&gt;"nvt",INDEX('Tarieven W&amp;O'!$I:$I,$AI86),0)</f>
        <v>25</v>
      </c>
      <c r="AL86" s="524">
        <f>IF(AI86&lt;&gt;"nvt",-INDEX(Parameters!$B:$B,MATCH(AL$3,Parameters!$A:$A,0))*(AJ86+AK86),0)</f>
        <v>0</v>
      </c>
      <c r="AM86" s="525"/>
      <c r="AN86" s="139">
        <f t="shared" si="52"/>
        <v>25</v>
      </c>
      <c r="AO86" s="205">
        <f>AN86/INDEX(Parameters!$B:$B,MATCH("AfschrijftermijnVVE"&amp;12*$C86,Parameters!$A:$A,0))</f>
        <v>0.69444444444444442</v>
      </c>
      <c r="AP86" s="139">
        <f t="shared" si="53"/>
        <v>63</v>
      </c>
      <c r="AQ86" s="526">
        <f>IF(AP86&lt;&gt;"nvt",INDEX('Tarieven W&amp;O'!$G:$G,$AP86),0)</f>
        <v>54.24</v>
      </c>
      <c r="AR86" s="251">
        <f>IF($S86,INDEX('Tarieven W&amp;O'!$G:$G,MATCH(N86&amp;R86,'Tarieven W&amp;O'!$B:$B,0)),0)</f>
        <v>0</v>
      </c>
      <c r="AS86" s="205">
        <f>-INDEX(Parameters!$B:$B,MATCH(AS$3,Parameters!$A:$A,0))*(AQ86+AR86)</f>
        <v>0</v>
      </c>
      <c r="AT86" s="205">
        <f>INDEX(hulpblad!$E:$E,MATCH(M86&amp;Q86,hulpblad!$B:$B,0))</f>
        <v>2</v>
      </c>
      <c r="AU86" s="150">
        <f t="shared" si="56"/>
        <v>56.24</v>
      </c>
      <c r="AV86" s="150">
        <f t="shared" si="57"/>
        <v>56.934444444444445</v>
      </c>
      <c r="AX86" s="526">
        <f>Parameters!$B$6*AV86</f>
        <v>0.56934444444444443</v>
      </c>
      <c r="AY86" s="150">
        <v>0</v>
      </c>
      <c r="AZ86" s="150"/>
      <c r="BA86" s="150">
        <f t="shared" si="54"/>
        <v>0.56934444444444443</v>
      </c>
      <c r="BB86" s="150"/>
      <c r="BC86" s="522">
        <f t="shared" si="55"/>
        <v>57.503788888888892</v>
      </c>
      <c r="BD86" s="175"/>
      <c r="BE86" s="527">
        <f t="shared" si="58"/>
        <v>970.27398888888888</v>
      </c>
      <c r="BF86" s="181">
        <f t="shared" si="59"/>
        <v>0.94405036756756755</v>
      </c>
      <c r="BG86" s="520" t="b">
        <f t="shared" si="48"/>
        <v>0</v>
      </c>
      <c r="BI86" s="528" t="s">
        <v>2181</v>
      </c>
      <c r="BL86" s="151" t="str">
        <f t="shared" si="61"/>
        <v>EoKMetro - Nationaal</v>
      </c>
      <c r="BM86" s="529">
        <v>0</v>
      </c>
      <c r="BN86" s="180">
        <f>BM86/INDEX(Parameters!$B:$B,MATCH("AfschrijftermijnVVE"&amp;12*$C86,Parameters!$A:$A,0))</f>
        <v>0</v>
      </c>
      <c r="BO86" s="184">
        <f>INDEX('inkoop ULL tbv EVPN'!I:I,MATCH(BL86,'inkoop ULL tbv EVPN'!H:H,0))</f>
        <v>2</v>
      </c>
      <c r="BP86" s="184">
        <f t="shared" si="62"/>
        <v>2</v>
      </c>
      <c r="BR86" s="180">
        <f>Parameters!$B$12*AG86</f>
        <v>102.77777777777779</v>
      </c>
      <c r="BS86" s="180">
        <f>SUM(Distributievergoedingen!$F$12,Distributievergoedingen!$I$12,Distributievergoedingen!$L$12,Distributievergoedingen!$O$12)*AF86+SUM(Distributievergoedingen!$O$12*AA86+Distributievergoedingen!$R$12+Distributievergoedingen!$U$12+Distributievergoedingen!$X$12)/(MAX(36,12*C86))</f>
        <v>112.77777777777777</v>
      </c>
      <c r="BT86" s="150"/>
      <c r="BU86" s="150">
        <f t="shared" si="63"/>
        <v>215.55555555555554</v>
      </c>
      <c r="BW86" s="522">
        <f t="shared" si="64"/>
        <v>217.55555555555554</v>
      </c>
      <c r="BY86" s="527">
        <f t="shared" si="65"/>
        <v>810.22222222222229</v>
      </c>
      <c r="BZ86" s="181">
        <f t="shared" si="66"/>
        <v>0.78832432432432431</v>
      </c>
      <c r="CA86" s="520" t="b">
        <f t="shared" si="67"/>
        <v>0</v>
      </c>
    </row>
    <row r="87" spans="1:79" s="151" customFormat="1">
      <c r="A87" s="151" t="str">
        <f t="shared" si="60"/>
        <v>1EoKPremiumRegionaal10</v>
      </c>
      <c r="B87" s="520" t="str">
        <f t="shared" si="45"/>
        <v>1EoKPremiumRegionaal10</v>
      </c>
      <c r="C87" s="179">
        <v>1</v>
      </c>
      <c r="D87" s="179" t="s">
        <v>303</v>
      </c>
      <c r="E87" s="178" t="s">
        <v>267</v>
      </c>
      <c r="F87" s="178" t="s">
        <v>265</v>
      </c>
      <c r="G87" s="185" t="s">
        <v>412</v>
      </c>
      <c r="J87" s="520" t="str">
        <f t="shared" si="46"/>
        <v>PremiumRegionaal10</v>
      </c>
      <c r="L87" s="204">
        <f>INDEX(Mapping!$H:$H,MATCH(C$3&amp;C87,Mapping!$B:$B,0))</f>
        <v>1</v>
      </c>
      <c r="M87" s="204" t="str">
        <f>INDEX(Mapping!$H:$H,MATCH(D$3&amp;$D87,Mapping!$B:$B,0))</f>
        <v>EoK</v>
      </c>
      <c r="N87" s="204" t="str">
        <f>INDEX(Mapping!$H:$H,MATCH(E$3&amp;E87,Mapping!$B:$B,0))</f>
        <v>Premium</v>
      </c>
      <c r="O87" s="204" t="str">
        <f>INDEX(Mapping!$H:$H,MATCH(F$3&amp;F87,Mapping!$B:$B,0))</f>
        <v>Metro</v>
      </c>
      <c r="P87" s="204">
        <f>INDEX(Mapping!$H:$H,MATCH(G$3&amp;G87,Mapping!$B:$B,0))</f>
        <v>10</v>
      </c>
      <c r="Q87" s="204" t="str">
        <f>INDEX(Mapping!$H:$H,MATCH(Q$3&amp;$F87,Mapping!$B:$B,0))</f>
        <v>Metro - Nationaal</v>
      </c>
      <c r="R87" s="204" t="str">
        <f>INDEX(Mapping!$H:$H,MATCH("ZM VPN Service Level"&amp;E87,Mapping!$B:$B,0))</f>
        <v>Advanced</v>
      </c>
      <c r="S87" s="139" t="b">
        <f>IF($D87="EoK",INDEX(Mapping!$I:$I,MATCH($G$3&amp;$G87,Mapping!B:B,0)),FALSE)</f>
        <v>0</v>
      </c>
      <c r="T87" s="139"/>
      <c r="U87" s="520" t="str">
        <f t="shared" si="47"/>
        <v>PremiumMetro10</v>
      </c>
      <c r="W87" s="521">
        <f>MATCH($J87,'Tarieven ZM'!$B:$B,0)</f>
        <v>91</v>
      </c>
      <c r="X87" s="204">
        <f>INDEX('Tarieven ZM'!$H:$H,$W87)</f>
        <v>1000</v>
      </c>
      <c r="Y87" s="198">
        <f>-INDEX(Parameters!$B:$B,MATCH(Y$3&amp;$C87,Parameters!$A:$A,0))*$X87</f>
        <v>0</v>
      </c>
      <c r="Z87" s="198">
        <f>-INDEX(Parameters!$B:$B,MATCH(Z$3&amp;$C87,Parameters!$A:$A,0))*$X87</f>
        <v>0</v>
      </c>
      <c r="AA87" s="139">
        <f t="shared" si="49"/>
        <v>1000</v>
      </c>
      <c r="AB87" s="205">
        <f>AA87/INDEX(Parameters!$B:$B,MATCH("AfschrijftermijnVVE"&amp;12*$C87,Parameters!$A:$A,0))</f>
        <v>27.777777777777779</v>
      </c>
      <c r="AC87" s="204">
        <f>INDEX('Tarieven ZM'!$G:$G,$W87)</f>
        <v>1000</v>
      </c>
      <c r="AD87" s="198">
        <f>-INDEX(Parameters!$B:$B,MATCH(AD$3&amp;$C87,Parameters!$A:$A,0))*$AC87</f>
        <v>0</v>
      </c>
      <c r="AE87" s="198">
        <f>-INDEX(Parameters!$B:$B,MATCH(AE$3,Parameters!$A:$A,0))*$AC87</f>
        <v>0</v>
      </c>
      <c r="AF87" s="139">
        <f t="shared" si="50"/>
        <v>1000</v>
      </c>
      <c r="AG87" s="522">
        <f t="shared" si="51"/>
        <v>1027.7777777777778</v>
      </c>
      <c r="AH87" s="175"/>
      <c r="AI87" s="523">
        <f>MATCH($U87,'Tarieven W&amp;O'!$B:$B,0)</f>
        <v>64</v>
      </c>
      <c r="AJ87" s="204">
        <f>IF(AI87&lt;&gt;"nvt",INDEX('Tarieven W&amp;O'!$H:$H,$AI87),0)</f>
        <v>0</v>
      </c>
      <c r="AK87" s="204">
        <f>IF(AI87&lt;&gt;"nvt",INDEX('Tarieven W&amp;O'!$I:$I,$AI87),0)</f>
        <v>25</v>
      </c>
      <c r="AL87" s="524">
        <f>IF(AI87&lt;&gt;"nvt",-INDEX(Parameters!$B:$B,MATCH(AL$3,Parameters!$A:$A,0))*(AJ87+AK87),0)</f>
        <v>0</v>
      </c>
      <c r="AM87" s="525"/>
      <c r="AN87" s="139">
        <f t="shared" si="52"/>
        <v>25</v>
      </c>
      <c r="AO87" s="205">
        <f>AN87/INDEX(Parameters!$B:$B,MATCH("AfschrijftermijnVVE"&amp;12*$C87,Parameters!$A:$A,0))</f>
        <v>0.69444444444444442</v>
      </c>
      <c r="AP87" s="139">
        <f t="shared" si="53"/>
        <v>64</v>
      </c>
      <c r="AQ87" s="526">
        <f>IF(AP87&lt;&gt;"nvt",INDEX('Tarieven W&amp;O'!$G:$G,$AP87),0)</f>
        <v>58.01</v>
      </c>
      <c r="AR87" s="251">
        <f>IF($S87,INDEX('Tarieven W&amp;O'!$G:$G,MATCH(N87&amp;R87,'Tarieven W&amp;O'!$B:$B,0)),0)</f>
        <v>0</v>
      </c>
      <c r="AS87" s="205">
        <f>-INDEX(Parameters!$B:$B,MATCH(AS$3,Parameters!$A:$A,0))*(AQ87+AR87)</f>
        <v>0</v>
      </c>
      <c r="AT87" s="205">
        <f>INDEX(hulpblad!$E:$E,MATCH(M87&amp;Q87,hulpblad!$B:$B,0))</f>
        <v>2</v>
      </c>
      <c r="AU87" s="150">
        <f t="shared" si="56"/>
        <v>60.01</v>
      </c>
      <c r="AV87" s="150">
        <f t="shared" si="57"/>
        <v>60.704444444444441</v>
      </c>
      <c r="AX87" s="526">
        <f>Parameters!$B$6*AV87</f>
        <v>0.60704444444444439</v>
      </c>
      <c r="AY87" s="150">
        <v>0</v>
      </c>
      <c r="AZ87" s="150"/>
      <c r="BA87" s="150">
        <f t="shared" si="54"/>
        <v>0.60704444444444439</v>
      </c>
      <c r="BB87" s="150"/>
      <c r="BC87" s="522">
        <f t="shared" si="55"/>
        <v>61.311488888888888</v>
      </c>
      <c r="BD87" s="175"/>
      <c r="BE87" s="527">
        <f t="shared" si="58"/>
        <v>966.46628888888893</v>
      </c>
      <c r="BF87" s="181">
        <f t="shared" si="59"/>
        <v>0.9403455783783784</v>
      </c>
      <c r="BG87" s="520" t="b">
        <f t="shared" si="48"/>
        <v>0</v>
      </c>
      <c r="BI87" s="528" t="s">
        <v>2181</v>
      </c>
      <c r="BL87" s="151" t="str">
        <f t="shared" si="61"/>
        <v>EoKMetro - Nationaal</v>
      </c>
      <c r="BM87" s="529">
        <v>0</v>
      </c>
      <c r="BN87" s="180">
        <f>BM87/INDEX(Parameters!$B:$B,MATCH("AfschrijftermijnVVE"&amp;12*$C87,Parameters!$A:$A,0))</f>
        <v>0</v>
      </c>
      <c r="BO87" s="184">
        <f>INDEX('inkoop ULL tbv EVPN'!I:I,MATCH(BL87,'inkoop ULL tbv EVPN'!H:H,0))</f>
        <v>2</v>
      </c>
      <c r="BP87" s="184">
        <f t="shared" si="62"/>
        <v>2</v>
      </c>
      <c r="BR87" s="180">
        <f>Parameters!$B$12*AG87</f>
        <v>102.77777777777779</v>
      </c>
      <c r="BS87" s="180">
        <f>SUM(Distributievergoedingen!$F$12,Distributievergoedingen!$I$12,Distributievergoedingen!$L$12,Distributievergoedingen!$O$12)*AF87+SUM(Distributievergoedingen!$O$12*AA87+Distributievergoedingen!$R$12+Distributievergoedingen!$U$12+Distributievergoedingen!$X$12)/(MAX(36,12*C87))</f>
        <v>112.77777777777777</v>
      </c>
      <c r="BT87" s="150"/>
      <c r="BU87" s="150">
        <f t="shared" si="63"/>
        <v>215.55555555555554</v>
      </c>
      <c r="BW87" s="522">
        <f t="shared" si="64"/>
        <v>217.55555555555554</v>
      </c>
      <c r="BY87" s="527">
        <f t="shared" si="65"/>
        <v>810.22222222222229</v>
      </c>
      <c r="BZ87" s="181">
        <f t="shared" si="66"/>
        <v>0.78832432432432431</v>
      </c>
      <c r="CA87" s="520" t="b">
        <f t="shared" si="67"/>
        <v>0</v>
      </c>
    </row>
    <row r="88" spans="1:79" s="151" customFormat="1">
      <c r="A88" s="151" t="str">
        <f t="shared" si="60"/>
        <v>1EoKPremiumRegionaal15</v>
      </c>
      <c r="B88" s="520" t="str">
        <f t="shared" si="45"/>
        <v>1EoKPremiumRegionaal15</v>
      </c>
      <c r="C88" s="179">
        <v>1</v>
      </c>
      <c r="D88" s="179" t="s">
        <v>303</v>
      </c>
      <c r="E88" s="178" t="s">
        <v>267</v>
      </c>
      <c r="F88" s="178" t="s">
        <v>265</v>
      </c>
      <c r="G88" s="185" t="s">
        <v>413</v>
      </c>
      <c r="J88" s="520" t="str">
        <f t="shared" si="46"/>
        <v>PremiumRegionaal15</v>
      </c>
      <c r="L88" s="204">
        <f>INDEX(Mapping!$H:$H,MATCH(C$3&amp;C88,Mapping!$B:$B,0))</f>
        <v>1</v>
      </c>
      <c r="M88" s="204" t="str">
        <f>INDEX(Mapping!$H:$H,MATCH(D$3&amp;$D88,Mapping!$B:$B,0))</f>
        <v>EoK</v>
      </c>
      <c r="N88" s="204" t="str">
        <f>INDEX(Mapping!$H:$H,MATCH(E$3&amp;E88,Mapping!$B:$B,0))</f>
        <v>Premium</v>
      </c>
      <c r="O88" s="204" t="str">
        <f>INDEX(Mapping!$H:$H,MATCH(F$3&amp;F88,Mapping!$B:$B,0))</f>
        <v>Metro</v>
      </c>
      <c r="P88" s="204">
        <f>INDEX(Mapping!$H:$H,MATCH(G$3&amp;G88,Mapping!$B:$B,0))</f>
        <v>15</v>
      </c>
      <c r="Q88" s="204" t="str">
        <f>INDEX(Mapping!$H:$H,MATCH(Q$3&amp;$F88,Mapping!$B:$B,0))</f>
        <v>Metro - Nationaal</v>
      </c>
      <c r="R88" s="204" t="str">
        <f>INDEX(Mapping!$H:$H,MATCH("ZM VPN Service Level"&amp;E88,Mapping!$B:$B,0))</f>
        <v>Advanced</v>
      </c>
      <c r="S88" s="139" t="b">
        <f>IF($D88="EoK",INDEX(Mapping!$I:$I,MATCH($G$3&amp;$G88,Mapping!B:B,0)),FALSE)</f>
        <v>0</v>
      </c>
      <c r="T88" s="139"/>
      <c r="U88" s="520" t="str">
        <f t="shared" si="47"/>
        <v>PremiumMetro15</v>
      </c>
      <c r="W88" s="521">
        <f>MATCH($J88,'Tarieven ZM'!$B:$B,0)</f>
        <v>92</v>
      </c>
      <c r="X88" s="204">
        <f>INDEX('Tarieven ZM'!$H:$H,$W88)</f>
        <v>1000</v>
      </c>
      <c r="Y88" s="198">
        <f>-INDEX(Parameters!$B:$B,MATCH(Y$3&amp;$C88,Parameters!$A:$A,0))*$X88</f>
        <v>0</v>
      </c>
      <c r="Z88" s="198">
        <f>-INDEX(Parameters!$B:$B,MATCH(Z$3&amp;$C88,Parameters!$A:$A,0))*$X88</f>
        <v>0</v>
      </c>
      <c r="AA88" s="139">
        <f t="shared" si="49"/>
        <v>1000</v>
      </c>
      <c r="AB88" s="205">
        <f>AA88/INDEX(Parameters!$B:$B,MATCH("AfschrijftermijnVVE"&amp;12*$C88,Parameters!$A:$A,0))</f>
        <v>27.777777777777779</v>
      </c>
      <c r="AC88" s="204">
        <f>INDEX('Tarieven ZM'!$G:$G,$W88)</f>
        <v>1000</v>
      </c>
      <c r="AD88" s="198">
        <f>-INDEX(Parameters!$B:$B,MATCH(AD$3&amp;$C88,Parameters!$A:$A,0))*$AC88</f>
        <v>0</v>
      </c>
      <c r="AE88" s="198">
        <f>-INDEX(Parameters!$B:$B,MATCH(AE$3,Parameters!$A:$A,0))*$AC88</f>
        <v>0</v>
      </c>
      <c r="AF88" s="139">
        <f t="shared" si="50"/>
        <v>1000</v>
      </c>
      <c r="AG88" s="522">
        <f t="shared" si="51"/>
        <v>1027.7777777777778</v>
      </c>
      <c r="AH88" s="175"/>
      <c r="AI88" s="523">
        <f>MATCH($U88,'Tarieven W&amp;O'!$B:$B,0)</f>
        <v>65</v>
      </c>
      <c r="AJ88" s="204">
        <f>IF(AI88&lt;&gt;"nvt",INDEX('Tarieven W&amp;O'!$H:$H,$AI88),0)</f>
        <v>0</v>
      </c>
      <c r="AK88" s="204">
        <f>IF(AI88&lt;&gt;"nvt",INDEX('Tarieven W&amp;O'!$I:$I,$AI88),0)</f>
        <v>25</v>
      </c>
      <c r="AL88" s="524">
        <f>IF(AI88&lt;&gt;"nvt",-INDEX(Parameters!$B:$B,MATCH(AL$3,Parameters!$A:$A,0))*(AJ88+AK88),0)</f>
        <v>0</v>
      </c>
      <c r="AM88" s="525"/>
      <c r="AN88" s="139">
        <f t="shared" si="52"/>
        <v>25</v>
      </c>
      <c r="AO88" s="205">
        <f>AN88/INDEX(Parameters!$B:$B,MATCH("AfschrijftermijnVVE"&amp;12*$C88,Parameters!$A:$A,0))</f>
        <v>0.69444444444444442</v>
      </c>
      <c r="AP88" s="139">
        <f t="shared" si="53"/>
        <v>65</v>
      </c>
      <c r="AQ88" s="526">
        <f>IF(AP88&lt;&gt;"nvt",INDEX('Tarieven W&amp;O'!$G:$G,$AP88),0)</f>
        <v>80.63</v>
      </c>
      <c r="AR88" s="251">
        <f>IF($S88,INDEX('Tarieven W&amp;O'!$G:$G,MATCH(N88&amp;R88,'Tarieven W&amp;O'!$B:$B,0)),0)</f>
        <v>0</v>
      </c>
      <c r="AS88" s="205">
        <f>-INDEX(Parameters!$B:$B,MATCH(AS$3,Parameters!$A:$A,0))*(AQ88+AR88)</f>
        <v>0</v>
      </c>
      <c r="AT88" s="205">
        <f>INDEX(hulpblad!$E:$E,MATCH(M88&amp;Q88,hulpblad!$B:$B,0))</f>
        <v>2</v>
      </c>
      <c r="AU88" s="150">
        <f t="shared" si="56"/>
        <v>82.63</v>
      </c>
      <c r="AV88" s="150">
        <f t="shared" si="57"/>
        <v>83.324444444444438</v>
      </c>
      <c r="AX88" s="526">
        <f>Parameters!$B$6*AV88</f>
        <v>0.83324444444444445</v>
      </c>
      <c r="AY88" s="150">
        <v>0</v>
      </c>
      <c r="AZ88" s="150"/>
      <c r="BA88" s="150">
        <f t="shared" si="54"/>
        <v>0.83324444444444445</v>
      </c>
      <c r="BB88" s="150"/>
      <c r="BC88" s="522">
        <f t="shared" si="55"/>
        <v>84.157688888888885</v>
      </c>
      <c r="BD88" s="175"/>
      <c r="BE88" s="527">
        <f t="shared" si="58"/>
        <v>943.62008888888897</v>
      </c>
      <c r="BF88" s="181">
        <f t="shared" si="59"/>
        <v>0.91811684324324327</v>
      </c>
      <c r="BG88" s="520" t="b">
        <f t="shared" si="48"/>
        <v>0</v>
      </c>
      <c r="BI88" s="528" t="s">
        <v>2181</v>
      </c>
      <c r="BL88" s="151" t="str">
        <f t="shared" si="61"/>
        <v>EoKMetro - Nationaal</v>
      </c>
      <c r="BM88" s="529">
        <v>0</v>
      </c>
      <c r="BN88" s="180">
        <f>BM88/INDEX(Parameters!$B:$B,MATCH("AfschrijftermijnVVE"&amp;12*$C88,Parameters!$A:$A,0))</f>
        <v>0</v>
      </c>
      <c r="BO88" s="184">
        <f>INDEX('inkoop ULL tbv EVPN'!I:I,MATCH(BL88,'inkoop ULL tbv EVPN'!H:H,0))</f>
        <v>2</v>
      </c>
      <c r="BP88" s="184">
        <f t="shared" si="62"/>
        <v>2</v>
      </c>
      <c r="BR88" s="180">
        <f>Parameters!$B$12*AG88</f>
        <v>102.77777777777779</v>
      </c>
      <c r="BS88" s="180">
        <f>SUM(Distributievergoedingen!$F$12,Distributievergoedingen!$I$12,Distributievergoedingen!$L$12,Distributievergoedingen!$O$12)*AF88+SUM(Distributievergoedingen!$O$12*AA88+Distributievergoedingen!$R$12+Distributievergoedingen!$U$12+Distributievergoedingen!$X$12)/(MAX(36,12*C88))</f>
        <v>112.77777777777777</v>
      </c>
      <c r="BT88" s="150"/>
      <c r="BU88" s="150">
        <f t="shared" si="63"/>
        <v>215.55555555555554</v>
      </c>
      <c r="BW88" s="522">
        <f t="shared" si="64"/>
        <v>217.55555555555554</v>
      </c>
      <c r="BY88" s="527">
        <f t="shared" si="65"/>
        <v>810.22222222222229</v>
      </c>
      <c r="BZ88" s="181">
        <f t="shared" si="66"/>
        <v>0.78832432432432431</v>
      </c>
      <c r="CA88" s="520" t="b">
        <f t="shared" si="67"/>
        <v>0</v>
      </c>
    </row>
    <row r="89" spans="1:79" s="151" customFormat="1">
      <c r="A89" s="151" t="str">
        <f t="shared" si="60"/>
        <v>1EoKPremiumRegionaal20</v>
      </c>
      <c r="B89" s="520" t="str">
        <f t="shared" si="45"/>
        <v>1EoKPremiumRegionaal20</v>
      </c>
      <c r="C89" s="179">
        <v>1</v>
      </c>
      <c r="D89" s="179" t="s">
        <v>303</v>
      </c>
      <c r="E89" s="178" t="s">
        <v>267</v>
      </c>
      <c r="F89" s="178" t="s">
        <v>265</v>
      </c>
      <c r="G89" s="185" t="s">
        <v>414</v>
      </c>
      <c r="J89" s="520" t="str">
        <f t="shared" si="46"/>
        <v>PremiumRegionaal20</v>
      </c>
      <c r="L89" s="204">
        <f>INDEX(Mapping!$H:$H,MATCH(C$3&amp;C89,Mapping!$B:$B,0))</f>
        <v>1</v>
      </c>
      <c r="M89" s="204" t="str">
        <f>INDEX(Mapping!$H:$H,MATCH(D$3&amp;$D89,Mapping!$B:$B,0))</f>
        <v>EoK</v>
      </c>
      <c r="N89" s="204" t="str">
        <f>INDEX(Mapping!$H:$H,MATCH(E$3&amp;E89,Mapping!$B:$B,0))</f>
        <v>Premium</v>
      </c>
      <c r="O89" s="204" t="str">
        <f>INDEX(Mapping!$H:$H,MATCH(F$3&amp;F89,Mapping!$B:$B,0))</f>
        <v>Metro</v>
      </c>
      <c r="P89" s="204">
        <f>INDEX(Mapping!$H:$H,MATCH(G$3&amp;G89,Mapping!$B:$B,0))</f>
        <v>20</v>
      </c>
      <c r="Q89" s="204" t="str">
        <f>INDEX(Mapping!$H:$H,MATCH(Q$3&amp;$F89,Mapping!$B:$B,0))</f>
        <v>Metro - Nationaal</v>
      </c>
      <c r="R89" s="204" t="str">
        <f>INDEX(Mapping!$H:$H,MATCH("ZM VPN Service Level"&amp;E89,Mapping!$B:$B,0))</f>
        <v>Advanced</v>
      </c>
      <c r="S89" s="139" t="b">
        <f>IF($D89="EoK",INDEX(Mapping!$I:$I,MATCH($G$3&amp;$G89,Mapping!B:B,0)),FALSE)</f>
        <v>0</v>
      </c>
      <c r="T89" s="139"/>
      <c r="U89" s="520" t="str">
        <f t="shared" si="47"/>
        <v>PremiumMetro20</v>
      </c>
      <c r="W89" s="521">
        <f>MATCH($J89,'Tarieven ZM'!$B:$B,0)</f>
        <v>93</v>
      </c>
      <c r="X89" s="204">
        <f>INDEX('Tarieven ZM'!$H:$H,$W89)</f>
        <v>1000</v>
      </c>
      <c r="Y89" s="198">
        <f>-INDEX(Parameters!$B:$B,MATCH(Y$3&amp;$C89,Parameters!$A:$A,0))*$X89</f>
        <v>0</v>
      </c>
      <c r="Z89" s="198">
        <f>-INDEX(Parameters!$B:$B,MATCH(Z$3&amp;$C89,Parameters!$A:$A,0))*$X89</f>
        <v>0</v>
      </c>
      <c r="AA89" s="139">
        <f t="shared" si="49"/>
        <v>1000</v>
      </c>
      <c r="AB89" s="205">
        <f>AA89/INDEX(Parameters!$B:$B,MATCH("AfschrijftermijnVVE"&amp;12*$C89,Parameters!$A:$A,0))</f>
        <v>27.777777777777779</v>
      </c>
      <c r="AC89" s="204">
        <f>INDEX('Tarieven ZM'!$G:$G,$W89)</f>
        <v>1000</v>
      </c>
      <c r="AD89" s="198">
        <f>-INDEX(Parameters!$B:$B,MATCH(AD$3&amp;$C89,Parameters!$A:$A,0))*$AC89</f>
        <v>0</v>
      </c>
      <c r="AE89" s="198">
        <f>-INDEX(Parameters!$B:$B,MATCH(AE$3,Parameters!$A:$A,0))*$AC89</f>
        <v>0</v>
      </c>
      <c r="AF89" s="139">
        <f t="shared" si="50"/>
        <v>1000</v>
      </c>
      <c r="AG89" s="522">
        <f t="shared" si="51"/>
        <v>1027.7777777777778</v>
      </c>
      <c r="AH89" s="175"/>
      <c r="AI89" s="523">
        <f>MATCH($U89,'Tarieven W&amp;O'!$B:$B,0)</f>
        <v>66</v>
      </c>
      <c r="AJ89" s="204">
        <f>IF(AI89&lt;&gt;"nvt",INDEX('Tarieven W&amp;O'!$H:$H,$AI89),0)</f>
        <v>0</v>
      </c>
      <c r="AK89" s="204">
        <f>IF(AI89&lt;&gt;"nvt",INDEX('Tarieven W&amp;O'!$I:$I,$AI89),0)</f>
        <v>25</v>
      </c>
      <c r="AL89" s="524">
        <f>IF(AI89&lt;&gt;"nvt",-INDEX(Parameters!$B:$B,MATCH(AL$3,Parameters!$A:$A,0))*(AJ89+AK89),0)</f>
        <v>0</v>
      </c>
      <c r="AM89" s="525"/>
      <c r="AN89" s="139">
        <f t="shared" si="52"/>
        <v>25</v>
      </c>
      <c r="AO89" s="205">
        <f>AN89/INDEX(Parameters!$B:$B,MATCH("AfschrijftermijnVVE"&amp;12*$C89,Parameters!$A:$A,0))</f>
        <v>0.69444444444444442</v>
      </c>
      <c r="AP89" s="139">
        <f t="shared" si="53"/>
        <v>66</v>
      </c>
      <c r="AQ89" s="526">
        <f>IF(AP89&lt;&gt;"nvt",INDEX('Tarieven W&amp;O'!$G:$G,$AP89),0)</f>
        <v>88.17</v>
      </c>
      <c r="AR89" s="251">
        <f>IF($S89,INDEX('Tarieven W&amp;O'!$G:$G,MATCH(N89&amp;R89,'Tarieven W&amp;O'!$B:$B,0)),0)</f>
        <v>0</v>
      </c>
      <c r="AS89" s="205">
        <f>-INDEX(Parameters!$B:$B,MATCH(AS$3,Parameters!$A:$A,0))*(AQ89+AR89)</f>
        <v>0</v>
      </c>
      <c r="AT89" s="205">
        <f>INDEX(hulpblad!$E:$E,MATCH(M89&amp;Q89,hulpblad!$B:$B,0))</f>
        <v>2</v>
      </c>
      <c r="AU89" s="150">
        <f t="shared" si="56"/>
        <v>90.17</v>
      </c>
      <c r="AV89" s="150">
        <f t="shared" si="57"/>
        <v>90.864444444444445</v>
      </c>
      <c r="AX89" s="526">
        <f>Parameters!$B$6*AV89</f>
        <v>0.90864444444444448</v>
      </c>
      <c r="AY89" s="150">
        <v>0</v>
      </c>
      <c r="AZ89" s="150"/>
      <c r="BA89" s="150">
        <f t="shared" si="54"/>
        <v>0.90864444444444448</v>
      </c>
      <c r="BB89" s="150"/>
      <c r="BC89" s="522">
        <f t="shared" si="55"/>
        <v>91.773088888888893</v>
      </c>
      <c r="BD89" s="175"/>
      <c r="BE89" s="527">
        <f t="shared" si="58"/>
        <v>936.00468888888895</v>
      </c>
      <c r="BF89" s="181">
        <f t="shared" si="59"/>
        <v>0.91070726486486486</v>
      </c>
      <c r="BG89" s="520" t="b">
        <f t="shared" si="48"/>
        <v>0</v>
      </c>
      <c r="BI89" s="528" t="s">
        <v>2181</v>
      </c>
      <c r="BL89" s="151" t="str">
        <f t="shared" si="61"/>
        <v>EoKMetro - Nationaal</v>
      </c>
      <c r="BM89" s="529">
        <v>0</v>
      </c>
      <c r="BN89" s="180">
        <f>BM89/INDEX(Parameters!$B:$B,MATCH("AfschrijftermijnVVE"&amp;12*$C89,Parameters!$A:$A,0))</f>
        <v>0</v>
      </c>
      <c r="BO89" s="184">
        <f>INDEX('inkoop ULL tbv EVPN'!I:I,MATCH(BL89,'inkoop ULL tbv EVPN'!H:H,0))</f>
        <v>2</v>
      </c>
      <c r="BP89" s="184">
        <f t="shared" si="62"/>
        <v>2</v>
      </c>
      <c r="BR89" s="180">
        <f>Parameters!$B$12*AG89</f>
        <v>102.77777777777779</v>
      </c>
      <c r="BS89" s="180">
        <f>SUM(Distributievergoedingen!$F$12,Distributievergoedingen!$I$12,Distributievergoedingen!$L$12,Distributievergoedingen!$O$12)*AF89+SUM(Distributievergoedingen!$O$12*AA89+Distributievergoedingen!$R$12+Distributievergoedingen!$U$12+Distributievergoedingen!$X$12)/(MAX(36,12*C89))</f>
        <v>112.77777777777777</v>
      </c>
      <c r="BT89" s="150"/>
      <c r="BU89" s="150">
        <f t="shared" si="63"/>
        <v>215.55555555555554</v>
      </c>
      <c r="BW89" s="522">
        <f t="shared" si="64"/>
        <v>217.55555555555554</v>
      </c>
      <c r="BY89" s="527">
        <f t="shared" si="65"/>
        <v>810.22222222222229</v>
      </c>
      <c r="BZ89" s="181">
        <f t="shared" si="66"/>
        <v>0.78832432432432431</v>
      </c>
      <c r="CA89" s="520" t="b">
        <f t="shared" si="67"/>
        <v>0</v>
      </c>
    </row>
    <row r="90" spans="1:79" s="151" customFormat="1">
      <c r="A90" s="151" t="str">
        <f t="shared" si="60"/>
        <v>1EoKPremiumRegionaal30</v>
      </c>
      <c r="B90" s="520" t="str">
        <f t="shared" si="45"/>
        <v>1EoKPremiumRegionaal30</v>
      </c>
      <c r="C90" s="179">
        <v>1</v>
      </c>
      <c r="D90" s="179" t="s">
        <v>303</v>
      </c>
      <c r="E90" s="178" t="s">
        <v>267</v>
      </c>
      <c r="F90" s="178" t="s">
        <v>265</v>
      </c>
      <c r="G90" s="185" t="s">
        <v>415</v>
      </c>
      <c r="J90" s="520" t="str">
        <f t="shared" si="46"/>
        <v>PremiumRegionaal30</v>
      </c>
      <c r="L90" s="204">
        <f>INDEX(Mapping!$H:$H,MATCH(C$3&amp;C90,Mapping!$B:$B,0))</f>
        <v>1</v>
      </c>
      <c r="M90" s="204" t="str">
        <f>INDEX(Mapping!$H:$H,MATCH(D$3&amp;$D90,Mapping!$B:$B,0))</f>
        <v>EoK</v>
      </c>
      <c r="N90" s="204" t="str">
        <f>INDEX(Mapping!$H:$H,MATCH(E$3&amp;E90,Mapping!$B:$B,0))</f>
        <v>Premium</v>
      </c>
      <c r="O90" s="204" t="str">
        <f>INDEX(Mapping!$H:$H,MATCH(F$3&amp;F90,Mapping!$B:$B,0))</f>
        <v>Metro</v>
      </c>
      <c r="P90" s="204">
        <f>INDEX(Mapping!$H:$H,MATCH(G$3&amp;G90,Mapping!$B:$B,0))</f>
        <v>30</v>
      </c>
      <c r="Q90" s="204" t="str">
        <f>INDEX(Mapping!$H:$H,MATCH(Q$3&amp;$F90,Mapping!$B:$B,0))</f>
        <v>Metro - Nationaal</v>
      </c>
      <c r="R90" s="204" t="str">
        <f>INDEX(Mapping!$H:$H,MATCH("ZM VPN Service Level"&amp;E90,Mapping!$B:$B,0))</f>
        <v>Advanced</v>
      </c>
      <c r="S90" s="139" t="b">
        <f>IF($D90="EoK",INDEX(Mapping!$I:$I,MATCH($G$3&amp;$G90,Mapping!B:B,0)),FALSE)</f>
        <v>0</v>
      </c>
      <c r="T90" s="139"/>
      <c r="U90" s="520" t="str">
        <f t="shared" si="47"/>
        <v>PremiumMetro30</v>
      </c>
      <c r="W90" s="521">
        <f>MATCH($J90,'Tarieven ZM'!$B:$B,0)</f>
        <v>94</v>
      </c>
      <c r="X90" s="204">
        <f>INDEX('Tarieven ZM'!$H:$H,$W90)</f>
        <v>1000</v>
      </c>
      <c r="Y90" s="198">
        <f>-INDEX(Parameters!$B:$B,MATCH(Y$3&amp;$C90,Parameters!$A:$A,0))*$X90</f>
        <v>0</v>
      </c>
      <c r="Z90" s="198">
        <f>-INDEX(Parameters!$B:$B,MATCH(Z$3&amp;$C90,Parameters!$A:$A,0))*$X90</f>
        <v>0</v>
      </c>
      <c r="AA90" s="139">
        <f t="shared" si="49"/>
        <v>1000</v>
      </c>
      <c r="AB90" s="205">
        <f>AA90/INDEX(Parameters!$B:$B,MATCH("AfschrijftermijnVVE"&amp;12*$C90,Parameters!$A:$A,0))</f>
        <v>27.777777777777779</v>
      </c>
      <c r="AC90" s="204">
        <f>INDEX('Tarieven ZM'!$G:$G,$W90)</f>
        <v>1000</v>
      </c>
      <c r="AD90" s="198">
        <f>-INDEX(Parameters!$B:$B,MATCH(AD$3&amp;$C90,Parameters!$A:$A,0))*$AC90</f>
        <v>0</v>
      </c>
      <c r="AE90" s="198">
        <f>-INDEX(Parameters!$B:$B,MATCH(AE$3,Parameters!$A:$A,0))*$AC90</f>
        <v>0</v>
      </c>
      <c r="AF90" s="139">
        <f t="shared" si="50"/>
        <v>1000</v>
      </c>
      <c r="AG90" s="522">
        <f t="shared" si="51"/>
        <v>1027.7777777777778</v>
      </c>
      <c r="AH90" s="175"/>
      <c r="AI90" s="523">
        <f>MATCH($U90,'Tarieven W&amp;O'!$B:$B,0)</f>
        <v>67</v>
      </c>
      <c r="AJ90" s="204">
        <f>IF(AI90&lt;&gt;"nvt",INDEX('Tarieven W&amp;O'!$H:$H,$AI90),0)</f>
        <v>0</v>
      </c>
      <c r="AK90" s="204">
        <f>IF(AI90&lt;&gt;"nvt",INDEX('Tarieven W&amp;O'!$I:$I,$AI90),0)</f>
        <v>25</v>
      </c>
      <c r="AL90" s="524">
        <f>IF(AI90&lt;&gt;"nvt",-INDEX(Parameters!$B:$B,MATCH(AL$3,Parameters!$A:$A,0))*(AJ90+AK90),0)</f>
        <v>0</v>
      </c>
      <c r="AM90" s="525"/>
      <c r="AN90" s="139">
        <f t="shared" si="52"/>
        <v>25</v>
      </c>
      <c r="AO90" s="205">
        <f>AN90/INDEX(Parameters!$B:$B,MATCH("AfschrijftermijnVVE"&amp;12*$C90,Parameters!$A:$A,0))</f>
        <v>0.69444444444444442</v>
      </c>
      <c r="AP90" s="139">
        <f t="shared" si="53"/>
        <v>67</v>
      </c>
      <c r="AQ90" s="526">
        <f>IF(AP90&lt;&gt;"nvt",INDEX('Tarieven W&amp;O'!$G:$G,$AP90),0)</f>
        <v>110.78</v>
      </c>
      <c r="AR90" s="251">
        <f>IF($S90,INDEX('Tarieven W&amp;O'!$G:$G,MATCH(N90&amp;R90,'Tarieven W&amp;O'!$B:$B,0)),0)</f>
        <v>0</v>
      </c>
      <c r="AS90" s="205">
        <f>-INDEX(Parameters!$B:$B,MATCH(AS$3,Parameters!$A:$A,0))*(AQ90+AR90)</f>
        <v>0</v>
      </c>
      <c r="AT90" s="205">
        <f>INDEX(hulpblad!$E:$E,MATCH(M90&amp;Q90,hulpblad!$B:$B,0))</f>
        <v>2</v>
      </c>
      <c r="AU90" s="150">
        <f t="shared" si="56"/>
        <v>112.78</v>
      </c>
      <c r="AV90" s="150">
        <f t="shared" si="57"/>
        <v>113.47444444444444</v>
      </c>
      <c r="AX90" s="526">
        <f>Parameters!$B$6*AV90</f>
        <v>1.1347444444444446</v>
      </c>
      <c r="AY90" s="150">
        <v>0</v>
      </c>
      <c r="AZ90" s="150"/>
      <c r="BA90" s="150">
        <f t="shared" si="54"/>
        <v>1.1347444444444446</v>
      </c>
      <c r="BB90" s="150"/>
      <c r="BC90" s="522">
        <f t="shared" si="55"/>
        <v>114.60918888888889</v>
      </c>
      <c r="BD90" s="175"/>
      <c r="BE90" s="527">
        <f t="shared" si="58"/>
        <v>913.16858888888896</v>
      </c>
      <c r="BF90" s="181">
        <f t="shared" si="59"/>
        <v>0.88848835675675675</v>
      </c>
      <c r="BG90" s="520" t="b">
        <f t="shared" si="48"/>
        <v>0</v>
      </c>
      <c r="BI90" s="528" t="s">
        <v>2181</v>
      </c>
      <c r="BL90" s="151" t="str">
        <f t="shared" si="61"/>
        <v>EoKMetro - Nationaal</v>
      </c>
      <c r="BM90" s="529">
        <v>0</v>
      </c>
      <c r="BN90" s="180">
        <f>BM90/INDEX(Parameters!$B:$B,MATCH("AfschrijftermijnVVE"&amp;12*$C90,Parameters!$A:$A,0))</f>
        <v>0</v>
      </c>
      <c r="BO90" s="184">
        <f>INDEX('inkoop ULL tbv EVPN'!I:I,MATCH(BL90,'inkoop ULL tbv EVPN'!H:H,0))</f>
        <v>2</v>
      </c>
      <c r="BP90" s="184">
        <f t="shared" si="62"/>
        <v>2</v>
      </c>
      <c r="BR90" s="180">
        <f>Parameters!$B$12*AG90</f>
        <v>102.77777777777779</v>
      </c>
      <c r="BS90" s="180">
        <f>SUM(Distributievergoedingen!$F$12,Distributievergoedingen!$I$12,Distributievergoedingen!$L$12,Distributievergoedingen!$O$12)*AF90+SUM(Distributievergoedingen!$O$12*AA90+Distributievergoedingen!$R$12+Distributievergoedingen!$U$12+Distributievergoedingen!$X$12)/(MAX(36,12*C90))</f>
        <v>112.77777777777777</v>
      </c>
      <c r="BT90" s="150"/>
      <c r="BU90" s="150">
        <f t="shared" si="63"/>
        <v>215.55555555555554</v>
      </c>
      <c r="BW90" s="522">
        <f t="shared" si="64"/>
        <v>217.55555555555554</v>
      </c>
      <c r="BY90" s="527">
        <f t="shared" si="65"/>
        <v>810.22222222222229</v>
      </c>
      <c r="BZ90" s="181">
        <f t="shared" si="66"/>
        <v>0.78832432432432431</v>
      </c>
      <c r="CA90" s="520" t="b">
        <f t="shared" si="67"/>
        <v>0</v>
      </c>
    </row>
    <row r="91" spans="1:79" s="151" customFormat="1">
      <c r="A91" s="151" t="str">
        <f t="shared" si="60"/>
        <v>1EoKPremiumRegionaal50</v>
      </c>
      <c r="B91" s="520" t="str">
        <f t="shared" si="45"/>
        <v>1EoKPremiumRegionaal50</v>
      </c>
      <c r="C91" s="179">
        <v>1</v>
      </c>
      <c r="D91" s="179" t="s">
        <v>303</v>
      </c>
      <c r="E91" s="178" t="s">
        <v>267</v>
      </c>
      <c r="F91" s="178" t="s">
        <v>265</v>
      </c>
      <c r="G91" s="185" t="s">
        <v>416</v>
      </c>
      <c r="J91" s="520" t="str">
        <f t="shared" si="46"/>
        <v>PremiumRegionaal50</v>
      </c>
      <c r="L91" s="204">
        <f>INDEX(Mapping!$H:$H,MATCH(C$3&amp;C91,Mapping!$B:$B,0))</f>
        <v>1</v>
      </c>
      <c r="M91" s="204" t="str">
        <f>INDEX(Mapping!$H:$H,MATCH(D$3&amp;$D91,Mapping!$B:$B,0))</f>
        <v>EoK</v>
      </c>
      <c r="N91" s="204" t="str">
        <f>INDEX(Mapping!$H:$H,MATCH(E$3&amp;E91,Mapping!$B:$B,0))</f>
        <v>Premium</v>
      </c>
      <c r="O91" s="204" t="str">
        <f>INDEX(Mapping!$H:$H,MATCH(F$3&amp;F91,Mapping!$B:$B,0))</f>
        <v>Metro</v>
      </c>
      <c r="P91" s="204">
        <f>INDEX(Mapping!$H:$H,MATCH(G$3&amp;G91,Mapping!$B:$B,0))</f>
        <v>50</v>
      </c>
      <c r="Q91" s="204" t="str">
        <f>INDEX(Mapping!$H:$H,MATCH(Q$3&amp;$F91,Mapping!$B:$B,0))</f>
        <v>Metro - Nationaal</v>
      </c>
      <c r="R91" s="204" t="str">
        <f>INDEX(Mapping!$H:$H,MATCH("ZM VPN Service Level"&amp;E91,Mapping!$B:$B,0))</f>
        <v>Advanced</v>
      </c>
      <c r="S91" s="139" t="b">
        <f>IF($D91="EoK",INDEX(Mapping!$I:$I,MATCH($G$3&amp;$G91,Mapping!B:B,0)),FALSE)</f>
        <v>0</v>
      </c>
      <c r="T91" s="139"/>
      <c r="U91" s="520" t="str">
        <f t="shared" si="47"/>
        <v>PremiumMetro50</v>
      </c>
      <c r="W91" s="521">
        <f>MATCH($J91,'Tarieven ZM'!$B:$B,0)</f>
        <v>95</v>
      </c>
      <c r="X91" s="204">
        <f>INDEX('Tarieven ZM'!$H:$H,$W91)</f>
        <v>1000</v>
      </c>
      <c r="Y91" s="198">
        <f>-INDEX(Parameters!$B:$B,MATCH(Y$3&amp;$C91,Parameters!$A:$A,0))*$X91</f>
        <v>0</v>
      </c>
      <c r="Z91" s="198">
        <f>-INDEX(Parameters!$B:$B,MATCH(Z$3&amp;$C91,Parameters!$A:$A,0))*$X91</f>
        <v>0</v>
      </c>
      <c r="AA91" s="139">
        <f t="shared" si="49"/>
        <v>1000</v>
      </c>
      <c r="AB91" s="205">
        <f>AA91/INDEX(Parameters!$B:$B,MATCH("AfschrijftermijnVVE"&amp;12*$C91,Parameters!$A:$A,0))</f>
        <v>27.777777777777779</v>
      </c>
      <c r="AC91" s="204">
        <f>INDEX('Tarieven ZM'!$G:$G,$W91)</f>
        <v>1000</v>
      </c>
      <c r="AD91" s="198">
        <f>-INDEX(Parameters!$B:$B,MATCH(AD$3&amp;$C91,Parameters!$A:$A,0))*$AC91</f>
        <v>0</v>
      </c>
      <c r="AE91" s="198">
        <f>-INDEX(Parameters!$B:$B,MATCH(AE$3,Parameters!$A:$A,0))*$AC91</f>
        <v>0</v>
      </c>
      <c r="AF91" s="139">
        <f t="shared" si="50"/>
        <v>1000</v>
      </c>
      <c r="AG91" s="522">
        <f t="shared" si="51"/>
        <v>1027.7777777777778</v>
      </c>
      <c r="AH91" s="175"/>
      <c r="AI91" s="523">
        <f>MATCH($U91,'Tarieven W&amp;O'!$B:$B,0)</f>
        <v>68</v>
      </c>
      <c r="AJ91" s="204">
        <f>IF(AI91&lt;&gt;"nvt",INDEX('Tarieven W&amp;O'!$H:$H,$AI91),0)</f>
        <v>0</v>
      </c>
      <c r="AK91" s="204">
        <f>IF(AI91&lt;&gt;"nvt",INDEX('Tarieven W&amp;O'!$I:$I,$AI91),0)</f>
        <v>25</v>
      </c>
      <c r="AL91" s="524">
        <f>IF(AI91&lt;&gt;"nvt",-INDEX(Parameters!$B:$B,MATCH(AL$3,Parameters!$A:$A,0))*(AJ91+AK91),0)</f>
        <v>0</v>
      </c>
      <c r="AM91" s="525"/>
      <c r="AN91" s="139">
        <f t="shared" si="52"/>
        <v>25</v>
      </c>
      <c r="AO91" s="205">
        <f>AN91/INDEX(Parameters!$B:$B,MATCH("AfschrijftermijnVVE"&amp;12*$C91,Parameters!$A:$A,0))</f>
        <v>0.69444444444444442</v>
      </c>
      <c r="AP91" s="139">
        <f t="shared" si="53"/>
        <v>68</v>
      </c>
      <c r="AQ91" s="526">
        <f>IF(AP91&lt;&gt;"nvt",INDEX('Tarieven W&amp;O'!$G:$G,$AP91),0)</f>
        <v>133.4</v>
      </c>
      <c r="AR91" s="251">
        <f>IF($S91,INDEX('Tarieven W&amp;O'!$G:$G,MATCH(N91&amp;R91,'Tarieven W&amp;O'!$B:$B,0)),0)</f>
        <v>0</v>
      </c>
      <c r="AS91" s="205">
        <f>-INDEX(Parameters!$B:$B,MATCH(AS$3,Parameters!$A:$A,0))*(AQ91+AR91)</f>
        <v>0</v>
      </c>
      <c r="AT91" s="205">
        <f>INDEX(hulpblad!$E:$E,MATCH(M91&amp;Q91,hulpblad!$B:$B,0))</f>
        <v>2</v>
      </c>
      <c r="AU91" s="150">
        <f t="shared" si="56"/>
        <v>135.4</v>
      </c>
      <c r="AV91" s="150">
        <f t="shared" si="57"/>
        <v>136.09444444444446</v>
      </c>
      <c r="AX91" s="526">
        <f>Parameters!$B$6*AV91</f>
        <v>1.3609444444444447</v>
      </c>
      <c r="AY91" s="150">
        <v>0</v>
      </c>
      <c r="AZ91" s="150"/>
      <c r="BA91" s="150">
        <f t="shared" si="54"/>
        <v>1.3609444444444447</v>
      </c>
      <c r="BB91" s="150"/>
      <c r="BC91" s="522">
        <f t="shared" si="55"/>
        <v>137.4553888888889</v>
      </c>
      <c r="BD91" s="175"/>
      <c r="BE91" s="527">
        <f t="shared" si="58"/>
        <v>890.3223888888889</v>
      </c>
      <c r="BF91" s="181">
        <f t="shared" si="59"/>
        <v>0.86625962162162162</v>
      </c>
      <c r="BG91" s="520" t="b">
        <f t="shared" si="48"/>
        <v>0</v>
      </c>
      <c r="BI91" s="528" t="s">
        <v>2181</v>
      </c>
      <c r="BL91" s="151" t="str">
        <f t="shared" si="61"/>
        <v>EoKMetro - Nationaal</v>
      </c>
      <c r="BM91" s="529">
        <v>0</v>
      </c>
      <c r="BN91" s="180">
        <f>BM91/INDEX(Parameters!$B:$B,MATCH("AfschrijftermijnVVE"&amp;12*$C91,Parameters!$A:$A,0))</f>
        <v>0</v>
      </c>
      <c r="BO91" s="184">
        <f>INDEX('inkoop ULL tbv EVPN'!I:I,MATCH(BL91,'inkoop ULL tbv EVPN'!H:H,0))</f>
        <v>2</v>
      </c>
      <c r="BP91" s="184">
        <f t="shared" si="62"/>
        <v>2</v>
      </c>
      <c r="BR91" s="180">
        <f>Parameters!$B$12*AG91</f>
        <v>102.77777777777779</v>
      </c>
      <c r="BS91" s="180">
        <f>SUM(Distributievergoedingen!$F$12,Distributievergoedingen!$I$12,Distributievergoedingen!$L$12,Distributievergoedingen!$O$12)*AF91+SUM(Distributievergoedingen!$O$12*AA91+Distributievergoedingen!$R$12+Distributievergoedingen!$U$12+Distributievergoedingen!$X$12)/(MAX(36,12*C91))</f>
        <v>112.77777777777777</v>
      </c>
      <c r="BT91" s="150"/>
      <c r="BU91" s="150">
        <f t="shared" si="63"/>
        <v>215.55555555555554</v>
      </c>
      <c r="BW91" s="522">
        <f t="shared" si="64"/>
        <v>217.55555555555554</v>
      </c>
      <c r="BY91" s="527">
        <f t="shared" si="65"/>
        <v>810.22222222222229</v>
      </c>
      <c r="BZ91" s="181">
        <f t="shared" si="66"/>
        <v>0.78832432432432431</v>
      </c>
      <c r="CA91" s="520" t="b">
        <f t="shared" si="67"/>
        <v>0</v>
      </c>
    </row>
    <row r="92" spans="1:79" s="151" customFormat="1">
      <c r="A92" s="151" t="str">
        <f t="shared" si="60"/>
        <v>1EoKPremiumRegionaal80</v>
      </c>
      <c r="B92" s="520" t="str">
        <f t="shared" si="45"/>
        <v>1EoKPremiumRegionaal80</v>
      </c>
      <c r="C92" s="179">
        <v>1</v>
      </c>
      <c r="D92" s="179" t="s">
        <v>303</v>
      </c>
      <c r="E92" s="178" t="s">
        <v>267</v>
      </c>
      <c r="F92" s="178" t="s">
        <v>265</v>
      </c>
      <c r="G92" s="185" t="s">
        <v>417</v>
      </c>
      <c r="J92" s="520" t="str">
        <f t="shared" si="46"/>
        <v>PremiumRegionaal80</v>
      </c>
      <c r="L92" s="204">
        <f>INDEX(Mapping!$H:$H,MATCH(C$3&amp;C92,Mapping!$B:$B,0))</f>
        <v>1</v>
      </c>
      <c r="M92" s="204" t="str">
        <f>INDEX(Mapping!$H:$H,MATCH(D$3&amp;$D92,Mapping!$B:$B,0))</f>
        <v>EoK</v>
      </c>
      <c r="N92" s="204" t="str">
        <f>INDEX(Mapping!$H:$H,MATCH(E$3&amp;E92,Mapping!$B:$B,0))</f>
        <v>Premium</v>
      </c>
      <c r="O92" s="204" t="str">
        <f>INDEX(Mapping!$H:$H,MATCH(F$3&amp;F92,Mapping!$B:$B,0))</f>
        <v>Metro</v>
      </c>
      <c r="P92" s="204">
        <f>INDEX(Mapping!$H:$H,MATCH(G$3&amp;G92,Mapping!$B:$B,0))</f>
        <v>80</v>
      </c>
      <c r="Q92" s="204" t="str">
        <f>INDEX(Mapping!$H:$H,MATCH(Q$3&amp;$F92,Mapping!$B:$B,0))</f>
        <v>Metro - Nationaal</v>
      </c>
      <c r="R92" s="204" t="str">
        <f>INDEX(Mapping!$H:$H,MATCH("ZM VPN Service Level"&amp;E92,Mapping!$B:$B,0))</f>
        <v>Advanced</v>
      </c>
      <c r="S92" s="139" t="b">
        <f>IF($D92="EoK",INDEX(Mapping!$I:$I,MATCH($G$3&amp;$G92,Mapping!B:B,0)),FALSE)</f>
        <v>0</v>
      </c>
      <c r="T92" s="139"/>
      <c r="U92" s="520" t="str">
        <f t="shared" si="47"/>
        <v>PremiumMetro80</v>
      </c>
      <c r="W92" s="521">
        <f>MATCH($J92,'Tarieven ZM'!$B:$B,0)</f>
        <v>96</v>
      </c>
      <c r="X92" s="204">
        <f>INDEX('Tarieven ZM'!$H:$H,$W92)</f>
        <v>1000</v>
      </c>
      <c r="Y92" s="198">
        <f>-INDEX(Parameters!$B:$B,MATCH(Y$3&amp;$C92,Parameters!$A:$A,0))*$X92</f>
        <v>0</v>
      </c>
      <c r="Z92" s="198">
        <f>-INDEX(Parameters!$B:$B,MATCH(Z$3&amp;$C92,Parameters!$A:$A,0))*$X92</f>
        <v>0</v>
      </c>
      <c r="AA92" s="139">
        <f t="shared" si="49"/>
        <v>1000</v>
      </c>
      <c r="AB92" s="205">
        <f>AA92/INDEX(Parameters!$B:$B,MATCH("AfschrijftermijnVVE"&amp;12*$C92,Parameters!$A:$A,0))</f>
        <v>27.777777777777779</v>
      </c>
      <c r="AC92" s="204">
        <f>INDEX('Tarieven ZM'!$G:$G,$W92)</f>
        <v>1000</v>
      </c>
      <c r="AD92" s="198">
        <f>-INDEX(Parameters!$B:$B,MATCH(AD$3&amp;$C92,Parameters!$A:$A,0))*$AC92</f>
        <v>0</v>
      </c>
      <c r="AE92" s="198">
        <f>-INDEX(Parameters!$B:$B,MATCH(AE$3,Parameters!$A:$A,0))*$AC92</f>
        <v>0</v>
      </c>
      <c r="AF92" s="139">
        <f t="shared" si="50"/>
        <v>1000</v>
      </c>
      <c r="AG92" s="522">
        <f t="shared" si="51"/>
        <v>1027.7777777777778</v>
      </c>
      <c r="AH92" s="175"/>
      <c r="AI92" s="523">
        <f>MATCH($U92,'Tarieven W&amp;O'!$B:$B,0)</f>
        <v>69</v>
      </c>
      <c r="AJ92" s="204">
        <f>IF(AI92&lt;&gt;"nvt",INDEX('Tarieven W&amp;O'!$H:$H,$AI92),0)</f>
        <v>0</v>
      </c>
      <c r="AK92" s="204">
        <f>IF(AI92&lt;&gt;"nvt",INDEX('Tarieven W&amp;O'!$I:$I,$AI92),0)</f>
        <v>25</v>
      </c>
      <c r="AL92" s="524">
        <f>IF(AI92&lt;&gt;"nvt",-INDEX(Parameters!$B:$B,MATCH(AL$3,Parameters!$A:$A,0))*(AJ92+AK92),0)</f>
        <v>0</v>
      </c>
      <c r="AM92" s="525"/>
      <c r="AN92" s="139">
        <f t="shared" si="52"/>
        <v>25</v>
      </c>
      <c r="AO92" s="205">
        <f>AN92/INDEX(Parameters!$B:$B,MATCH("AfschrijftermijnVVE"&amp;12*$C92,Parameters!$A:$A,0))</f>
        <v>0.69444444444444442</v>
      </c>
      <c r="AP92" s="139">
        <f t="shared" si="53"/>
        <v>69</v>
      </c>
      <c r="AQ92" s="526">
        <f>IF(AP92&lt;&gt;"nvt",INDEX('Tarieven W&amp;O'!$G:$G,$AP92),0)</f>
        <v>159.78</v>
      </c>
      <c r="AR92" s="251">
        <f>IF($S92,INDEX('Tarieven W&amp;O'!$G:$G,MATCH(N92&amp;R92,'Tarieven W&amp;O'!$B:$B,0)),0)</f>
        <v>0</v>
      </c>
      <c r="AS92" s="205">
        <f>-INDEX(Parameters!$B:$B,MATCH(AS$3,Parameters!$A:$A,0))*(AQ92+AR92)</f>
        <v>0</v>
      </c>
      <c r="AT92" s="205">
        <f>INDEX(hulpblad!$E:$E,MATCH(M92&amp;Q92,hulpblad!$B:$B,0))</f>
        <v>2</v>
      </c>
      <c r="AU92" s="150">
        <f t="shared" si="56"/>
        <v>161.78</v>
      </c>
      <c r="AV92" s="150">
        <f t="shared" si="57"/>
        <v>162.47444444444446</v>
      </c>
      <c r="AX92" s="526">
        <f>Parameters!$B$6*AV92</f>
        <v>1.6247444444444445</v>
      </c>
      <c r="AY92" s="150">
        <v>0</v>
      </c>
      <c r="AZ92" s="150"/>
      <c r="BA92" s="150">
        <f t="shared" si="54"/>
        <v>1.6247444444444445</v>
      </c>
      <c r="BB92" s="150"/>
      <c r="BC92" s="522">
        <f t="shared" si="55"/>
        <v>164.0991888888889</v>
      </c>
      <c r="BD92" s="175"/>
      <c r="BE92" s="527">
        <f t="shared" si="58"/>
        <v>863.67858888888895</v>
      </c>
      <c r="BF92" s="181">
        <f t="shared" si="59"/>
        <v>0.84033592432432436</v>
      </c>
      <c r="BG92" s="520" t="b">
        <f t="shared" si="48"/>
        <v>0</v>
      </c>
      <c r="BI92" s="528" t="s">
        <v>2181</v>
      </c>
      <c r="BL92" s="151" t="str">
        <f t="shared" si="61"/>
        <v>EoKMetro - Nationaal</v>
      </c>
      <c r="BM92" s="529">
        <v>0</v>
      </c>
      <c r="BN92" s="180">
        <f>BM92/INDEX(Parameters!$B:$B,MATCH("AfschrijftermijnVVE"&amp;12*$C92,Parameters!$A:$A,0))</f>
        <v>0</v>
      </c>
      <c r="BO92" s="184">
        <f>INDEX('inkoop ULL tbv EVPN'!I:I,MATCH(BL92,'inkoop ULL tbv EVPN'!H:H,0))</f>
        <v>2</v>
      </c>
      <c r="BP92" s="184">
        <f t="shared" si="62"/>
        <v>2</v>
      </c>
      <c r="BR92" s="180">
        <f>Parameters!$B$12*AG92</f>
        <v>102.77777777777779</v>
      </c>
      <c r="BS92" s="180">
        <f>SUM(Distributievergoedingen!$F$12,Distributievergoedingen!$I$12,Distributievergoedingen!$L$12,Distributievergoedingen!$O$12)*AF92+SUM(Distributievergoedingen!$O$12*AA92+Distributievergoedingen!$R$12+Distributievergoedingen!$U$12+Distributievergoedingen!$X$12)/(MAX(36,12*C92))</f>
        <v>112.77777777777777</v>
      </c>
      <c r="BT92" s="150"/>
      <c r="BU92" s="150">
        <f t="shared" si="63"/>
        <v>215.55555555555554</v>
      </c>
      <c r="BW92" s="522">
        <f t="shared" si="64"/>
        <v>217.55555555555554</v>
      </c>
      <c r="BY92" s="527">
        <f t="shared" si="65"/>
        <v>810.22222222222229</v>
      </c>
      <c r="BZ92" s="181">
        <f t="shared" si="66"/>
        <v>0.78832432432432431</v>
      </c>
      <c r="CA92" s="520" t="b">
        <f t="shared" si="67"/>
        <v>0</v>
      </c>
    </row>
    <row r="93" spans="1:79" s="151" customFormat="1">
      <c r="A93" s="151" t="str">
        <f t="shared" si="60"/>
        <v>1EoKPremiumRegionaal100</v>
      </c>
      <c r="B93" s="520" t="str">
        <f t="shared" si="45"/>
        <v>1EoKPremiumRegionaal100</v>
      </c>
      <c r="C93" s="179">
        <v>1</v>
      </c>
      <c r="D93" s="179" t="s">
        <v>303</v>
      </c>
      <c r="E93" s="178" t="s">
        <v>267</v>
      </c>
      <c r="F93" s="178" t="s">
        <v>265</v>
      </c>
      <c r="G93" s="185" t="s">
        <v>418</v>
      </c>
      <c r="J93" s="520" t="str">
        <f t="shared" si="46"/>
        <v>PremiumRegionaal100</v>
      </c>
      <c r="L93" s="204">
        <f>INDEX(Mapping!$H:$H,MATCH(C$3&amp;C93,Mapping!$B:$B,0))</f>
        <v>1</v>
      </c>
      <c r="M93" s="204" t="str">
        <f>INDEX(Mapping!$H:$H,MATCH(D$3&amp;$D93,Mapping!$B:$B,0))</f>
        <v>EoK</v>
      </c>
      <c r="N93" s="204" t="str">
        <f>INDEX(Mapping!$H:$H,MATCH(E$3&amp;E93,Mapping!$B:$B,0))</f>
        <v>Premium</v>
      </c>
      <c r="O93" s="204" t="str">
        <f>INDEX(Mapping!$H:$H,MATCH(F$3&amp;F93,Mapping!$B:$B,0))</f>
        <v>Metro</v>
      </c>
      <c r="P93" s="204">
        <f>INDEX(Mapping!$H:$H,MATCH(G$3&amp;G93,Mapping!$B:$B,0))</f>
        <v>100</v>
      </c>
      <c r="Q93" s="204" t="str">
        <f>INDEX(Mapping!$H:$H,MATCH(Q$3&amp;$F93,Mapping!$B:$B,0))</f>
        <v>Metro - Nationaal</v>
      </c>
      <c r="R93" s="204" t="str">
        <f>INDEX(Mapping!$H:$H,MATCH("ZM VPN Service Level"&amp;E93,Mapping!$B:$B,0))</f>
        <v>Advanced</v>
      </c>
      <c r="S93" s="139" t="b">
        <f>IF($D93="EoK",INDEX(Mapping!$I:$I,MATCH($G$3&amp;$G93,Mapping!B:B,0)),FALSE)</f>
        <v>0</v>
      </c>
      <c r="T93" s="139"/>
      <c r="U93" s="520" t="str">
        <f t="shared" si="47"/>
        <v>PremiumMetro100</v>
      </c>
      <c r="W93" s="521">
        <f>MATCH($J93,'Tarieven ZM'!$B:$B,0)</f>
        <v>97</v>
      </c>
      <c r="X93" s="204">
        <f>INDEX('Tarieven ZM'!$H:$H,$W93)</f>
        <v>1000</v>
      </c>
      <c r="Y93" s="198">
        <f>-INDEX(Parameters!$B:$B,MATCH(Y$3&amp;$C93,Parameters!$A:$A,0))*$X93</f>
        <v>0</v>
      </c>
      <c r="Z93" s="198">
        <f>-INDEX(Parameters!$B:$B,MATCH(Z$3&amp;$C93,Parameters!$A:$A,0))*$X93</f>
        <v>0</v>
      </c>
      <c r="AA93" s="139">
        <f t="shared" si="49"/>
        <v>1000</v>
      </c>
      <c r="AB93" s="205">
        <f>AA93/INDEX(Parameters!$B:$B,MATCH("AfschrijftermijnVVE"&amp;12*$C93,Parameters!$A:$A,0))</f>
        <v>27.777777777777779</v>
      </c>
      <c r="AC93" s="204">
        <f>INDEX('Tarieven ZM'!$G:$G,$W93)</f>
        <v>1000</v>
      </c>
      <c r="AD93" s="198">
        <f>-INDEX(Parameters!$B:$B,MATCH(AD$3&amp;$C93,Parameters!$A:$A,0))*$AC93</f>
        <v>0</v>
      </c>
      <c r="AE93" s="198">
        <f>-INDEX(Parameters!$B:$B,MATCH(AE$3,Parameters!$A:$A,0))*$AC93</f>
        <v>0</v>
      </c>
      <c r="AF93" s="139">
        <f t="shared" si="50"/>
        <v>1000</v>
      </c>
      <c r="AG93" s="522">
        <f t="shared" si="51"/>
        <v>1027.7777777777778</v>
      </c>
      <c r="AH93" s="175"/>
      <c r="AI93" s="523">
        <f>MATCH($U93,'Tarieven W&amp;O'!$B:$B,0)</f>
        <v>70</v>
      </c>
      <c r="AJ93" s="204">
        <f>IF(AI93&lt;&gt;"nvt",INDEX('Tarieven W&amp;O'!$H:$H,$AI93),0)</f>
        <v>0</v>
      </c>
      <c r="AK93" s="204">
        <f>IF(AI93&lt;&gt;"nvt",INDEX('Tarieven W&amp;O'!$I:$I,$AI93),0)</f>
        <v>25</v>
      </c>
      <c r="AL93" s="524">
        <f>IF(AI93&lt;&gt;"nvt",-INDEX(Parameters!$B:$B,MATCH(AL$3,Parameters!$A:$A,0))*(AJ93+AK93),0)</f>
        <v>0</v>
      </c>
      <c r="AM93" s="525"/>
      <c r="AN93" s="139">
        <f t="shared" si="52"/>
        <v>25</v>
      </c>
      <c r="AO93" s="205">
        <f>AN93/INDEX(Parameters!$B:$B,MATCH("AfschrijftermijnVVE"&amp;12*$C93,Parameters!$A:$A,0))</f>
        <v>0.69444444444444442</v>
      </c>
      <c r="AP93" s="139">
        <f t="shared" si="53"/>
        <v>70</v>
      </c>
      <c r="AQ93" s="526">
        <f>IF(AP93&lt;&gt;"nvt",INDEX('Tarieven W&amp;O'!$G:$G,$AP93),0)</f>
        <v>178.63</v>
      </c>
      <c r="AR93" s="251">
        <f>IF($S93,INDEX('Tarieven W&amp;O'!$G:$G,MATCH(N93&amp;R93,'Tarieven W&amp;O'!$B:$B,0)),0)</f>
        <v>0</v>
      </c>
      <c r="AS93" s="205">
        <f>-INDEX(Parameters!$B:$B,MATCH(AS$3,Parameters!$A:$A,0))*(AQ93+AR93)</f>
        <v>0</v>
      </c>
      <c r="AT93" s="205">
        <f>INDEX(hulpblad!$E:$E,MATCH(M93&amp;Q93,hulpblad!$B:$B,0))</f>
        <v>2</v>
      </c>
      <c r="AU93" s="150">
        <f t="shared" si="56"/>
        <v>180.63</v>
      </c>
      <c r="AV93" s="150">
        <f t="shared" si="57"/>
        <v>181.32444444444445</v>
      </c>
      <c r="AX93" s="526">
        <f>Parameters!$B$6*AV93</f>
        <v>1.8132444444444447</v>
      </c>
      <c r="AY93" s="150">
        <v>0</v>
      </c>
      <c r="AZ93" s="150"/>
      <c r="BA93" s="150">
        <f t="shared" si="54"/>
        <v>1.8132444444444447</v>
      </c>
      <c r="BB93" s="150"/>
      <c r="BC93" s="522">
        <f t="shared" si="55"/>
        <v>183.1376888888889</v>
      </c>
      <c r="BD93" s="175"/>
      <c r="BE93" s="527">
        <f t="shared" si="58"/>
        <v>844.64008888888895</v>
      </c>
      <c r="BF93" s="181">
        <f t="shared" si="59"/>
        <v>0.82181197837837838</v>
      </c>
      <c r="BG93" s="520" t="b">
        <f t="shared" si="48"/>
        <v>0</v>
      </c>
      <c r="BI93" s="528" t="s">
        <v>2181</v>
      </c>
      <c r="BL93" s="151" t="str">
        <f t="shared" si="61"/>
        <v>EoKMetro - Nationaal</v>
      </c>
      <c r="BM93" s="529">
        <v>0</v>
      </c>
      <c r="BN93" s="180">
        <f>BM93/INDEX(Parameters!$B:$B,MATCH("AfschrijftermijnVVE"&amp;12*$C93,Parameters!$A:$A,0))</f>
        <v>0</v>
      </c>
      <c r="BO93" s="184">
        <f>INDEX('inkoop ULL tbv EVPN'!I:I,MATCH(BL93,'inkoop ULL tbv EVPN'!H:H,0))</f>
        <v>2</v>
      </c>
      <c r="BP93" s="184">
        <f t="shared" si="62"/>
        <v>2</v>
      </c>
      <c r="BR93" s="180">
        <f>Parameters!$B$12*AG93</f>
        <v>102.77777777777779</v>
      </c>
      <c r="BS93" s="180">
        <f>SUM(Distributievergoedingen!$F$12,Distributievergoedingen!$I$12,Distributievergoedingen!$L$12,Distributievergoedingen!$O$12)*AF93+SUM(Distributievergoedingen!$O$12*AA93+Distributievergoedingen!$R$12+Distributievergoedingen!$U$12+Distributievergoedingen!$X$12)/(MAX(36,12*C93))</f>
        <v>112.77777777777777</v>
      </c>
      <c r="BT93" s="150"/>
      <c r="BU93" s="150">
        <f t="shared" si="63"/>
        <v>215.55555555555554</v>
      </c>
      <c r="BW93" s="522">
        <f t="shared" si="64"/>
        <v>217.55555555555554</v>
      </c>
      <c r="BY93" s="527">
        <f t="shared" si="65"/>
        <v>810.22222222222229</v>
      </c>
      <c r="BZ93" s="181">
        <f t="shared" si="66"/>
        <v>0.78832432432432431</v>
      </c>
      <c r="CA93" s="520" t="b">
        <f t="shared" si="67"/>
        <v>0</v>
      </c>
    </row>
    <row r="94" spans="1:79" s="151" customFormat="1">
      <c r="A94" s="151" t="str">
        <f t="shared" si="60"/>
        <v>1EoKPremiumRegionaal200</v>
      </c>
      <c r="B94" s="520" t="str">
        <f t="shared" si="45"/>
        <v>1EoKPremiumRegionaal200</v>
      </c>
      <c r="C94" s="179">
        <v>1</v>
      </c>
      <c r="D94" s="179" t="s">
        <v>303</v>
      </c>
      <c r="E94" s="178" t="s">
        <v>267</v>
      </c>
      <c r="F94" s="178" t="s">
        <v>265</v>
      </c>
      <c r="G94" s="185" t="s">
        <v>419</v>
      </c>
      <c r="J94" s="520" t="str">
        <f t="shared" si="46"/>
        <v>PremiumRegionaal200</v>
      </c>
      <c r="L94" s="204">
        <f>INDEX(Mapping!$H:$H,MATCH(C$3&amp;C94,Mapping!$B:$B,0))</f>
        <v>1</v>
      </c>
      <c r="M94" s="204" t="str">
        <f>INDEX(Mapping!$H:$H,MATCH(D$3&amp;$D94,Mapping!$B:$B,0))</f>
        <v>EoK</v>
      </c>
      <c r="N94" s="204" t="str">
        <f>INDEX(Mapping!$H:$H,MATCH(E$3&amp;E94,Mapping!$B:$B,0))</f>
        <v>Premium</v>
      </c>
      <c r="O94" s="204" t="str">
        <f>INDEX(Mapping!$H:$H,MATCH(F$3&amp;F94,Mapping!$B:$B,0))</f>
        <v>Metro</v>
      </c>
      <c r="P94" s="204">
        <f>INDEX(Mapping!$H:$H,MATCH(G$3&amp;G94,Mapping!$B:$B,0))</f>
        <v>200</v>
      </c>
      <c r="Q94" s="204" t="str">
        <f>INDEX(Mapping!$H:$H,MATCH(Q$3&amp;$F94,Mapping!$B:$B,0))</f>
        <v>Metro - Nationaal</v>
      </c>
      <c r="R94" s="204" t="str">
        <f>INDEX(Mapping!$H:$H,MATCH("ZM VPN Service Level"&amp;E94,Mapping!$B:$B,0))</f>
        <v>Advanced</v>
      </c>
      <c r="S94" s="139" t="b">
        <f>IF($D94="EoK",INDEX(Mapping!$I:$I,MATCH($G$3&amp;$G94,Mapping!B:B,0)),FALSE)</f>
        <v>0</v>
      </c>
      <c r="T94" s="139"/>
      <c r="U94" s="520" t="str">
        <f t="shared" si="47"/>
        <v>PremiumMetro200</v>
      </c>
      <c r="W94" s="521">
        <f>MATCH($J94,'Tarieven ZM'!$B:$B,0)</f>
        <v>98</v>
      </c>
      <c r="X94" s="204">
        <f>INDEX('Tarieven ZM'!$H:$H,$W94)</f>
        <v>1000</v>
      </c>
      <c r="Y94" s="198">
        <f>-INDEX(Parameters!$B:$B,MATCH(Y$3&amp;$C94,Parameters!$A:$A,0))*$X94</f>
        <v>0</v>
      </c>
      <c r="Z94" s="198">
        <f>-INDEX(Parameters!$B:$B,MATCH(Z$3&amp;$C94,Parameters!$A:$A,0))*$X94</f>
        <v>0</v>
      </c>
      <c r="AA94" s="139">
        <f t="shared" si="49"/>
        <v>1000</v>
      </c>
      <c r="AB94" s="205">
        <f>AA94/INDEX(Parameters!$B:$B,MATCH("AfschrijftermijnVVE"&amp;12*$C94,Parameters!$A:$A,0))</f>
        <v>27.777777777777779</v>
      </c>
      <c r="AC94" s="204">
        <f>INDEX('Tarieven ZM'!$G:$G,$W94)</f>
        <v>1000</v>
      </c>
      <c r="AD94" s="198">
        <f>-INDEX(Parameters!$B:$B,MATCH(AD$3&amp;$C94,Parameters!$A:$A,0))*$AC94</f>
        <v>0</v>
      </c>
      <c r="AE94" s="198">
        <f>-INDEX(Parameters!$B:$B,MATCH(AE$3,Parameters!$A:$A,0))*$AC94</f>
        <v>0</v>
      </c>
      <c r="AF94" s="139">
        <f t="shared" si="50"/>
        <v>1000</v>
      </c>
      <c r="AG94" s="522">
        <f t="shared" si="51"/>
        <v>1027.7777777777778</v>
      </c>
      <c r="AH94" s="175"/>
      <c r="AI94" s="523">
        <f>MATCH($U94,'Tarieven W&amp;O'!$B:$B,0)</f>
        <v>71</v>
      </c>
      <c r="AJ94" s="204">
        <f>IF(AI94&lt;&gt;"nvt",INDEX('Tarieven W&amp;O'!$H:$H,$AI94),0)</f>
        <v>0</v>
      </c>
      <c r="AK94" s="204">
        <f>IF(AI94&lt;&gt;"nvt",INDEX('Tarieven W&amp;O'!$I:$I,$AI94),0)</f>
        <v>25</v>
      </c>
      <c r="AL94" s="524">
        <f>IF(AI94&lt;&gt;"nvt",-INDEX(Parameters!$B:$B,MATCH(AL$3,Parameters!$A:$A,0))*(AJ94+AK94),0)</f>
        <v>0</v>
      </c>
      <c r="AM94" s="525"/>
      <c r="AN94" s="139">
        <f t="shared" si="52"/>
        <v>25</v>
      </c>
      <c r="AO94" s="205">
        <f>AN94/INDEX(Parameters!$B:$B,MATCH("AfschrijftermijnVVE"&amp;12*$C94,Parameters!$A:$A,0))</f>
        <v>0.69444444444444442</v>
      </c>
      <c r="AP94" s="139">
        <f t="shared" si="53"/>
        <v>71</v>
      </c>
      <c r="AQ94" s="526">
        <f>IF(AP94&lt;&gt;"nvt",INDEX('Tarieven W&amp;O'!$G:$G,$AP94),0)</f>
        <v>216.32</v>
      </c>
      <c r="AR94" s="251">
        <f>IF($S94,INDEX('Tarieven W&amp;O'!$G:$G,MATCH(N94&amp;R94,'Tarieven W&amp;O'!$B:$B,0)),0)</f>
        <v>0</v>
      </c>
      <c r="AS94" s="205">
        <f>-INDEX(Parameters!$B:$B,MATCH(AS$3,Parameters!$A:$A,0))*(AQ94+AR94)</f>
        <v>0</v>
      </c>
      <c r="AT94" s="205">
        <f>INDEX(hulpblad!$E:$E,MATCH(M94&amp;Q94,hulpblad!$B:$B,0))</f>
        <v>2</v>
      </c>
      <c r="AU94" s="150">
        <f t="shared" si="56"/>
        <v>218.32</v>
      </c>
      <c r="AV94" s="150">
        <f t="shared" si="57"/>
        <v>219.01444444444445</v>
      </c>
      <c r="AX94" s="526">
        <f>Parameters!$B$6*AV94</f>
        <v>2.1901444444444444</v>
      </c>
      <c r="AY94" s="150">
        <v>0</v>
      </c>
      <c r="AZ94" s="150"/>
      <c r="BA94" s="150">
        <f t="shared" si="54"/>
        <v>2.1901444444444444</v>
      </c>
      <c r="BB94" s="150"/>
      <c r="BC94" s="522">
        <f t="shared" si="55"/>
        <v>221.20458888888891</v>
      </c>
      <c r="BD94" s="175"/>
      <c r="BE94" s="527">
        <f t="shared" si="58"/>
        <v>806.57318888888892</v>
      </c>
      <c r="BF94" s="181">
        <f t="shared" si="59"/>
        <v>0.78477391351351355</v>
      </c>
      <c r="BG94" s="520" t="b">
        <f t="shared" si="48"/>
        <v>0</v>
      </c>
      <c r="BI94" s="528" t="s">
        <v>2181</v>
      </c>
      <c r="BL94" s="151" t="str">
        <f t="shared" si="61"/>
        <v>EoKMetro - Nationaal</v>
      </c>
      <c r="BM94" s="529">
        <v>0</v>
      </c>
      <c r="BN94" s="180">
        <f>BM94/INDEX(Parameters!$B:$B,MATCH("AfschrijftermijnVVE"&amp;12*$C94,Parameters!$A:$A,0))</f>
        <v>0</v>
      </c>
      <c r="BO94" s="184">
        <f>INDEX('inkoop ULL tbv EVPN'!I:I,MATCH(BL94,'inkoop ULL tbv EVPN'!H:H,0))</f>
        <v>2</v>
      </c>
      <c r="BP94" s="184">
        <f t="shared" si="62"/>
        <v>2</v>
      </c>
      <c r="BR94" s="180">
        <f>Parameters!$B$12*AG94</f>
        <v>102.77777777777779</v>
      </c>
      <c r="BS94" s="180">
        <f>SUM(Distributievergoedingen!$F$12,Distributievergoedingen!$I$12,Distributievergoedingen!$L$12,Distributievergoedingen!$O$12)*AF94+SUM(Distributievergoedingen!$O$12*AA94+Distributievergoedingen!$R$12+Distributievergoedingen!$U$12+Distributievergoedingen!$X$12)/(MAX(36,12*C94))</f>
        <v>112.77777777777777</v>
      </c>
      <c r="BT94" s="150"/>
      <c r="BU94" s="150">
        <f t="shared" si="63"/>
        <v>215.55555555555554</v>
      </c>
      <c r="BW94" s="522">
        <f t="shared" si="64"/>
        <v>217.55555555555554</v>
      </c>
      <c r="BY94" s="527">
        <f t="shared" si="65"/>
        <v>810.22222222222229</v>
      </c>
      <c r="BZ94" s="181">
        <f t="shared" si="66"/>
        <v>0.78832432432432431</v>
      </c>
      <c r="CA94" s="520" t="b">
        <f t="shared" si="67"/>
        <v>0</v>
      </c>
    </row>
    <row r="95" spans="1:79" s="151" customFormat="1">
      <c r="A95" s="151" t="str">
        <f t="shared" si="60"/>
        <v>1EoKPremiumRegionaal300</v>
      </c>
      <c r="B95" s="520" t="str">
        <f t="shared" si="45"/>
        <v>1EoKPremiumRegionaal300</v>
      </c>
      <c r="C95" s="179">
        <v>1</v>
      </c>
      <c r="D95" s="179" t="s">
        <v>303</v>
      </c>
      <c r="E95" s="178" t="s">
        <v>267</v>
      </c>
      <c r="F95" s="178" t="s">
        <v>265</v>
      </c>
      <c r="G95" s="185" t="s">
        <v>420</v>
      </c>
      <c r="J95" s="520" t="str">
        <f t="shared" si="46"/>
        <v>PremiumRegionaal300</v>
      </c>
      <c r="L95" s="204">
        <f>INDEX(Mapping!$H:$H,MATCH(C$3&amp;C95,Mapping!$B:$B,0))</f>
        <v>1</v>
      </c>
      <c r="M95" s="204" t="str">
        <f>INDEX(Mapping!$H:$H,MATCH(D$3&amp;$D95,Mapping!$B:$B,0))</f>
        <v>EoK</v>
      </c>
      <c r="N95" s="204" t="str">
        <f>INDEX(Mapping!$H:$H,MATCH(E$3&amp;E95,Mapping!$B:$B,0))</f>
        <v>Premium</v>
      </c>
      <c r="O95" s="204" t="str">
        <f>INDEX(Mapping!$H:$H,MATCH(F$3&amp;F95,Mapping!$B:$B,0))</f>
        <v>Metro</v>
      </c>
      <c r="P95" s="204">
        <f>INDEX(Mapping!$H:$H,MATCH(G$3&amp;G95,Mapping!$B:$B,0))</f>
        <v>300</v>
      </c>
      <c r="Q95" s="204" t="str">
        <f>INDEX(Mapping!$H:$H,MATCH(Q$3&amp;$F95,Mapping!$B:$B,0))</f>
        <v>Metro - Nationaal</v>
      </c>
      <c r="R95" s="204" t="str">
        <f>INDEX(Mapping!$H:$H,MATCH("ZM VPN Service Level"&amp;E95,Mapping!$B:$B,0))</f>
        <v>Advanced</v>
      </c>
      <c r="S95" s="139" t="b">
        <f>IF($D95="EoK",INDEX(Mapping!$I:$I,MATCH($G$3&amp;$G95,Mapping!B:B,0)),FALSE)</f>
        <v>0</v>
      </c>
      <c r="T95" s="139"/>
      <c r="U95" s="520" t="str">
        <f t="shared" si="47"/>
        <v>PremiumMetro300</v>
      </c>
      <c r="W95" s="521">
        <f>MATCH($J95,'Tarieven ZM'!$B:$B,0)</f>
        <v>99</v>
      </c>
      <c r="X95" s="204">
        <f>INDEX('Tarieven ZM'!$H:$H,$W95)</f>
        <v>1000</v>
      </c>
      <c r="Y95" s="198">
        <f>-INDEX(Parameters!$B:$B,MATCH(Y$3&amp;$C95,Parameters!$A:$A,0))*$X95</f>
        <v>0</v>
      </c>
      <c r="Z95" s="198">
        <f>-INDEX(Parameters!$B:$B,MATCH(Z$3&amp;$C95,Parameters!$A:$A,0))*$X95</f>
        <v>0</v>
      </c>
      <c r="AA95" s="139">
        <f t="shared" si="49"/>
        <v>1000</v>
      </c>
      <c r="AB95" s="205">
        <f>AA95/INDEX(Parameters!$B:$B,MATCH("AfschrijftermijnVVE"&amp;12*$C95,Parameters!$A:$A,0))</f>
        <v>27.777777777777779</v>
      </c>
      <c r="AC95" s="204">
        <f>INDEX('Tarieven ZM'!$G:$G,$W95)</f>
        <v>1000</v>
      </c>
      <c r="AD95" s="198">
        <f>-INDEX(Parameters!$B:$B,MATCH(AD$3&amp;$C95,Parameters!$A:$A,0))*$AC95</f>
        <v>0</v>
      </c>
      <c r="AE95" s="198">
        <f>-INDEX(Parameters!$B:$B,MATCH(AE$3,Parameters!$A:$A,0))*$AC95</f>
        <v>0</v>
      </c>
      <c r="AF95" s="139">
        <f t="shared" si="50"/>
        <v>1000</v>
      </c>
      <c r="AG95" s="522">
        <f t="shared" si="51"/>
        <v>1027.7777777777778</v>
      </c>
      <c r="AH95" s="175"/>
      <c r="AI95" s="523">
        <f>MATCH($U95,'Tarieven W&amp;O'!$B:$B,0)</f>
        <v>72</v>
      </c>
      <c r="AJ95" s="204">
        <f>IF(AI95&lt;&gt;"nvt",INDEX('Tarieven W&amp;O'!$H:$H,$AI95),0)</f>
        <v>0</v>
      </c>
      <c r="AK95" s="204">
        <f>IF(AI95&lt;&gt;"nvt",INDEX('Tarieven W&amp;O'!$I:$I,$AI95),0)</f>
        <v>25</v>
      </c>
      <c r="AL95" s="524">
        <f>IF(AI95&lt;&gt;"nvt",-INDEX(Parameters!$B:$B,MATCH(AL$3,Parameters!$A:$A,0))*(AJ95+AK95),0)</f>
        <v>0</v>
      </c>
      <c r="AM95" s="525"/>
      <c r="AN95" s="139">
        <f t="shared" si="52"/>
        <v>25</v>
      </c>
      <c r="AO95" s="205">
        <f>AN95/INDEX(Parameters!$B:$B,MATCH("AfschrijftermijnVVE"&amp;12*$C95,Parameters!$A:$A,0))</f>
        <v>0.69444444444444442</v>
      </c>
      <c r="AP95" s="139">
        <f t="shared" si="53"/>
        <v>72</v>
      </c>
      <c r="AQ95" s="526">
        <f>IF(AP95&lt;&gt;"nvt",INDEX('Tarieven W&amp;O'!$G:$G,$AP95),0)</f>
        <v>254.01</v>
      </c>
      <c r="AR95" s="251">
        <f>IF($S95,INDEX('Tarieven W&amp;O'!$G:$G,MATCH(N95&amp;R95,'Tarieven W&amp;O'!$B:$B,0)),0)</f>
        <v>0</v>
      </c>
      <c r="AS95" s="205">
        <f>-INDEX(Parameters!$B:$B,MATCH(AS$3,Parameters!$A:$A,0))*(AQ95+AR95)</f>
        <v>0</v>
      </c>
      <c r="AT95" s="205">
        <f>INDEX(hulpblad!$E:$E,MATCH(M95&amp;Q95,hulpblad!$B:$B,0))</f>
        <v>2</v>
      </c>
      <c r="AU95" s="150">
        <f t="shared" si="56"/>
        <v>256.01</v>
      </c>
      <c r="AV95" s="150">
        <f t="shared" si="57"/>
        <v>256.70444444444445</v>
      </c>
      <c r="AX95" s="526">
        <f>Parameters!$B$6*AV95</f>
        <v>2.5670444444444445</v>
      </c>
      <c r="AY95" s="150">
        <v>0</v>
      </c>
      <c r="AZ95" s="150"/>
      <c r="BA95" s="150">
        <f t="shared" si="54"/>
        <v>2.5670444444444445</v>
      </c>
      <c r="BB95" s="150"/>
      <c r="BC95" s="522">
        <f t="shared" si="55"/>
        <v>259.27148888888888</v>
      </c>
      <c r="BD95" s="175"/>
      <c r="BE95" s="527">
        <f t="shared" si="58"/>
        <v>768.506288888889</v>
      </c>
      <c r="BF95" s="181">
        <f t="shared" si="59"/>
        <v>0.74773584864864873</v>
      </c>
      <c r="BG95" s="520" t="b">
        <f t="shared" si="48"/>
        <v>0</v>
      </c>
      <c r="BI95" s="528" t="s">
        <v>2181</v>
      </c>
      <c r="BL95" s="151" t="str">
        <f t="shared" si="61"/>
        <v>EoKMetro - Nationaal</v>
      </c>
      <c r="BM95" s="529">
        <v>0</v>
      </c>
      <c r="BN95" s="180">
        <f>BM95/INDEX(Parameters!$B:$B,MATCH("AfschrijftermijnVVE"&amp;12*$C95,Parameters!$A:$A,0))</f>
        <v>0</v>
      </c>
      <c r="BO95" s="184">
        <f>INDEX('inkoop ULL tbv EVPN'!I:I,MATCH(BL95,'inkoop ULL tbv EVPN'!H:H,0))</f>
        <v>2</v>
      </c>
      <c r="BP95" s="184">
        <f t="shared" si="62"/>
        <v>2</v>
      </c>
      <c r="BR95" s="180">
        <f>Parameters!$B$12*AG95</f>
        <v>102.77777777777779</v>
      </c>
      <c r="BS95" s="180">
        <f>SUM(Distributievergoedingen!$F$12,Distributievergoedingen!$I$12,Distributievergoedingen!$L$12,Distributievergoedingen!$O$12)*AF95+SUM(Distributievergoedingen!$O$12*AA95+Distributievergoedingen!$R$12+Distributievergoedingen!$U$12+Distributievergoedingen!$X$12)/(MAX(36,12*C95))</f>
        <v>112.77777777777777</v>
      </c>
      <c r="BT95" s="150"/>
      <c r="BU95" s="150">
        <f t="shared" si="63"/>
        <v>215.55555555555554</v>
      </c>
      <c r="BW95" s="522">
        <f t="shared" si="64"/>
        <v>217.55555555555554</v>
      </c>
      <c r="BY95" s="527">
        <f t="shared" si="65"/>
        <v>810.22222222222229</v>
      </c>
      <c r="BZ95" s="181">
        <f t="shared" si="66"/>
        <v>0.78832432432432431</v>
      </c>
      <c r="CA95" s="520" t="b">
        <f t="shared" si="67"/>
        <v>0</v>
      </c>
    </row>
    <row r="96" spans="1:79" s="151" customFormat="1">
      <c r="A96" s="151" t="str">
        <f t="shared" si="60"/>
        <v>1EoKPremiumRegionaal500</v>
      </c>
      <c r="B96" s="520" t="str">
        <f t="shared" si="45"/>
        <v>1EoKPremiumRegionaal500</v>
      </c>
      <c r="C96" s="179">
        <v>1</v>
      </c>
      <c r="D96" s="179" t="s">
        <v>303</v>
      </c>
      <c r="E96" s="178" t="s">
        <v>267</v>
      </c>
      <c r="F96" s="178" t="s">
        <v>265</v>
      </c>
      <c r="G96" s="185" t="s">
        <v>421</v>
      </c>
      <c r="J96" s="520" t="str">
        <f t="shared" si="46"/>
        <v>PremiumRegionaal500</v>
      </c>
      <c r="L96" s="204">
        <f>INDEX(Mapping!$H:$H,MATCH(C$3&amp;C96,Mapping!$B:$B,0))</f>
        <v>1</v>
      </c>
      <c r="M96" s="204" t="str">
        <f>INDEX(Mapping!$H:$H,MATCH(D$3&amp;$D96,Mapping!$B:$B,0))</f>
        <v>EoK</v>
      </c>
      <c r="N96" s="204" t="str">
        <f>INDEX(Mapping!$H:$H,MATCH(E$3&amp;E96,Mapping!$B:$B,0))</f>
        <v>Premium</v>
      </c>
      <c r="O96" s="204" t="str">
        <f>INDEX(Mapping!$H:$H,MATCH(F$3&amp;F96,Mapping!$B:$B,0))</f>
        <v>Metro</v>
      </c>
      <c r="P96" s="204">
        <f>INDEX(Mapping!$H:$H,MATCH(G$3&amp;G96,Mapping!$B:$B,0))</f>
        <v>500</v>
      </c>
      <c r="Q96" s="204" t="str">
        <f>INDEX(Mapping!$H:$H,MATCH(Q$3&amp;$F96,Mapping!$B:$B,0))</f>
        <v>Metro - Nationaal</v>
      </c>
      <c r="R96" s="204" t="str">
        <f>INDEX(Mapping!$H:$H,MATCH("ZM VPN Service Level"&amp;E96,Mapping!$B:$B,0))</f>
        <v>Advanced</v>
      </c>
      <c r="S96" s="139" t="b">
        <f>IF($D96="EoK",INDEX(Mapping!$I:$I,MATCH($G$3&amp;$G96,Mapping!B:B,0)),FALSE)</f>
        <v>0</v>
      </c>
      <c r="T96" s="139"/>
      <c r="U96" s="520" t="str">
        <f t="shared" si="47"/>
        <v>PremiumMetro500</v>
      </c>
      <c r="W96" s="521">
        <f>MATCH($J96,'Tarieven ZM'!$B:$B,0)</f>
        <v>100</v>
      </c>
      <c r="X96" s="204">
        <f>INDEX('Tarieven ZM'!$H:$H,$W96)</f>
        <v>1000</v>
      </c>
      <c r="Y96" s="198">
        <f>-INDEX(Parameters!$B:$B,MATCH(Y$3&amp;$C96,Parameters!$A:$A,0))*$X96</f>
        <v>0</v>
      </c>
      <c r="Z96" s="198">
        <f>-INDEX(Parameters!$B:$B,MATCH(Z$3&amp;$C96,Parameters!$A:$A,0))*$X96</f>
        <v>0</v>
      </c>
      <c r="AA96" s="139">
        <f t="shared" si="49"/>
        <v>1000</v>
      </c>
      <c r="AB96" s="205">
        <f>AA96/INDEX(Parameters!$B:$B,MATCH("AfschrijftermijnVVE"&amp;12*$C96,Parameters!$A:$A,0))</f>
        <v>27.777777777777779</v>
      </c>
      <c r="AC96" s="204">
        <f>INDEX('Tarieven ZM'!$G:$G,$W96)</f>
        <v>1000</v>
      </c>
      <c r="AD96" s="198">
        <f>-INDEX(Parameters!$B:$B,MATCH(AD$3&amp;$C96,Parameters!$A:$A,0))*$AC96</f>
        <v>0</v>
      </c>
      <c r="AE96" s="198">
        <f>-INDEX(Parameters!$B:$B,MATCH(AE$3,Parameters!$A:$A,0))*$AC96</f>
        <v>0</v>
      </c>
      <c r="AF96" s="139">
        <f t="shared" si="50"/>
        <v>1000</v>
      </c>
      <c r="AG96" s="522">
        <f t="shared" si="51"/>
        <v>1027.7777777777778</v>
      </c>
      <c r="AH96" s="175"/>
      <c r="AI96" s="523">
        <f>MATCH($U96,'Tarieven W&amp;O'!$B:$B,0)</f>
        <v>73</v>
      </c>
      <c r="AJ96" s="204">
        <f>IF(AI96&lt;&gt;"nvt",INDEX('Tarieven W&amp;O'!$H:$H,$AI96),0)</f>
        <v>0</v>
      </c>
      <c r="AK96" s="204">
        <f>IF(AI96&lt;&gt;"nvt",INDEX('Tarieven W&amp;O'!$I:$I,$AI96),0)</f>
        <v>25</v>
      </c>
      <c r="AL96" s="524">
        <f>IF(AI96&lt;&gt;"nvt",-INDEX(Parameters!$B:$B,MATCH(AL$3,Parameters!$A:$A,0))*(AJ96+AK96),0)</f>
        <v>0</v>
      </c>
      <c r="AM96" s="525"/>
      <c r="AN96" s="139">
        <f t="shared" si="52"/>
        <v>25</v>
      </c>
      <c r="AO96" s="205">
        <f>AN96/INDEX(Parameters!$B:$B,MATCH("AfschrijftermijnVVE"&amp;12*$C96,Parameters!$A:$A,0))</f>
        <v>0.69444444444444442</v>
      </c>
      <c r="AP96" s="139">
        <f t="shared" si="53"/>
        <v>73</v>
      </c>
      <c r="AQ96" s="526">
        <f>IF(AP96&lt;&gt;"nvt",INDEX('Tarieven W&amp;O'!$G:$G,$AP96),0)</f>
        <v>310.54000000000002</v>
      </c>
      <c r="AR96" s="251">
        <f>IF($S96,INDEX('Tarieven W&amp;O'!$G:$G,MATCH(N96&amp;R96,'Tarieven W&amp;O'!$B:$B,0)),0)</f>
        <v>0</v>
      </c>
      <c r="AS96" s="205">
        <f>-INDEX(Parameters!$B:$B,MATCH(AS$3,Parameters!$A:$A,0))*(AQ96+AR96)</f>
        <v>0</v>
      </c>
      <c r="AT96" s="205">
        <f>INDEX(hulpblad!$E:$E,MATCH(M96&amp;Q96,hulpblad!$B:$B,0))</f>
        <v>2</v>
      </c>
      <c r="AU96" s="150">
        <f t="shared" si="56"/>
        <v>312.54000000000002</v>
      </c>
      <c r="AV96" s="150">
        <f t="shared" si="57"/>
        <v>313.23444444444448</v>
      </c>
      <c r="AX96" s="526">
        <f>Parameters!$B$6*AV96</f>
        <v>3.132344444444445</v>
      </c>
      <c r="AY96" s="150">
        <v>0</v>
      </c>
      <c r="AZ96" s="150"/>
      <c r="BA96" s="150">
        <f t="shared" si="54"/>
        <v>3.132344444444445</v>
      </c>
      <c r="BB96" s="150"/>
      <c r="BC96" s="522">
        <f t="shared" si="55"/>
        <v>316.36678888888895</v>
      </c>
      <c r="BD96" s="175"/>
      <c r="BE96" s="527">
        <f t="shared" si="58"/>
        <v>711.41098888888882</v>
      </c>
      <c r="BF96" s="181">
        <f t="shared" si="59"/>
        <v>0.69218366486486482</v>
      </c>
      <c r="BG96" s="520" t="b">
        <f t="shared" si="48"/>
        <v>0</v>
      </c>
      <c r="BI96" s="528" t="s">
        <v>2181</v>
      </c>
      <c r="BL96" s="151" t="str">
        <f t="shared" si="61"/>
        <v>EoKMetro - Nationaal</v>
      </c>
      <c r="BM96" s="529">
        <v>0</v>
      </c>
      <c r="BN96" s="180">
        <f>BM96/INDEX(Parameters!$B:$B,MATCH("AfschrijftermijnVVE"&amp;12*$C96,Parameters!$A:$A,0))</f>
        <v>0</v>
      </c>
      <c r="BO96" s="184">
        <f>INDEX('inkoop ULL tbv EVPN'!I:I,MATCH(BL96,'inkoop ULL tbv EVPN'!H:H,0))</f>
        <v>2</v>
      </c>
      <c r="BP96" s="184">
        <f t="shared" si="62"/>
        <v>2</v>
      </c>
      <c r="BR96" s="180">
        <f>Parameters!$B$12*AG96</f>
        <v>102.77777777777779</v>
      </c>
      <c r="BS96" s="180">
        <f>SUM(Distributievergoedingen!$F$12,Distributievergoedingen!$I$12,Distributievergoedingen!$L$12,Distributievergoedingen!$O$12)*AF96+SUM(Distributievergoedingen!$O$12*AA96+Distributievergoedingen!$R$12+Distributievergoedingen!$U$12+Distributievergoedingen!$X$12)/(MAX(36,12*C96))</f>
        <v>112.77777777777777</v>
      </c>
      <c r="BT96" s="150"/>
      <c r="BU96" s="150">
        <f t="shared" si="63"/>
        <v>215.55555555555554</v>
      </c>
      <c r="BW96" s="522">
        <f t="shared" si="64"/>
        <v>217.55555555555554</v>
      </c>
      <c r="BY96" s="527">
        <f t="shared" si="65"/>
        <v>810.22222222222229</v>
      </c>
      <c r="BZ96" s="181">
        <f t="shared" si="66"/>
        <v>0.78832432432432431</v>
      </c>
      <c r="CA96" s="520" t="b">
        <f t="shared" si="67"/>
        <v>0</v>
      </c>
    </row>
    <row r="97" spans="1:79" s="151" customFormat="1">
      <c r="A97" s="151" t="str">
        <f t="shared" si="60"/>
        <v>1EoKPremiumRegionaal800</v>
      </c>
      <c r="B97" s="520" t="str">
        <f t="shared" si="45"/>
        <v>1EoKPremiumRegionaal800</v>
      </c>
      <c r="C97" s="179">
        <v>1</v>
      </c>
      <c r="D97" s="179" t="s">
        <v>303</v>
      </c>
      <c r="E97" s="178" t="s">
        <v>267</v>
      </c>
      <c r="F97" s="178" t="s">
        <v>265</v>
      </c>
      <c r="G97" s="185" t="s">
        <v>422</v>
      </c>
      <c r="J97" s="520" t="str">
        <f t="shared" si="46"/>
        <v>PremiumRegionaal800</v>
      </c>
      <c r="L97" s="204">
        <f>INDEX(Mapping!$H:$H,MATCH(C$3&amp;C97,Mapping!$B:$B,0))</f>
        <v>1</v>
      </c>
      <c r="M97" s="204" t="str">
        <f>INDEX(Mapping!$H:$H,MATCH(D$3&amp;$D97,Mapping!$B:$B,0))</f>
        <v>EoK</v>
      </c>
      <c r="N97" s="204" t="str">
        <f>INDEX(Mapping!$H:$H,MATCH(E$3&amp;E97,Mapping!$B:$B,0))</f>
        <v>Premium</v>
      </c>
      <c r="O97" s="204" t="str">
        <f>INDEX(Mapping!$H:$H,MATCH(F$3&amp;F97,Mapping!$B:$B,0))</f>
        <v>Metro</v>
      </c>
      <c r="P97" s="204">
        <f>INDEX(Mapping!$H:$H,MATCH(G$3&amp;G97,Mapping!$B:$B,0))</f>
        <v>800</v>
      </c>
      <c r="Q97" s="204" t="str">
        <f>INDEX(Mapping!$H:$H,MATCH(Q$3&amp;$F97,Mapping!$B:$B,0))</f>
        <v>Metro - Nationaal</v>
      </c>
      <c r="R97" s="204" t="str">
        <f>INDEX(Mapping!$H:$H,MATCH("ZM VPN Service Level"&amp;E97,Mapping!$B:$B,0))</f>
        <v>Advanced</v>
      </c>
      <c r="S97" s="139" t="b">
        <f>IF($D97="EoK",INDEX(Mapping!$I:$I,MATCH($G$3&amp;$G97,Mapping!B:B,0)),FALSE)</f>
        <v>0</v>
      </c>
      <c r="T97" s="139"/>
      <c r="U97" s="520" t="str">
        <f t="shared" si="47"/>
        <v>PremiumMetro800</v>
      </c>
      <c r="W97" s="521">
        <f>MATCH($J97,'Tarieven ZM'!$B:$B,0)</f>
        <v>101</v>
      </c>
      <c r="X97" s="204">
        <f>INDEX('Tarieven ZM'!$H:$H,$W97)</f>
        <v>1000</v>
      </c>
      <c r="Y97" s="198">
        <f>-INDEX(Parameters!$B:$B,MATCH(Y$3&amp;$C97,Parameters!$A:$A,0))*$X97</f>
        <v>0</v>
      </c>
      <c r="Z97" s="198">
        <f>-INDEX(Parameters!$B:$B,MATCH(Z$3&amp;$C97,Parameters!$A:$A,0))*$X97</f>
        <v>0</v>
      </c>
      <c r="AA97" s="139">
        <f t="shared" si="49"/>
        <v>1000</v>
      </c>
      <c r="AB97" s="205">
        <f>AA97/INDEX(Parameters!$B:$B,MATCH("AfschrijftermijnVVE"&amp;12*$C97,Parameters!$A:$A,0))</f>
        <v>27.777777777777779</v>
      </c>
      <c r="AC97" s="204">
        <f>INDEX('Tarieven ZM'!$G:$G,$W97)</f>
        <v>1000</v>
      </c>
      <c r="AD97" s="198">
        <f>-INDEX(Parameters!$B:$B,MATCH(AD$3&amp;$C97,Parameters!$A:$A,0))*$AC97</f>
        <v>0</v>
      </c>
      <c r="AE97" s="198">
        <f>-INDEX(Parameters!$B:$B,MATCH(AE$3,Parameters!$A:$A,0))*$AC97</f>
        <v>0</v>
      </c>
      <c r="AF97" s="139">
        <f t="shared" si="50"/>
        <v>1000</v>
      </c>
      <c r="AG97" s="522">
        <f t="shared" si="51"/>
        <v>1027.7777777777778</v>
      </c>
      <c r="AH97" s="175"/>
      <c r="AI97" s="523">
        <f>MATCH($U97,'Tarieven W&amp;O'!$B:$B,0)</f>
        <v>74</v>
      </c>
      <c r="AJ97" s="204">
        <f>IF(AI97&lt;&gt;"nvt",INDEX('Tarieven W&amp;O'!$H:$H,$AI97),0)</f>
        <v>0</v>
      </c>
      <c r="AK97" s="204">
        <f>IF(AI97&lt;&gt;"nvt",INDEX('Tarieven W&amp;O'!$I:$I,$AI97),0)</f>
        <v>25</v>
      </c>
      <c r="AL97" s="524">
        <f>IF(AI97&lt;&gt;"nvt",-INDEX(Parameters!$B:$B,MATCH(AL$3,Parameters!$A:$A,0))*(AJ97+AK97),0)</f>
        <v>0</v>
      </c>
      <c r="AM97" s="525"/>
      <c r="AN97" s="139">
        <f t="shared" si="52"/>
        <v>25</v>
      </c>
      <c r="AO97" s="205">
        <f>AN97/INDEX(Parameters!$B:$B,MATCH("AfschrijftermijnVVE"&amp;12*$C97,Parameters!$A:$A,0))</f>
        <v>0.69444444444444442</v>
      </c>
      <c r="AP97" s="139">
        <f t="shared" si="53"/>
        <v>74</v>
      </c>
      <c r="AQ97" s="526">
        <f>IF(AP97&lt;&gt;"nvt",INDEX('Tarieven W&amp;O'!$G:$G,$AP97),0)</f>
        <v>348.23</v>
      </c>
      <c r="AR97" s="251">
        <f>IF($S97,INDEX('Tarieven W&amp;O'!$G:$G,MATCH(N97&amp;R97,'Tarieven W&amp;O'!$B:$B,0)),0)</f>
        <v>0</v>
      </c>
      <c r="AS97" s="205">
        <f>-INDEX(Parameters!$B:$B,MATCH(AS$3,Parameters!$A:$A,0))*(AQ97+AR97)</f>
        <v>0</v>
      </c>
      <c r="AT97" s="205">
        <f>INDEX(hulpblad!$E:$E,MATCH(M97&amp;Q97,hulpblad!$B:$B,0))</f>
        <v>2</v>
      </c>
      <c r="AU97" s="150">
        <f t="shared" si="56"/>
        <v>350.23</v>
      </c>
      <c r="AV97" s="150">
        <f t="shared" si="57"/>
        <v>350.92444444444448</v>
      </c>
      <c r="AX97" s="526">
        <f>Parameters!$B$6*AV97</f>
        <v>3.5092444444444446</v>
      </c>
      <c r="AY97" s="150">
        <v>0</v>
      </c>
      <c r="AZ97" s="150"/>
      <c r="BA97" s="150">
        <f t="shared" si="54"/>
        <v>3.5092444444444446</v>
      </c>
      <c r="BB97" s="150"/>
      <c r="BC97" s="522">
        <f t="shared" si="55"/>
        <v>354.43368888888892</v>
      </c>
      <c r="BD97" s="175"/>
      <c r="BE97" s="527">
        <f t="shared" si="58"/>
        <v>673.3440888888889</v>
      </c>
      <c r="BF97" s="181">
        <f t="shared" si="59"/>
        <v>0.65514559999999999</v>
      </c>
      <c r="BG97" s="520" t="b">
        <f t="shared" si="48"/>
        <v>0</v>
      </c>
      <c r="BI97" s="528" t="s">
        <v>2181</v>
      </c>
      <c r="BL97" s="151" t="str">
        <f t="shared" si="61"/>
        <v>EoKMetro - Nationaal</v>
      </c>
      <c r="BM97" s="529">
        <v>0</v>
      </c>
      <c r="BN97" s="180">
        <f>BM97/INDEX(Parameters!$B:$B,MATCH("AfschrijftermijnVVE"&amp;12*$C97,Parameters!$A:$A,0))</f>
        <v>0</v>
      </c>
      <c r="BO97" s="184">
        <f>INDEX('inkoop ULL tbv EVPN'!I:I,MATCH(BL97,'inkoop ULL tbv EVPN'!H:H,0))</f>
        <v>2</v>
      </c>
      <c r="BP97" s="184">
        <f t="shared" si="62"/>
        <v>2</v>
      </c>
      <c r="BR97" s="180">
        <f>Parameters!$B$12*AG97</f>
        <v>102.77777777777779</v>
      </c>
      <c r="BS97" s="180">
        <f>SUM(Distributievergoedingen!$F$12,Distributievergoedingen!$I$12,Distributievergoedingen!$L$12,Distributievergoedingen!$O$12)*AF97+SUM(Distributievergoedingen!$O$12*AA97+Distributievergoedingen!$R$12+Distributievergoedingen!$U$12+Distributievergoedingen!$X$12)/(MAX(36,12*C97))</f>
        <v>112.77777777777777</v>
      </c>
      <c r="BT97" s="150"/>
      <c r="BU97" s="150">
        <f t="shared" si="63"/>
        <v>215.55555555555554</v>
      </c>
      <c r="BW97" s="522">
        <f t="shared" si="64"/>
        <v>217.55555555555554</v>
      </c>
      <c r="BY97" s="527">
        <f t="shared" si="65"/>
        <v>810.22222222222229</v>
      </c>
      <c r="BZ97" s="181">
        <f t="shared" si="66"/>
        <v>0.78832432432432431</v>
      </c>
      <c r="CA97" s="520" t="b">
        <f t="shared" si="67"/>
        <v>0</v>
      </c>
    </row>
    <row r="98" spans="1:79" s="151" customFormat="1">
      <c r="A98" s="151" t="str">
        <f t="shared" si="60"/>
        <v>1EoKPremiumRegionaal1000</v>
      </c>
      <c r="B98" s="520" t="str">
        <f t="shared" si="45"/>
        <v>1EoKPremiumRegionaal1000</v>
      </c>
      <c r="C98" s="179">
        <v>1</v>
      </c>
      <c r="D98" s="179" t="s">
        <v>303</v>
      </c>
      <c r="E98" s="178" t="s">
        <v>267</v>
      </c>
      <c r="F98" s="178" t="s">
        <v>265</v>
      </c>
      <c r="G98" s="185" t="s">
        <v>423</v>
      </c>
      <c r="J98" s="520" t="str">
        <f t="shared" si="46"/>
        <v>PremiumRegionaal1000</v>
      </c>
      <c r="L98" s="204">
        <f>INDEX(Mapping!$H:$H,MATCH(C$3&amp;C98,Mapping!$B:$B,0))</f>
        <v>1</v>
      </c>
      <c r="M98" s="204" t="str">
        <f>INDEX(Mapping!$H:$H,MATCH(D$3&amp;$D98,Mapping!$B:$B,0))</f>
        <v>EoK</v>
      </c>
      <c r="N98" s="204" t="str">
        <f>INDEX(Mapping!$H:$H,MATCH(E$3&amp;E98,Mapping!$B:$B,0))</f>
        <v>Premium</v>
      </c>
      <c r="O98" s="204" t="str">
        <f>INDEX(Mapping!$H:$H,MATCH(F$3&amp;F98,Mapping!$B:$B,0))</f>
        <v>Metro</v>
      </c>
      <c r="P98" s="204">
        <f>INDEX(Mapping!$H:$H,MATCH(G$3&amp;G98,Mapping!$B:$B,0))</f>
        <v>1000</v>
      </c>
      <c r="Q98" s="204" t="str">
        <f>INDEX(Mapping!$H:$H,MATCH(Q$3&amp;$F98,Mapping!$B:$B,0))</f>
        <v>Metro - Nationaal</v>
      </c>
      <c r="R98" s="204" t="str">
        <f>INDEX(Mapping!$H:$H,MATCH("ZM VPN Service Level"&amp;E98,Mapping!$B:$B,0))</f>
        <v>Advanced</v>
      </c>
      <c r="S98" s="139" t="b">
        <f>IF($D98="EoK",INDEX(Mapping!$I:$I,MATCH($G$3&amp;$G98,Mapping!B:B,0)),FALSE)</f>
        <v>0</v>
      </c>
      <c r="T98" s="139"/>
      <c r="U98" s="520" t="str">
        <f t="shared" si="47"/>
        <v>PremiumMetro1000</v>
      </c>
      <c r="W98" s="521">
        <f>MATCH($J98,'Tarieven ZM'!$B:$B,0)</f>
        <v>102</v>
      </c>
      <c r="X98" s="204">
        <f>INDEX('Tarieven ZM'!$H:$H,$W98)</f>
        <v>1000</v>
      </c>
      <c r="Y98" s="198">
        <f>-INDEX(Parameters!$B:$B,MATCH(Y$3&amp;$C98,Parameters!$A:$A,0))*$X98</f>
        <v>0</v>
      </c>
      <c r="Z98" s="198">
        <f>-INDEX(Parameters!$B:$B,MATCH(Z$3&amp;$C98,Parameters!$A:$A,0))*$X98</f>
        <v>0</v>
      </c>
      <c r="AA98" s="139">
        <f t="shared" si="49"/>
        <v>1000</v>
      </c>
      <c r="AB98" s="205">
        <f>AA98/INDEX(Parameters!$B:$B,MATCH("AfschrijftermijnVVE"&amp;12*$C98,Parameters!$A:$A,0))</f>
        <v>27.777777777777779</v>
      </c>
      <c r="AC98" s="204">
        <f>INDEX('Tarieven ZM'!$G:$G,$W98)</f>
        <v>1000</v>
      </c>
      <c r="AD98" s="198">
        <f>-INDEX(Parameters!$B:$B,MATCH(AD$3&amp;$C98,Parameters!$A:$A,0))*$AC98</f>
        <v>0</v>
      </c>
      <c r="AE98" s="198">
        <f>-INDEX(Parameters!$B:$B,MATCH(AE$3,Parameters!$A:$A,0))*$AC98</f>
        <v>0</v>
      </c>
      <c r="AF98" s="139">
        <f t="shared" si="50"/>
        <v>1000</v>
      </c>
      <c r="AG98" s="522">
        <f t="shared" si="51"/>
        <v>1027.7777777777778</v>
      </c>
      <c r="AH98" s="175"/>
      <c r="AI98" s="523">
        <f>MATCH($U98,'Tarieven W&amp;O'!$B:$B,0)</f>
        <v>75</v>
      </c>
      <c r="AJ98" s="204">
        <f>IF(AI98&lt;&gt;"nvt",INDEX('Tarieven W&amp;O'!$H:$H,$AI98),0)</f>
        <v>0</v>
      </c>
      <c r="AK98" s="204">
        <f>IF(AI98&lt;&gt;"nvt",INDEX('Tarieven W&amp;O'!$I:$I,$AI98),0)</f>
        <v>25</v>
      </c>
      <c r="AL98" s="524">
        <f>IF(AI98&lt;&gt;"nvt",-INDEX(Parameters!$B:$B,MATCH(AL$3,Parameters!$A:$A,0))*(AJ98+AK98),0)</f>
        <v>0</v>
      </c>
      <c r="AM98" s="525"/>
      <c r="AN98" s="139">
        <f t="shared" si="52"/>
        <v>25</v>
      </c>
      <c r="AO98" s="205">
        <f>AN98/INDEX(Parameters!$B:$B,MATCH("AfschrijftermijnVVE"&amp;12*$C98,Parameters!$A:$A,0))</f>
        <v>0.69444444444444442</v>
      </c>
      <c r="AP98" s="139">
        <f t="shared" si="53"/>
        <v>75</v>
      </c>
      <c r="AQ98" s="526">
        <f>IF(AP98&lt;&gt;"nvt",INDEX('Tarieven W&amp;O'!$G:$G,$AP98),0)</f>
        <v>385.93</v>
      </c>
      <c r="AR98" s="251">
        <f>IF($S98,INDEX('Tarieven W&amp;O'!$G:$G,MATCH(N98&amp;R98,'Tarieven W&amp;O'!$B:$B,0)),0)</f>
        <v>0</v>
      </c>
      <c r="AS98" s="205">
        <f>-INDEX(Parameters!$B:$B,MATCH(AS$3,Parameters!$A:$A,0))*(AQ98+AR98)</f>
        <v>0</v>
      </c>
      <c r="AT98" s="205">
        <f>INDEX(hulpblad!$E:$E,MATCH(M98&amp;Q98,hulpblad!$B:$B,0))</f>
        <v>2</v>
      </c>
      <c r="AU98" s="150">
        <f t="shared" si="56"/>
        <v>387.93</v>
      </c>
      <c r="AV98" s="150">
        <f t="shared" si="57"/>
        <v>388.62444444444446</v>
      </c>
      <c r="AX98" s="526">
        <f>Parameters!$B$6*AV98</f>
        <v>3.8862444444444448</v>
      </c>
      <c r="AY98" s="150">
        <v>0</v>
      </c>
      <c r="AZ98" s="150"/>
      <c r="BA98" s="150">
        <f t="shared" si="54"/>
        <v>3.8862444444444448</v>
      </c>
      <c r="BB98" s="150"/>
      <c r="BC98" s="522">
        <f t="shared" si="55"/>
        <v>392.51068888888892</v>
      </c>
      <c r="BD98" s="175"/>
      <c r="BE98" s="527">
        <f t="shared" si="58"/>
        <v>635.26708888888891</v>
      </c>
      <c r="BF98" s="181">
        <f t="shared" si="59"/>
        <v>0.61809770810810805</v>
      </c>
      <c r="BG98" s="520" t="b">
        <f t="shared" si="48"/>
        <v>0</v>
      </c>
      <c r="BI98" s="528" t="s">
        <v>2181</v>
      </c>
      <c r="BL98" s="151" t="str">
        <f t="shared" si="61"/>
        <v>EoKMetro - Nationaal</v>
      </c>
      <c r="BM98" s="529">
        <v>0</v>
      </c>
      <c r="BN98" s="180">
        <f>BM98/INDEX(Parameters!$B:$B,MATCH("AfschrijftermijnVVE"&amp;12*$C98,Parameters!$A:$A,0))</f>
        <v>0</v>
      </c>
      <c r="BO98" s="184">
        <f>INDEX('inkoop ULL tbv EVPN'!I:I,MATCH(BL98,'inkoop ULL tbv EVPN'!H:H,0))</f>
        <v>2</v>
      </c>
      <c r="BP98" s="184">
        <f t="shared" si="62"/>
        <v>2</v>
      </c>
      <c r="BR98" s="180">
        <f>Parameters!$B$12*AG98</f>
        <v>102.77777777777779</v>
      </c>
      <c r="BS98" s="180">
        <f>SUM(Distributievergoedingen!$F$12,Distributievergoedingen!$I$12,Distributievergoedingen!$L$12,Distributievergoedingen!$O$12)*AF98+SUM(Distributievergoedingen!$O$12*AA98+Distributievergoedingen!$R$12+Distributievergoedingen!$U$12+Distributievergoedingen!$X$12)/(MAX(36,12*C98))</f>
        <v>112.77777777777777</v>
      </c>
      <c r="BT98" s="150"/>
      <c r="BU98" s="150">
        <f t="shared" si="63"/>
        <v>215.55555555555554</v>
      </c>
      <c r="BW98" s="522">
        <f t="shared" si="64"/>
        <v>217.55555555555554</v>
      </c>
      <c r="BY98" s="527">
        <f t="shared" si="65"/>
        <v>810.22222222222229</v>
      </c>
      <c r="BZ98" s="181">
        <f t="shared" si="66"/>
        <v>0.78832432432432431</v>
      </c>
      <c r="CA98" s="520" t="b">
        <f t="shared" si="67"/>
        <v>0</v>
      </c>
    </row>
    <row r="99" spans="1:79" s="151" customFormat="1">
      <c r="A99" s="151" t="str">
        <f t="shared" si="60"/>
        <v>1EoKPremiumNationaal1</v>
      </c>
      <c r="B99" s="520" t="str">
        <f t="shared" si="45"/>
        <v>1EoKPremiumNationaal1</v>
      </c>
      <c r="C99" s="179">
        <v>1</v>
      </c>
      <c r="D99" s="179" t="s">
        <v>303</v>
      </c>
      <c r="E99" s="178" t="s">
        <v>267</v>
      </c>
      <c r="F99" s="178" t="s">
        <v>266</v>
      </c>
      <c r="G99" s="185" t="s">
        <v>362</v>
      </c>
      <c r="J99" s="520" t="str">
        <f t="shared" si="46"/>
        <v>PremiumNationaal1</v>
      </c>
      <c r="L99" s="204">
        <f>INDEX(Mapping!$H:$H,MATCH(C$3&amp;C99,Mapping!$B:$B,0))</f>
        <v>1</v>
      </c>
      <c r="M99" s="204" t="str">
        <f>INDEX(Mapping!$H:$H,MATCH(D$3&amp;$D99,Mapping!$B:$B,0))</f>
        <v>EoK</v>
      </c>
      <c r="N99" s="204" t="str">
        <f>INDEX(Mapping!$H:$H,MATCH(E$3&amp;E99,Mapping!$B:$B,0))</f>
        <v>Premium</v>
      </c>
      <c r="O99" s="204" t="str">
        <f>INDEX(Mapping!$H:$H,MATCH(F$3&amp;F99,Mapping!$B:$B,0))</f>
        <v>Metro</v>
      </c>
      <c r="P99" s="204">
        <f>INDEX(Mapping!$H:$H,MATCH(G$3&amp;G99,Mapping!$B:$B,0))</f>
        <v>1</v>
      </c>
      <c r="Q99" s="204" t="str">
        <f>INDEX(Mapping!$H:$H,MATCH(Q$3&amp;$F99,Mapping!$B:$B,0))</f>
        <v>Metro - Nationaal</v>
      </c>
      <c r="R99" s="204" t="str">
        <f>INDEX(Mapping!$H:$H,MATCH("ZM VPN Service Level"&amp;E99,Mapping!$B:$B,0))</f>
        <v>Advanced</v>
      </c>
      <c r="S99" s="139" t="b">
        <f>IF($D99="EoK",INDEX(Mapping!$I:$I,MATCH($G$3&amp;$G99,Mapping!B:B,0)),FALSE)</f>
        <v>1</v>
      </c>
      <c r="T99" s="139"/>
      <c r="U99" s="520" t="str">
        <f t="shared" si="47"/>
        <v>PremiumMetro1</v>
      </c>
      <c r="W99" s="521">
        <f>MATCH($J99,'Tarieven ZM'!$B:$B,0)</f>
        <v>103</v>
      </c>
      <c r="X99" s="204">
        <f>INDEX('Tarieven ZM'!$H:$H,$W99)</f>
        <v>1000</v>
      </c>
      <c r="Y99" s="198">
        <f>-INDEX(Parameters!$B:$B,MATCH(Y$3&amp;$C99,Parameters!$A:$A,0))*$X99</f>
        <v>0</v>
      </c>
      <c r="Z99" s="198">
        <f>-INDEX(Parameters!$B:$B,MATCH(Z$3&amp;$C99,Parameters!$A:$A,0))*$X99</f>
        <v>0</v>
      </c>
      <c r="AA99" s="139">
        <f t="shared" si="49"/>
        <v>1000</v>
      </c>
      <c r="AB99" s="205">
        <f>AA99/INDEX(Parameters!$B:$B,MATCH("AfschrijftermijnVVE"&amp;12*$C99,Parameters!$A:$A,0))</f>
        <v>27.777777777777779</v>
      </c>
      <c r="AC99" s="204">
        <f>INDEX('Tarieven ZM'!$G:$G,$W99)</f>
        <v>1000</v>
      </c>
      <c r="AD99" s="198">
        <f>-INDEX(Parameters!$B:$B,MATCH(AD$3&amp;$C99,Parameters!$A:$A,0))*$AC99</f>
        <v>0</v>
      </c>
      <c r="AE99" s="198">
        <f>-INDEX(Parameters!$B:$B,MATCH(AE$3,Parameters!$A:$A,0))*$AC99</f>
        <v>0</v>
      </c>
      <c r="AF99" s="139">
        <f t="shared" si="50"/>
        <v>1000</v>
      </c>
      <c r="AG99" s="522">
        <f t="shared" si="51"/>
        <v>1027.7777777777778</v>
      </c>
      <c r="AH99" s="175"/>
      <c r="AI99" s="523">
        <f>MATCH($U99,'Tarieven W&amp;O'!$B:$B,0)</f>
        <v>57</v>
      </c>
      <c r="AJ99" s="204">
        <f>IF(AI99&lt;&gt;"nvt",INDEX('Tarieven W&amp;O'!$H:$H,$AI99),0)</f>
        <v>0</v>
      </c>
      <c r="AK99" s="204">
        <f>IF(AI99&lt;&gt;"nvt",INDEX('Tarieven W&amp;O'!$I:$I,$AI99),0)</f>
        <v>25</v>
      </c>
      <c r="AL99" s="524">
        <f>IF(AI99&lt;&gt;"nvt",-INDEX(Parameters!$B:$B,MATCH(AL$3,Parameters!$A:$A,0))*(AJ99+AK99),0)</f>
        <v>0</v>
      </c>
      <c r="AM99" s="525"/>
      <c r="AN99" s="139">
        <f t="shared" si="52"/>
        <v>25</v>
      </c>
      <c r="AO99" s="205">
        <f>AN99/INDEX(Parameters!$B:$B,MATCH("AfschrijftermijnVVE"&amp;12*$C99,Parameters!$A:$A,0))</f>
        <v>0.69444444444444442</v>
      </c>
      <c r="AP99" s="139">
        <f t="shared" si="53"/>
        <v>57</v>
      </c>
      <c r="AQ99" s="526">
        <f>IF(AP99&lt;&gt;"nvt",INDEX('Tarieven W&amp;O'!$G:$G,$AP99),0)</f>
        <v>14.29</v>
      </c>
      <c r="AR99" s="251">
        <f>IF($S99,INDEX('Tarieven W&amp;O'!$G:$G,MATCH(N99&amp;R99,'Tarieven W&amp;O'!$B:$B,0)),0)</f>
        <v>0</v>
      </c>
      <c r="AS99" s="205">
        <f>-INDEX(Parameters!$B:$B,MATCH(AS$3,Parameters!$A:$A,0))*(AQ99+AR99)</f>
        <v>0</v>
      </c>
      <c r="AT99" s="205">
        <f>INDEX(hulpblad!$E:$E,MATCH(M99&amp;Q99,hulpblad!$B:$B,0))</f>
        <v>2</v>
      </c>
      <c r="AU99" s="150">
        <f t="shared" si="56"/>
        <v>16.29</v>
      </c>
      <c r="AV99" s="150">
        <f t="shared" si="57"/>
        <v>16.984444444444442</v>
      </c>
      <c r="AX99" s="526">
        <f>Parameters!$B$6*AV99</f>
        <v>0.16984444444444444</v>
      </c>
      <c r="AY99" s="150">
        <v>0</v>
      </c>
      <c r="AZ99" s="150"/>
      <c r="BA99" s="150">
        <f t="shared" si="54"/>
        <v>0.16984444444444444</v>
      </c>
      <c r="BB99" s="150"/>
      <c r="BC99" s="522">
        <f t="shared" si="55"/>
        <v>17.154288888888885</v>
      </c>
      <c r="BD99" s="175"/>
      <c r="BE99" s="527">
        <f t="shared" si="58"/>
        <v>1010.6234888888889</v>
      </c>
      <c r="BF99" s="181">
        <f t="shared" si="59"/>
        <v>0.98330934054054053</v>
      </c>
      <c r="BG99" s="520" t="b">
        <f t="shared" si="48"/>
        <v>0</v>
      </c>
      <c r="BI99" s="528" t="s">
        <v>2181</v>
      </c>
      <c r="BL99" s="151" t="str">
        <f t="shared" si="61"/>
        <v>EoKMetro - Nationaal</v>
      </c>
      <c r="BM99" s="529">
        <v>0</v>
      </c>
      <c r="BN99" s="180">
        <f>BM99/INDEX(Parameters!$B:$B,MATCH("AfschrijftermijnVVE"&amp;12*$C99,Parameters!$A:$A,0))</f>
        <v>0</v>
      </c>
      <c r="BO99" s="184">
        <f>INDEX('inkoop ULL tbv EVPN'!I:I,MATCH(BL99,'inkoop ULL tbv EVPN'!H:H,0))</f>
        <v>2</v>
      </c>
      <c r="BP99" s="184">
        <f t="shared" si="62"/>
        <v>2</v>
      </c>
      <c r="BR99" s="180">
        <f>Parameters!$B$12*AG99</f>
        <v>102.77777777777779</v>
      </c>
      <c r="BS99" s="180">
        <f>SUM(Distributievergoedingen!$F$12,Distributievergoedingen!$I$12,Distributievergoedingen!$L$12,Distributievergoedingen!$O$12)*AF99+SUM(Distributievergoedingen!$O$12*AA99+Distributievergoedingen!$R$12+Distributievergoedingen!$U$12+Distributievergoedingen!$X$12)/(MAX(36,12*C99))</f>
        <v>112.77777777777777</v>
      </c>
      <c r="BT99" s="150"/>
      <c r="BU99" s="150">
        <f t="shared" si="63"/>
        <v>215.55555555555554</v>
      </c>
      <c r="BW99" s="522">
        <f t="shared" si="64"/>
        <v>217.55555555555554</v>
      </c>
      <c r="BY99" s="527">
        <f t="shared" si="65"/>
        <v>810.22222222222229</v>
      </c>
      <c r="BZ99" s="181">
        <f t="shared" si="66"/>
        <v>0.78832432432432431</v>
      </c>
      <c r="CA99" s="520" t="b">
        <f t="shared" si="67"/>
        <v>0</v>
      </c>
    </row>
    <row r="100" spans="1:79" s="151" customFormat="1">
      <c r="A100" s="151" t="str">
        <f t="shared" si="60"/>
        <v>1EoKPremiumNationaal2</v>
      </c>
      <c r="B100" s="520" t="str">
        <f t="shared" si="45"/>
        <v>1EoKPremiumNationaal2</v>
      </c>
      <c r="C100" s="179">
        <v>1</v>
      </c>
      <c r="D100" s="179" t="s">
        <v>303</v>
      </c>
      <c r="E100" s="178" t="s">
        <v>267</v>
      </c>
      <c r="F100" s="178" t="s">
        <v>266</v>
      </c>
      <c r="G100" s="185" t="s">
        <v>363</v>
      </c>
      <c r="J100" s="520" t="str">
        <f t="shared" si="46"/>
        <v>PremiumNationaal2</v>
      </c>
      <c r="L100" s="204">
        <f>INDEX(Mapping!$H:$H,MATCH(C$3&amp;C100,Mapping!$B:$B,0))</f>
        <v>1</v>
      </c>
      <c r="M100" s="204" t="str">
        <f>INDEX(Mapping!$H:$H,MATCH(D$3&amp;$D100,Mapping!$B:$B,0))</f>
        <v>EoK</v>
      </c>
      <c r="N100" s="204" t="str">
        <f>INDEX(Mapping!$H:$H,MATCH(E$3&amp;E100,Mapping!$B:$B,0))</f>
        <v>Premium</v>
      </c>
      <c r="O100" s="204" t="str">
        <f>INDEX(Mapping!$H:$H,MATCH(F$3&amp;F100,Mapping!$B:$B,0))</f>
        <v>Metro</v>
      </c>
      <c r="P100" s="204">
        <f>INDEX(Mapping!$H:$H,MATCH(G$3&amp;G100,Mapping!$B:$B,0))</f>
        <v>2</v>
      </c>
      <c r="Q100" s="204" t="str">
        <f>INDEX(Mapping!$H:$H,MATCH(Q$3&amp;$F100,Mapping!$B:$B,0))</f>
        <v>Metro - Nationaal</v>
      </c>
      <c r="R100" s="204" t="str">
        <f>INDEX(Mapping!$H:$H,MATCH("ZM VPN Service Level"&amp;E100,Mapping!$B:$B,0))</f>
        <v>Advanced</v>
      </c>
      <c r="S100" s="139" t="b">
        <f>IF($D100="EoK",INDEX(Mapping!$I:$I,MATCH($G$3&amp;$G100,Mapping!B:B,0)),FALSE)</f>
        <v>1</v>
      </c>
      <c r="T100" s="139"/>
      <c r="U100" s="520" t="str">
        <f t="shared" si="47"/>
        <v>PremiumMetro2</v>
      </c>
      <c r="W100" s="521">
        <f>MATCH($J100,'Tarieven ZM'!$B:$B,0)</f>
        <v>104</v>
      </c>
      <c r="X100" s="204">
        <f>INDEX('Tarieven ZM'!$H:$H,$W100)</f>
        <v>1000</v>
      </c>
      <c r="Y100" s="198">
        <f>-INDEX(Parameters!$B:$B,MATCH(Y$3&amp;$C100,Parameters!$A:$A,0))*$X100</f>
        <v>0</v>
      </c>
      <c r="Z100" s="198">
        <f>-INDEX(Parameters!$B:$B,MATCH(Z$3&amp;$C100,Parameters!$A:$A,0))*$X100</f>
        <v>0</v>
      </c>
      <c r="AA100" s="139">
        <f t="shared" si="49"/>
        <v>1000</v>
      </c>
      <c r="AB100" s="205">
        <f>AA100/INDEX(Parameters!$B:$B,MATCH("AfschrijftermijnVVE"&amp;12*$C100,Parameters!$A:$A,0))</f>
        <v>27.777777777777779</v>
      </c>
      <c r="AC100" s="204">
        <f>INDEX('Tarieven ZM'!$G:$G,$W100)</f>
        <v>1000</v>
      </c>
      <c r="AD100" s="198">
        <f>-INDEX(Parameters!$B:$B,MATCH(AD$3&amp;$C100,Parameters!$A:$A,0))*$AC100</f>
        <v>0</v>
      </c>
      <c r="AE100" s="198">
        <f>-INDEX(Parameters!$B:$B,MATCH(AE$3,Parameters!$A:$A,0))*$AC100</f>
        <v>0</v>
      </c>
      <c r="AF100" s="139">
        <f t="shared" si="50"/>
        <v>1000</v>
      </c>
      <c r="AG100" s="522">
        <f t="shared" si="51"/>
        <v>1027.7777777777778</v>
      </c>
      <c r="AH100" s="175"/>
      <c r="AI100" s="523">
        <f>MATCH($U100,'Tarieven W&amp;O'!$B:$B,0)</f>
        <v>58</v>
      </c>
      <c r="AJ100" s="204">
        <f>IF(AI100&lt;&gt;"nvt",INDEX('Tarieven W&amp;O'!$H:$H,$AI100),0)</f>
        <v>0</v>
      </c>
      <c r="AK100" s="204">
        <f>IF(AI100&lt;&gt;"nvt",INDEX('Tarieven W&amp;O'!$I:$I,$AI100),0)</f>
        <v>25</v>
      </c>
      <c r="AL100" s="524">
        <f>IF(AI100&lt;&gt;"nvt",-INDEX(Parameters!$B:$B,MATCH(AL$3,Parameters!$A:$A,0))*(AJ100+AK100),0)</f>
        <v>0</v>
      </c>
      <c r="AM100" s="525"/>
      <c r="AN100" s="139">
        <f t="shared" si="52"/>
        <v>25</v>
      </c>
      <c r="AO100" s="205">
        <f>AN100/INDEX(Parameters!$B:$B,MATCH("AfschrijftermijnVVE"&amp;12*$C100,Parameters!$A:$A,0))</f>
        <v>0.69444444444444442</v>
      </c>
      <c r="AP100" s="139">
        <f t="shared" si="53"/>
        <v>58</v>
      </c>
      <c r="AQ100" s="526">
        <f>IF(AP100&lt;&gt;"nvt",INDEX('Tarieven W&amp;O'!$G:$G,$AP100),0)</f>
        <v>16.55</v>
      </c>
      <c r="AR100" s="251">
        <f>IF($S100,INDEX('Tarieven W&amp;O'!$G:$G,MATCH(N100&amp;R100,'Tarieven W&amp;O'!$B:$B,0)),0)</f>
        <v>0</v>
      </c>
      <c r="AS100" s="205">
        <f>-INDEX(Parameters!$B:$B,MATCH(AS$3,Parameters!$A:$A,0))*(AQ100+AR100)</f>
        <v>0</v>
      </c>
      <c r="AT100" s="205">
        <f>INDEX(hulpblad!$E:$E,MATCH(M100&amp;Q100,hulpblad!$B:$B,0))</f>
        <v>2</v>
      </c>
      <c r="AU100" s="150">
        <f t="shared" si="56"/>
        <v>18.55</v>
      </c>
      <c r="AV100" s="150">
        <f t="shared" si="57"/>
        <v>19.244444444444444</v>
      </c>
      <c r="AX100" s="526">
        <f>Parameters!$B$6*AV100</f>
        <v>0.19244444444444445</v>
      </c>
      <c r="AY100" s="150">
        <v>0</v>
      </c>
      <c r="AZ100" s="150"/>
      <c r="BA100" s="150">
        <f t="shared" si="54"/>
        <v>0.19244444444444445</v>
      </c>
      <c r="BB100" s="150"/>
      <c r="BC100" s="522">
        <f t="shared" si="55"/>
        <v>19.436888888888888</v>
      </c>
      <c r="BD100" s="175"/>
      <c r="BE100" s="527">
        <f t="shared" si="58"/>
        <v>1008.3408888888889</v>
      </c>
      <c r="BF100" s="181">
        <f t="shared" si="59"/>
        <v>0.98108843243243238</v>
      </c>
      <c r="BG100" s="520" t="b">
        <f t="shared" si="48"/>
        <v>0</v>
      </c>
      <c r="BI100" s="528" t="s">
        <v>2181</v>
      </c>
      <c r="BL100" s="151" t="str">
        <f t="shared" si="61"/>
        <v>EoKMetro - Nationaal</v>
      </c>
      <c r="BM100" s="529">
        <v>0</v>
      </c>
      <c r="BN100" s="180">
        <f>BM100/INDEX(Parameters!$B:$B,MATCH("AfschrijftermijnVVE"&amp;12*$C100,Parameters!$A:$A,0))</f>
        <v>0</v>
      </c>
      <c r="BO100" s="184">
        <f>INDEX('inkoop ULL tbv EVPN'!I:I,MATCH(BL100,'inkoop ULL tbv EVPN'!H:H,0))</f>
        <v>2</v>
      </c>
      <c r="BP100" s="184">
        <f t="shared" si="62"/>
        <v>2</v>
      </c>
      <c r="BR100" s="180">
        <f>Parameters!$B$12*AG100</f>
        <v>102.77777777777779</v>
      </c>
      <c r="BS100" s="180">
        <f>SUM(Distributievergoedingen!$F$12,Distributievergoedingen!$I$12,Distributievergoedingen!$L$12,Distributievergoedingen!$O$12)*AF100+SUM(Distributievergoedingen!$O$12*AA100+Distributievergoedingen!$R$12+Distributievergoedingen!$U$12+Distributievergoedingen!$X$12)/(MAX(36,12*C100))</f>
        <v>112.77777777777777</v>
      </c>
      <c r="BT100" s="150"/>
      <c r="BU100" s="150">
        <f t="shared" si="63"/>
        <v>215.55555555555554</v>
      </c>
      <c r="BW100" s="522">
        <f t="shared" si="64"/>
        <v>217.55555555555554</v>
      </c>
      <c r="BY100" s="527">
        <f t="shared" si="65"/>
        <v>810.22222222222229</v>
      </c>
      <c r="BZ100" s="181">
        <f t="shared" si="66"/>
        <v>0.78832432432432431</v>
      </c>
      <c r="CA100" s="520" t="b">
        <f t="shared" si="67"/>
        <v>0</v>
      </c>
    </row>
    <row r="101" spans="1:79" s="151" customFormat="1">
      <c r="A101" s="151" t="str">
        <f t="shared" si="60"/>
        <v>1EoKPremiumNationaal3</v>
      </c>
      <c r="B101" s="520" t="str">
        <f t="shared" si="45"/>
        <v>1EoKPremiumNationaal3</v>
      </c>
      <c r="C101" s="179">
        <v>1</v>
      </c>
      <c r="D101" s="179" t="s">
        <v>303</v>
      </c>
      <c r="E101" s="178" t="s">
        <v>267</v>
      </c>
      <c r="F101" s="178" t="s">
        <v>266</v>
      </c>
      <c r="G101" s="185" t="s">
        <v>407</v>
      </c>
      <c r="J101" s="520" t="str">
        <f t="shared" si="46"/>
        <v>PremiumNationaal3</v>
      </c>
      <c r="L101" s="204">
        <f>INDEX(Mapping!$H:$H,MATCH(C$3&amp;C101,Mapping!$B:$B,0))</f>
        <v>1</v>
      </c>
      <c r="M101" s="204" t="str">
        <f>INDEX(Mapping!$H:$H,MATCH(D$3&amp;$D101,Mapping!$B:$B,0))</f>
        <v>EoK</v>
      </c>
      <c r="N101" s="204" t="str">
        <f>INDEX(Mapping!$H:$H,MATCH(E$3&amp;E101,Mapping!$B:$B,0))</f>
        <v>Premium</v>
      </c>
      <c r="O101" s="204" t="str">
        <f>INDEX(Mapping!$H:$H,MATCH(F$3&amp;F101,Mapping!$B:$B,0))</f>
        <v>Metro</v>
      </c>
      <c r="P101" s="204">
        <f>INDEX(Mapping!$H:$H,MATCH(G$3&amp;G101,Mapping!$B:$B,0))</f>
        <v>3</v>
      </c>
      <c r="Q101" s="204" t="str">
        <f>INDEX(Mapping!$H:$H,MATCH(Q$3&amp;$F101,Mapping!$B:$B,0))</f>
        <v>Metro - Nationaal</v>
      </c>
      <c r="R101" s="204" t="str">
        <f>INDEX(Mapping!$H:$H,MATCH("ZM VPN Service Level"&amp;E101,Mapping!$B:$B,0))</f>
        <v>Advanced</v>
      </c>
      <c r="S101" s="139" t="b">
        <f>IF($D101="EoK",INDEX(Mapping!$I:$I,MATCH($G$3&amp;$G101,Mapping!B:B,0)),FALSE)</f>
        <v>0</v>
      </c>
      <c r="T101" s="139"/>
      <c r="U101" s="520" t="str">
        <f t="shared" si="47"/>
        <v>PremiumMetro3</v>
      </c>
      <c r="W101" s="521">
        <f>MATCH($J101,'Tarieven ZM'!$B:$B,0)</f>
        <v>105</v>
      </c>
      <c r="X101" s="204">
        <f>INDEX('Tarieven ZM'!$H:$H,$W101)</f>
        <v>1000</v>
      </c>
      <c r="Y101" s="198">
        <f>-INDEX(Parameters!$B:$B,MATCH(Y$3&amp;$C101,Parameters!$A:$A,0))*$X101</f>
        <v>0</v>
      </c>
      <c r="Z101" s="198">
        <f>-INDEX(Parameters!$B:$B,MATCH(Z$3&amp;$C101,Parameters!$A:$A,0))*$X101</f>
        <v>0</v>
      </c>
      <c r="AA101" s="139">
        <f t="shared" si="49"/>
        <v>1000</v>
      </c>
      <c r="AB101" s="205">
        <f>AA101/INDEX(Parameters!$B:$B,MATCH("AfschrijftermijnVVE"&amp;12*$C101,Parameters!$A:$A,0))</f>
        <v>27.777777777777779</v>
      </c>
      <c r="AC101" s="204">
        <f>INDEX('Tarieven ZM'!$G:$G,$W101)</f>
        <v>1000</v>
      </c>
      <c r="AD101" s="198">
        <f>-INDEX(Parameters!$B:$B,MATCH(AD$3&amp;$C101,Parameters!$A:$A,0))*$AC101</f>
        <v>0</v>
      </c>
      <c r="AE101" s="198">
        <f>-INDEX(Parameters!$B:$B,MATCH(AE$3,Parameters!$A:$A,0))*$AC101</f>
        <v>0</v>
      </c>
      <c r="AF101" s="139">
        <f t="shared" si="50"/>
        <v>1000</v>
      </c>
      <c r="AG101" s="522">
        <f t="shared" si="51"/>
        <v>1027.7777777777778</v>
      </c>
      <c r="AH101" s="175"/>
      <c r="AI101" s="523">
        <f>MATCH($U101,'Tarieven W&amp;O'!$B:$B,0)</f>
        <v>59</v>
      </c>
      <c r="AJ101" s="204">
        <f>IF(AI101&lt;&gt;"nvt",INDEX('Tarieven W&amp;O'!$H:$H,$AI101),0)</f>
        <v>0</v>
      </c>
      <c r="AK101" s="204">
        <f>IF(AI101&lt;&gt;"nvt",INDEX('Tarieven W&amp;O'!$I:$I,$AI101),0)</f>
        <v>25</v>
      </c>
      <c r="AL101" s="524">
        <f>IF(AI101&lt;&gt;"nvt",-INDEX(Parameters!$B:$B,MATCH(AL$3,Parameters!$A:$A,0))*(AJ101+AK101),0)</f>
        <v>0</v>
      </c>
      <c r="AM101" s="525"/>
      <c r="AN101" s="139">
        <f t="shared" si="52"/>
        <v>25</v>
      </c>
      <c r="AO101" s="205">
        <f>AN101/INDEX(Parameters!$B:$B,MATCH("AfschrijftermijnVVE"&amp;12*$C101,Parameters!$A:$A,0))</f>
        <v>0.69444444444444442</v>
      </c>
      <c r="AP101" s="139">
        <f t="shared" si="53"/>
        <v>59</v>
      </c>
      <c r="AQ101" s="526">
        <f>IF(AP101&lt;&gt;"nvt",INDEX('Tarieven W&amp;O'!$G:$G,$AP101),0)</f>
        <v>27.86</v>
      </c>
      <c r="AR101" s="251">
        <f>IF($S101,INDEX('Tarieven W&amp;O'!$G:$G,MATCH(N101&amp;R101,'Tarieven W&amp;O'!$B:$B,0)),0)</f>
        <v>0</v>
      </c>
      <c r="AS101" s="205">
        <f>-INDEX(Parameters!$B:$B,MATCH(AS$3,Parameters!$A:$A,0))*(AQ101+AR101)</f>
        <v>0</v>
      </c>
      <c r="AT101" s="205">
        <f>INDEX(hulpblad!$E:$E,MATCH(M101&amp;Q101,hulpblad!$B:$B,0))</f>
        <v>2</v>
      </c>
      <c r="AU101" s="150">
        <f t="shared" si="56"/>
        <v>29.86</v>
      </c>
      <c r="AV101" s="150">
        <f t="shared" si="57"/>
        <v>30.554444444444442</v>
      </c>
      <c r="AX101" s="526">
        <f>Parameters!$B$6*AV101</f>
        <v>0.30554444444444445</v>
      </c>
      <c r="AY101" s="150">
        <v>0</v>
      </c>
      <c r="AZ101" s="150"/>
      <c r="BA101" s="150">
        <f t="shared" si="54"/>
        <v>0.30554444444444445</v>
      </c>
      <c r="BB101" s="150"/>
      <c r="BC101" s="522">
        <f t="shared" si="55"/>
        <v>30.859988888888886</v>
      </c>
      <c r="BD101" s="175"/>
      <c r="BE101" s="527">
        <f t="shared" si="58"/>
        <v>996.91778888888894</v>
      </c>
      <c r="BF101" s="181">
        <f t="shared" si="59"/>
        <v>0.96997406486486482</v>
      </c>
      <c r="BG101" s="520" t="b">
        <f t="shared" si="48"/>
        <v>0</v>
      </c>
      <c r="BI101" s="528" t="s">
        <v>2181</v>
      </c>
      <c r="BL101" s="151" t="str">
        <f t="shared" si="61"/>
        <v>EoKMetro - Nationaal</v>
      </c>
      <c r="BM101" s="529">
        <v>0</v>
      </c>
      <c r="BN101" s="180">
        <f>BM101/INDEX(Parameters!$B:$B,MATCH("AfschrijftermijnVVE"&amp;12*$C101,Parameters!$A:$A,0))</f>
        <v>0</v>
      </c>
      <c r="BO101" s="184">
        <f>INDEX('inkoop ULL tbv EVPN'!I:I,MATCH(BL101,'inkoop ULL tbv EVPN'!H:H,0))</f>
        <v>2</v>
      </c>
      <c r="BP101" s="184">
        <f t="shared" si="62"/>
        <v>2</v>
      </c>
      <c r="BR101" s="180">
        <f>Parameters!$B$12*AG101</f>
        <v>102.77777777777779</v>
      </c>
      <c r="BS101" s="180">
        <f>SUM(Distributievergoedingen!$F$12,Distributievergoedingen!$I$12,Distributievergoedingen!$L$12,Distributievergoedingen!$O$12)*AF101+SUM(Distributievergoedingen!$O$12*AA101+Distributievergoedingen!$R$12+Distributievergoedingen!$U$12+Distributievergoedingen!$X$12)/(MAX(36,12*C101))</f>
        <v>112.77777777777777</v>
      </c>
      <c r="BT101" s="150"/>
      <c r="BU101" s="150">
        <f t="shared" si="63"/>
        <v>215.55555555555554</v>
      </c>
      <c r="BW101" s="522">
        <f t="shared" si="64"/>
        <v>217.55555555555554</v>
      </c>
      <c r="BY101" s="527">
        <f t="shared" si="65"/>
        <v>810.22222222222229</v>
      </c>
      <c r="BZ101" s="181">
        <f t="shared" si="66"/>
        <v>0.78832432432432431</v>
      </c>
      <c r="CA101" s="520" t="b">
        <f t="shared" si="67"/>
        <v>0</v>
      </c>
    </row>
    <row r="102" spans="1:79" s="151" customFormat="1">
      <c r="A102" s="151" t="str">
        <f t="shared" si="60"/>
        <v>1EoKPremiumNationaal4</v>
      </c>
      <c r="B102" s="520" t="str">
        <f t="shared" si="45"/>
        <v>1EoKPremiumNationaal4</v>
      </c>
      <c r="C102" s="179">
        <v>1</v>
      </c>
      <c r="D102" s="179" t="s">
        <v>303</v>
      </c>
      <c r="E102" s="178" t="s">
        <v>267</v>
      </c>
      <c r="F102" s="178" t="s">
        <v>266</v>
      </c>
      <c r="G102" s="185" t="s">
        <v>408</v>
      </c>
      <c r="J102" s="520" t="str">
        <f t="shared" si="46"/>
        <v>PremiumNationaal4</v>
      </c>
      <c r="L102" s="204">
        <f>INDEX(Mapping!$H:$H,MATCH(C$3&amp;C102,Mapping!$B:$B,0))</f>
        <v>1</v>
      </c>
      <c r="M102" s="204" t="str">
        <f>INDEX(Mapping!$H:$H,MATCH(D$3&amp;$D102,Mapping!$B:$B,0))</f>
        <v>EoK</v>
      </c>
      <c r="N102" s="204" t="str">
        <f>INDEX(Mapping!$H:$H,MATCH(E$3&amp;E102,Mapping!$B:$B,0))</f>
        <v>Premium</v>
      </c>
      <c r="O102" s="204" t="str">
        <f>INDEX(Mapping!$H:$H,MATCH(F$3&amp;F102,Mapping!$B:$B,0))</f>
        <v>Metro</v>
      </c>
      <c r="P102" s="204">
        <f>INDEX(Mapping!$H:$H,MATCH(G$3&amp;G102,Mapping!$B:$B,0))</f>
        <v>4</v>
      </c>
      <c r="Q102" s="204" t="str">
        <f>INDEX(Mapping!$H:$H,MATCH(Q$3&amp;$F102,Mapping!$B:$B,0))</f>
        <v>Metro - Nationaal</v>
      </c>
      <c r="R102" s="204" t="str">
        <f>INDEX(Mapping!$H:$H,MATCH("ZM VPN Service Level"&amp;E102,Mapping!$B:$B,0))</f>
        <v>Advanced</v>
      </c>
      <c r="S102" s="139" t="b">
        <f>IF($D102="EoK",INDEX(Mapping!$I:$I,MATCH($G$3&amp;$G102,Mapping!B:B,0)),FALSE)</f>
        <v>0</v>
      </c>
      <c r="T102" s="139"/>
      <c r="U102" s="520" t="str">
        <f t="shared" si="47"/>
        <v>PremiumMetro4</v>
      </c>
      <c r="W102" s="521">
        <f>MATCH($J102,'Tarieven ZM'!$B:$B,0)</f>
        <v>106</v>
      </c>
      <c r="X102" s="204">
        <f>INDEX('Tarieven ZM'!$H:$H,$W102)</f>
        <v>1000</v>
      </c>
      <c r="Y102" s="198">
        <f>-INDEX(Parameters!$B:$B,MATCH(Y$3&amp;$C102,Parameters!$A:$A,0))*$X102</f>
        <v>0</v>
      </c>
      <c r="Z102" s="198">
        <f>-INDEX(Parameters!$B:$B,MATCH(Z$3&amp;$C102,Parameters!$A:$A,0))*$X102</f>
        <v>0</v>
      </c>
      <c r="AA102" s="139">
        <f t="shared" si="49"/>
        <v>1000</v>
      </c>
      <c r="AB102" s="205">
        <f>AA102/INDEX(Parameters!$B:$B,MATCH("AfschrijftermijnVVE"&amp;12*$C102,Parameters!$A:$A,0))</f>
        <v>27.777777777777779</v>
      </c>
      <c r="AC102" s="204">
        <f>INDEX('Tarieven ZM'!$G:$G,$W102)</f>
        <v>1000</v>
      </c>
      <c r="AD102" s="198">
        <f>-INDEX(Parameters!$B:$B,MATCH(AD$3&amp;$C102,Parameters!$A:$A,0))*$AC102</f>
        <v>0</v>
      </c>
      <c r="AE102" s="198">
        <f>-INDEX(Parameters!$B:$B,MATCH(AE$3,Parameters!$A:$A,0))*$AC102</f>
        <v>0</v>
      </c>
      <c r="AF102" s="139">
        <f t="shared" si="50"/>
        <v>1000</v>
      </c>
      <c r="AG102" s="522">
        <f t="shared" si="51"/>
        <v>1027.7777777777778</v>
      </c>
      <c r="AH102" s="175"/>
      <c r="AI102" s="523">
        <f>MATCH($U102,'Tarieven W&amp;O'!$B:$B,0)</f>
        <v>60</v>
      </c>
      <c r="AJ102" s="204">
        <f>IF(AI102&lt;&gt;"nvt",INDEX('Tarieven W&amp;O'!$H:$H,$AI102),0)</f>
        <v>0</v>
      </c>
      <c r="AK102" s="204">
        <f>IF(AI102&lt;&gt;"nvt",INDEX('Tarieven W&amp;O'!$I:$I,$AI102),0)</f>
        <v>25</v>
      </c>
      <c r="AL102" s="524">
        <f>IF(AI102&lt;&gt;"nvt",-INDEX(Parameters!$B:$B,MATCH(AL$3,Parameters!$A:$A,0))*(AJ102+AK102),0)</f>
        <v>0</v>
      </c>
      <c r="AM102" s="525"/>
      <c r="AN102" s="139">
        <f t="shared" si="52"/>
        <v>25</v>
      </c>
      <c r="AO102" s="205">
        <f>AN102/INDEX(Parameters!$B:$B,MATCH("AfschrijftermijnVVE"&amp;12*$C102,Parameters!$A:$A,0))</f>
        <v>0.69444444444444442</v>
      </c>
      <c r="AP102" s="139">
        <f t="shared" si="53"/>
        <v>60</v>
      </c>
      <c r="AQ102" s="526">
        <f>IF(AP102&lt;&gt;"nvt",INDEX('Tarieven W&amp;O'!$G:$G,$AP102),0)</f>
        <v>42.94</v>
      </c>
      <c r="AR102" s="251">
        <f>IF($S102,INDEX('Tarieven W&amp;O'!$G:$G,MATCH(N102&amp;R102,'Tarieven W&amp;O'!$B:$B,0)),0)</f>
        <v>0</v>
      </c>
      <c r="AS102" s="205">
        <f>-INDEX(Parameters!$B:$B,MATCH(AS$3,Parameters!$A:$A,0))*(AQ102+AR102)</f>
        <v>0</v>
      </c>
      <c r="AT102" s="205">
        <f>INDEX(hulpblad!$E:$E,MATCH(M102&amp;Q102,hulpblad!$B:$B,0))</f>
        <v>2</v>
      </c>
      <c r="AU102" s="150">
        <f t="shared" si="56"/>
        <v>44.94</v>
      </c>
      <c r="AV102" s="150">
        <f t="shared" si="57"/>
        <v>45.634444444444441</v>
      </c>
      <c r="AX102" s="526">
        <f>Parameters!$B$6*AV102</f>
        <v>0.45634444444444444</v>
      </c>
      <c r="AY102" s="150">
        <v>0</v>
      </c>
      <c r="AZ102" s="150"/>
      <c r="BA102" s="150">
        <f t="shared" si="54"/>
        <v>0.45634444444444444</v>
      </c>
      <c r="BB102" s="150"/>
      <c r="BC102" s="522">
        <f t="shared" si="55"/>
        <v>46.090788888888888</v>
      </c>
      <c r="BD102" s="175"/>
      <c r="BE102" s="527">
        <f t="shared" si="58"/>
        <v>981.68698888888889</v>
      </c>
      <c r="BF102" s="181">
        <f t="shared" si="59"/>
        <v>0.9551549081081081</v>
      </c>
      <c r="BG102" s="520" t="b">
        <f t="shared" si="48"/>
        <v>0</v>
      </c>
      <c r="BI102" s="528" t="s">
        <v>2181</v>
      </c>
      <c r="BL102" s="151" t="str">
        <f t="shared" si="61"/>
        <v>EoKMetro - Nationaal</v>
      </c>
      <c r="BM102" s="529">
        <v>0</v>
      </c>
      <c r="BN102" s="180">
        <f>BM102/INDEX(Parameters!$B:$B,MATCH("AfschrijftermijnVVE"&amp;12*$C102,Parameters!$A:$A,0))</f>
        <v>0</v>
      </c>
      <c r="BO102" s="184">
        <f>INDEX('inkoop ULL tbv EVPN'!I:I,MATCH(BL102,'inkoop ULL tbv EVPN'!H:H,0))</f>
        <v>2</v>
      </c>
      <c r="BP102" s="184">
        <f t="shared" si="62"/>
        <v>2</v>
      </c>
      <c r="BR102" s="180">
        <f>Parameters!$B$12*AG102</f>
        <v>102.77777777777779</v>
      </c>
      <c r="BS102" s="180">
        <f>SUM(Distributievergoedingen!$F$12,Distributievergoedingen!$I$12,Distributievergoedingen!$L$12,Distributievergoedingen!$O$12)*AF102+SUM(Distributievergoedingen!$O$12*AA102+Distributievergoedingen!$R$12+Distributievergoedingen!$U$12+Distributievergoedingen!$X$12)/(MAX(36,12*C102))</f>
        <v>112.77777777777777</v>
      </c>
      <c r="BT102" s="150"/>
      <c r="BU102" s="150">
        <f t="shared" si="63"/>
        <v>215.55555555555554</v>
      </c>
      <c r="BW102" s="522">
        <f t="shared" si="64"/>
        <v>217.55555555555554</v>
      </c>
      <c r="BY102" s="527">
        <f t="shared" si="65"/>
        <v>810.22222222222229</v>
      </c>
      <c r="BZ102" s="181">
        <f t="shared" si="66"/>
        <v>0.78832432432432431</v>
      </c>
      <c r="CA102" s="520" t="b">
        <f t="shared" si="67"/>
        <v>0</v>
      </c>
    </row>
    <row r="103" spans="1:79" s="151" customFormat="1">
      <c r="A103" s="151" t="str">
        <f t="shared" si="60"/>
        <v>1EoKPremiumNationaal5</v>
      </c>
      <c r="B103" s="520" t="str">
        <f t="shared" si="45"/>
        <v>1EoKPremiumNationaal5</v>
      </c>
      <c r="C103" s="179">
        <v>1</v>
      </c>
      <c r="D103" s="179" t="s">
        <v>303</v>
      </c>
      <c r="E103" s="178" t="s">
        <v>267</v>
      </c>
      <c r="F103" s="178" t="s">
        <v>266</v>
      </c>
      <c r="G103" s="185" t="s">
        <v>409</v>
      </c>
      <c r="J103" s="520" t="str">
        <f t="shared" si="46"/>
        <v>PremiumNationaal5</v>
      </c>
      <c r="L103" s="204">
        <f>INDEX(Mapping!$H:$H,MATCH(C$3&amp;C103,Mapping!$B:$B,0))</f>
        <v>1</v>
      </c>
      <c r="M103" s="204" t="str">
        <f>INDEX(Mapping!$H:$H,MATCH(D$3&amp;$D103,Mapping!$B:$B,0))</f>
        <v>EoK</v>
      </c>
      <c r="N103" s="204" t="str">
        <f>INDEX(Mapping!$H:$H,MATCH(E$3&amp;E103,Mapping!$B:$B,0))</f>
        <v>Premium</v>
      </c>
      <c r="O103" s="204" t="str">
        <f>INDEX(Mapping!$H:$H,MATCH(F$3&amp;F103,Mapping!$B:$B,0))</f>
        <v>Metro</v>
      </c>
      <c r="P103" s="204">
        <f>INDEX(Mapping!$H:$H,MATCH(G$3&amp;G103,Mapping!$B:$B,0))</f>
        <v>5</v>
      </c>
      <c r="Q103" s="204" t="str">
        <f>INDEX(Mapping!$H:$H,MATCH(Q$3&amp;$F103,Mapping!$B:$B,0))</f>
        <v>Metro - Nationaal</v>
      </c>
      <c r="R103" s="204" t="str">
        <f>INDEX(Mapping!$H:$H,MATCH("ZM VPN Service Level"&amp;E103,Mapping!$B:$B,0))</f>
        <v>Advanced</v>
      </c>
      <c r="S103" s="139" t="b">
        <f>IF($D103="EoK",INDEX(Mapping!$I:$I,MATCH($G$3&amp;$G103,Mapping!B:B,0)),FALSE)</f>
        <v>0</v>
      </c>
      <c r="T103" s="139"/>
      <c r="U103" s="520" t="str">
        <f t="shared" si="47"/>
        <v>PremiumMetro5</v>
      </c>
      <c r="W103" s="521">
        <f>MATCH($J103,'Tarieven ZM'!$B:$B,0)</f>
        <v>107</v>
      </c>
      <c r="X103" s="204">
        <f>INDEX('Tarieven ZM'!$H:$H,$W103)</f>
        <v>1000</v>
      </c>
      <c r="Y103" s="198">
        <f>-INDEX(Parameters!$B:$B,MATCH(Y$3&amp;$C103,Parameters!$A:$A,0))*$X103</f>
        <v>0</v>
      </c>
      <c r="Z103" s="198">
        <f>-INDEX(Parameters!$B:$B,MATCH(Z$3&amp;$C103,Parameters!$A:$A,0))*$X103</f>
        <v>0</v>
      </c>
      <c r="AA103" s="139">
        <f t="shared" si="49"/>
        <v>1000</v>
      </c>
      <c r="AB103" s="205">
        <f>AA103/INDEX(Parameters!$B:$B,MATCH("AfschrijftermijnVVE"&amp;12*$C103,Parameters!$A:$A,0))</f>
        <v>27.777777777777779</v>
      </c>
      <c r="AC103" s="204">
        <f>INDEX('Tarieven ZM'!$G:$G,$W103)</f>
        <v>1000</v>
      </c>
      <c r="AD103" s="198">
        <f>-INDEX(Parameters!$B:$B,MATCH(AD$3&amp;$C103,Parameters!$A:$A,0))*$AC103</f>
        <v>0</v>
      </c>
      <c r="AE103" s="198">
        <f>-INDEX(Parameters!$B:$B,MATCH(AE$3,Parameters!$A:$A,0))*$AC103</f>
        <v>0</v>
      </c>
      <c r="AF103" s="139">
        <f t="shared" si="50"/>
        <v>1000</v>
      </c>
      <c r="AG103" s="522">
        <f t="shared" si="51"/>
        <v>1027.7777777777778</v>
      </c>
      <c r="AH103" s="175"/>
      <c r="AI103" s="523">
        <f>MATCH($U103,'Tarieven W&amp;O'!$B:$B,0)</f>
        <v>61</v>
      </c>
      <c r="AJ103" s="204">
        <f>IF(AI103&lt;&gt;"nvt",INDEX('Tarieven W&amp;O'!$H:$H,$AI103),0)</f>
        <v>0</v>
      </c>
      <c r="AK103" s="204">
        <f>IF(AI103&lt;&gt;"nvt",INDEX('Tarieven W&amp;O'!$I:$I,$AI103),0)</f>
        <v>25</v>
      </c>
      <c r="AL103" s="524">
        <f>IF(AI103&lt;&gt;"nvt",-INDEX(Parameters!$B:$B,MATCH(AL$3,Parameters!$A:$A,0))*(AJ103+AK103),0)</f>
        <v>0</v>
      </c>
      <c r="AM103" s="525"/>
      <c r="AN103" s="139">
        <f t="shared" si="52"/>
        <v>25</v>
      </c>
      <c r="AO103" s="205">
        <f>AN103/INDEX(Parameters!$B:$B,MATCH("AfschrijftermijnVVE"&amp;12*$C103,Parameters!$A:$A,0))</f>
        <v>0.69444444444444442</v>
      </c>
      <c r="AP103" s="139">
        <f t="shared" si="53"/>
        <v>61</v>
      </c>
      <c r="AQ103" s="526">
        <f>IF(AP103&lt;&gt;"nvt",INDEX('Tarieven W&amp;O'!$G:$G,$AP103),0)</f>
        <v>46.71</v>
      </c>
      <c r="AR103" s="251">
        <f>IF($S103,INDEX('Tarieven W&amp;O'!$G:$G,MATCH(N103&amp;R103,'Tarieven W&amp;O'!$B:$B,0)),0)</f>
        <v>0</v>
      </c>
      <c r="AS103" s="205">
        <f>-INDEX(Parameters!$B:$B,MATCH(AS$3,Parameters!$A:$A,0))*(AQ103+AR103)</f>
        <v>0</v>
      </c>
      <c r="AT103" s="205">
        <f>INDEX(hulpblad!$E:$E,MATCH(M103&amp;Q103,hulpblad!$B:$B,0))</f>
        <v>2</v>
      </c>
      <c r="AU103" s="150">
        <f t="shared" si="56"/>
        <v>48.71</v>
      </c>
      <c r="AV103" s="150">
        <f t="shared" si="57"/>
        <v>49.404444444444444</v>
      </c>
      <c r="AX103" s="526">
        <f>Parameters!$B$6*AV103</f>
        <v>0.49404444444444445</v>
      </c>
      <c r="AY103" s="150">
        <v>0</v>
      </c>
      <c r="AZ103" s="150"/>
      <c r="BA103" s="150">
        <f t="shared" si="54"/>
        <v>0.49404444444444445</v>
      </c>
      <c r="BB103" s="150"/>
      <c r="BC103" s="522">
        <f t="shared" si="55"/>
        <v>49.898488888888885</v>
      </c>
      <c r="BD103" s="175"/>
      <c r="BE103" s="527">
        <f t="shared" si="58"/>
        <v>977.87928888888894</v>
      </c>
      <c r="BF103" s="181">
        <f t="shared" si="59"/>
        <v>0.95145011891891895</v>
      </c>
      <c r="BG103" s="520" t="b">
        <f t="shared" si="48"/>
        <v>0</v>
      </c>
      <c r="BI103" s="528" t="s">
        <v>2181</v>
      </c>
      <c r="BL103" s="151" t="str">
        <f t="shared" si="61"/>
        <v>EoKMetro - Nationaal</v>
      </c>
      <c r="BM103" s="529">
        <v>0</v>
      </c>
      <c r="BN103" s="180">
        <f>BM103/INDEX(Parameters!$B:$B,MATCH("AfschrijftermijnVVE"&amp;12*$C103,Parameters!$A:$A,0))</f>
        <v>0</v>
      </c>
      <c r="BO103" s="184">
        <f>INDEX('inkoop ULL tbv EVPN'!I:I,MATCH(BL103,'inkoop ULL tbv EVPN'!H:H,0))</f>
        <v>2</v>
      </c>
      <c r="BP103" s="184">
        <f t="shared" si="62"/>
        <v>2</v>
      </c>
      <c r="BR103" s="180">
        <f>Parameters!$B$12*AG103</f>
        <v>102.77777777777779</v>
      </c>
      <c r="BS103" s="180">
        <f>SUM(Distributievergoedingen!$F$12,Distributievergoedingen!$I$12,Distributievergoedingen!$L$12,Distributievergoedingen!$O$12)*AF103+SUM(Distributievergoedingen!$O$12*AA103+Distributievergoedingen!$R$12+Distributievergoedingen!$U$12+Distributievergoedingen!$X$12)/(MAX(36,12*C103))</f>
        <v>112.77777777777777</v>
      </c>
      <c r="BT103" s="150"/>
      <c r="BU103" s="150">
        <f t="shared" si="63"/>
        <v>215.55555555555554</v>
      </c>
      <c r="BW103" s="522">
        <f t="shared" si="64"/>
        <v>217.55555555555554</v>
      </c>
      <c r="BY103" s="527">
        <f t="shared" si="65"/>
        <v>810.22222222222229</v>
      </c>
      <c r="BZ103" s="181">
        <f t="shared" si="66"/>
        <v>0.78832432432432431</v>
      </c>
      <c r="CA103" s="520" t="b">
        <f t="shared" si="67"/>
        <v>0</v>
      </c>
    </row>
    <row r="104" spans="1:79" s="151" customFormat="1">
      <c r="A104" s="151" t="str">
        <f t="shared" si="60"/>
        <v>1EoKPremiumNationaal6</v>
      </c>
      <c r="B104" s="520" t="str">
        <f t="shared" si="45"/>
        <v>1EoKPremiumNationaal6</v>
      </c>
      <c r="C104" s="179">
        <v>1</v>
      </c>
      <c r="D104" s="179" t="s">
        <v>303</v>
      </c>
      <c r="E104" s="178" t="s">
        <v>267</v>
      </c>
      <c r="F104" s="178" t="s">
        <v>266</v>
      </c>
      <c r="G104" s="185" t="s">
        <v>410</v>
      </c>
      <c r="J104" s="520" t="str">
        <f t="shared" si="46"/>
        <v>PremiumNationaal6</v>
      </c>
      <c r="L104" s="204">
        <f>INDEX(Mapping!$H:$H,MATCH(C$3&amp;C104,Mapping!$B:$B,0))</f>
        <v>1</v>
      </c>
      <c r="M104" s="204" t="str">
        <f>INDEX(Mapping!$H:$H,MATCH(D$3&amp;$D104,Mapping!$B:$B,0))</f>
        <v>EoK</v>
      </c>
      <c r="N104" s="204" t="str">
        <f>INDEX(Mapping!$H:$H,MATCH(E$3&amp;E104,Mapping!$B:$B,0))</f>
        <v>Premium</v>
      </c>
      <c r="O104" s="204" t="str">
        <f>INDEX(Mapping!$H:$H,MATCH(F$3&amp;F104,Mapping!$B:$B,0))</f>
        <v>Metro</v>
      </c>
      <c r="P104" s="204">
        <f>INDEX(Mapping!$H:$H,MATCH(G$3&amp;G104,Mapping!$B:$B,0))</f>
        <v>6</v>
      </c>
      <c r="Q104" s="204" t="str">
        <f>INDEX(Mapping!$H:$H,MATCH(Q$3&amp;$F104,Mapping!$B:$B,0))</f>
        <v>Metro - Nationaal</v>
      </c>
      <c r="R104" s="204" t="str">
        <f>INDEX(Mapping!$H:$H,MATCH("ZM VPN Service Level"&amp;E104,Mapping!$B:$B,0))</f>
        <v>Advanced</v>
      </c>
      <c r="S104" s="139" t="b">
        <f>IF($D104="EoK",INDEX(Mapping!$I:$I,MATCH($G$3&amp;$G104,Mapping!B:B,0)),FALSE)</f>
        <v>0</v>
      </c>
      <c r="T104" s="139"/>
      <c r="U104" s="520" t="str">
        <f t="shared" si="47"/>
        <v>PremiumMetro6</v>
      </c>
      <c r="W104" s="521">
        <f>MATCH($J104,'Tarieven ZM'!$B:$B,0)</f>
        <v>108</v>
      </c>
      <c r="X104" s="204">
        <f>INDEX('Tarieven ZM'!$H:$H,$W104)</f>
        <v>1000</v>
      </c>
      <c r="Y104" s="198">
        <f>-INDEX(Parameters!$B:$B,MATCH(Y$3&amp;$C104,Parameters!$A:$A,0))*$X104</f>
        <v>0</v>
      </c>
      <c r="Z104" s="198">
        <f>-INDEX(Parameters!$B:$B,MATCH(Z$3&amp;$C104,Parameters!$A:$A,0))*$X104</f>
        <v>0</v>
      </c>
      <c r="AA104" s="139">
        <f t="shared" si="49"/>
        <v>1000</v>
      </c>
      <c r="AB104" s="205">
        <f>AA104/INDEX(Parameters!$B:$B,MATCH("AfschrijftermijnVVE"&amp;12*$C104,Parameters!$A:$A,0))</f>
        <v>27.777777777777779</v>
      </c>
      <c r="AC104" s="204">
        <f>INDEX('Tarieven ZM'!$G:$G,$W104)</f>
        <v>1000</v>
      </c>
      <c r="AD104" s="198">
        <f>-INDEX(Parameters!$B:$B,MATCH(AD$3&amp;$C104,Parameters!$A:$A,0))*$AC104</f>
        <v>0</v>
      </c>
      <c r="AE104" s="198">
        <f>-INDEX(Parameters!$B:$B,MATCH(AE$3,Parameters!$A:$A,0))*$AC104</f>
        <v>0</v>
      </c>
      <c r="AF104" s="139">
        <f t="shared" si="50"/>
        <v>1000</v>
      </c>
      <c r="AG104" s="522">
        <f t="shared" si="51"/>
        <v>1027.7777777777778</v>
      </c>
      <c r="AH104" s="175"/>
      <c r="AI104" s="523">
        <f>MATCH($U104,'Tarieven W&amp;O'!$B:$B,0)</f>
        <v>62</v>
      </c>
      <c r="AJ104" s="204">
        <f>IF(AI104&lt;&gt;"nvt",INDEX('Tarieven W&amp;O'!$H:$H,$AI104),0)</f>
        <v>0</v>
      </c>
      <c r="AK104" s="204">
        <f>IF(AI104&lt;&gt;"nvt",INDEX('Tarieven W&amp;O'!$I:$I,$AI104),0)</f>
        <v>25</v>
      </c>
      <c r="AL104" s="524">
        <f>IF(AI104&lt;&gt;"nvt",-INDEX(Parameters!$B:$B,MATCH(AL$3,Parameters!$A:$A,0))*(AJ104+AK104),0)</f>
        <v>0</v>
      </c>
      <c r="AM104" s="525"/>
      <c r="AN104" s="139">
        <f t="shared" si="52"/>
        <v>25</v>
      </c>
      <c r="AO104" s="205">
        <f>AN104/INDEX(Parameters!$B:$B,MATCH("AfschrijftermijnVVE"&amp;12*$C104,Parameters!$A:$A,0))</f>
        <v>0.69444444444444442</v>
      </c>
      <c r="AP104" s="139">
        <f t="shared" si="53"/>
        <v>62</v>
      </c>
      <c r="AQ104" s="526">
        <f>IF(AP104&lt;&gt;"nvt",INDEX('Tarieven W&amp;O'!$G:$G,$AP104),0)</f>
        <v>50.48</v>
      </c>
      <c r="AR104" s="251">
        <f>IF($S104,INDEX('Tarieven W&amp;O'!$G:$G,MATCH(N104&amp;R104,'Tarieven W&amp;O'!$B:$B,0)),0)</f>
        <v>0</v>
      </c>
      <c r="AS104" s="205">
        <f>-INDEX(Parameters!$B:$B,MATCH(AS$3,Parameters!$A:$A,0))*(AQ104+AR104)</f>
        <v>0</v>
      </c>
      <c r="AT104" s="205">
        <f>INDEX(hulpblad!$E:$E,MATCH(M104&amp;Q104,hulpblad!$B:$B,0))</f>
        <v>2</v>
      </c>
      <c r="AU104" s="150">
        <f t="shared" si="56"/>
        <v>52.48</v>
      </c>
      <c r="AV104" s="150">
        <f t="shared" si="57"/>
        <v>53.17444444444444</v>
      </c>
      <c r="AX104" s="526">
        <f>Parameters!$B$6*AV104</f>
        <v>0.53174444444444435</v>
      </c>
      <c r="AY104" s="150">
        <v>0</v>
      </c>
      <c r="AZ104" s="150"/>
      <c r="BA104" s="150">
        <f t="shared" si="54"/>
        <v>0.53174444444444435</v>
      </c>
      <c r="BB104" s="150"/>
      <c r="BC104" s="522">
        <f t="shared" si="55"/>
        <v>53.706188888888882</v>
      </c>
      <c r="BD104" s="175"/>
      <c r="BE104" s="527">
        <f t="shared" si="58"/>
        <v>974.07158888888898</v>
      </c>
      <c r="BF104" s="181">
        <f t="shared" si="59"/>
        <v>0.9477453297297298</v>
      </c>
      <c r="BG104" s="520" t="b">
        <f t="shared" si="48"/>
        <v>0</v>
      </c>
      <c r="BI104" s="528" t="s">
        <v>2181</v>
      </c>
      <c r="BL104" s="151" t="str">
        <f t="shared" si="61"/>
        <v>EoKMetro - Nationaal</v>
      </c>
      <c r="BM104" s="529">
        <v>0</v>
      </c>
      <c r="BN104" s="180">
        <f>BM104/INDEX(Parameters!$B:$B,MATCH("AfschrijftermijnVVE"&amp;12*$C104,Parameters!$A:$A,0))</f>
        <v>0</v>
      </c>
      <c r="BO104" s="184">
        <f>INDEX('inkoop ULL tbv EVPN'!I:I,MATCH(BL104,'inkoop ULL tbv EVPN'!H:H,0))</f>
        <v>2</v>
      </c>
      <c r="BP104" s="184">
        <f t="shared" si="62"/>
        <v>2</v>
      </c>
      <c r="BR104" s="180">
        <f>Parameters!$B$12*AG104</f>
        <v>102.77777777777779</v>
      </c>
      <c r="BS104" s="180">
        <f>SUM(Distributievergoedingen!$F$12,Distributievergoedingen!$I$12,Distributievergoedingen!$L$12,Distributievergoedingen!$O$12)*AF104+SUM(Distributievergoedingen!$O$12*AA104+Distributievergoedingen!$R$12+Distributievergoedingen!$U$12+Distributievergoedingen!$X$12)/(MAX(36,12*C104))</f>
        <v>112.77777777777777</v>
      </c>
      <c r="BT104" s="150"/>
      <c r="BU104" s="150">
        <f t="shared" si="63"/>
        <v>215.55555555555554</v>
      </c>
      <c r="BW104" s="522">
        <f t="shared" si="64"/>
        <v>217.55555555555554</v>
      </c>
      <c r="BY104" s="527">
        <f t="shared" si="65"/>
        <v>810.22222222222229</v>
      </c>
      <c r="BZ104" s="181">
        <f t="shared" si="66"/>
        <v>0.78832432432432431</v>
      </c>
      <c r="CA104" s="520" t="b">
        <f t="shared" si="67"/>
        <v>0</v>
      </c>
    </row>
    <row r="105" spans="1:79" s="151" customFormat="1">
      <c r="A105" s="151" t="str">
        <f t="shared" si="60"/>
        <v>1EoKPremiumNationaal8</v>
      </c>
      <c r="B105" s="520" t="str">
        <f t="shared" si="45"/>
        <v>1EoKPremiumNationaal8</v>
      </c>
      <c r="C105" s="179">
        <v>1</v>
      </c>
      <c r="D105" s="179" t="s">
        <v>303</v>
      </c>
      <c r="E105" s="178" t="s">
        <v>267</v>
      </c>
      <c r="F105" s="178" t="s">
        <v>266</v>
      </c>
      <c r="G105" s="185" t="s">
        <v>411</v>
      </c>
      <c r="J105" s="520" t="str">
        <f t="shared" si="46"/>
        <v>PremiumNationaal8</v>
      </c>
      <c r="L105" s="204">
        <f>INDEX(Mapping!$H:$H,MATCH(C$3&amp;C105,Mapping!$B:$B,0))</f>
        <v>1</v>
      </c>
      <c r="M105" s="204" t="str">
        <f>INDEX(Mapping!$H:$H,MATCH(D$3&amp;$D105,Mapping!$B:$B,0))</f>
        <v>EoK</v>
      </c>
      <c r="N105" s="204" t="str">
        <f>INDEX(Mapping!$H:$H,MATCH(E$3&amp;E105,Mapping!$B:$B,0))</f>
        <v>Premium</v>
      </c>
      <c r="O105" s="204" t="str">
        <f>INDEX(Mapping!$H:$H,MATCH(F$3&amp;F105,Mapping!$B:$B,0))</f>
        <v>Metro</v>
      </c>
      <c r="P105" s="204">
        <f>INDEX(Mapping!$H:$H,MATCH(G$3&amp;G105,Mapping!$B:$B,0))</f>
        <v>8</v>
      </c>
      <c r="Q105" s="204" t="str">
        <f>INDEX(Mapping!$H:$H,MATCH(Q$3&amp;$F105,Mapping!$B:$B,0))</f>
        <v>Metro - Nationaal</v>
      </c>
      <c r="R105" s="204" t="str">
        <f>INDEX(Mapping!$H:$H,MATCH("ZM VPN Service Level"&amp;E105,Mapping!$B:$B,0))</f>
        <v>Advanced</v>
      </c>
      <c r="S105" s="139" t="b">
        <f>IF($D105="EoK",INDEX(Mapping!$I:$I,MATCH($G$3&amp;$G105,Mapping!B:B,0)),FALSE)</f>
        <v>0</v>
      </c>
      <c r="T105" s="139"/>
      <c r="U105" s="520" t="str">
        <f t="shared" si="47"/>
        <v>PremiumMetro8</v>
      </c>
      <c r="W105" s="521">
        <f>MATCH($J105,'Tarieven ZM'!$B:$B,0)</f>
        <v>109</v>
      </c>
      <c r="X105" s="204">
        <f>INDEX('Tarieven ZM'!$H:$H,$W105)</f>
        <v>1000</v>
      </c>
      <c r="Y105" s="198">
        <f>-INDEX(Parameters!$B:$B,MATCH(Y$3&amp;$C105,Parameters!$A:$A,0))*$X105</f>
        <v>0</v>
      </c>
      <c r="Z105" s="198">
        <f>-INDEX(Parameters!$B:$B,MATCH(Z$3&amp;$C105,Parameters!$A:$A,0))*$X105</f>
        <v>0</v>
      </c>
      <c r="AA105" s="139">
        <f t="shared" si="49"/>
        <v>1000</v>
      </c>
      <c r="AB105" s="205">
        <f>AA105/INDEX(Parameters!$B:$B,MATCH("AfschrijftermijnVVE"&amp;12*$C105,Parameters!$A:$A,0))</f>
        <v>27.777777777777779</v>
      </c>
      <c r="AC105" s="204">
        <f>INDEX('Tarieven ZM'!$G:$G,$W105)</f>
        <v>1000</v>
      </c>
      <c r="AD105" s="198">
        <f>-INDEX(Parameters!$B:$B,MATCH(AD$3&amp;$C105,Parameters!$A:$A,0))*$AC105</f>
        <v>0</v>
      </c>
      <c r="AE105" s="198">
        <f>-INDEX(Parameters!$B:$B,MATCH(AE$3,Parameters!$A:$A,0))*$AC105</f>
        <v>0</v>
      </c>
      <c r="AF105" s="139">
        <f t="shared" si="50"/>
        <v>1000</v>
      </c>
      <c r="AG105" s="522">
        <f t="shared" si="51"/>
        <v>1027.7777777777778</v>
      </c>
      <c r="AH105" s="175"/>
      <c r="AI105" s="523">
        <f>MATCH($U105,'Tarieven W&amp;O'!$B:$B,0)</f>
        <v>63</v>
      </c>
      <c r="AJ105" s="204">
        <f>IF(AI105&lt;&gt;"nvt",INDEX('Tarieven W&amp;O'!$H:$H,$AI105),0)</f>
        <v>0</v>
      </c>
      <c r="AK105" s="204">
        <f>IF(AI105&lt;&gt;"nvt",INDEX('Tarieven W&amp;O'!$I:$I,$AI105),0)</f>
        <v>25</v>
      </c>
      <c r="AL105" s="524">
        <f>IF(AI105&lt;&gt;"nvt",-INDEX(Parameters!$B:$B,MATCH(AL$3,Parameters!$A:$A,0))*(AJ105+AK105),0)</f>
        <v>0</v>
      </c>
      <c r="AM105" s="525"/>
      <c r="AN105" s="139">
        <f t="shared" si="52"/>
        <v>25</v>
      </c>
      <c r="AO105" s="205">
        <f>AN105/INDEX(Parameters!$B:$B,MATCH("AfschrijftermijnVVE"&amp;12*$C105,Parameters!$A:$A,0))</f>
        <v>0.69444444444444442</v>
      </c>
      <c r="AP105" s="139">
        <f t="shared" si="53"/>
        <v>63</v>
      </c>
      <c r="AQ105" s="526">
        <f>IF(AP105&lt;&gt;"nvt",INDEX('Tarieven W&amp;O'!$G:$G,$AP105),0)</f>
        <v>54.24</v>
      </c>
      <c r="AR105" s="251">
        <f>IF($S105,INDEX('Tarieven W&amp;O'!$G:$G,MATCH(N105&amp;R105,'Tarieven W&amp;O'!$B:$B,0)),0)</f>
        <v>0</v>
      </c>
      <c r="AS105" s="205">
        <f>-INDEX(Parameters!$B:$B,MATCH(AS$3,Parameters!$A:$A,0))*(AQ105+AR105)</f>
        <v>0</v>
      </c>
      <c r="AT105" s="205">
        <f>INDEX(hulpblad!$E:$E,MATCH(M105&amp;Q105,hulpblad!$B:$B,0))</f>
        <v>2</v>
      </c>
      <c r="AU105" s="150">
        <f t="shared" si="56"/>
        <v>56.24</v>
      </c>
      <c r="AV105" s="150">
        <f t="shared" si="57"/>
        <v>56.934444444444445</v>
      </c>
      <c r="AX105" s="526">
        <f>Parameters!$B$6*AV105</f>
        <v>0.56934444444444443</v>
      </c>
      <c r="AY105" s="150">
        <v>0</v>
      </c>
      <c r="AZ105" s="150"/>
      <c r="BA105" s="150">
        <f t="shared" si="54"/>
        <v>0.56934444444444443</v>
      </c>
      <c r="BB105" s="150"/>
      <c r="BC105" s="522">
        <f t="shared" si="55"/>
        <v>57.503788888888892</v>
      </c>
      <c r="BD105" s="175"/>
      <c r="BE105" s="527">
        <f t="shared" si="58"/>
        <v>970.27398888888888</v>
      </c>
      <c r="BF105" s="181">
        <f t="shared" si="59"/>
        <v>0.94405036756756755</v>
      </c>
      <c r="BG105" s="520" t="b">
        <f t="shared" si="48"/>
        <v>0</v>
      </c>
      <c r="BI105" s="528" t="s">
        <v>2181</v>
      </c>
      <c r="BL105" s="151" t="str">
        <f t="shared" si="61"/>
        <v>EoKMetro - Nationaal</v>
      </c>
      <c r="BM105" s="529">
        <v>0</v>
      </c>
      <c r="BN105" s="180">
        <f>BM105/INDEX(Parameters!$B:$B,MATCH("AfschrijftermijnVVE"&amp;12*$C105,Parameters!$A:$A,0))</f>
        <v>0</v>
      </c>
      <c r="BO105" s="184">
        <f>INDEX('inkoop ULL tbv EVPN'!I:I,MATCH(BL105,'inkoop ULL tbv EVPN'!H:H,0))</f>
        <v>2</v>
      </c>
      <c r="BP105" s="184">
        <f t="shared" si="62"/>
        <v>2</v>
      </c>
      <c r="BR105" s="180">
        <f>Parameters!$B$12*AG105</f>
        <v>102.77777777777779</v>
      </c>
      <c r="BS105" s="180">
        <f>SUM(Distributievergoedingen!$F$12,Distributievergoedingen!$I$12,Distributievergoedingen!$L$12,Distributievergoedingen!$O$12)*AF105+SUM(Distributievergoedingen!$O$12*AA105+Distributievergoedingen!$R$12+Distributievergoedingen!$U$12+Distributievergoedingen!$X$12)/(MAX(36,12*C105))</f>
        <v>112.77777777777777</v>
      </c>
      <c r="BT105" s="150"/>
      <c r="BU105" s="150">
        <f t="shared" si="63"/>
        <v>215.55555555555554</v>
      </c>
      <c r="BW105" s="522">
        <f t="shared" si="64"/>
        <v>217.55555555555554</v>
      </c>
      <c r="BY105" s="527">
        <f t="shared" si="65"/>
        <v>810.22222222222229</v>
      </c>
      <c r="BZ105" s="181">
        <f t="shared" si="66"/>
        <v>0.78832432432432431</v>
      </c>
      <c r="CA105" s="520" t="b">
        <f t="shared" si="67"/>
        <v>0</v>
      </c>
    </row>
    <row r="106" spans="1:79" s="151" customFormat="1">
      <c r="A106" s="151" t="str">
        <f t="shared" si="60"/>
        <v>1EoKPremiumNationaal10</v>
      </c>
      <c r="B106" s="520" t="str">
        <f t="shared" si="45"/>
        <v>1EoKPremiumNationaal10</v>
      </c>
      <c r="C106" s="179">
        <v>1</v>
      </c>
      <c r="D106" s="179" t="s">
        <v>303</v>
      </c>
      <c r="E106" s="178" t="s">
        <v>267</v>
      </c>
      <c r="F106" s="178" t="s">
        <v>266</v>
      </c>
      <c r="G106" s="185" t="s">
        <v>412</v>
      </c>
      <c r="J106" s="520" t="str">
        <f t="shared" si="46"/>
        <v>PremiumNationaal10</v>
      </c>
      <c r="L106" s="204">
        <f>INDEX(Mapping!$H:$H,MATCH(C$3&amp;C106,Mapping!$B:$B,0))</f>
        <v>1</v>
      </c>
      <c r="M106" s="204" t="str">
        <f>INDEX(Mapping!$H:$H,MATCH(D$3&amp;$D106,Mapping!$B:$B,0))</f>
        <v>EoK</v>
      </c>
      <c r="N106" s="204" t="str">
        <f>INDEX(Mapping!$H:$H,MATCH(E$3&amp;E106,Mapping!$B:$B,0))</f>
        <v>Premium</v>
      </c>
      <c r="O106" s="204" t="str">
        <f>INDEX(Mapping!$H:$H,MATCH(F$3&amp;F106,Mapping!$B:$B,0))</f>
        <v>Metro</v>
      </c>
      <c r="P106" s="204">
        <f>INDEX(Mapping!$H:$H,MATCH(G$3&amp;G106,Mapping!$B:$B,0))</f>
        <v>10</v>
      </c>
      <c r="Q106" s="204" t="str">
        <f>INDEX(Mapping!$H:$H,MATCH(Q$3&amp;$F106,Mapping!$B:$B,0))</f>
        <v>Metro - Nationaal</v>
      </c>
      <c r="R106" s="204" t="str">
        <f>INDEX(Mapping!$H:$H,MATCH("ZM VPN Service Level"&amp;E106,Mapping!$B:$B,0))</f>
        <v>Advanced</v>
      </c>
      <c r="S106" s="139" t="b">
        <f>IF($D106="EoK",INDEX(Mapping!$I:$I,MATCH($G$3&amp;$G106,Mapping!B:B,0)),FALSE)</f>
        <v>0</v>
      </c>
      <c r="T106" s="139"/>
      <c r="U106" s="520" t="str">
        <f t="shared" si="47"/>
        <v>PremiumMetro10</v>
      </c>
      <c r="W106" s="521">
        <f>MATCH($J106,'Tarieven ZM'!$B:$B,0)</f>
        <v>110</v>
      </c>
      <c r="X106" s="204">
        <f>INDEX('Tarieven ZM'!$H:$H,$W106)</f>
        <v>1000</v>
      </c>
      <c r="Y106" s="198">
        <f>-INDEX(Parameters!$B:$B,MATCH(Y$3&amp;$C106,Parameters!$A:$A,0))*$X106</f>
        <v>0</v>
      </c>
      <c r="Z106" s="198">
        <f>-INDEX(Parameters!$B:$B,MATCH(Z$3&amp;$C106,Parameters!$A:$A,0))*$X106</f>
        <v>0</v>
      </c>
      <c r="AA106" s="139">
        <f t="shared" si="49"/>
        <v>1000</v>
      </c>
      <c r="AB106" s="205">
        <f>AA106/INDEX(Parameters!$B:$B,MATCH("AfschrijftermijnVVE"&amp;12*$C106,Parameters!$A:$A,0))</f>
        <v>27.777777777777779</v>
      </c>
      <c r="AC106" s="204">
        <f>INDEX('Tarieven ZM'!$G:$G,$W106)</f>
        <v>1000</v>
      </c>
      <c r="AD106" s="198">
        <f>-INDEX(Parameters!$B:$B,MATCH(AD$3&amp;$C106,Parameters!$A:$A,0))*$AC106</f>
        <v>0</v>
      </c>
      <c r="AE106" s="198">
        <f>-INDEX(Parameters!$B:$B,MATCH(AE$3,Parameters!$A:$A,0))*$AC106</f>
        <v>0</v>
      </c>
      <c r="AF106" s="139">
        <f t="shared" si="50"/>
        <v>1000</v>
      </c>
      <c r="AG106" s="522">
        <f t="shared" si="51"/>
        <v>1027.7777777777778</v>
      </c>
      <c r="AH106" s="175"/>
      <c r="AI106" s="523">
        <f>MATCH($U106,'Tarieven W&amp;O'!$B:$B,0)</f>
        <v>64</v>
      </c>
      <c r="AJ106" s="204">
        <f>IF(AI106&lt;&gt;"nvt",INDEX('Tarieven W&amp;O'!$H:$H,$AI106),0)</f>
        <v>0</v>
      </c>
      <c r="AK106" s="204">
        <f>IF(AI106&lt;&gt;"nvt",INDEX('Tarieven W&amp;O'!$I:$I,$AI106),0)</f>
        <v>25</v>
      </c>
      <c r="AL106" s="524">
        <f>IF(AI106&lt;&gt;"nvt",-INDEX(Parameters!$B:$B,MATCH(AL$3,Parameters!$A:$A,0))*(AJ106+AK106),0)</f>
        <v>0</v>
      </c>
      <c r="AM106" s="525"/>
      <c r="AN106" s="139">
        <f t="shared" si="52"/>
        <v>25</v>
      </c>
      <c r="AO106" s="205">
        <f>AN106/INDEX(Parameters!$B:$B,MATCH("AfschrijftermijnVVE"&amp;12*$C106,Parameters!$A:$A,0))</f>
        <v>0.69444444444444442</v>
      </c>
      <c r="AP106" s="139">
        <f t="shared" si="53"/>
        <v>64</v>
      </c>
      <c r="AQ106" s="526">
        <f>IF(AP106&lt;&gt;"nvt",INDEX('Tarieven W&amp;O'!$G:$G,$AP106),0)</f>
        <v>58.01</v>
      </c>
      <c r="AR106" s="251">
        <f>IF($S106,INDEX('Tarieven W&amp;O'!$G:$G,MATCH(N106&amp;R106,'Tarieven W&amp;O'!$B:$B,0)),0)</f>
        <v>0</v>
      </c>
      <c r="AS106" s="205">
        <f>-INDEX(Parameters!$B:$B,MATCH(AS$3,Parameters!$A:$A,0))*(AQ106+AR106)</f>
        <v>0</v>
      </c>
      <c r="AT106" s="205">
        <f>INDEX(hulpblad!$E:$E,MATCH(M106&amp;Q106,hulpblad!$B:$B,0))</f>
        <v>2</v>
      </c>
      <c r="AU106" s="150">
        <f t="shared" si="56"/>
        <v>60.01</v>
      </c>
      <c r="AV106" s="150">
        <f t="shared" si="57"/>
        <v>60.704444444444441</v>
      </c>
      <c r="AX106" s="526">
        <f>Parameters!$B$6*AV106</f>
        <v>0.60704444444444439</v>
      </c>
      <c r="AY106" s="150">
        <v>0</v>
      </c>
      <c r="AZ106" s="150"/>
      <c r="BA106" s="150">
        <f t="shared" si="54"/>
        <v>0.60704444444444439</v>
      </c>
      <c r="BB106" s="150"/>
      <c r="BC106" s="522">
        <f t="shared" si="55"/>
        <v>61.311488888888888</v>
      </c>
      <c r="BD106" s="175"/>
      <c r="BE106" s="527">
        <f t="shared" si="58"/>
        <v>966.46628888888893</v>
      </c>
      <c r="BF106" s="181">
        <f t="shared" si="59"/>
        <v>0.9403455783783784</v>
      </c>
      <c r="BG106" s="520" t="b">
        <f t="shared" si="48"/>
        <v>0</v>
      </c>
      <c r="BI106" s="528" t="s">
        <v>2181</v>
      </c>
      <c r="BL106" s="151" t="str">
        <f t="shared" si="61"/>
        <v>EoKMetro - Nationaal</v>
      </c>
      <c r="BM106" s="529">
        <v>0</v>
      </c>
      <c r="BN106" s="180">
        <f>BM106/INDEX(Parameters!$B:$B,MATCH("AfschrijftermijnVVE"&amp;12*$C106,Parameters!$A:$A,0))</f>
        <v>0</v>
      </c>
      <c r="BO106" s="184">
        <f>INDEX('inkoop ULL tbv EVPN'!I:I,MATCH(BL106,'inkoop ULL tbv EVPN'!H:H,0))</f>
        <v>2</v>
      </c>
      <c r="BP106" s="184">
        <f t="shared" si="62"/>
        <v>2</v>
      </c>
      <c r="BR106" s="180">
        <f>Parameters!$B$12*AG106</f>
        <v>102.77777777777779</v>
      </c>
      <c r="BS106" s="180">
        <f>SUM(Distributievergoedingen!$F$12,Distributievergoedingen!$I$12,Distributievergoedingen!$L$12,Distributievergoedingen!$O$12)*AF106+SUM(Distributievergoedingen!$O$12*AA106+Distributievergoedingen!$R$12+Distributievergoedingen!$U$12+Distributievergoedingen!$X$12)/(MAX(36,12*C106))</f>
        <v>112.77777777777777</v>
      </c>
      <c r="BT106" s="150"/>
      <c r="BU106" s="150">
        <f t="shared" si="63"/>
        <v>215.55555555555554</v>
      </c>
      <c r="BW106" s="522">
        <f t="shared" si="64"/>
        <v>217.55555555555554</v>
      </c>
      <c r="BY106" s="527">
        <f t="shared" si="65"/>
        <v>810.22222222222229</v>
      </c>
      <c r="BZ106" s="181">
        <f t="shared" si="66"/>
        <v>0.78832432432432431</v>
      </c>
      <c r="CA106" s="520" t="b">
        <f t="shared" si="67"/>
        <v>0</v>
      </c>
    </row>
    <row r="107" spans="1:79" s="151" customFormat="1">
      <c r="A107" s="151" t="str">
        <f t="shared" si="60"/>
        <v>1EoKPremiumNationaal15</v>
      </c>
      <c r="B107" s="520" t="str">
        <f t="shared" si="45"/>
        <v>1EoKPremiumNationaal15</v>
      </c>
      <c r="C107" s="179">
        <v>1</v>
      </c>
      <c r="D107" s="179" t="s">
        <v>303</v>
      </c>
      <c r="E107" s="178" t="s">
        <v>267</v>
      </c>
      <c r="F107" s="178" t="s">
        <v>266</v>
      </c>
      <c r="G107" s="185" t="s">
        <v>413</v>
      </c>
      <c r="J107" s="520" t="str">
        <f t="shared" si="46"/>
        <v>PremiumNationaal15</v>
      </c>
      <c r="L107" s="204">
        <f>INDEX(Mapping!$H:$H,MATCH(C$3&amp;C107,Mapping!$B:$B,0))</f>
        <v>1</v>
      </c>
      <c r="M107" s="204" t="str">
        <f>INDEX(Mapping!$H:$H,MATCH(D$3&amp;$D107,Mapping!$B:$B,0))</f>
        <v>EoK</v>
      </c>
      <c r="N107" s="204" t="str">
        <f>INDEX(Mapping!$H:$H,MATCH(E$3&amp;E107,Mapping!$B:$B,0))</f>
        <v>Premium</v>
      </c>
      <c r="O107" s="204" t="str">
        <f>INDEX(Mapping!$H:$H,MATCH(F$3&amp;F107,Mapping!$B:$B,0))</f>
        <v>Metro</v>
      </c>
      <c r="P107" s="204">
        <f>INDEX(Mapping!$H:$H,MATCH(G$3&amp;G107,Mapping!$B:$B,0))</f>
        <v>15</v>
      </c>
      <c r="Q107" s="204" t="str">
        <f>INDEX(Mapping!$H:$H,MATCH(Q$3&amp;$F107,Mapping!$B:$B,0))</f>
        <v>Metro - Nationaal</v>
      </c>
      <c r="R107" s="204" t="str">
        <f>INDEX(Mapping!$H:$H,MATCH("ZM VPN Service Level"&amp;E107,Mapping!$B:$B,0))</f>
        <v>Advanced</v>
      </c>
      <c r="S107" s="139" t="b">
        <f>IF($D107="EoK",INDEX(Mapping!$I:$I,MATCH($G$3&amp;$G107,Mapping!B:B,0)),FALSE)</f>
        <v>0</v>
      </c>
      <c r="T107" s="139"/>
      <c r="U107" s="520" t="str">
        <f t="shared" si="47"/>
        <v>PremiumMetro15</v>
      </c>
      <c r="W107" s="521">
        <f>MATCH($J107,'Tarieven ZM'!$B:$B,0)</f>
        <v>111</v>
      </c>
      <c r="X107" s="204">
        <f>INDEX('Tarieven ZM'!$H:$H,$W107)</f>
        <v>1000</v>
      </c>
      <c r="Y107" s="198">
        <f>-INDEX(Parameters!$B:$B,MATCH(Y$3&amp;$C107,Parameters!$A:$A,0))*$X107</f>
        <v>0</v>
      </c>
      <c r="Z107" s="198">
        <f>-INDEX(Parameters!$B:$B,MATCH(Z$3&amp;$C107,Parameters!$A:$A,0))*$X107</f>
        <v>0</v>
      </c>
      <c r="AA107" s="139">
        <f t="shared" si="49"/>
        <v>1000</v>
      </c>
      <c r="AB107" s="205">
        <f>AA107/INDEX(Parameters!$B:$B,MATCH("AfschrijftermijnVVE"&amp;12*$C107,Parameters!$A:$A,0))</f>
        <v>27.777777777777779</v>
      </c>
      <c r="AC107" s="204">
        <f>INDEX('Tarieven ZM'!$G:$G,$W107)</f>
        <v>1000</v>
      </c>
      <c r="AD107" s="198">
        <f>-INDEX(Parameters!$B:$B,MATCH(AD$3&amp;$C107,Parameters!$A:$A,0))*$AC107</f>
        <v>0</v>
      </c>
      <c r="AE107" s="198">
        <f>-INDEX(Parameters!$B:$B,MATCH(AE$3,Parameters!$A:$A,0))*$AC107</f>
        <v>0</v>
      </c>
      <c r="AF107" s="139">
        <f t="shared" si="50"/>
        <v>1000</v>
      </c>
      <c r="AG107" s="522">
        <f t="shared" si="51"/>
        <v>1027.7777777777778</v>
      </c>
      <c r="AH107" s="175"/>
      <c r="AI107" s="523">
        <f>MATCH($U107,'Tarieven W&amp;O'!$B:$B,0)</f>
        <v>65</v>
      </c>
      <c r="AJ107" s="204">
        <f>IF(AI107&lt;&gt;"nvt",INDEX('Tarieven W&amp;O'!$H:$H,$AI107),0)</f>
        <v>0</v>
      </c>
      <c r="AK107" s="204">
        <f>IF(AI107&lt;&gt;"nvt",INDEX('Tarieven W&amp;O'!$I:$I,$AI107),0)</f>
        <v>25</v>
      </c>
      <c r="AL107" s="524">
        <f>IF(AI107&lt;&gt;"nvt",-INDEX(Parameters!$B:$B,MATCH(AL$3,Parameters!$A:$A,0))*(AJ107+AK107),0)</f>
        <v>0</v>
      </c>
      <c r="AM107" s="525"/>
      <c r="AN107" s="139">
        <f t="shared" si="52"/>
        <v>25</v>
      </c>
      <c r="AO107" s="205">
        <f>AN107/INDEX(Parameters!$B:$B,MATCH("AfschrijftermijnVVE"&amp;12*$C107,Parameters!$A:$A,0))</f>
        <v>0.69444444444444442</v>
      </c>
      <c r="AP107" s="139">
        <f t="shared" si="53"/>
        <v>65</v>
      </c>
      <c r="AQ107" s="526">
        <f>IF(AP107&lt;&gt;"nvt",INDEX('Tarieven W&amp;O'!$G:$G,$AP107),0)</f>
        <v>80.63</v>
      </c>
      <c r="AR107" s="251">
        <f>IF($S107,INDEX('Tarieven W&amp;O'!$G:$G,MATCH(N107&amp;R107,'Tarieven W&amp;O'!$B:$B,0)),0)</f>
        <v>0</v>
      </c>
      <c r="AS107" s="205">
        <f>-INDEX(Parameters!$B:$B,MATCH(AS$3,Parameters!$A:$A,0))*(AQ107+AR107)</f>
        <v>0</v>
      </c>
      <c r="AT107" s="205">
        <f>INDEX(hulpblad!$E:$E,MATCH(M107&amp;Q107,hulpblad!$B:$B,0))</f>
        <v>2</v>
      </c>
      <c r="AU107" s="150">
        <f t="shared" si="56"/>
        <v>82.63</v>
      </c>
      <c r="AV107" s="150">
        <f t="shared" si="57"/>
        <v>83.324444444444438</v>
      </c>
      <c r="AX107" s="526">
        <f>Parameters!$B$6*AV107</f>
        <v>0.83324444444444445</v>
      </c>
      <c r="AY107" s="150">
        <v>0</v>
      </c>
      <c r="AZ107" s="150"/>
      <c r="BA107" s="150">
        <f t="shared" si="54"/>
        <v>0.83324444444444445</v>
      </c>
      <c r="BB107" s="150"/>
      <c r="BC107" s="522">
        <f t="shared" si="55"/>
        <v>84.157688888888885</v>
      </c>
      <c r="BD107" s="175"/>
      <c r="BE107" s="527">
        <f t="shared" si="58"/>
        <v>943.62008888888897</v>
      </c>
      <c r="BF107" s="181">
        <f t="shared" si="59"/>
        <v>0.91811684324324327</v>
      </c>
      <c r="BG107" s="520" t="b">
        <f t="shared" si="48"/>
        <v>0</v>
      </c>
      <c r="BI107" s="528" t="s">
        <v>2181</v>
      </c>
      <c r="BL107" s="151" t="str">
        <f t="shared" si="61"/>
        <v>EoKMetro - Nationaal</v>
      </c>
      <c r="BM107" s="529">
        <v>0</v>
      </c>
      <c r="BN107" s="180">
        <f>BM107/INDEX(Parameters!$B:$B,MATCH("AfschrijftermijnVVE"&amp;12*$C107,Parameters!$A:$A,0))</f>
        <v>0</v>
      </c>
      <c r="BO107" s="184">
        <f>INDEX('inkoop ULL tbv EVPN'!I:I,MATCH(BL107,'inkoop ULL tbv EVPN'!H:H,0))</f>
        <v>2</v>
      </c>
      <c r="BP107" s="184">
        <f t="shared" si="62"/>
        <v>2</v>
      </c>
      <c r="BR107" s="180">
        <f>Parameters!$B$12*AG107</f>
        <v>102.77777777777779</v>
      </c>
      <c r="BS107" s="180">
        <f>SUM(Distributievergoedingen!$F$12,Distributievergoedingen!$I$12,Distributievergoedingen!$L$12,Distributievergoedingen!$O$12)*AF107+SUM(Distributievergoedingen!$O$12*AA107+Distributievergoedingen!$R$12+Distributievergoedingen!$U$12+Distributievergoedingen!$X$12)/(MAX(36,12*C107))</f>
        <v>112.77777777777777</v>
      </c>
      <c r="BT107" s="150"/>
      <c r="BU107" s="150">
        <f t="shared" si="63"/>
        <v>215.55555555555554</v>
      </c>
      <c r="BW107" s="522">
        <f t="shared" si="64"/>
        <v>217.55555555555554</v>
      </c>
      <c r="BY107" s="527">
        <f t="shared" si="65"/>
        <v>810.22222222222229</v>
      </c>
      <c r="BZ107" s="181">
        <f t="shared" si="66"/>
        <v>0.78832432432432431</v>
      </c>
      <c r="CA107" s="520" t="b">
        <f t="shared" si="67"/>
        <v>0</v>
      </c>
    </row>
    <row r="108" spans="1:79" s="151" customFormat="1">
      <c r="A108" s="151" t="str">
        <f t="shared" si="60"/>
        <v>1EoKPremiumNationaal20</v>
      </c>
      <c r="B108" s="520" t="str">
        <f t="shared" si="45"/>
        <v>1EoKPremiumNationaal20</v>
      </c>
      <c r="C108" s="179">
        <v>1</v>
      </c>
      <c r="D108" s="179" t="s">
        <v>303</v>
      </c>
      <c r="E108" s="178" t="s">
        <v>267</v>
      </c>
      <c r="F108" s="178" t="s">
        <v>266</v>
      </c>
      <c r="G108" s="185" t="s">
        <v>414</v>
      </c>
      <c r="J108" s="520" t="str">
        <f t="shared" si="46"/>
        <v>PremiumNationaal20</v>
      </c>
      <c r="L108" s="204">
        <f>INDEX(Mapping!$H:$H,MATCH(C$3&amp;C108,Mapping!$B:$B,0))</f>
        <v>1</v>
      </c>
      <c r="M108" s="204" t="str">
        <f>INDEX(Mapping!$H:$H,MATCH(D$3&amp;$D108,Mapping!$B:$B,0))</f>
        <v>EoK</v>
      </c>
      <c r="N108" s="204" t="str">
        <f>INDEX(Mapping!$H:$H,MATCH(E$3&amp;E108,Mapping!$B:$B,0))</f>
        <v>Premium</v>
      </c>
      <c r="O108" s="204" t="str">
        <f>INDEX(Mapping!$H:$H,MATCH(F$3&amp;F108,Mapping!$B:$B,0))</f>
        <v>Metro</v>
      </c>
      <c r="P108" s="204">
        <f>INDEX(Mapping!$H:$H,MATCH(G$3&amp;G108,Mapping!$B:$B,0))</f>
        <v>20</v>
      </c>
      <c r="Q108" s="204" t="str">
        <f>INDEX(Mapping!$H:$H,MATCH(Q$3&amp;$F108,Mapping!$B:$B,0))</f>
        <v>Metro - Nationaal</v>
      </c>
      <c r="R108" s="204" t="str">
        <f>INDEX(Mapping!$H:$H,MATCH("ZM VPN Service Level"&amp;E108,Mapping!$B:$B,0))</f>
        <v>Advanced</v>
      </c>
      <c r="S108" s="139" t="b">
        <f>IF($D108="EoK",INDEX(Mapping!$I:$I,MATCH($G$3&amp;$G108,Mapping!B:B,0)),FALSE)</f>
        <v>0</v>
      </c>
      <c r="T108" s="139"/>
      <c r="U108" s="520" t="str">
        <f t="shared" si="47"/>
        <v>PremiumMetro20</v>
      </c>
      <c r="W108" s="521">
        <f>MATCH($J108,'Tarieven ZM'!$B:$B,0)</f>
        <v>112</v>
      </c>
      <c r="X108" s="204">
        <f>INDEX('Tarieven ZM'!$H:$H,$W108)</f>
        <v>1000</v>
      </c>
      <c r="Y108" s="198">
        <f>-INDEX(Parameters!$B:$B,MATCH(Y$3&amp;$C108,Parameters!$A:$A,0))*$X108</f>
        <v>0</v>
      </c>
      <c r="Z108" s="198">
        <f>-INDEX(Parameters!$B:$B,MATCH(Z$3&amp;$C108,Parameters!$A:$A,0))*$X108</f>
        <v>0</v>
      </c>
      <c r="AA108" s="139">
        <f t="shared" si="49"/>
        <v>1000</v>
      </c>
      <c r="AB108" s="205">
        <f>AA108/INDEX(Parameters!$B:$B,MATCH("AfschrijftermijnVVE"&amp;12*$C108,Parameters!$A:$A,0))</f>
        <v>27.777777777777779</v>
      </c>
      <c r="AC108" s="204">
        <f>INDEX('Tarieven ZM'!$G:$G,$W108)</f>
        <v>1000</v>
      </c>
      <c r="AD108" s="198">
        <f>-INDEX(Parameters!$B:$B,MATCH(AD$3&amp;$C108,Parameters!$A:$A,0))*$AC108</f>
        <v>0</v>
      </c>
      <c r="AE108" s="198">
        <f>-INDEX(Parameters!$B:$B,MATCH(AE$3,Parameters!$A:$A,0))*$AC108</f>
        <v>0</v>
      </c>
      <c r="AF108" s="139">
        <f t="shared" si="50"/>
        <v>1000</v>
      </c>
      <c r="AG108" s="522">
        <f t="shared" si="51"/>
        <v>1027.7777777777778</v>
      </c>
      <c r="AH108" s="175"/>
      <c r="AI108" s="523">
        <f>MATCH($U108,'Tarieven W&amp;O'!$B:$B,0)</f>
        <v>66</v>
      </c>
      <c r="AJ108" s="204">
        <f>IF(AI108&lt;&gt;"nvt",INDEX('Tarieven W&amp;O'!$H:$H,$AI108),0)</f>
        <v>0</v>
      </c>
      <c r="AK108" s="204">
        <f>IF(AI108&lt;&gt;"nvt",INDEX('Tarieven W&amp;O'!$I:$I,$AI108),0)</f>
        <v>25</v>
      </c>
      <c r="AL108" s="524">
        <f>IF(AI108&lt;&gt;"nvt",-INDEX(Parameters!$B:$B,MATCH(AL$3,Parameters!$A:$A,0))*(AJ108+AK108),0)</f>
        <v>0</v>
      </c>
      <c r="AM108" s="525"/>
      <c r="AN108" s="139">
        <f t="shared" si="52"/>
        <v>25</v>
      </c>
      <c r="AO108" s="205">
        <f>AN108/INDEX(Parameters!$B:$B,MATCH("AfschrijftermijnVVE"&amp;12*$C108,Parameters!$A:$A,0))</f>
        <v>0.69444444444444442</v>
      </c>
      <c r="AP108" s="139">
        <f t="shared" si="53"/>
        <v>66</v>
      </c>
      <c r="AQ108" s="526">
        <f>IF(AP108&lt;&gt;"nvt",INDEX('Tarieven W&amp;O'!$G:$G,$AP108),0)</f>
        <v>88.17</v>
      </c>
      <c r="AR108" s="251">
        <f>IF($S108,INDEX('Tarieven W&amp;O'!$G:$G,MATCH(N108&amp;R108,'Tarieven W&amp;O'!$B:$B,0)),0)</f>
        <v>0</v>
      </c>
      <c r="AS108" s="205">
        <f>-INDEX(Parameters!$B:$B,MATCH(AS$3,Parameters!$A:$A,0))*(AQ108+AR108)</f>
        <v>0</v>
      </c>
      <c r="AT108" s="205">
        <f>INDEX(hulpblad!$E:$E,MATCH(M108&amp;Q108,hulpblad!$B:$B,0))</f>
        <v>2</v>
      </c>
      <c r="AU108" s="150">
        <f t="shared" si="56"/>
        <v>90.17</v>
      </c>
      <c r="AV108" s="150">
        <f t="shared" si="57"/>
        <v>90.864444444444445</v>
      </c>
      <c r="AX108" s="526">
        <f>Parameters!$B$6*AV108</f>
        <v>0.90864444444444448</v>
      </c>
      <c r="AY108" s="150">
        <v>0</v>
      </c>
      <c r="AZ108" s="150"/>
      <c r="BA108" s="150">
        <f t="shared" si="54"/>
        <v>0.90864444444444448</v>
      </c>
      <c r="BB108" s="150"/>
      <c r="BC108" s="522">
        <f t="shared" si="55"/>
        <v>91.773088888888893</v>
      </c>
      <c r="BD108" s="175"/>
      <c r="BE108" s="527">
        <f t="shared" si="58"/>
        <v>936.00468888888895</v>
      </c>
      <c r="BF108" s="181">
        <f t="shared" si="59"/>
        <v>0.91070726486486486</v>
      </c>
      <c r="BG108" s="520" t="b">
        <f t="shared" si="48"/>
        <v>0</v>
      </c>
      <c r="BI108" s="528" t="s">
        <v>2181</v>
      </c>
      <c r="BL108" s="151" t="str">
        <f t="shared" si="61"/>
        <v>EoKMetro - Nationaal</v>
      </c>
      <c r="BM108" s="529">
        <v>0</v>
      </c>
      <c r="BN108" s="180">
        <f>BM108/INDEX(Parameters!$B:$B,MATCH("AfschrijftermijnVVE"&amp;12*$C108,Parameters!$A:$A,0))</f>
        <v>0</v>
      </c>
      <c r="BO108" s="184">
        <f>INDEX('inkoop ULL tbv EVPN'!I:I,MATCH(BL108,'inkoop ULL tbv EVPN'!H:H,0))</f>
        <v>2</v>
      </c>
      <c r="BP108" s="184">
        <f t="shared" si="62"/>
        <v>2</v>
      </c>
      <c r="BR108" s="180">
        <f>Parameters!$B$12*AG108</f>
        <v>102.77777777777779</v>
      </c>
      <c r="BS108" s="180">
        <f>SUM(Distributievergoedingen!$F$12,Distributievergoedingen!$I$12,Distributievergoedingen!$L$12,Distributievergoedingen!$O$12)*AF108+SUM(Distributievergoedingen!$O$12*AA108+Distributievergoedingen!$R$12+Distributievergoedingen!$U$12+Distributievergoedingen!$X$12)/(MAX(36,12*C108))</f>
        <v>112.77777777777777</v>
      </c>
      <c r="BT108" s="150"/>
      <c r="BU108" s="150">
        <f t="shared" si="63"/>
        <v>215.55555555555554</v>
      </c>
      <c r="BW108" s="522">
        <f t="shared" si="64"/>
        <v>217.55555555555554</v>
      </c>
      <c r="BY108" s="527">
        <f t="shared" si="65"/>
        <v>810.22222222222229</v>
      </c>
      <c r="BZ108" s="181">
        <f t="shared" si="66"/>
        <v>0.78832432432432431</v>
      </c>
      <c r="CA108" s="520" t="b">
        <f t="shared" si="67"/>
        <v>0</v>
      </c>
    </row>
    <row r="109" spans="1:79" s="151" customFormat="1">
      <c r="A109" s="151" t="str">
        <f t="shared" si="60"/>
        <v>1EoKPremiumNationaal30</v>
      </c>
      <c r="B109" s="520" t="str">
        <f t="shared" si="45"/>
        <v>1EoKPremiumNationaal30</v>
      </c>
      <c r="C109" s="179">
        <v>1</v>
      </c>
      <c r="D109" s="179" t="s">
        <v>303</v>
      </c>
      <c r="E109" s="178" t="s">
        <v>267</v>
      </c>
      <c r="F109" s="178" t="s">
        <v>266</v>
      </c>
      <c r="G109" s="185" t="s">
        <v>415</v>
      </c>
      <c r="J109" s="520" t="str">
        <f t="shared" si="46"/>
        <v>PremiumNationaal30</v>
      </c>
      <c r="L109" s="204">
        <f>INDEX(Mapping!$H:$H,MATCH(C$3&amp;C109,Mapping!$B:$B,0))</f>
        <v>1</v>
      </c>
      <c r="M109" s="204" t="str">
        <f>INDEX(Mapping!$H:$H,MATCH(D$3&amp;$D109,Mapping!$B:$B,0))</f>
        <v>EoK</v>
      </c>
      <c r="N109" s="204" t="str">
        <f>INDEX(Mapping!$H:$H,MATCH(E$3&amp;E109,Mapping!$B:$B,0))</f>
        <v>Premium</v>
      </c>
      <c r="O109" s="204" t="str">
        <f>INDEX(Mapping!$H:$H,MATCH(F$3&amp;F109,Mapping!$B:$B,0))</f>
        <v>Metro</v>
      </c>
      <c r="P109" s="204">
        <f>INDEX(Mapping!$H:$H,MATCH(G$3&amp;G109,Mapping!$B:$B,0))</f>
        <v>30</v>
      </c>
      <c r="Q109" s="204" t="str">
        <f>INDEX(Mapping!$H:$H,MATCH(Q$3&amp;$F109,Mapping!$B:$B,0))</f>
        <v>Metro - Nationaal</v>
      </c>
      <c r="R109" s="204" t="str">
        <f>INDEX(Mapping!$H:$H,MATCH("ZM VPN Service Level"&amp;E109,Mapping!$B:$B,0))</f>
        <v>Advanced</v>
      </c>
      <c r="S109" s="139" t="b">
        <f>IF($D109="EoK",INDEX(Mapping!$I:$I,MATCH($G$3&amp;$G109,Mapping!B:B,0)),FALSE)</f>
        <v>0</v>
      </c>
      <c r="T109" s="139"/>
      <c r="U109" s="520" t="str">
        <f t="shared" si="47"/>
        <v>PremiumMetro30</v>
      </c>
      <c r="W109" s="521">
        <f>MATCH($J109,'Tarieven ZM'!$B:$B,0)</f>
        <v>113</v>
      </c>
      <c r="X109" s="204">
        <f>INDEX('Tarieven ZM'!$H:$H,$W109)</f>
        <v>1000</v>
      </c>
      <c r="Y109" s="198">
        <f>-INDEX(Parameters!$B:$B,MATCH(Y$3&amp;$C109,Parameters!$A:$A,0))*$X109</f>
        <v>0</v>
      </c>
      <c r="Z109" s="198">
        <f>-INDEX(Parameters!$B:$B,MATCH(Z$3&amp;$C109,Parameters!$A:$A,0))*$X109</f>
        <v>0</v>
      </c>
      <c r="AA109" s="139">
        <f t="shared" si="49"/>
        <v>1000</v>
      </c>
      <c r="AB109" s="205">
        <f>AA109/INDEX(Parameters!$B:$B,MATCH("AfschrijftermijnVVE"&amp;12*$C109,Parameters!$A:$A,0))</f>
        <v>27.777777777777779</v>
      </c>
      <c r="AC109" s="204">
        <f>INDEX('Tarieven ZM'!$G:$G,$W109)</f>
        <v>1000</v>
      </c>
      <c r="AD109" s="198">
        <f>-INDEX(Parameters!$B:$B,MATCH(AD$3&amp;$C109,Parameters!$A:$A,0))*$AC109</f>
        <v>0</v>
      </c>
      <c r="AE109" s="198">
        <f>-INDEX(Parameters!$B:$B,MATCH(AE$3,Parameters!$A:$A,0))*$AC109</f>
        <v>0</v>
      </c>
      <c r="AF109" s="139">
        <f t="shared" si="50"/>
        <v>1000</v>
      </c>
      <c r="AG109" s="522">
        <f t="shared" si="51"/>
        <v>1027.7777777777778</v>
      </c>
      <c r="AH109" s="175"/>
      <c r="AI109" s="523">
        <f>MATCH($U109,'Tarieven W&amp;O'!$B:$B,0)</f>
        <v>67</v>
      </c>
      <c r="AJ109" s="204">
        <f>IF(AI109&lt;&gt;"nvt",INDEX('Tarieven W&amp;O'!$H:$H,$AI109),0)</f>
        <v>0</v>
      </c>
      <c r="AK109" s="204">
        <f>IF(AI109&lt;&gt;"nvt",INDEX('Tarieven W&amp;O'!$I:$I,$AI109),0)</f>
        <v>25</v>
      </c>
      <c r="AL109" s="524">
        <f>IF(AI109&lt;&gt;"nvt",-INDEX(Parameters!$B:$B,MATCH(AL$3,Parameters!$A:$A,0))*(AJ109+AK109),0)</f>
        <v>0</v>
      </c>
      <c r="AM109" s="525"/>
      <c r="AN109" s="139">
        <f t="shared" si="52"/>
        <v>25</v>
      </c>
      <c r="AO109" s="205">
        <f>AN109/INDEX(Parameters!$B:$B,MATCH("AfschrijftermijnVVE"&amp;12*$C109,Parameters!$A:$A,0))</f>
        <v>0.69444444444444442</v>
      </c>
      <c r="AP109" s="139">
        <f t="shared" si="53"/>
        <v>67</v>
      </c>
      <c r="AQ109" s="526">
        <f>IF(AP109&lt;&gt;"nvt",INDEX('Tarieven W&amp;O'!$G:$G,$AP109),0)</f>
        <v>110.78</v>
      </c>
      <c r="AR109" s="251">
        <f>IF($S109,INDEX('Tarieven W&amp;O'!$G:$G,MATCH(N109&amp;R109,'Tarieven W&amp;O'!$B:$B,0)),0)</f>
        <v>0</v>
      </c>
      <c r="AS109" s="205">
        <f>-INDEX(Parameters!$B:$B,MATCH(AS$3,Parameters!$A:$A,0))*(AQ109+AR109)</f>
        <v>0</v>
      </c>
      <c r="AT109" s="205">
        <f>INDEX(hulpblad!$E:$E,MATCH(M109&amp;Q109,hulpblad!$B:$B,0))</f>
        <v>2</v>
      </c>
      <c r="AU109" s="150">
        <f t="shared" si="56"/>
        <v>112.78</v>
      </c>
      <c r="AV109" s="150">
        <f t="shared" si="57"/>
        <v>113.47444444444444</v>
      </c>
      <c r="AX109" s="526">
        <f>Parameters!$B$6*AV109</f>
        <v>1.1347444444444446</v>
      </c>
      <c r="AY109" s="150">
        <v>0</v>
      </c>
      <c r="AZ109" s="150"/>
      <c r="BA109" s="150">
        <f t="shared" si="54"/>
        <v>1.1347444444444446</v>
      </c>
      <c r="BB109" s="150"/>
      <c r="BC109" s="522">
        <f t="shared" si="55"/>
        <v>114.60918888888889</v>
      </c>
      <c r="BD109" s="175"/>
      <c r="BE109" s="527">
        <f t="shared" si="58"/>
        <v>913.16858888888896</v>
      </c>
      <c r="BF109" s="181">
        <f t="shared" si="59"/>
        <v>0.88848835675675675</v>
      </c>
      <c r="BG109" s="520" t="b">
        <f t="shared" si="48"/>
        <v>0</v>
      </c>
      <c r="BI109" s="528" t="s">
        <v>2181</v>
      </c>
      <c r="BL109" s="151" t="str">
        <f t="shared" si="61"/>
        <v>EoKMetro - Nationaal</v>
      </c>
      <c r="BM109" s="529">
        <v>0</v>
      </c>
      <c r="BN109" s="180">
        <f>BM109/INDEX(Parameters!$B:$B,MATCH("AfschrijftermijnVVE"&amp;12*$C109,Parameters!$A:$A,0))</f>
        <v>0</v>
      </c>
      <c r="BO109" s="184">
        <f>INDEX('inkoop ULL tbv EVPN'!I:I,MATCH(BL109,'inkoop ULL tbv EVPN'!H:H,0))</f>
        <v>2</v>
      </c>
      <c r="BP109" s="184">
        <f t="shared" si="62"/>
        <v>2</v>
      </c>
      <c r="BR109" s="180">
        <f>Parameters!$B$12*AG109</f>
        <v>102.77777777777779</v>
      </c>
      <c r="BS109" s="180">
        <f>SUM(Distributievergoedingen!$F$12,Distributievergoedingen!$I$12,Distributievergoedingen!$L$12,Distributievergoedingen!$O$12)*AF109+SUM(Distributievergoedingen!$O$12*AA109+Distributievergoedingen!$R$12+Distributievergoedingen!$U$12+Distributievergoedingen!$X$12)/(MAX(36,12*C109))</f>
        <v>112.77777777777777</v>
      </c>
      <c r="BT109" s="150"/>
      <c r="BU109" s="150">
        <f t="shared" si="63"/>
        <v>215.55555555555554</v>
      </c>
      <c r="BW109" s="522">
        <f t="shared" si="64"/>
        <v>217.55555555555554</v>
      </c>
      <c r="BY109" s="527">
        <f t="shared" si="65"/>
        <v>810.22222222222229</v>
      </c>
      <c r="BZ109" s="181">
        <f t="shared" si="66"/>
        <v>0.78832432432432431</v>
      </c>
      <c r="CA109" s="520" t="b">
        <f t="shared" si="67"/>
        <v>0</v>
      </c>
    </row>
    <row r="110" spans="1:79" s="151" customFormat="1">
      <c r="A110" s="151" t="str">
        <f t="shared" si="60"/>
        <v>1EoKPremiumNationaal50</v>
      </c>
      <c r="B110" s="520" t="str">
        <f t="shared" si="45"/>
        <v>1EoKPremiumNationaal50</v>
      </c>
      <c r="C110" s="179">
        <v>1</v>
      </c>
      <c r="D110" s="179" t="s">
        <v>303</v>
      </c>
      <c r="E110" s="178" t="s">
        <v>267</v>
      </c>
      <c r="F110" s="178" t="s">
        <v>266</v>
      </c>
      <c r="G110" s="185" t="s">
        <v>416</v>
      </c>
      <c r="J110" s="520" t="str">
        <f t="shared" si="46"/>
        <v>PremiumNationaal50</v>
      </c>
      <c r="L110" s="204">
        <f>INDEX(Mapping!$H:$H,MATCH(C$3&amp;C110,Mapping!$B:$B,0))</f>
        <v>1</v>
      </c>
      <c r="M110" s="204" t="str">
        <f>INDEX(Mapping!$H:$H,MATCH(D$3&amp;$D110,Mapping!$B:$B,0))</f>
        <v>EoK</v>
      </c>
      <c r="N110" s="204" t="str">
        <f>INDEX(Mapping!$H:$H,MATCH(E$3&amp;E110,Mapping!$B:$B,0))</f>
        <v>Premium</v>
      </c>
      <c r="O110" s="204" t="str">
        <f>INDEX(Mapping!$H:$H,MATCH(F$3&amp;F110,Mapping!$B:$B,0))</f>
        <v>Metro</v>
      </c>
      <c r="P110" s="204">
        <f>INDEX(Mapping!$H:$H,MATCH(G$3&amp;G110,Mapping!$B:$B,0))</f>
        <v>50</v>
      </c>
      <c r="Q110" s="204" t="str">
        <f>INDEX(Mapping!$H:$H,MATCH(Q$3&amp;$F110,Mapping!$B:$B,0))</f>
        <v>Metro - Nationaal</v>
      </c>
      <c r="R110" s="204" t="str">
        <f>INDEX(Mapping!$H:$H,MATCH("ZM VPN Service Level"&amp;E110,Mapping!$B:$B,0))</f>
        <v>Advanced</v>
      </c>
      <c r="S110" s="139" t="b">
        <f>IF($D110="EoK",INDEX(Mapping!$I:$I,MATCH($G$3&amp;$G110,Mapping!B:B,0)),FALSE)</f>
        <v>0</v>
      </c>
      <c r="T110" s="139"/>
      <c r="U110" s="520" t="str">
        <f t="shared" si="47"/>
        <v>PremiumMetro50</v>
      </c>
      <c r="W110" s="521">
        <f>MATCH($J110,'Tarieven ZM'!$B:$B,0)</f>
        <v>114</v>
      </c>
      <c r="X110" s="204">
        <f>INDEX('Tarieven ZM'!$H:$H,$W110)</f>
        <v>1000</v>
      </c>
      <c r="Y110" s="198">
        <f>-INDEX(Parameters!$B:$B,MATCH(Y$3&amp;$C110,Parameters!$A:$A,0))*$X110</f>
        <v>0</v>
      </c>
      <c r="Z110" s="198">
        <f>-INDEX(Parameters!$B:$B,MATCH(Z$3&amp;$C110,Parameters!$A:$A,0))*$X110</f>
        <v>0</v>
      </c>
      <c r="AA110" s="139">
        <f t="shared" si="49"/>
        <v>1000</v>
      </c>
      <c r="AB110" s="205">
        <f>AA110/INDEX(Parameters!$B:$B,MATCH("AfschrijftermijnVVE"&amp;12*$C110,Parameters!$A:$A,0))</f>
        <v>27.777777777777779</v>
      </c>
      <c r="AC110" s="204">
        <f>INDEX('Tarieven ZM'!$G:$G,$W110)</f>
        <v>1000</v>
      </c>
      <c r="AD110" s="198">
        <f>-INDEX(Parameters!$B:$B,MATCH(AD$3&amp;$C110,Parameters!$A:$A,0))*$AC110</f>
        <v>0</v>
      </c>
      <c r="AE110" s="198">
        <f>-INDEX(Parameters!$B:$B,MATCH(AE$3,Parameters!$A:$A,0))*$AC110</f>
        <v>0</v>
      </c>
      <c r="AF110" s="139">
        <f t="shared" si="50"/>
        <v>1000</v>
      </c>
      <c r="AG110" s="522">
        <f t="shared" si="51"/>
        <v>1027.7777777777778</v>
      </c>
      <c r="AH110" s="175"/>
      <c r="AI110" s="523">
        <f>MATCH($U110,'Tarieven W&amp;O'!$B:$B,0)</f>
        <v>68</v>
      </c>
      <c r="AJ110" s="204">
        <f>IF(AI110&lt;&gt;"nvt",INDEX('Tarieven W&amp;O'!$H:$H,$AI110),0)</f>
        <v>0</v>
      </c>
      <c r="AK110" s="204">
        <f>IF(AI110&lt;&gt;"nvt",INDEX('Tarieven W&amp;O'!$I:$I,$AI110),0)</f>
        <v>25</v>
      </c>
      <c r="AL110" s="524">
        <f>IF(AI110&lt;&gt;"nvt",-INDEX(Parameters!$B:$B,MATCH(AL$3,Parameters!$A:$A,0))*(AJ110+AK110),0)</f>
        <v>0</v>
      </c>
      <c r="AM110" s="525"/>
      <c r="AN110" s="139">
        <f t="shared" si="52"/>
        <v>25</v>
      </c>
      <c r="AO110" s="205">
        <f>AN110/INDEX(Parameters!$B:$B,MATCH("AfschrijftermijnVVE"&amp;12*$C110,Parameters!$A:$A,0))</f>
        <v>0.69444444444444442</v>
      </c>
      <c r="AP110" s="139">
        <f t="shared" si="53"/>
        <v>68</v>
      </c>
      <c r="AQ110" s="526">
        <f>IF(AP110&lt;&gt;"nvt",INDEX('Tarieven W&amp;O'!$G:$G,$AP110),0)</f>
        <v>133.4</v>
      </c>
      <c r="AR110" s="251">
        <f>IF($S110,INDEX('Tarieven W&amp;O'!$G:$G,MATCH(N110&amp;R110,'Tarieven W&amp;O'!$B:$B,0)),0)</f>
        <v>0</v>
      </c>
      <c r="AS110" s="205">
        <f>-INDEX(Parameters!$B:$B,MATCH(AS$3,Parameters!$A:$A,0))*(AQ110+AR110)</f>
        <v>0</v>
      </c>
      <c r="AT110" s="205">
        <f>INDEX(hulpblad!$E:$E,MATCH(M110&amp;Q110,hulpblad!$B:$B,0))</f>
        <v>2</v>
      </c>
      <c r="AU110" s="150">
        <f t="shared" si="56"/>
        <v>135.4</v>
      </c>
      <c r="AV110" s="150">
        <f t="shared" si="57"/>
        <v>136.09444444444446</v>
      </c>
      <c r="AX110" s="526">
        <f>Parameters!$B$6*AV110</f>
        <v>1.3609444444444447</v>
      </c>
      <c r="AY110" s="150">
        <v>0</v>
      </c>
      <c r="AZ110" s="150"/>
      <c r="BA110" s="150">
        <f t="shared" si="54"/>
        <v>1.3609444444444447</v>
      </c>
      <c r="BB110" s="150"/>
      <c r="BC110" s="522">
        <f t="shared" si="55"/>
        <v>137.4553888888889</v>
      </c>
      <c r="BD110" s="175"/>
      <c r="BE110" s="527">
        <f t="shared" si="58"/>
        <v>890.3223888888889</v>
      </c>
      <c r="BF110" s="181">
        <f t="shared" si="59"/>
        <v>0.86625962162162162</v>
      </c>
      <c r="BG110" s="520" t="b">
        <f t="shared" si="48"/>
        <v>0</v>
      </c>
      <c r="BI110" s="528" t="s">
        <v>2181</v>
      </c>
      <c r="BL110" s="151" t="str">
        <f t="shared" si="61"/>
        <v>EoKMetro - Nationaal</v>
      </c>
      <c r="BM110" s="529">
        <v>0</v>
      </c>
      <c r="BN110" s="180">
        <f>BM110/INDEX(Parameters!$B:$B,MATCH("AfschrijftermijnVVE"&amp;12*$C110,Parameters!$A:$A,0))</f>
        <v>0</v>
      </c>
      <c r="BO110" s="184">
        <f>INDEX('inkoop ULL tbv EVPN'!I:I,MATCH(BL110,'inkoop ULL tbv EVPN'!H:H,0))</f>
        <v>2</v>
      </c>
      <c r="BP110" s="184">
        <f t="shared" si="62"/>
        <v>2</v>
      </c>
      <c r="BR110" s="180">
        <f>Parameters!$B$12*AG110</f>
        <v>102.77777777777779</v>
      </c>
      <c r="BS110" s="180">
        <f>SUM(Distributievergoedingen!$F$12,Distributievergoedingen!$I$12,Distributievergoedingen!$L$12,Distributievergoedingen!$O$12)*AF110+SUM(Distributievergoedingen!$O$12*AA110+Distributievergoedingen!$R$12+Distributievergoedingen!$U$12+Distributievergoedingen!$X$12)/(MAX(36,12*C110))</f>
        <v>112.77777777777777</v>
      </c>
      <c r="BT110" s="150"/>
      <c r="BU110" s="150">
        <f t="shared" si="63"/>
        <v>215.55555555555554</v>
      </c>
      <c r="BW110" s="522">
        <f t="shared" si="64"/>
        <v>217.55555555555554</v>
      </c>
      <c r="BY110" s="527">
        <f t="shared" si="65"/>
        <v>810.22222222222229</v>
      </c>
      <c r="BZ110" s="181">
        <f t="shared" si="66"/>
        <v>0.78832432432432431</v>
      </c>
      <c r="CA110" s="520" t="b">
        <f t="shared" si="67"/>
        <v>0</v>
      </c>
    </row>
    <row r="111" spans="1:79" s="151" customFormat="1">
      <c r="A111" s="151" t="str">
        <f t="shared" si="60"/>
        <v>1EoKPremiumNationaal80</v>
      </c>
      <c r="B111" s="520" t="str">
        <f t="shared" si="45"/>
        <v>1EoKPremiumNationaal80</v>
      </c>
      <c r="C111" s="179">
        <v>1</v>
      </c>
      <c r="D111" s="179" t="s">
        <v>303</v>
      </c>
      <c r="E111" s="178" t="s">
        <v>267</v>
      </c>
      <c r="F111" s="178" t="s">
        <v>266</v>
      </c>
      <c r="G111" s="185" t="s">
        <v>417</v>
      </c>
      <c r="J111" s="520" t="str">
        <f t="shared" si="46"/>
        <v>PremiumNationaal80</v>
      </c>
      <c r="L111" s="204">
        <f>INDEX(Mapping!$H:$H,MATCH(C$3&amp;C111,Mapping!$B:$B,0))</f>
        <v>1</v>
      </c>
      <c r="M111" s="204" t="str">
        <f>INDEX(Mapping!$H:$H,MATCH(D$3&amp;$D111,Mapping!$B:$B,0))</f>
        <v>EoK</v>
      </c>
      <c r="N111" s="204" t="str">
        <f>INDEX(Mapping!$H:$H,MATCH(E$3&amp;E111,Mapping!$B:$B,0))</f>
        <v>Premium</v>
      </c>
      <c r="O111" s="204" t="str">
        <f>INDEX(Mapping!$H:$H,MATCH(F$3&amp;F111,Mapping!$B:$B,0))</f>
        <v>Metro</v>
      </c>
      <c r="P111" s="204">
        <f>INDEX(Mapping!$H:$H,MATCH(G$3&amp;G111,Mapping!$B:$B,0))</f>
        <v>80</v>
      </c>
      <c r="Q111" s="204" t="str">
        <f>INDEX(Mapping!$H:$H,MATCH(Q$3&amp;$F111,Mapping!$B:$B,0))</f>
        <v>Metro - Nationaal</v>
      </c>
      <c r="R111" s="204" t="str">
        <f>INDEX(Mapping!$H:$H,MATCH("ZM VPN Service Level"&amp;E111,Mapping!$B:$B,0))</f>
        <v>Advanced</v>
      </c>
      <c r="S111" s="139" t="b">
        <f>IF($D111="EoK",INDEX(Mapping!$I:$I,MATCH($G$3&amp;$G111,Mapping!B:B,0)),FALSE)</f>
        <v>0</v>
      </c>
      <c r="T111" s="139"/>
      <c r="U111" s="520" t="str">
        <f t="shared" si="47"/>
        <v>PremiumMetro80</v>
      </c>
      <c r="W111" s="521">
        <f>MATCH($J111,'Tarieven ZM'!$B:$B,0)</f>
        <v>115</v>
      </c>
      <c r="X111" s="204">
        <f>INDEX('Tarieven ZM'!$H:$H,$W111)</f>
        <v>1000</v>
      </c>
      <c r="Y111" s="198">
        <f>-INDEX(Parameters!$B:$B,MATCH(Y$3&amp;$C111,Parameters!$A:$A,0))*$X111</f>
        <v>0</v>
      </c>
      <c r="Z111" s="198">
        <f>-INDEX(Parameters!$B:$B,MATCH(Z$3&amp;$C111,Parameters!$A:$A,0))*$X111</f>
        <v>0</v>
      </c>
      <c r="AA111" s="139">
        <f t="shared" si="49"/>
        <v>1000</v>
      </c>
      <c r="AB111" s="205">
        <f>AA111/INDEX(Parameters!$B:$B,MATCH("AfschrijftermijnVVE"&amp;12*$C111,Parameters!$A:$A,0))</f>
        <v>27.777777777777779</v>
      </c>
      <c r="AC111" s="204">
        <f>INDEX('Tarieven ZM'!$G:$G,$W111)</f>
        <v>1000</v>
      </c>
      <c r="AD111" s="198">
        <f>-INDEX(Parameters!$B:$B,MATCH(AD$3&amp;$C111,Parameters!$A:$A,0))*$AC111</f>
        <v>0</v>
      </c>
      <c r="AE111" s="198">
        <f>-INDEX(Parameters!$B:$B,MATCH(AE$3,Parameters!$A:$A,0))*$AC111</f>
        <v>0</v>
      </c>
      <c r="AF111" s="139">
        <f t="shared" si="50"/>
        <v>1000</v>
      </c>
      <c r="AG111" s="522">
        <f t="shared" si="51"/>
        <v>1027.7777777777778</v>
      </c>
      <c r="AH111" s="175"/>
      <c r="AI111" s="523">
        <f>MATCH($U111,'Tarieven W&amp;O'!$B:$B,0)</f>
        <v>69</v>
      </c>
      <c r="AJ111" s="204">
        <f>IF(AI111&lt;&gt;"nvt",INDEX('Tarieven W&amp;O'!$H:$H,$AI111),0)</f>
        <v>0</v>
      </c>
      <c r="AK111" s="204">
        <f>IF(AI111&lt;&gt;"nvt",INDEX('Tarieven W&amp;O'!$I:$I,$AI111),0)</f>
        <v>25</v>
      </c>
      <c r="AL111" s="524">
        <f>IF(AI111&lt;&gt;"nvt",-INDEX(Parameters!$B:$B,MATCH(AL$3,Parameters!$A:$A,0))*(AJ111+AK111),0)</f>
        <v>0</v>
      </c>
      <c r="AM111" s="525"/>
      <c r="AN111" s="139">
        <f t="shared" si="52"/>
        <v>25</v>
      </c>
      <c r="AO111" s="205">
        <f>AN111/INDEX(Parameters!$B:$B,MATCH("AfschrijftermijnVVE"&amp;12*$C111,Parameters!$A:$A,0))</f>
        <v>0.69444444444444442</v>
      </c>
      <c r="AP111" s="139">
        <f t="shared" si="53"/>
        <v>69</v>
      </c>
      <c r="AQ111" s="526">
        <f>IF(AP111&lt;&gt;"nvt",INDEX('Tarieven W&amp;O'!$G:$G,$AP111),0)</f>
        <v>159.78</v>
      </c>
      <c r="AR111" s="251">
        <f>IF($S111,INDEX('Tarieven W&amp;O'!$G:$G,MATCH(N111&amp;R111,'Tarieven W&amp;O'!$B:$B,0)),0)</f>
        <v>0</v>
      </c>
      <c r="AS111" s="205">
        <f>-INDEX(Parameters!$B:$B,MATCH(AS$3,Parameters!$A:$A,0))*(AQ111+AR111)</f>
        <v>0</v>
      </c>
      <c r="AT111" s="205">
        <f>INDEX(hulpblad!$E:$E,MATCH(M111&amp;Q111,hulpblad!$B:$B,0))</f>
        <v>2</v>
      </c>
      <c r="AU111" s="150">
        <f t="shared" si="56"/>
        <v>161.78</v>
      </c>
      <c r="AV111" s="150">
        <f t="shared" si="57"/>
        <v>162.47444444444446</v>
      </c>
      <c r="AX111" s="526">
        <f>Parameters!$B$6*AV111</f>
        <v>1.6247444444444445</v>
      </c>
      <c r="AY111" s="150">
        <v>0</v>
      </c>
      <c r="AZ111" s="150"/>
      <c r="BA111" s="150">
        <f t="shared" si="54"/>
        <v>1.6247444444444445</v>
      </c>
      <c r="BB111" s="150"/>
      <c r="BC111" s="522">
        <f t="shared" si="55"/>
        <v>164.0991888888889</v>
      </c>
      <c r="BD111" s="175"/>
      <c r="BE111" s="527">
        <f t="shared" si="58"/>
        <v>863.67858888888895</v>
      </c>
      <c r="BF111" s="181">
        <f t="shared" si="59"/>
        <v>0.84033592432432436</v>
      </c>
      <c r="BG111" s="520" t="b">
        <f t="shared" si="48"/>
        <v>0</v>
      </c>
      <c r="BI111" s="528" t="s">
        <v>2181</v>
      </c>
      <c r="BL111" s="151" t="str">
        <f t="shared" si="61"/>
        <v>EoKMetro - Nationaal</v>
      </c>
      <c r="BM111" s="529">
        <v>0</v>
      </c>
      <c r="BN111" s="180">
        <f>BM111/INDEX(Parameters!$B:$B,MATCH("AfschrijftermijnVVE"&amp;12*$C111,Parameters!$A:$A,0))</f>
        <v>0</v>
      </c>
      <c r="BO111" s="184">
        <f>INDEX('inkoop ULL tbv EVPN'!I:I,MATCH(BL111,'inkoop ULL tbv EVPN'!H:H,0))</f>
        <v>2</v>
      </c>
      <c r="BP111" s="184">
        <f t="shared" si="62"/>
        <v>2</v>
      </c>
      <c r="BR111" s="180">
        <f>Parameters!$B$12*AG111</f>
        <v>102.77777777777779</v>
      </c>
      <c r="BS111" s="180">
        <f>SUM(Distributievergoedingen!$F$12,Distributievergoedingen!$I$12,Distributievergoedingen!$L$12,Distributievergoedingen!$O$12)*AF111+SUM(Distributievergoedingen!$O$12*AA111+Distributievergoedingen!$R$12+Distributievergoedingen!$U$12+Distributievergoedingen!$X$12)/(MAX(36,12*C111))</f>
        <v>112.77777777777777</v>
      </c>
      <c r="BT111" s="150"/>
      <c r="BU111" s="150">
        <f t="shared" si="63"/>
        <v>215.55555555555554</v>
      </c>
      <c r="BW111" s="522">
        <f t="shared" si="64"/>
        <v>217.55555555555554</v>
      </c>
      <c r="BY111" s="527">
        <f t="shared" si="65"/>
        <v>810.22222222222229</v>
      </c>
      <c r="BZ111" s="181">
        <f t="shared" si="66"/>
        <v>0.78832432432432431</v>
      </c>
      <c r="CA111" s="520" t="b">
        <f t="shared" si="67"/>
        <v>0</v>
      </c>
    </row>
    <row r="112" spans="1:79" s="151" customFormat="1">
      <c r="A112" s="151" t="str">
        <f t="shared" si="60"/>
        <v>1EoKPremiumNationaal100</v>
      </c>
      <c r="B112" s="520" t="str">
        <f t="shared" si="45"/>
        <v>1EoKPremiumNationaal100</v>
      </c>
      <c r="C112" s="179">
        <v>1</v>
      </c>
      <c r="D112" s="179" t="s">
        <v>303</v>
      </c>
      <c r="E112" s="178" t="s">
        <v>267</v>
      </c>
      <c r="F112" s="178" t="s">
        <v>266</v>
      </c>
      <c r="G112" s="185" t="s">
        <v>418</v>
      </c>
      <c r="J112" s="520" t="str">
        <f t="shared" si="46"/>
        <v>PremiumNationaal100</v>
      </c>
      <c r="L112" s="204">
        <f>INDEX(Mapping!$H:$H,MATCH(C$3&amp;C112,Mapping!$B:$B,0))</f>
        <v>1</v>
      </c>
      <c r="M112" s="204" t="str">
        <f>INDEX(Mapping!$H:$H,MATCH(D$3&amp;$D112,Mapping!$B:$B,0))</f>
        <v>EoK</v>
      </c>
      <c r="N112" s="204" t="str">
        <f>INDEX(Mapping!$H:$H,MATCH(E$3&amp;E112,Mapping!$B:$B,0))</f>
        <v>Premium</v>
      </c>
      <c r="O112" s="204" t="str">
        <f>INDEX(Mapping!$H:$H,MATCH(F$3&amp;F112,Mapping!$B:$B,0))</f>
        <v>Metro</v>
      </c>
      <c r="P112" s="204">
        <f>INDEX(Mapping!$H:$H,MATCH(G$3&amp;G112,Mapping!$B:$B,0))</f>
        <v>100</v>
      </c>
      <c r="Q112" s="204" t="str">
        <f>INDEX(Mapping!$H:$H,MATCH(Q$3&amp;$F112,Mapping!$B:$B,0))</f>
        <v>Metro - Nationaal</v>
      </c>
      <c r="R112" s="204" t="str">
        <f>INDEX(Mapping!$H:$H,MATCH("ZM VPN Service Level"&amp;E112,Mapping!$B:$B,0))</f>
        <v>Advanced</v>
      </c>
      <c r="S112" s="139" t="b">
        <f>IF($D112="EoK",INDEX(Mapping!$I:$I,MATCH($G$3&amp;$G112,Mapping!B:B,0)),FALSE)</f>
        <v>0</v>
      </c>
      <c r="T112" s="139"/>
      <c r="U112" s="520" t="str">
        <f t="shared" si="47"/>
        <v>PremiumMetro100</v>
      </c>
      <c r="W112" s="521">
        <f>MATCH($J112,'Tarieven ZM'!$B:$B,0)</f>
        <v>116</v>
      </c>
      <c r="X112" s="204">
        <f>INDEX('Tarieven ZM'!$H:$H,$W112)</f>
        <v>1000</v>
      </c>
      <c r="Y112" s="198">
        <f>-INDEX(Parameters!$B:$B,MATCH(Y$3&amp;$C112,Parameters!$A:$A,0))*$X112</f>
        <v>0</v>
      </c>
      <c r="Z112" s="198">
        <f>-INDEX(Parameters!$B:$B,MATCH(Z$3&amp;$C112,Parameters!$A:$A,0))*$X112</f>
        <v>0</v>
      </c>
      <c r="AA112" s="139">
        <f t="shared" si="49"/>
        <v>1000</v>
      </c>
      <c r="AB112" s="205">
        <f>AA112/INDEX(Parameters!$B:$B,MATCH("AfschrijftermijnVVE"&amp;12*$C112,Parameters!$A:$A,0))</f>
        <v>27.777777777777779</v>
      </c>
      <c r="AC112" s="204">
        <f>INDEX('Tarieven ZM'!$G:$G,$W112)</f>
        <v>1000</v>
      </c>
      <c r="AD112" s="198">
        <f>-INDEX(Parameters!$B:$B,MATCH(AD$3&amp;$C112,Parameters!$A:$A,0))*$AC112</f>
        <v>0</v>
      </c>
      <c r="AE112" s="198">
        <f>-INDEX(Parameters!$B:$B,MATCH(AE$3,Parameters!$A:$A,0))*$AC112</f>
        <v>0</v>
      </c>
      <c r="AF112" s="139">
        <f t="shared" si="50"/>
        <v>1000</v>
      </c>
      <c r="AG112" s="522">
        <f t="shared" si="51"/>
        <v>1027.7777777777778</v>
      </c>
      <c r="AH112" s="175"/>
      <c r="AI112" s="523">
        <f>MATCH($U112,'Tarieven W&amp;O'!$B:$B,0)</f>
        <v>70</v>
      </c>
      <c r="AJ112" s="204">
        <f>IF(AI112&lt;&gt;"nvt",INDEX('Tarieven W&amp;O'!$H:$H,$AI112),0)</f>
        <v>0</v>
      </c>
      <c r="AK112" s="204">
        <f>IF(AI112&lt;&gt;"nvt",INDEX('Tarieven W&amp;O'!$I:$I,$AI112),0)</f>
        <v>25</v>
      </c>
      <c r="AL112" s="524">
        <f>IF(AI112&lt;&gt;"nvt",-INDEX(Parameters!$B:$B,MATCH(AL$3,Parameters!$A:$A,0))*(AJ112+AK112),0)</f>
        <v>0</v>
      </c>
      <c r="AM112" s="525"/>
      <c r="AN112" s="139">
        <f t="shared" si="52"/>
        <v>25</v>
      </c>
      <c r="AO112" s="205">
        <f>AN112/INDEX(Parameters!$B:$B,MATCH("AfschrijftermijnVVE"&amp;12*$C112,Parameters!$A:$A,0))</f>
        <v>0.69444444444444442</v>
      </c>
      <c r="AP112" s="139">
        <f t="shared" si="53"/>
        <v>70</v>
      </c>
      <c r="AQ112" s="526">
        <f>IF(AP112&lt;&gt;"nvt",INDEX('Tarieven W&amp;O'!$G:$G,$AP112),0)</f>
        <v>178.63</v>
      </c>
      <c r="AR112" s="251">
        <f>IF($S112,INDEX('Tarieven W&amp;O'!$G:$G,MATCH(N112&amp;R112,'Tarieven W&amp;O'!$B:$B,0)),0)</f>
        <v>0</v>
      </c>
      <c r="AS112" s="205">
        <f>-INDEX(Parameters!$B:$B,MATCH(AS$3,Parameters!$A:$A,0))*(AQ112+AR112)</f>
        <v>0</v>
      </c>
      <c r="AT112" s="205">
        <f>INDEX(hulpblad!$E:$E,MATCH(M112&amp;Q112,hulpblad!$B:$B,0))</f>
        <v>2</v>
      </c>
      <c r="AU112" s="150">
        <f t="shared" si="56"/>
        <v>180.63</v>
      </c>
      <c r="AV112" s="150">
        <f t="shared" si="57"/>
        <v>181.32444444444445</v>
      </c>
      <c r="AX112" s="526">
        <f>Parameters!$B$6*AV112</f>
        <v>1.8132444444444447</v>
      </c>
      <c r="AY112" s="150">
        <v>0</v>
      </c>
      <c r="AZ112" s="150"/>
      <c r="BA112" s="150">
        <f t="shared" si="54"/>
        <v>1.8132444444444447</v>
      </c>
      <c r="BB112" s="150"/>
      <c r="BC112" s="522">
        <f t="shared" si="55"/>
        <v>183.1376888888889</v>
      </c>
      <c r="BD112" s="175"/>
      <c r="BE112" s="527">
        <f t="shared" si="58"/>
        <v>844.64008888888895</v>
      </c>
      <c r="BF112" s="181">
        <f t="shared" si="59"/>
        <v>0.82181197837837838</v>
      </c>
      <c r="BG112" s="520" t="b">
        <f t="shared" si="48"/>
        <v>0</v>
      </c>
      <c r="BI112" s="528" t="s">
        <v>2181</v>
      </c>
      <c r="BL112" s="151" t="str">
        <f t="shared" si="61"/>
        <v>EoKMetro - Nationaal</v>
      </c>
      <c r="BM112" s="529">
        <v>0</v>
      </c>
      <c r="BN112" s="180">
        <f>BM112/INDEX(Parameters!$B:$B,MATCH("AfschrijftermijnVVE"&amp;12*$C112,Parameters!$A:$A,0))</f>
        <v>0</v>
      </c>
      <c r="BO112" s="184">
        <f>INDEX('inkoop ULL tbv EVPN'!I:I,MATCH(BL112,'inkoop ULL tbv EVPN'!H:H,0))</f>
        <v>2</v>
      </c>
      <c r="BP112" s="184">
        <f t="shared" si="62"/>
        <v>2</v>
      </c>
      <c r="BR112" s="180">
        <f>Parameters!$B$12*AG112</f>
        <v>102.77777777777779</v>
      </c>
      <c r="BS112" s="180">
        <f>SUM(Distributievergoedingen!$F$12,Distributievergoedingen!$I$12,Distributievergoedingen!$L$12,Distributievergoedingen!$O$12)*AF112+SUM(Distributievergoedingen!$O$12*AA112+Distributievergoedingen!$R$12+Distributievergoedingen!$U$12+Distributievergoedingen!$X$12)/(MAX(36,12*C112))</f>
        <v>112.77777777777777</v>
      </c>
      <c r="BT112" s="150"/>
      <c r="BU112" s="150">
        <f t="shared" si="63"/>
        <v>215.55555555555554</v>
      </c>
      <c r="BW112" s="522">
        <f t="shared" si="64"/>
        <v>217.55555555555554</v>
      </c>
      <c r="BY112" s="527">
        <f t="shared" si="65"/>
        <v>810.22222222222229</v>
      </c>
      <c r="BZ112" s="181">
        <f t="shared" si="66"/>
        <v>0.78832432432432431</v>
      </c>
      <c r="CA112" s="520" t="b">
        <f t="shared" si="67"/>
        <v>0</v>
      </c>
    </row>
    <row r="113" spans="1:79" s="151" customFormat="1">
      <c r="A113" s="151" t="str">
        <f t="shared" si="60"/>
        <v>1EoKPremiumNationaal200</v>
      </c>
      <c r="B113" s="520" t="str">
        <f t="shared" si="45"/>
        <v>1EoKPremiumNationaal200</v>
      </c>
      <c r="C113" s="179">
        <v>1</v>
      </c>
      <c r="D113" s="179" t="s">
        <v>303</v>
      </c>
      <c r="E113" s="178" t="s">
        <v>267</v>
      </c>
      <c r="F113" s="178" t="s">
        <v>266</v>
      </c>
      <c r="G113" s="185" t="s">
        <v>419</v>
      </c>
      <c r="J113" s="520" t="str">
        <f t="shared" si="46"/>
        <v>PremiumNationaal200</v>
      </c>
      <c r="L113" s="204">
        <f>INDEX(Mapping!$H:$H,MATCH(C$3&amp;C113,Mapping!$B:$B,0))</f>
        <v>1</v>
      </c>
      <c r="M113" s="204" t="str">
        <f>INDEX(Mapping!$H:$H,MATCH(D$3&amp;$D113,Mapping!$B:$B,0))</f>
        <v>EoK</v>
      </c>
      <c r="N113" s="204" t="str">
        <f>INDEX(Mapping!$H:$H,MATCH(E$3&amp;E113,Mapping!$B:$B,0))</f>
        <v>Premium</v>
      </c>
      <c r="O113" s="204" t="str">
        <f>INDEX(Mapping!$H:$H,MATCH(F$3&amp;F113,Mapping!$B:$B,0))</f>
        <v>Metro</v>
      </c>
      <c r="P113" s="204">
        <f>INDEX(Mapping!$H:$H,MATCH(G$3&amp;G113,Mapping!$B:$B,0))</f>
        <v>200</v>
      </c>
      <c r="Q113" s="204" t="str">
        <f>INDEX(Mapping!$H:$H,MATCH(Q$3&amp;$F113,Mapping!$B:$B,0))</f>
        <v>Metro - Nationaal</v>
      </c>
      <c r="R113" s="204" t="str">
        <f>INDEX(Mapping!$H:$H,MATCH("ZM VPN Service Level"&amp;E113,Mapping!$B:$B,0))</f>
        <v>Advanced</v>
      </c>
      <c r="S113" s="139" t="b">
        <f>IF($D113="EoK",INDEX(Mapping!$I:$I,MATCH($G$3&amp;$G113,Mapping!B:B,0)),FALSE)</f>
        <v>0</v>
      </c>
      <c r="T113" s="139"/>
      <c r="U113" s="520" t="str">
        <f t="shared" si="47"/>
        <v>PremiumMetro200</v>
      </c>
      <c r="W113" s="521">
        <f>MATCH($J113,'Tarieven ZM'!$B:$B,0)</f>
        <v>117</v>
      </c>
      <c r="X113" s="204">
        <f>INDEX('Tarieven ZM'!$H:$H,$W113)</f>
        <v>1000</v>
      </c>
      <c r="Y113" s="198">
        <f>-INDEX(Parameters!$B:$B,MATCH(Y$3&amp;$C113,Parameters!$A:$A,0))*$X113</f>
        <v>0</v>
      </c>
      <c r="Z113" s="198">
        <f>-INDEX(Parameters!$B:$B,MATCH(Z$3&amp;$C113,Parameters!$A:$A,0))*$X113</f>
        <v>0</v>
      </c>
      <c r="AA113" s="139">
        <f t="shared" si="49"/>
        <v>1000</v>
      </c>
      <c r="AB113" s="205">
        <f>AA113/INDEX(Parameters!$B:$B,MATCH("AfschrijftermijnVVE"&amp;12*$C113,Parameters!$A:$A,0))</f>
        <v>27.777777777777779</v>
      </c>
      <c r="AC113" s="204">
        <f>INDEX('Tarieven ZM'!$G:$G,$W113)</f>
        <v>1000</v>
      </c>
      <c r="AD113" s="198">
        <f>-INDEX(Parameters!$B:$B,MATCH(AD$3&amp;$C113,Parameters!$A:$A,0))*$AC113</f>
        <v>0</v>
      </c>
      <c r="AE113" s="198">
        <f>-INDEX(Parameters!$B:$B,MATCH(AE$3,Parameters!$A:$A,0))*$AC113</f>
        <v>0</v>
      </c>
      <c r="AF113" s="139">
        <f t="shared" si="50"/>
        <v>1000</v>
      </c>
      <c r="AG113" s="522">
        <f t="shared" si="51"/>
        <v>1027.7777777777778</v>
      </c>
      <c r="AH113" s="175"/>
      <c r="AI113" s="523">
        <f>MATCH($U113,'Tarieven W&amp;O'!$B:$B,0)</f>
        <v>71</v>
      </c>
      <c r="AJ113" s="204">
        <f>IF(AI113&lt;&gt;"nvt",INDEX('Tarieven W&amp;O'!$H:$H,$AI113),0)</f>
        <v>0</v>
      </c>
      <c r="AK113" s="204">
        <f>IF(AI113&lt;&gt;"nvt",INDEX('Tarieven W&amp;O'!$I:$I,$AI113),0)</f>
        <v>25</v>
      </c>
      <c r="AL113" s="524">
        <f>IF(AI113&lt;&gt;"nvt",-INDEX(Parameters!$B:$B,MATCH(AL$3,Parameters!$A:$A,0))*(AJ113+AK113),0)</f>
        <v>0</v>
      </c>
      <c r="AM113" s="525"/>
      <c r="AN113" s="139">
        <f t="shared" si="52"/>
        <v>25</v>
      </c>
      <c r="AO113" s="205">
        <f>AN113/INDEX(Parameters!$B:$B,MATCH("AfschrijftermijnVVE"&amp;12*$C113,Parameters!$A:$A,0))</f>
        <v>0.69444444444444442</v>
      </c>
      <c r="AP113" s="139">
        <f t="shared" si="53"/>
        <v>71</v>
      </c>
      <c r="AQ113" s="526">
        <f>IF(AP113&lt;&gt;"nvt",INDEX('Tarieven W&amp;O'!$G:$G,$AP113),0)</f>
        <v>216.32</v>
      </c>
      <c r="AR113" s="251">
        <f>IF($S113,INDEX('Tarieven W&amp;O'!$G:$G,MATCH(N113&amp;R113,'Tarieven W&amp;O'!$B:$B,0)),0)</f>
        <v>0</v>
      </c>
      <c r="AS113" s="205">
        <f>-INDEX(Parameters!$B:$B,MATCH(AS$3,Parameters!$A:$A,0))*(AQ113+AR113)</f>
        <v>0</v>
      </c>
      <c r="AT113" s="205">
        <f>INDEX(hulpblad!$E:$E,MATCH(M113&amp;Q113,hulpblad!$B:$B,0))</f>
        <v>2</v>
      </c>
      <c r="AU113" s="150">
        <f t="shared" si="56"/>
        <v>218.32</v>
      </c>
      <c r="AV113" s="150">
        <f t="shared" si="57"/>
        <v>219.01444444444445</v>
      </c>
      <c r="AX113" s="526">
        <f>Parameters!$B$6*AV113</f>
        <v>2.1901444444444444</v>
      </c>
      <c r="AY113" s="150">
        <v>0</v>
      </c>
      <c r="AZ113" s="150"/>
      <c r="BA113" s="150">
        <f t="shared" si="54"/>
        <v>2.1901444444444444</v>
      </c>
      <c r="BB113" s="150"/>
      <c r="BC113" s="522">
        <f t="shared" si="55"/>
        <v>221.20458888888891</v>
      </c>
      <c r="BD113" s="175"/>
      <c r="BE113" s="527">
        <f t="shared" si="58"/>
        <v>806.57318888888892</v>
      </c>
      <c r="BF113" s="181">
        <f t="shared" si="59"/>
        <v>0.78477391351351355</v>
      </c>
      <c r="BG113" s="520" t="b">
        <f t="shared" si="48"/>
        <v>0</v>
      </c>
      <c r="BI113" s="528" t="s">
        <v>2181</v>
      </c>
      <c r="BL113" s="151" t="str">
        <f t="shared" si="61"/>
        <v>EoKMetro - Nationaal</v>
      </c>
      <c r="BM113" s="529">
        <v>0</v>
      </c>
      <c r="BN113" s="180">
        <f>BM113/INDEX(Parameters!$B:$B,MATCH("AfschrijftermijnVVE"&amp;12*$C113,Parameters!$A:$A,0))</f>
        <v>0</v>
      </c>
      <c r="BO113" s="184">
        <f>INDEX('inkoop ULL tbv EVPN'!I:I,MATCH(BL113,'inkoop ULL tbv EVPN'!H:H,0))</f>
        <v>2</v>
      </c>
      <c r="BP113" s="184">
        <f t="shared" si="62"/>
        <v>2</v>
      </c>
      <c r="BR113" s="180">
        <f>Parameters!$B$12*AG113</f>
        <v>102.77777777777779</v>
      </c>
      <c r="BS113" s="180">
        <f>SUM(Distributievergoedingen!$F$12,Distributievergoedingen!$I$12,Distributievergoedingen!$L$12,Distributievergoedingen!$O$12)*AF113+SUM(Distributievergoedingen!$O$12*AA113+Distributievergoedingen!$R$12+Distributievergoedingen!$U$12+Distributievergoedingen!$X$12)/(MAX(36,12*C113))</f>
        <v>112.77777777777777</v>
      </c>
      <c r="BT113" s="150"/>
      <c r="BU113" s="150">
        <f t="shared" si="63"/>
        <v>215.55555555555554</v>
      </c>
      <c r="BW113" s="522">
        <f t="shared" si="64"/>
        <v>217.55555555555554</v>
      </c>
      <c r="BY113" s="527">
        <f t="shared" si="65"/>
        <v>810.22222222222229</v>
      </c>
      <c r="BZ113" s="181">
        <f t="shared" si="66"/>
        <v>0.78832432432432431</v>
      </c>
      <c r="CA113" s="520" t="b">
        <f t="shared" si="67"/>
        <v>0</v>
      </c>
    </row>
    <row r="114" spans="1:79" s="151" customFormat="1">
      <c r="A114" s="151" t="str">
        <f t="shared" si="60"/>
        <v>1EoKPremiumNationaal300</v>
      </c>
      <c r="B114" s="520" t="str">
        <f t="shared" si="45"/>
        <v>1EoKPremiumNationaal300</v>
      </c>
      <c r="C114" s="179">
        <v>1</v>
      </c>
      <c r="D114" s="179" t="s">
        <v>303</v>
      </c>
      <c r="E114" s="178" t="s">
        <v>267</v>
      </c>
      <c r="F114" s="178" t="s">
        <v>266</v>
      </c>
      <c r="G114" s="185" t="s">
        <v>420</v>
      </c>
      <c r="J114" s="520" t="str">
        <f t="shared" si="46"/>
        <v>PremiumNationaal300</v>
      </c>
      <c r="L114" s="204">
        <f>INDEX(Mapping!$H:$H,MATCH(C$3&amp;C114,Mapping!$B:$B,0))</f>
        <v>1</v>
      </c>
      <c r="M114" s="204" t="str">
        <f>INDEX(Mapping!$H:$H,MATCH(D$3&amp;$D114,Mapping!$B:$B,0))</f>
        <v>EoK</v>
      </c>
      <c r="N114" s="204" t="str">
        <f>INDEX(Mapping!$H:$H,MATCH(E$3&amp;E114,Mapping!$B:$B,0))</f>
        <v>Premium</v>
      </c>
      <c r="O114" s="204" t="str">
        <f>INDEX(Mapping!$H:$H,MATCH(F$3&amp;F114,Mapping!$B:$B,0))</f>
        <v>Metro</v>
      </c>
      <c r="P114" s="204">
        <f>INDEX(Mapping!$H:$H,MATCH(G$3&amp;G114,Mapping!$B:$B,0))</f>
        <v>300</v>
      </c>
      <c r="Q114" s="204" t="str">
        <f>INDEX(Mapping!$H:$H,MATCH(Q$3&amp;$F114,Mapping!$B:$B,0))</f>
        <v>Metro - Nationaal</v>
      </c>
      <c r="R114" s="204" t="str">
        <f>INDEX(Mapping!$H:$H,MATCH("ZM VPN Service Level"&amp;E114,Mapping!$B:$B,0))</f>
        <v>Advanced</v>
      </c>
      <c r="S114" s="139" t="b">
        <f>IF($D114="EoK",INDEX(Mapping!$I:$I,MATCH($G$3&amp;$G114,Mapping!B:B,0)),FALSE)</f>
        <v>0</v>
      </c>
      <c r="T114" s="139"/>
      <c r="U114" s="520" t="str">
        <f t="shared" si="47"/>
        <v>PremiumMetro300</v>
      </c>
      <c r="W114" s="521">
        <f>MATCH($J114,'Tarieven ZM'!$B:$B,0)</f>
        <v>118</v>
      </c>
      <c r="X114" s="204">
        <f>INDEX('Tarieven ZM'!$H:$H,$W114)</f>
        <v>1000</v>
      </c>
      <c r="Y114" s="198">
        <f>-INDEX(Parameters!$B:$B,MATCH(Y$3&amp;$C114,Parameters!$A:$A,0))*$X114</f>
        <v>0</v>
      </c>
      <c r="Z114" s="198">
        <f>-INDEX(Parameters!$B:$B,MATCH(Z$3&amp;$C114,Parameters!$A:$A,0))*$X114</f>
        <v>0</v>
      </c>
      <c r="AA114" s="139">
        <f t="shared" si="49"/>
        <v>1000</v>
      </c>
      <c r="AB114" s="205">
        <f>AA114/INDEX(Parameters!$B:$B,MATCH("AfschrijftermijnVVE"&amp;12*$C114,Parameters!$A:$A,0))</f>
        <v>27.777777777777779</v>
      </c>
      <c r="AC114" s="204">
        <f>INDEX('Tarieven ZM'!$G:$G,$W114)</f>
        <v>1000</v>
      </c>
      <c r="AD114" s="198">
        <f>-INDEX(Parameters!$B:$B,MATCH(AD$3&amp;$C114,Parameters!$A:$A,0))*$AC114</f>
        <v>0</v>
      </c>
      <c r="AE114" s="198">
        <f>-INDEX(Parameters!$B:$B,MATCH(AE$3,Parameters!$A:$A,0))*$AC114</f>
        <v>0</v>
      </c>
      <c r="AF114" s="139">
        <f t="shared" si="50"/>
        <v>1000</v>
      </c>
      <c r="AG114" s="522">
        <f t="shared" si="51"/>
        <v>1027.7777777777778</v>
      </c>
      <c r="AH114" s="175"/>
      <c r="AI114" s="523">
        <f>MATCH($U114,'Tarieven W&amp;O'!$B:$B,0)</f>
        <v>72</v>
      </c>
      <c r="AJ114" s="204">
        <f>IF(AI114&lt;&gt;"nvt",INDEX('Tarieven W&amp;O'!$H:$H,$AI114),0)</f>
        <v>0</v>
      </c>
      <c r="AK114" s="204">
        <f>IF(AI114&lt;&gt;"nvt",INDEX('Tarieven W&amp;O'!$I:$I,$AI114),0)</f>
        <v>25</v>
      </c>
      <c r="AL114" s="524">
        <f>IF(AI114&lt;&gt;"nvt",-INDEX(Parameters!$B:$B,MATCH(AL$3,Parameters!$A:$A,0))*(AJ114+AK114),0)</f>
        <v>0</v>
      </c>
      <c r="AM114" s="525"/>
      <c r="AN114" s="139">
        <f t="shared" si="52"/>
        <v>25</v>
      </c>
      <c r="AO114" s="205">
        <f>AN114/INDEX(Parameters!$B:$B,MATCH("AfschrijftermijnVVE"&amp;12*$C114,Parameters!$A:$A,0))</f>
        <v>0.69444444444444442</v>
      </c>
      <c r="AP114" s="139">
        <f t="shared" si="53"/>
        <v>72</v>
      </c>
      <c r="AQ114" s="526">
        <f>IF(AP114&lt;&gt;"nvt",INDEX('Tarieven W&amp;O'!$G:$G,$AP114),0)</f>
        <v>254.01</v>
      </c>
      <c r="AR114" s="251">
        <f>IF($S114,INDEX('Tarieven W&amp;O'!$G:$G,MATCH(N114&amp;R114,'Tarieven W&amp;O'!$B:$B,0)),0)</f>
        <v>0</v>
      </c>
      <c r="AS114" s="205">
        <f>-INDEX(Parameters!$B:$B,MATCH(AS$3,Parameters!$A:$A,0))*(AQ114+AR114)</f>
        <v>0</v>
      </c>
      <c r="AT114" s="205">
        <f>INDEX(hulpblad!$E:$E,MATCH(M114&amp;Q114,hulpblad!$B:$B,0))</f>
        <v>2</v>
      </c>
      <c r="AU114" s="150">
        <f t="shared" si="56"/>
        <v>256.01</v>
      </c>
      <c r="AV114" s="150">
        <f t="shared" si="57"/>
        <v>256.70444444444445</v>
      </c>
      <c r="AX114" s="526">
        <f>Parameters!$B$6*AV114</f>
        <v>2.5670444444444445</v>
      </c>
      <c r="AY114" s="150">
        <v>0</v>
      </c>
      <c r="AZ114" s="150"/>
      <c r="BA114" s="150">
        <f t="shared" si="54"/>
        <v>2.5670444444444445</v>
      </c>
      <c r="BB114" s="150"/>
      <c r="BC114" s="522">
        <f t="shared" si="55"/>
        <v>259.27148888888888</v>
      </c>
      <c r="BD114" s="175"/>
      <c r="BE114" s="527">
        <f t="shared" si="58"/>
        <v>768.506288888889</v>
      </c>
      <c r="BF114" s="181">
        <f t="shared" si="59"/>
        <v>0.74773584864864873</v>
      </c>
      <c r="BG114" s="520" t="b">
        <f t="shared" si="48"/>
        <v>0</v>
      </c>
      <c r="BI114" s="528" t="s">
        <v>2181</v>
      </c>
      <c r="BL114" s="151" t="str">
        <f t="shared" si="61"/>
        <v>EoKMetro - Nationaal</v>
      </c>
      <c r="BM114" s="529">
        <v>0</v>
      </c>
      <c r="BN114" s="180">
        <f>BM114/INDEX(Parameters!$B:$B,MATCH("AfschrijftermijnVVE"&amp;12*$C114,Parameters!$A:$A,0))</f>
        <v>0</v>
      </c>
      <c r="BO114" s="184">
        <f>INDEX('inkoop ULL tbv EVPN'!I:I,MATCH(BL114,'inkoop ULL tbv EVPN'!H:H,0))</f>
        <v>2</v>
      </c>
      <c r="BP114" s="184">
        <f t="shared" si="62"/>
        <v>2</v>
      </c>
      <c r="BR114" s="180">
        <f>Parameters!$B$12*AG114</f>
        <v>102.77777777777779</v>
      </c>
      <c r="BS114" s="180">
        <f>SUM(Distributievergoedingen!$F$12,Distributievergoedingen!$I$12,Distributievergoedingen!$L$12,Distributievergoedingen!$O$12)*AF114+SUM(Distributievergoedingen!$O$12*AA114+Distributievergoedingen!$R$12+Distributievergoedingen!$U$12+Distributievergoedingen!$X$12)/(MAX(36,12*C114))</f>
        <v>112.77777777777777</v>
      </c>
      <c r="BT114" s="150"/>
      <c r="BU114" s="150">
        <f t="shared" si="63"/>
        <v>215.55555555555554</v>
      </c>
      <c r="BW114" s="522">
        <f t="shared" si="64"/>
        <v>217.55555555555554</v>
      </c>
      <c r="BY114" s="527">
        <f t="shared" si="65"/>
        <v>810.22222222222229</v>
      </c>
      <c r="BZ114" s="181">
        <f t="shared" si="66"/>
        <v>0.78832432432432431</v>
      </c>
      <c r="CA114" s="520" t="b">
        <f t="shared" si="67"/>
        <v>0</v>
      </c>
    </row>
    <row r="115" spans="1:79" s="151" customFormat="1">
      <c r="A115" s="151" t="str">
        <f t="shared" si="60"/>
        <v>1EoKPremiumNationaal500</v>
      </c>
      <c r="B115" s="520" t="str">
        <f t="shared" si="45"/>
        <v>1EoKPremiumNationaal500</v>
      </c>
      <c r="C115" s="179">
        <v>1</v>
      </c>
      <c r="D115" s="179" t="s">
        <v>303</v>
      </c>
      <c r="E115" s="178" t="s">
        <v>267</v>
      </c>
      <c r="F115" s="178" t="s">
        <v>266</v>
      </c>
      <c r="G115" s="185" t="s">
        <v>421</v>
      </c>
      <c r="J115" s="520" t="str">
        <f t="shared" si="46"/>
        <v>PremiumNationaal500</v>
      </c>
      <c r="L115" s="204">
        <f>INDEX(Mapping!$H:$H,MATCH(C$3&amp;C115,Mapping!$B:$B,0))</f>
        <v>1</v>
      </c>
      <c r="M115" s="204" t="str">
        <f>INDEX(Mapping!$H:$H,MATCH(D$3&amp;$D115,Mapping!$B:$B,0))</f>
        <v>EoK</v>
      </c>
      <c r="N115" s="204" t="str">
        <f>INDEX(Mapping!$H:$H,MATCH(E$3&amp;E115,Mapping!$B:$B,0))</f>
        <v>Premium</v>
      </c>
      <c r="O115" s="204" t="str">
        <f>INDEX(Mapping!$H:$H,MATCH(F$3&amp;F115,Mapping!$B:$B,0))</f>
        <v>Metro</v>
      </c>
      <c r="P115" s="204">
        <f>INDEX(Mapping!$H:$H,MATCH(G$3&amp;G115,Mapping!$B:$B,0))</f>
        <v>500</v>
      </c>
      <c r="Q115" s="204" t="str">
        <f>INDEX(Mapping!$H:$H,MATCH(Q$3&amp;$F115,Mapping!$B:$B,0))</f>
        <v>Metro - Nationaal</v>
      </c>
      <c r="R115" s="204" t="str">
        <f>INDEX(Mapping!$H:$H,MATCH("ZM VPN Service Level"&amp;E115,Mapping!$B:$B,0))</f>
        <v>Advanced</v>
      </c>
      <c r="S115" s="139" t="b">
        <f>IF($D115="EoK",INDEX(Mapping!$I:$I,MATCH($G$3&amp;$G115,Mapping!B:B,0)),FALSE)</f>
        <v>0</v>
      </c>
      <c r="T115" s="139"/>
      <c r="U115" s="520" t="str">
        <f t="shared" si="47"/>
        <v>PremiumMetro500</v>
      </c>
      <c r="W115" s="521">
        <f>MATCH($J115,'Tarieven ZM'!$B:$B,0)</f>
        <v>119</v>
      </c>
      <c r="X115" s="204">
        <f>INDEX('Tarieven ZM'!$H:$H,$W115)</f>
        <v>1000</v>
      </c>
      <c r="Y115" s="198">
        <f>-INDEX(Parameters!$B:$B,MATCH(Y$3&amp;$C115,Parameters!$A:$A,0))*$X115</f>
        <v>0</v>
      </c>
      <c r="Z115" s="198">
        <f>-INDEX(Parameters!$B:$B,MATCH(Z$3&amp;$C115,Parameters!$A:$A,0))*$X115</f>
        <v>0</v>
      </c>
      <c r="AA115" s="139">
        <f t="shared" si="49"/>
        <v>1000</v>
      </c>
      <c r="AB115" s="205">
        <f>AA115/INDEX(Parameters!$B:$B,MATCH("AfschrijftermijnVVE"&amp;12*$C115,Parameters!$A:$A,0))</f>
        <v>27.777777777777779</v>
      </c>
      <c r="AC115" s="204">
        <f>INDEX('Tarieven ZM'!$G:$G,$W115)</f>
        <v>1000</v>
      </c>
      <c r="AD115" s="198">
        <f>-INDEX(Parameters!$B:$B,MATCH(AD$3&amp;$C115,Parameters!$A:$A,0))*$AC115</f>
        <v>0</v>
      </c>
      <c r="AE115" s="198">
        <f>-INDEX(Parameters!$B:$B,MATCH(AE$3,Parameters!$A:$A,0))*$AC115</f>
        <v>0</v>
      </c>
      <c r="AF115" s="139">
        <f t="shared" si="50"/>
        <v>1000</v>
      </c>
      <c r="AG115" s="522">
        <f t="shared" si="51"/>
        <v>1027.7777777777778</v>
      </c>
      <c r="AH115" s="175"/>
      <c r="AI115" s="523">
        <f>MATCH($U115,'Tarieven W&amp;O'!$B:$B,0)</f>
        <v>73</v>
      </c>
      <c r="AJ115" s="204">
        <f>IF(AI115&lt;&gt;"nvt",INDEX('Tarieven W&amp;O'!$H:$H,$AI115),0)</f>
        <v>0</v>
      </c>
      <c r="AK115" s="204">
        <f>IF(AI115&lt;&gt;"nvt",INDEX('Tarieven W&amp;O'!$I:$I,$AI115),0)</f>
        <v>25</v>
      </c>
      <c r="AL115" s="524">
        <f>IF(AI115&lt;&gt;"nvt",-INDEX(Parameters!$B:$B,MATCH(AL$3,Parameters!$A:$A,0))*(AJ115+AK115),0)</f>
        <v>0</v>
      </c>
      <c r="AM115" s="525"/>
      <c r="AN115" s="139">
        <f t="shared" si="52"/>
        <v>25</v>
      </c>
      <c r="AO115" s="205">
        <f>AN115/INDEX(Parameters!$B:$B,MATCH("AfschrijftermijnVVE"&amp;12*$C115,Parameters!$A:$A,0))</f>
        <v>0.69444444444444442</v>
      </c>
      <c r="AP115" s="139">
        <f t="shared" si="53"/>
        <v>73</v>
      </c>
      <c r="AQ115" s="526">
        <f>IF(AP115&lt;&gt;"nvt",INDEX('Tarieven W&amp;O'!$G:$G,$AP115),0)</f>
        <v>310.54000000000002</v>
      </c>
      <c r="AR115" s="251">
        <f>IF($S115,INDEX('Tarieven W&amp;O'!$G:$G,MATCH(N115&amp;R115,'Tarieven W&amp;O'!$B:$B,0)),0)</f>
        <v>0</v>
      </c>
      <c r="AS115" s="205">
        <f>-INDEX(Parameters!$B:$B,MATCH(AS$3,Parameters!$A:$A,0))*(AQ115+AR115)</f>
        <v>0</v>
      </c>
      <c r="AT115" s="205">
        <f>INDEX(hulpblad!$E:$E,MATCH(M115&amp;Q115,hulpblad!$B:$B,0))</f>
        <v>2</v>
      </c>
      <c r="AU115" s="150">
        <f t="shared" si="56"/>
        <v>312.54000000000002</v>
      </c>
      <c r="AV115" s="150">
        <f t="shared" si="57"/>
        <v>313.23444444444448</v>
      </c>
      <c r="AX115" s="526">
        <f>Parameters!$B$6*AV115</f>
        <v>3.132344444444445</v>
      </c>
      <c r="AY115" s="150">
        <v>0</v>
      </c>
      <c r="AZ115" s="150"/>
      <c r="BA115" s="150">
        <f t="shared" si="54"/>
        <v>3.132344444444445</v>
      </c>
      <c r="BB115" s="150"/>
      <c r="BC115" s="522">
        <f t="shared" si="55"/>
        <v>316.36678888888895</v>
      </c>
      <c r="BD115" s="175"/>
      <c r="BE115" s="527">
        <f t="shared" si="58"/>
        <v>711.41098888888882</v>
      </c>
      <c r="BF115" s="181">
        <f t="shared" si="59"/>
        <v>0.69218366486486482</v>
      </c>
      <c r="BG115" s="520" t="b">
        <f t="shared" si="48"/>
        <v>0</v>
      </c>
      <c r="BI115" s="528" t="s">
        <v>2181</v>
      </c>
      <c r="BL115" s="151" t="str">
        <f t="shared" si="61"/>
        <v>EoKMetro - Nationaal</v>
      </c>
      <c r="BM115" s="529">
        <v>0</v>
      </c>
      <c r="BN115" s="180">
        <f>BM115/INDEX(Parameters!$B:$B,MATCH("AfschrijftermijnVVE"&amp;12*$C115,Parameters!$A:$A,0))</f>
        <v>0</v>
      </c>
      <c r="BO115" s="184">
        <f>INDEX('inkoop ULL tbv EVPN'!I:I,MATCH(BL115,'inkoop ULL tbv EVPN'!H:H,0))</f>
        <v>2</v>
      </c>
      <c r="BP115" s="184">
        <f t="shared" si="62"/>
        <v>2</v>
      </c>
      <c r="BR115" s="180">
        <f>Parameters!$B$12*AG115</f>
        <v>102.77777777777779</v>
      </c>
      <c r="BS115" s="180">
        <f>SUM(Distributievergoedingen!$F$12,Distributievergoedingen!$I$12,Distributievergoedingen!$L$12,Distributievergoedingen!$O$12)*AF115+SUM(Distributievergoedingen!$O$12*AA115+Distributievergoedingen!$R$12+Distributievergoedingen!$U$12+Distributievergoedingen!$X$12)/(MAX(36,12*C115))</f>
        <v>112.77777777777777</v>
      </c>
      <c r="BT115" s="150"/>
      <c r="BU115" s="150">
        <f t="shared" si="63"/>
        <v>215.55555555555554</v>
      </c>
      <c r="BW115" s="522">
        <f t="shared" si="64"/>
        <v>217.55555555555554</v>
      </c>
      <c r="BY115" s="527">
        <f t="shared" si="65"/>
        <v>810.22222222222229</v>
      </c>
      <c r="BZ115" s="181">
        <f t="shared" si="66"/>
        <v>0.78832432432432431</v>
      </c>
      <c r="CA115" s="520" t="b">
        <f t="shared" si="67"/>
        <v>0</v>
      </c>
    </row>
    <row r="116" spans="1:79" s="151" customFormat="1">
      <c r="A116" s="151" t="str">
        <f t="shared" si="60"/>
        <v>1EoKPremiumNationaal800</v>
      </c>
      <c r="B116" s="520" t="str">
        <f t="shared" si="45"/>
        <v>1EoKPremiumNationaal800</v>
      </c>
      <c r="C116" s="179">
        <v>1</v>
      </c>
      <c r="D116" s="179" t="s">
        <v>303</v>
      </c>
      <c r="E116" s="178" t="s">
        <v>267</v>
      </c>
      <c r="F116" s="178" t="s">
        <v>266</v>
      </c>
      <c r="G116" s="185" t="s">
        <v>422</v>
      </c>
      <c r="J116" s="520" t="str">
        <f t="shared" si="46"/>
        <v>PremiumNationaal800</v>
      </c>
      <c r="L116" s="204">
        <f>INDEX(Mapping!$H:$H,MATCH(C$3&amp;C116,Mapping!$B:$B,0))</f>
        <v>1</v>
      </c>
      <c r="M116" s="204" t="str">
        <f>INDEX(Mapping!$H:$H,MATCH(D$3&amp;$D116,Mapping!$B:$B,0))</f>
        <v>EoK</v>
      </c>
      <c r="N116" s="204" t="str">
        <f>INDEX(Mapping!$H:$H,MATCH(E$3&amp;E116,Mapping!$B:$B,0))</f>
        <v>Premium</v>
      </c>
      <c r="O116" s="204" t="str">
        <f>INDEX(Mapping!$H:$H,MATCH(F$3&amp;F116,Mapping!$B:$B,0))</f>
        <v>Metro</v>
      </c>
      <c r="P116" s="204">
        <f>INDEX(Mapping!$H:$H,MATCH(G$3&amp;G116,Mapping!$B:$B,0))</f>
        <v>800</v>
      </c>
      <c r="Q116" s="204" t="str">
        <f>INDEX(Mapping!$H:$H,MATCH(Q$3&amp;$F116,Mapping!$B:$B,0))</f>
        <v>Metro - Nationaal</v>
      </c>
      <c r="R116" s="204" t="str">
        <f>INDEX(Mapping!$H:$H,MATCH("ZM VPN Service Level"&amp;E116,Mapping!$B:$B,0))</f>
        <v>Advanced</v>
      </c>
      <c r="S116" s="139" t="b">
        <f>IF($D116="EoK",INDEX(Mapping!$I:$I,MATCH($G$3&amp;$G116,Mapping!B:B,0)),FALSE)</f>
        <v>0</v>
      </c>
      <c r="T116" s="139"/>
      <c r="U116" s="520" t="str">
        <f t="shared" si="47"/>
        <v>PremiumMetro800</v>
      </c>
      <c r="W116" s="521">
        <f>MATCH($J116,'Tarieven ZM'!$B:$B,0)</f>
        <v>120</v>
      </c>
      <c r="X116" s="204">
        <f>INDEX('Tarieven ZM'!$H:$H,$W116)</f>
        <v>1000</v>
      </c>
      <c r="Y116" s="198">
        <f>-INDEX(Parameters!$B:$B,MATCH(Y$3&amp;$C116,Parameters!$A:$A,0))*$X116</f>
        <v>0</v>
      </c>
      <c r="Z116" s="198">
        <f>-INDEX(Parameters!$B:$B,MATCH(Z$3&amp;$C116,Parameters!$A:$A,0))*$X116</f>
        <v>0</v>
      </c>
      <c r="AA116" s="139">
        <f t="shared" si="49"/>
        <v>1000</v>
      </c>
      <c r="AB116" s="205">
        <f>AA116/INDEX(Parameters!$B:$B,MATCH("AfschrijftermijnVVE"&amp;12*$C116,Parameters!$A:$A,0))</f>
        <v>27.777777777777779</v>
      </c>
      <c r="AC116" s="204">
        <f>INDEX('Tarieven ZM'!$G:$G,$W116)</f>
        <v>1000</v>
      </c>
      <c r="AD116" s="198">
        <f>-INDEX(Parameters!$B:$B,MATCH(AD$3&amp;$C116,Parameters!$A:$A,0))*$AC116</f>
        <v>0</v>
      </c>
      <c r="AE116" s="198">
        <f>-INDEX(Parameters!$B:$B,MATCH(AE$3,Parameters!$A:$A,0))*$AC116</f>
        <v>0</v>
      </c>
      <c r="AF116" s="139">
        <f t="shared" si="50"/>
        <v>1000</v>
      </c>
      <c r="AG116" s="522">
        <f t="shared" si="51"/>
        <v>1027.7777777777778</v>
      </c>
      <c r="AH116" s="175"/>
      <c r="AI116" s="523">
        <f>MATCH($U116,'Tarieven W&amp;O'!$B:$B,0)</f>
        <v>74</v>
      </c>
      <c r="AJ116" s="204">
        <f>IF(AI116&lt;&gt;"nvt",INDEX('Tarieven W&amp;O'!$H:$H,$AI116),0)</f>
        <v>0</v>
      </c>
      <c r="AK116" s="204">
        <f>IF(AI116&lt;&gt;"nvt",INDEX('Tarieven W&amp;O'!$I:$I,$AI116),0)</f>
        <v>25</v>
      </c>
      <c r="AL116" s="524">
        <f>IF(AI116&lt;&gt;"nvt",-INDEX(Parameters!$B:$B,MATCH(AL$3,Parameters!$A:$A,0))*(AJ116+AK116),0)</f>
        <v>0</v>
      </c>
      <c r="AM116" s="525"/>
      <c r="AN116" s="139">
        <f t="shared" si="52"/>
        <v>25</v>
      </c>
      <c r="AO116" s="205">
        <f>AN116/INDEX(Parameters!$B:$B,MATCH("AfschrijftermijnVVE"&amp;12*$C116,Parameters!$A:$A,0))</f>
        <v>0.69444444444444442</v>
      </c>
      <c r="AP116" s="139">
        <f t="shared" si="53"/>
        <v>74</v>
      </c>
      <c r="AQ116" s="526">
        <f>IF(AP116&lt;&gt;"nvt",INDEX('Tarieven W&amp;O'!$G:$G,$AP116),0)</f>
        <v>348.23</v>
      </c>
      <c r="AR116" s="251">
        <f>IF($S116,INDEX('Tarieven W&amp;O'!$G:$G,MATCH(N116&amp;R116,'Tarieven W&amp;O'!$B:$B,0)),0)</f>
        <v>0</v>
      </c>
      <c r="AS116" s="205">
        <f>-INDEX(Parameters!$B:$B,MATCH(AS$3,Parameters!$A:$A,0))*(AQ116+AR116)</f>
        <v>0</v>
      </c>
      <c r="AT116" s="205">
        <f>INDEX(hulpblad!$E:$E,MATCH(M116&amp;Q116,hulpblad!$B:$B,0))</f>
        <v>2</v>
      </c>
      <c r="AU116" s="150">
        <f t="shared" si="56"/>
        <v>350.23</v>
      </c>
      <c r="AV116" s="150">
        <f t="shared" si="57"/>
        <v>350.92444444444448</v>
      </c>
      <c r="AX116" s="526">
        <f>Parameters!$B$6*AV116</f>
        <v>3.5092444444444446</v>
      </c>
      <c r="AY116" s="150">
        <v>0</v>
      </c>
      <c r="AZ116" s="150"/>
      <c r="BA116" s="150">
        <f t="shared" si="54"/>
        <v>3.5092444444444446</v>
      </c>
      <c r="BB116" s="150"/>
      <c r="BC116" s="522">
        <f t="shared" si="55"/>
        <v>354.43368888888892</v>
      </c>
      <c r="BD116" s="175"/>
      <c r="BE116" s="527">
        <f t="shared" si="58"/>
        <v>673.3440888888889</v>
      </c>
      <c r="BF116" s="181">
        <f t="shared" si="59"/>
        <v>0.65514559999999999</v>
      </c>
      <c r="BG116" s="520" t="b">
        <f t="shared" si="48"/>
        <v>0</v>
      </c>
      <c r="BI116" s="528" t="s">
        <v>2181</v>
      </c>
      <c r="BL116" s="151" t="str">
        <f t="shared" si="61"/>
        <v>EoKMetro - Nationaal</v>
      </c>
      <c r="BM116" s="529">
        <v>0</v>
      </c>
      <c r="BN116" s="180">
        <f>BM116/INDEX(Parameters!$B:$B,MATCH("AfschrijftermijnVVE"&amp;12*$C116,Parameters!$A:$A,0))</f>
        <v>0</v>
      </c>
      <c r="BO116" s="184">
        <f>INDEX('inkoop ULL tbv EVPN'!I:I,MATCH(BL116,'inkoop ULL tbv EVPN'!H:H,0))</f>
        <v>2</v>
      </c>
      <c r="BP116" s="184">
        <f t="shared" si="62"/>
        <v>2</v>
      </c>
      <c r="BR116" s="180">
        <f>Parameters!$B$12*AG116</f>
        <v>102.77777777777779</v>
      </c>
      <c r="BS116" s="180">
        <f>SUM(Distributievergoedingen!$F$12,Distributievergoedingen!$I$12,Distributievergoedingen!$L$12,Distributievergoedingen!$O$12)*AF116+SUM(Distributievergoedingen!$O$12*AA116+Distributievergoedingen!$R$12+Distributievergoedingen!$U$12+Distributievergoedingen!$X$12)/(MAX(36,12*C116))</f>
        <v>112.77777777777777</v>
      </c>
      <c r="BT116" s="150"/>
      <c r="BU116" s="150">
        <f t="shared" si="63"/>
        <v>215.55555555555554</v>
      </c>
      <c r="BW116" s="522">
        <f t="shared" si="64"/>
        <v>217.55555555555554</v>
      </c>
      <c r="BY116" s="527">
        <f t="shared" si="65"/>
        <v>810.22222222222229</v>
      </c>
      <c r="BZ116" s="181">
        <f t="shared" si="66"/>
        <v>0.78832432432432431</v>
      </c>
      <c r="CA116" s="520" t="b">
        <f t="shared" si="67"/>
        <v>0</v>
      </c>
    </row>
    <row r="117" spans="1:79" s="151" customFormat="1">
      <c r="A117" s="151" t="str">
        <f t="shared" si="60"/>
        <v>1EoKPremiumNationaal1000</v>
      </c>
      <c r="B117" s="520" t="str">
        <f t="shared" si="45"/>
        <v>1EoKPremiumNationaal1000</v>
      </c>
      <c r="C117" s="179">
        <v>1</v>
      </c>
      <c r="D117" s="179" t="s">
        <v>303</v>
      </c>
      <c r="E117" s="178" t="s">
        <v>267</v>
      </c>
      <c r="F117" s="178" t="s">
        <v>266</v>
      </c>
      <c r="G117" s="185" t="s">
        <v>423</v>
      </c>
      <c r="J117" s="520" t="str">
        <f t="shared" si="46"/>
        <v>PremiumNationaal1000</v>
      </c>
      <c r="L117" s="204">
        <f>INDEX(Mapping!$H:$H,MATCH(C$3&amp;C117,Mapping!$B:$B,0))</f>
        <v>1</v>
      </c>
      <c r="M117" s="204" t="str">
        <f>INDEX(Mapping!$H:$H,MATCH(D$3&amp;$D117,Mapping!$B:$B,0))</f>
        <v>EoK</v>
      </c>
      <c r="N117" s="204" t="str">
        <f>INDEX(Mapping!$H:$H,MATCH(E$3&amp;E117,Mapping!$B:$B,0))</f>
        <v>Premium</v>
      </c>
      <c r="O117" s="204" t="str">
        <f>INDEX(Mapping!$H:$H,MATCH(F$3&amp;F117,Mapping!$B:$B,0))</f>
        <v>Metro</v>
      </c>
      <c r="P117" s="204">
        <f>INDEX(Mapping!$H:$H,MATCH(G$3&amp;G117,Mapping!$B:$B,0))</f>
        <v>1000</v>
      </c>
      <c r="Q117" s="204" t="str">
        <f>INDEX(Mapping!$H:$H,MATCH(Q$3&amp;$F117,Mapping!$B:$B,0))</f>
        <v>Metro - Nationaal</v>
      </c>
      <c r="R117" s="204" t="str">
        <f>INDEX(Mapping!$H:$H,MATCH("ZM VPN Service Level"&amp;E117,Mapping!$B:$B,0))</f>
        <v>Advanced</v>
      </c>
      <c r="S117" s="139" t="b">
        <f>IF($D117="EoK",INDEX(Mapping!$I:$I,MATCH($G$3&amp;$G117,Mapping!B:B,0)),FALSE)</f>
        <v>0</v>
      </c>
      <c r="T117" s="139"/>
      <c r="U117" s="520" t="str">
        <f t="shared" si="47"/>
        <v>PremiumMetro1000</v>
      </c>
      <c r="W117" s="521">
        <f>MATCH($J117,'Tarieven ZM'!$B:$B,0)</f>
        <v>121</v>
      </c>
      <c r="X117" s="204">
        <f>INDEX('Tarieven ZM'!$H:$H,$W117)</f>
        <v>1000</v>
      </c>
      <c r="Y117" s="198">
        <f>-INDEX(Parameters!$B:$B,MATCH(Y$3&amp;$C117,Parameters!$A:$A,0))*$X117</f>
        <v>0</v>
      </c>
      <c r="Z117" s="198">
        <f>-INDEX(Parameters!$B:$B,MATCH(Z$3&amp;$C117,Parameters!$A:$A,0))*$X117</f>
        <v>0</v>
      </c>
      <c r="AA117" s="139">
        <f t="shared" si="49"/>
        <v>1000</v>
      </c>
      <c r="AB117" s="205">
        <f>AA117/INDEX(Parameters!$B:$B,MATCH("AfschrijftermijnVVE"&amp;12*$C117,Parameters!$A:$A,0))</f>
        <v>27.777777777777779</v>
      </c>
      <c r="AC117" s="204">
        <f>INDEX('Tarieven ZM'!$G:$G,$W117)</f>
        <v>1000</v>
      </c>
      <c r="AD117" s="198">
        <f>-INDEX(Parameters!$B:$B,MATCH(AD$3&amp;$C117,Parameters!$A:$A,0))*$AC117</f>
        <v>0</v>
      </c>
      <c r="AE117" s="198">
        <f>-INDEX(Parameters!$B:$B,MATCH(AE$3,Parameters!$A:$A,0))*$AC117</f>
        <v>0</v>
      </c>
      <c r="AF117" s="139">
        <f t="shared" si="50"/>
        <v>1000</v>
      </c>
      <c r="AG117" s="522">
        <f t="shared" si="51"/>
        <v>1027.7777777777778</v>
      </c>
      <c r="AH117" s="175"/>
      <c r="AI117" s="523">
        <f>MATCH($U117,'Tarieven W&amp;O'!$B:$B,0)</f>
        <v>75</v>
      </c>
      <c r="AJ117" s="204">
        <f>IF(AI117&lt;&gt;"nvt",INDEX('Tarieven W&amp;O'!$H:$H,$AI117),0)</f>
        <v>0</v>
      </c>
      <c r="AK117" s="204">
        <f>IF(AI117&lt;&gt;"nvt",INDEX('Tarieven W&amp;O'!$I:$I,$AI117),0)</f>
        <v>25</v>
      </c>
      <c r="AL117" s="524">
        <f>IF(AI117&lt;&gt;"nvt",-INDEX(Parameters!$B:$B,MATCH(AL$3,Parameters!$A:$A,0))*(AJ117+AK117),0)</f>
        <v>0</v>
      </c>
      <c r="AM117" s="525"/>
      <c r="AN117" s="139">
        <f t="shared" si="52"/>
        <v>25</v>
      </c>
      <c r="AO117" s="205">
        <f>AN117/INDEX(Parameters!$B:$B,MATCH("AfschrijftermijnVVE"&amp;12*$C117,Parameters!$A:$A,0))</f>
        <v>0.69444444444444442</v>
      </c>
      <c r="AP117" s="139">
        <f t="shared" si="53"/>
        <v>75</v>
      </c>
      <c r="AQ117" s="526">
        <f>IF(AP117&lt;&gt;"nvt",INDEX('Tarieven W&amp;O'!$G:$G,$AP117),0)</f>
        <v>385.93</v>
      </c>
      <c r="AR117" s="251">
        <f>IF($S117,INDEX('Tarieven W&amp;O'!$G:$G,MATCH(N117&amp;R117,'Tarieven W&amp;O'!$B:$B,0)),0)</f>
        <v>0</v>
      </c>
      <c r="AS117" s="205">
        <f>-INDEX(Parameters!$B:$B,MATCH(AS$3,Parameters!$A:$A,0))*(AQ117+AR117)</f>
        <v>0</v>
      </c>
      <c r="AT117" s="205">
        <f>INDEX(hulpblad!$E:$E,MATCH(M117&amp;Q117,hulpblad!$B:$B,0))</f>
        <v>2</v>
      </c>
      <c r="AU117" s="150">
        <f t="shared" si="56"/>
        <v>387.93</v>
      </c>
      <c r="AV117" s="150">
        <f t="shared" si="57"/>
        <v>388.62444444444446</v>
      </c>
      <c r="AX117" s="526">
        <f>Parameters!$B$6*AV117</f>
        <v>3.8862444444444448</v>
      </c>
      <c r="AY117" s="150">
        <v>0</v>
      </c>
      <c r="AZ117" s="150"/>
      <c r="BA117" s="150">
        <f t="shared" si="54"/>
        <v>3.8862444444444448</v>
      </c>
      <c r="BB117" s="150"/>
      <c r="BC117" s="522">
        <f t="shared" si="55"/>
        <v>392.51068888888892</v>
      </c>
      <c r="BD117" s="175"/>
      <c r="BE117" s="527">
        <f t="shared" si="58"/>
        <v>635.26708888888891</v>
      </c>
      <c r="BF117" s="181">
        <f t="shared" si="59"/>
        <v>0.61809770810810805</v>
      </c>
      <c r="BG117" s="520" t="b">
        <f t="shared" si="48"/>
        <v>0</v>
      </c>
      <c r="BI117" s="528" t="s">
        <v>2181</v>
      </c>
      <c r="BL117" s="151" t="str">
        <f t="shared" si="61"/>
        <v>EoKMetro - Nationaal</v>
      </c>
      <c r="BM117" s="529">
        <v>0</v>
      </c>
      <c r="BN117" s="180">
        <f>BM117/INDEX(Parameters!$B:$B,MATCH("AfschrijftermijnVVE"&amp;12*$C117,Parameters!$A:$A,0))</f>
        <v>0</v>
      </c>
      <c r="BO117" s="184">
        <f>INDEX('inkoop ULL tbv EVPN'!I:I,MATCH(BL117,'inkoop ULL tbv EVPN'!H:H,0))</f>
        <v>2</v>
      </c>
      <c r="BP117" s="184">
        <f t="shared" si="62"/>
        <v>2</v>
      </c>
      <c r="BR117" s="180">
        <f>Parameters!$B$12*AG117</f>
        <v>102.77777777777779</v>
      </c>
      <c r="BS117" s="180">
        <f>SUM(Distributievergoedingen!$F$12,Distributievergoedingen!$I$12,Distributievergoedingen!$L$12,Distributievergoedingen!$O$12)*AF117+SUM(Distributievergoedingen!$O$12*AA117+Distributievergoedingen!$R$12+Distributievergoedingen!$U$12+Distributievergoedingen!$X$12)/(MAX(36,12*C117))</f>
        <v>112.77777777777777</v>
      </c>
      <c r="BT117" s="150"/>
      <c r="BU117" s="150">
        <f t="shared" si="63"/>
        <v>215.55555555555554</v>
      </c>
      <c r="BW117" s="522">
        <f t="shared" si="64"/>
        <v>217.55555555555554</v>
      </c>
      <c r="BY117" s="527">
        <f t="shared" si="65"/>
        <v>810.22222222222229</v>
      </c>
      <c r="BZ117" s="181">
        <f t="shared" si="66"/>
        <v>0.78832432432432431</v>
      </c>
      <c r="CA117" s="520" t="b">
        <f t="shared" si="67"/>
        <v>0</v>
      </c>
    </row>
    <row r="118" spans="1:79" s="151" customFormat="1">
      <c r="A118" s="151" t="str">
        <f t="shared" ref="A118:A174" si="68">C118&amp;D118&amp;E118&amp;F118&amp;G118&amp;H118</f>
        <v>2EoKEntryCity1</v>
      </c>
      <c r="B118" s="520" t="str">
        <f>A118</f>
        <v>2EoKEntryCity1</v>
      </c>
      <c r="C118" s="179">
        <v>2</v>
      </c>
      <c r="D118" s="179" t="s">
        <v>303</v>
      </c>
      <c r="E118" s="178" t="s">
        <v>45</v>
      </c>
      <c r="F118" s="178" t="s">
        <v>262</v>
      </c>
      <c r="G118" s="185" t="s">
        <v>362</v>
      </c>
      <c r="J118" s="520" t="str">
        <f t="shared" ref="J118:J138" si="69">E118&amp;F118&amp;G118&amp;H118</f>
        <v>EntryCity1</v>
      </c>
      <c r="L118" s="204">
        <f>INDEX(Mapping!$H:$H,MATCH(C$3&amp;C118,Mapping!$B:$B,0))</f>
        <v>1</v>
      </c>
      <c r="M118" s="204" t="str">
        <f>INDEX(Mapping!$H:$H,MATCH(D$3&amp;$D118,Mapping!$B:$B,0))</f>
        <v>EoK</v>
      </c>
      <c r="N118" s="204" t="str">
        <f>INDEX(Mapping!$H:$H,MATCH(E$3&amp;E118,Mapping!$B:$B,0))</f>
        <v>Lite</v>
      </c>
      <c r="O118" s="204" t="str">
        <f>INDEX(Mapping!$H:$H,MATCH(F$3&amp;F118,Mapping!$B:$B,0))</f>
        <v>Metro</v>
      </c>
      <c r="P118" s="204">
        <f>INDEX(Mapping!$H:$H,MATCH(G$3&amp;G118,Mapping!$B:$B,0))</f>
        <v>1</v>
      </c>
      <c r="Q118" s="204" t="str">
        <f>INDEX(Mapping!$H:$H,MATCH(Q$3&amp;$F118,Mapping!$B:$B,0))</f>
        <v>Metro - Regionaal</v>
      </c>
      <c r="R118" s="204" t="str">
        <f>INDEX(Mapping!$H:$H,MATCH("ZM VPN Service Level"&amp;E118,Mapping!$B:$B,0))</f>
        <v>Advanced</v>
      </c>
      <c r="S118" s="139" t="b">
        <f>IF($D118="EoK",INDEX(Mapping!$I:$I,MATCH($G$3&amp;$G118,Mapping!B:B,0)),FALSE)</f>
        <v>1</v>
      </c>
      <c r="T118" s="139"/>
      <c r="U118" s="520" t="str">
        <f t="shared" ref="U118:U138" si="70">N118&amp;O118&amp;P118</f>
        <v>LiteMetro1</v>
      </c>
      <c r="W118" s="521">
        <f>MATCH($J118,'Tarieven ZM'!$B:$B,0)</f>
        <v>8</v>
      </c>
      <c r="X118" s="204">
        <f>INDEX('Tarieven ZM'!$H:$H,$W118)</f>
        <v>1000</v>
      </c>
      <c r="Y118" s="198">
        <f>-INDEX(Parameters!$B:$B,MATCH(Y$3&amp;$C118,Parameters!$A:$A,0))*$X118</f>
        <v>0</v>
      </c>
      <c r="Z118" s="198">
        <f>-INDEX(Parameters!$B:$B,MATCH(Z$3&amp;$C118,Parameters!$A:$A,0))*$X118</f>
        <v>0</v>
      </c>
      <c r="AA118" s="139">
        <f t="shared" ref="AA118:AA142" si="71">SUM(X118:Z118)</f>
        <v>1000</v>
      </c>
      <c r="AB118" s="205">
        <f>AA118/INDEX(Parameters!$B:$B,MATCH("AfschrijftermijnVVE"&amp;12*$C118,Parameters!$A:$A,0))</f>
        <v>27.777777777777779</v>
      </c>
      <c r="AC118" s="204">
        <f>INDEX('Tarieven ZM'!$G:$G,$W118)</f>
        <v>1000</v>
      </c>
      <c r="AD118" s="198">
        <f>-INDEX(Parameters!$B:$B,MATCH(AD$3&amp;$C118,Parameters!$A:$A,0))*$AC118</f>
        <v>0</v>
      </c>
      <c r="AE118" s="198">
        <f>-INDEX(Parameters!$B:$B,MATCH(AE$3,Parameters!$A:$A,0))*$AC118</f>
        <v>0</v>
      </c>
      <c r="AF118" s="139">
        <f t="shared" ref="AF118:AF142" si="72">SUM(AC118:AE118)</f>
        <v>1000</v>
      </c>
      <c r="AG118" s="522">
        <f t="shared" ref="AG118:AG142" si="73">SUM(AB118,AF118)</f>
        <v>1027.7777777777778</v>
      </c>
      <c r="AH118" s="175"/>
      <c r="AI118" s="523">
        <f>MATCH($U118,'Tarieven W&amp;O'!$B:$B,0)</f>
        <v>36</v>
      </c>
      <c r="AJ118" s="204">
        <f>IF(AI118&lt;&gt;"nvt",INDEX('Tarieven W&amp;O'!$H:$H,$AI118),0)</f>
        <v>0</v>
      </c>
      <c r="AK118" s="204">
        <f>IF(AI118&lt;&gt;"nvt",INDEX('Tarieven W&amp;O'!$I:$I,$AI118),0)</f>
        <v>25</v>
      </c>
      <c r="AL118" s="524">
        <f>IF(AI118&lt;&gt;"nvt",-INDEX(Parameters!$B:$B,MATCH(AL$3,Parameters!$A:$A,0))*(AJ118+AK118),0)</f>
        <v>0</v>
      </c>
      <c r="AM118" s="525"/>
      <c r="AN118" s="139">
        <f t="shared" ref="AN118:AN142" si="74">SUM(AJ118:AM118)</f>
        <v>25</v>
      </c>
      <c r="AO118" s="205">
        <f>AN118/INDEX(Parameters!$B:$B,MATCH("AfschrijftermijnVVE"&amp;12*$C118,Parameters!$A:$A,0))</f>
        <v>0.69444444444444442</v>
      </c>
      <c r="AP118" s="139">
        <f t="shared" ref="AP118:AP142" si="75">AI118</f>
        <v>36</v>
      </c>
      <c r="AQ118" s="526">
        <f>IF(AP118&lt;&gt;"nvt",INDEX('Tarieven W&amp;O'!$G:$G,$AP118),0)</f>
        <v>14.29</v>
      </c>
      <c r="AR118" s="251">
        <f>IF($S118,INDEX('Tarieven W&amp;O'!$G:$G,MATCH(N118&amp;R118,'Tarieven W&amp;O'!$B:$B,0)),0)</f>
        <v>5.25</v>
      </c>
      <c r="AS118" s="205">
        <f>-INDEX(Parameters!$B:$B,MATCH(AS$3,Parameters!$A:$A,0))*(AQ118+AR118)</f>
        <v>0</v>
      </c>
      <c r="AT118" s="205">
        <f>INDEX(hulpblad!$E:$E,MATCH(M118&amp;Q118,hulpblad!$B:$B,0))</f>
        <v>1</v>
      </c>
      <c r="AU118" s="150">
        <f t="shared" ref="AU118:AU173" si="76">SUM(AQ118:AT118)</f>
        <v>20.54</v>
      </c>
      <c r="AV118" s="150">
        <f t="shared" ref="AV118:AV173" si="77">SUM(AO118,AU118)</f>
        <v>21.234444444444442</v>
      </c>
      <c r="AX118" s="526">
        <f>Parameters!$B$6*AV118</f>
        <v>0.21234444444444442</v>
      </c>
      <c r="AY118" s="150">
        <v>0</v>
      </c>
      <c r="AZ118" s="150"/>
      <c r="BA118" s="150">
        <f t="shared" ref="BA118:BA142" si="78">SUM(AX118:AZ118)</f>
        <v>0.21234444444444442</v>
      </c>
      <c r="BB118" s="150"/>
      <c r="BC118" s="522">
        <f t="shared" ref="BC118:BC142" si="79">SUM(AV118,BA118)</f>
        <v>21.446788888888886</v>
      </c>
      <c r="BD118" s="175"/>
      <c r="BE118" s="527">
        <f t="shared" ref="BE118:BE173" si="80">AG118-BC118</f>
        <v>1006.3309888888889</v>
      </c>
      <c r="BF118" s="181">
        <f t="shared" ref="BF118:BF173" si="81">IF(AG118=0,-999%,BE118/AG118)</f>
        <v>0.97913285405405404</v>
      </c>
      <c r="BG118" s="520" t="b">
        <f t="shared" ref="BG118:BG138" si="82">BF118&lt;0</f>
        <v>0</v>
      </c>
      <c r="BI118" s="528" t="s">
        <v>2181</v>
      </c>
      <c r="BL118" s="151" t="str">
        <f t="shared" ref="BL118:BL174" si="83">M118&amp;Q118</f>
        <v>EoKMetro - Regionaal</v>
      </c>
      <c r="BM118" s="529">
        <v>0</v>
      </c>
      <c r="BN118" s="180">
        <f>BM118/INDEX(Parameters!$B:$B,MATCH("AfschrijftermijnVVE"&amp;12*$C118,Parameters!$A:$A,0))</f>
        <v>0</v>
      </c>
      <c r="BO118" s="184">
        <f>INDEX('inkoop ULL tbv EVPN'!I:I,MATCH(BL118,'inkoop ULL tbv EVPN'!H:H,0))</f>
        <v>2</v>
      </c>
      <c r="BP118" s="184">
        <f t="shared" ref="BP118:BP174" si="84">BN118+BO118</f>
        <v>2</v>
      </c>
      <c r="BR118" s="180">
        <f>Parameters!$B$12*AG118</f>
        <v>102.77777777777779</v>
      </c>
      <c r="BS118" s="180">
        <f>SUM(Distributievergoedingen!$F$12,Distributievergoedingen!$I$12,Distributievergoedingen!$L$12,Distributievergoedingen!$O$12)*AF118+SUM(Distributievergoedingen!$O$12*AA118+Distributievergoedingen!$R$12+Distributievergoedingen!$U$12+Distributievergoedingen!$X$12)/(MAX(36,12*C118))</f>
        <v>112.77777777777777</v>
      </c>
      <c r="BT118" s="150"/>
      <c r="BU118" s="150">
        <f t="shared" ref="BU118:BU174" si="85">SUM(BR118:BT118)</f>
        <v>215.55555555555554</v>
      </c>
      <c r="BW118" s="522">
        <f t="shared" ref="BW118:BW174" si="86">SUM(BP118,BU118)</f>
        <v>217.55555555555554</v>
      </c>
      <c r="BY118" s="527">
        <f t="shared" ref="BY118:BY174" si="87">AG118-BW118</f>
        <v>810.22222222222229</v>
      </c>
      <c r="BZ118" s="181">
        <f t="shared" ref="BZ118:BZ174" si="88">IF(AG118=0,-999%,BY118/AG118)</f>
        <v>0.78832432432432431</v>
      </c>
      <c r="CA118" s="520" t="b">
        <f t="shared" ref="CA118:CA174" si="89">BZ118&lt;0</f>
        <v>0</v>
      </c>
    </row>
    <row r="119" spans="1:79" s="151" customFormat="1">
      <c r="A119" s="151" t="str">
        <f t="shared" si="68"/>
        <v>2EoKEntryCity2</v>
      </c>
      <c r="B119" s="520" t="str">
        <f>A119</f>
        <v>2EoKEntryCity2</v>
      </c>
      <c r="C119" s="179">
        <v>2</v>
      </c>
      <c r="D119" s="179" t="s">
        <v>303</v>
      </c>
      <c r="E119" s="178" t="s">
        <v>45</v>
      </c>
      <c r="F119" s="178" t="s">
        <v>262</v>
      </c>
      <c r="G119" s="185" t="s">
        <v>363</v>
      </c>
      <c r="J119" s="520" t="str">
        <f t="shared" si="69"/>
        <v>EntryCity2</v>
      </c>
      <c r="L119" s="204">
        <f>INDEX(Mapping!$H:$H,MATCH(C$3&amp;C119,Mapping!$B:$B,0))</f>
        <v>1</v>
      </c>
      <c r="M119" s="204" t="str">
        <f>INDEX(Mapping!$H:$H,MATCH(D$3&amp;$D119,Mapping!$B:$B,0))</f>
        <v>EoK</v>
      </c>
      <c r="N119" s="204" t="str">
        <f>INDEX(Mapping!$H:$H,MATCH(E$3&amp;E119,Mapping!$B:$B,0))</f>
        <v>Lite</v>
      </c>
      <c r="O119" s="204" t="str">
        <f>INDEX(Mapping!$H:$H,MATCH(F$3&amp;F119,Mapping!$B:$B,0))</f>
        <v>Metro</v>
      </c>
      <c r="P119" s="204">
        <f>INDEX(Mapping!$H:$H,MATCH(G$3&amp;G119,Mapping!$B:$B,0))</f>
        <v>2</v>
      </c>
      <c r="Q119" s="204" t="str">
        <f>INDEX(Mapping!$H:$H,MATCH(Q$3&amp;$F119,Mapping!$B:$B,0))</f>
        <v>Metro - Regionaal</v>
      </c>
      <c r="R119" s="204" t="str">
        <f>INDEX(Mapping!$H:$H,MATCH("ZM VPN Service Level"&amp;E119,Mapping!$B:$B,0))</f>
        <v>Advanced</v>
      </c>
      <c r="S119" s="139" t="b">
        <f>IF($D119="EoK",INDEX(Mapping!$I:$I,MATCH($G$3&amp;$G119,Mapping!B:B,0)),FALSE)</f>
        <v>1</v>
      </c>
      <c r="T119" s="139"/>
      <c r="U119" s="520" t="str">
        <f t="shared" si="70"/>
        <v>LiteMetro2</v>
      </c>
      <c r="W119" s="521">
        <f>MATCH($J119,'Tarieven ZM'!$B:$B,0)</f>
        <v>9</v>
      </c>
      <c r="X119" s="204">
        <f>INDEX('Tarieven ZM'!$H:$H,$W119)</f>
        <v>1000</v>
      </c>
      <c r="Y119" s="198">
        <f>-INDEX(Parameters!$B:$B,MATCH(Y$3&amp;$C119,Parameters!$A:$A,0))*$X119</f>
        <v>0</v>
      </c>
      <c r="Z119" s="198">
        <f>-INDEX(Parameters!$B:$B,MATCH(Z$3&amp;$C119,Parameters!$A:$A,0))*$X119</f>
        <v>0</v>
      </c>
      <c r="AA119" s="139">
        <f t="shared" si="71"/>
        <v>1000</v>
      </c>
      <c r="AB119" s="205">
        <f>AA119/INDEX(Parameters!$B:$B,MATCH("AfschrijftermijnVVE"&amp;12*$C119,Parameters!$A:$A,0))</f>
        <v>27.777777777777779</v>
      </c>
      <c r="AC119" s="204">
        <f>INDEX('Tarieven ZM'!$G:$G,$W119)</f>
        <v>1000</v>
      </c>
      <c r="AD119" s="198">
        <f>-INDEX(Parameters!$B:$B,MATCH(AD$3&amp;$C119,Parameters!$A:$A,0))*$AC119</f>
        <v>0</v>
      </c>
      <c r="AE119" s="198">
        <f>-INDEX(Parameters!$B:$B,MATCH(AE$3,Parameters!$A:$A,0))*$AC119</f>
        <v>0</v>
      </c>
      <c r="AF119" s="139">
        <f t="shared" si="72"/>
        <v>1000</v>
      </c>
      <c r="AG119" s="522">
        <f t="shared" si="73"/>
        <v>1027.7777777777778</v>
      </c>
      <c r="AH119" s="175"/>
      <c r="AI119" s="523">
        <f>MATCH($U119,'Tarieven W&amp;O'!$B:$B,0)</f>
        <v>37</v>
      </c>
      <c r="AJ119" s="204">
        <f>IF(AI119&lt;&gt;"nvt",INDEX('Tarieven W&amp;O'!$H:$H,$AI119),0)</f>
        <v>0</v>
      </c>
      <c r="AK119" s="204">
        <f>IF(AI119&lt;&gt;"nvt",INDEX('Tarieven W&amp;O'!$I:$I,$AI119),0)</f>
        <v>25</v>
      </c>
      <c r="AL119" s="524">
        <f>IF(AI119&lt;&gt;"nvt",-INDEX(Parameters!$B:$B,MATCH(AL$3,Parameters!$A:$A,0))*(AJ119+AK119),0)</f>
        <v>0</v>
      </c>
      <c r="AM119" s="525"/>
      <c r="AN119" s="139">
        <f t="shared" si="74"/>
        <v>25</v>
      </c>
      <c r="AO119" s="205">
        <f>AN119/INDEX(Parameters!$B:$B,MATCH("AfschrijftermijnVVE"&amp;12*$C119,Parameters!$A:$A,0))</f>
        <v>0.69444444444444442</v>
      </c>
      <c r="AP119" s="139">
        <f t="shared" si="75"/>
        <v>37</v>
      </c>
      <c r="AQ119" s="526">
        <f>IF(AP119&lt;&gt;"nvt",INDEX('Tarieven W&amp;O'!$G:$G,$AP119),0)</f>
        <v>16.55</v>
      </c>
      <c r="AR119" s="251">
        <f>IF($S119,INDEX('Tarieven W&amp;O'!$G:$G,MATCH(N119&amp;R119,'Tarieven W&amp;O'!$B:$B,0)),0)</f>
        <v>5.25</v>
      </c>
      <c r="AS119" s="205">
        <f>-INDEX(Parameters!$B:$B,MATCH(AS$3,Parameters!$A:$A,0))*(AQ119+AR119)</f>
        <v>0</v>
      </c>
      <c r="AT119" s="205">
        <f>INDEX(hulpblad!$E:$E,MATCH(M119&amp;Q119,hulpblad!$B:$B,0))</f>
        <v>1</v>
      </c>
      <c r="AU119" s="150">
        <f t="shared" si="76"/>
        <v>22.8</v>
      </c>
      <c r="AV119" s="150">
        <f t="shared" si="77"/>
        <v>23.494444444444444</v>
      </c>
      <c r="AX119" s="526">
        <f>Parameters!$B$6*AV119</f>
        <v>0.23494444444444443</v>
      </c>
      <c r="AY119" s="150">
        <v>0</v>
      </c>
      <c r="AZ119" s="150"/>
      <c r="BA119" s="150">
        <f t="shared" si="78"/>
        <v>0.23494444444444443</v>
      </c>
      <c r="BB119" s="150"/>
      <c r="BC119" s="522">
        <f t="shared" si="79"/>
        <v>23.729388888888888</v>
      </c>
      <c r="BD119" s="175"/>
      <c r="BE119" s="527">
        <f t="shared" si="80"/>
        <v>1004.0483888888889</v>
      </c>
      <c r="BF119" s="181">
        <f t="shared" si="81"/>
        <v>0.97691194594594588</v>
      </c>
      <c r="BG119" s="520" t="b">
        <f t="shared" si="82"/>
        <v>0</v>
      </c>
      <c r="BI119" s="528" t="s">
        <v>2181</v>
      </c>
      <c r="BL119" s="151" t="str">
        <f t="shared" si="83"/>
        <v>EoKMetro - Regionaal</v>
      </c>
      <c r="BM119" s="529">
        <v>0</v>
      </c>
      <c r="BN119" s="180">
        <f>BM119/INDEX(Parameters!$B:$B,MATCH("AfschrijftermijnVVE"&amp;12*$C119,Parameters!$A:$A,0))</f>
        <v>0</v>
      </c>
      <c r="BO119" s="184">
        <f>INDEX('inkoop ULL tbv EVPN'!I:I,MATCH(BL119,'inkoop ULL tbv EVPN'!H:H,0))</f>
        <v>2</v>
      </c>
      <c r="BP119" s="184">
        <f t="shared" si="84"/>
        <v>2</v>
      </c>
      <c r="BR119" s="180">
        <f>Parameters!$B$12*AG119</f>
        <v>102.77777777777779</v>
      </c>
      <c r="BS119" s="180">
        <f>SUM(Distributievergoedingen!$F$12,Distributievergoedingen!$I$12,Distributievergoedingen!$L$12,Distributievergoedingen!$O$12)*AF119+SUM(Distributievergoedingen!$O$12*AA119+Distributievergoedingen!$R$12+Distributievergoedingen!$U$12+Distributievergoedingen!$X$12)/(MAX(36,12*C119))</f>
        <v>112.77777777777777</v>
      </c>
      <c r="BT119" s="150"/>
      <c r="BU119" s="150">
        <f t="shared" si="85"/>
        <v>215.55555555555554</v>
      </c>
      <c r="BW119" s="522">
        <f t="shared" si="86"/>
        <v>217.55555555555554</v>
      </c>
      <c r="BY119" s="527">
        <f t="shared" si="87"/>
        <v>810.22222222222229</v>
      </c>
      <c r="BZ119" s="181">
        <f t="shared" si="88"/>
        <v>0.78832432432432431</v>
      </c>
      <c r="CA119" s="520" t="b">
        <f t="shared" si="89"/>
        <v>0</v>
      </c>
    </row>
    <row r="120" spans="1:79" s="151" customFormat="1">
      <c r="A120" s="151" t="str">
        <f t="shared" si="68"/>
        <v>2EoKEntryCity3</v>
      </c>
      <c r="B120" s="520" t="str">
        <f t="shared" ref="B120:B183" si="90">A120</f>
        <v>2EoKEntryCity3</v>
      </c>
      <c r="C120" s="179">
        <v>2</v>
      </c>
      <c r="D120" s="179" t="s">
        <v>303</v>
      </c>
      <c r="E120" s="178" t="s">
        <v>45</v>
      </c>
      <c r="F120" s="178" t="s">
        <v>262</v>
      </c>
      <c r="G120" s="185" t="s">
        <v>407</v>
      </c>
      <c r="J120" s="520" t="str">
        <f t="shared" si="69"/>
        <v>EntryCity3</v>
      </c>
      <c r="L120" s="204">
        <f>INDEX(Mapping!$H:$H,MATCH(C$3&amp;C120,Mapping!$B:$B,0))</f>
        <v>1</v>
      </c>
      <c r="M120" s="204" t="str">
        <f>INDEX(Mapping!$H:$H,MATCH(D$3&amp;$D120,Mapping!$B:$B,0))</f>
        <v>EoK</v>
      </c>
      <c r="N120" s="204" t="str">
        <f>INDEX(Mapping!$H:$H,MATCH(E$3&amp;E120,Mapping!$B:$B,0))</f>
        <v>Lite</v>
      </c>
      <c r="O120" s="204" t="str">
        <f>INDEX(Mapping!$H:$H,MATCH(F$3&amp;F120,Mapping!$B:$B,0))</f>
        <v>Metro</v>
      </c>
      <c r="P120" s="204">
        <f>INDEX(Mapping!$H:$H,MATCH(G$3&amp;G120,Mapping!$B:$B,0))</f>
        <v>3</v>
      </c>
      <c r="Q120" s="204" t="str">
        <f>INDEX(Mapping!$H:$H,MATCH(Q$3&amp;$F120,Mapping!$B:$B,0))</f>
        <v>Metro - Regionaal</v>
      </c>
      <c r="R120" s="204" t="str">
        <f>INDEX(Mapping!$H:$H,MATCH("ZM VPN Service Level"&amp;E120,Mapping!$B:$B,0))</f>
        <v>Advanced</v>
      </c>
      <c r="S120" s="139" t="b">
        <f>IF($D120="EoK",INDEX(Mapping!$I:$I,MATCH($G$3&amp;$G120,Mapping!B:B,0)),FALSE)</f>
        <v>0</v>
      </c>
      <c r="T120" s="139"/>
      <c r="U120" s="520" t="str">
        <f t="shared" si="70"/>
        <v>LiteMetro3</v>
      </c>
      <c r="W120" s="521">
        <f>MATCH($J120,'Tarieven ZM'!$B:$B,0)</f>
        <v>10</v>
      </c>
      <c r="X120" s="204">
        <f>INDEX('Tarieven ZM'!$H:$H,$W120)</f>
        <v>1000</v>
      </c>
      <c r="Y120" s="198">
        <f>-INDEX(Parameters!$B:$B,MATCH(Y$3&amp;$C120,Parameters!$A:$A,0))*$X120</f>
        <v>0</v>
      </c>
      <c r="Z120" s="198">
        <f>-INDEX(Parameters!$B:$B,MATCH(Z$3&amp;$C120,Parameters!$A:$A,0))*$X120</f>
        <v>0</v>
      </c>
      <c r="AA120" s="139">
        <f t="shared" si="71"/>
        <v>1000</v>
      </c>
      <c r="AB120" s="205">
        <f>AA120/INDEX(Parameters!$B:$B,MATCH("AfschrijftermijnVVE"&amp;12*$C120,Parameters!$A:$A,0))</f>
        <v>27.777777777777779</v>
      </c>
      <c r="AC120" s="204">
        <f>INDEX('Tarieven ZM'!$G:$G,$W120)</f>
        <v>1000</v>
      </c>
      <c r="AD120" s="198">
        <f>-INDEX(Parameters!$B:$B,MATCH(AD$3&amp;$C120,Parameters!$A:$A,0))*$AC120</f>
        <v>0</v>
      </c>
      <c r="AE120" s="198">
        <f>-INDEX(Parameters!$B:$B,MATCH(AE$3,Parameters!$A:$A,0))*$AC120</f>
        <v>0</v>
      </c>
      <c r="AF120" s="139">
        <f t="shared" si="72"/>
        <v>1000</v>
      </c>
      <c r="AG120" s="522">
        <f t="shared" si="73"/>
        <v>1027.7777777777778</v>
      </c>
      <c r="AH120" s="175"/>
      <c r="AI120" s="523">
        <f>MATCH($U120,'Tarieven W&amp;O'!$B:$B,0)</f>
        <v>38</v>
      </c>
      <c r="AJ120" s="204">
        <f>IF(AI120&lt;&gt;"nvt",INDEX('Tarieven W&amp;O'!$H:$H,$AI120),0)</f>
        <v>0</v>
      </c>
      <c r="AK120" s="204">
        <f>IF(AI120&lt;&gt;"nvt",INDEX('Tarieven W&amp;O'!$I:$I,$AI120),0)</f>
        <v>25</v>
      </c>
      <c r="AL120" s="524">
        <f>IF(AI120&lt;&gt;"nvt",-INDEX(Parameters!$B:$B,MATCH(AL$3,Parameters!$A:$A,0))*(AJ120+AK120),0)</f>
        <v>0</v>
      </c>
      <c r="AM120" s="525"/>
      <c r="AN120" s="139">
        <f t="shared" si="74"/>
        <v>25</v>
      </c>
      <c r="AO120" s="205">
        <f>AN120/INDEX(Parameters!$B:$B,MATCH("AfschrijftermijnVVE"&amp;12*$C120,Parameters!$A:$A,0))</f>
        <v>0.69444444444444442</v>
      </c>
      <c r="AP120" s="139">
        <f t="shared" si="75"/>
        <v>38</v>
      </c>
      <c r="AQ120" s="526">
        <f>IF(AP120&lt;&gt;"nvt",INDEX('Tarieven W&amp;O'!$G:$G,$AP120),0)</f>
        <v>18.47</v>
      </c>
      <c r="AR120" s="251">
        <f>IF($S120,INDEX('Tarieven W&amp;O'!$G:$G,MATCH(N120&amp;R120,'Tarieven W&amp;O'!$B:$B,0)),0)</f>
        <v>0</v>
      </c>
      <c r="AS120" s="205">
        <f>-INDEX(Parameters!$B:$B,MATCH(AS$3,Parameters!$A:$A,0))*(AQ120+AR120)</f>
        <v>0</v>
      </c>
      <c r="AT120" s="205">
        <f>INDEX(hulpblad!$E:$E,MATCH(M120&amp;Q120,hulpblad!$B:$B,0))</f>
        <v>1</v>
      </c>
      <c r="AU120" s="150">
        <f t="shared" si="76"/>
        <v>19.47</v>
      </c>
      <c r="AV120" s="150">
        <f t="shared" si="77"/>
        <v>20.164444444444442</v>
      </c>
      <c r="AX120" s="526">
        <f>Parameters!$B$6*AV120</f>
        <v>0.20164444444444443</v>
      </c>
      <c r="AY120" s="150">
        <v>0</v>
      </c>
      <c r="AZ120" s="150"/>
      <c r="BA120" s="150">
        <f t="shared" si="78"/>
        <v>0.20164444444444443</v>
      </c>
      <c r="BB120" s="150"/>
      <c r="BC120" s="522">
        <f t="shared" si="79"/>
        <v>20.366088888888886</v>
      </c>
      <c r="BD120" s="175"/>
      <c r="BE120" s="527">
        <f t="shared" si="80"/>
        <v>1007.411688888889</v>
      </c>
      <c r="BF120" s="181">
        <f t="shared" si="81"/>
        <v>0.98018434594594595</v>
      </c>
      <c r="BG120" s="520" t="b">
        <f t="shared" si="82"/>
        <v>0</v>
      </c>
      <c r="BI120" s="528" t="s">
        <v>2181</v>
      </c>
      <c r="BL120" s="151" t="str">
        <f t="shared" si="83"/>
        <v>EoKMetro - Regionaal</v>
      </c>
      <c r="BM120" s="529">
        <v>0</v>
      </c>
      <c r="BN120" s="180">
        <f>BM120/INDEX(Parameters!$B:$B,MATCH("AfschrijftermijnVVE"&amp;12*$C120,Parameters!$A:$A,0))</f>
        <v>0</v>
      </c>
      <c r="BO120" s="184">
        <f>INDEX('inkoop ULL tbv EVPN'!I:I,MATCH(BL120,'inkoop ULL tbv EVPN'!H:H,0))</f>
        <v>2</v>
      </c>
      <c r="BP120" s="184">
        <f t="shared" si="84"/>
        <v>2</v>
      </c>
      <c r="BR120" s="180">
        <f>Parameters!$B$12*AG120</f>
        <v>102.77777777777779</v>
      </c>
      <c r="BS120" s="180">
        <f>SUM(Distributievergoedingen!$F$12,Distributievergoedingen!$I$12,Distributievergoedingen!$L$12,Distributievergoedingen!$O$12)*AF120+SUM(Distributievergoedingen!$O$12*AA120+Distributievergoedingen!$R$12+Distributievergoedingen!$U$12+Distributievergoedingen!$X$12)/(MAX(36,12*C120))</f>
        <v>112.77777777777777</v>
      </c>
      <c r="BT120" s="150"/>
      <c r="BU120" s="150">
        <f t="shared" si="85"/>
        <v>215.55555555555554</v>
      </c>
      <c r="BW120" s="522">
        <f t="shared" si="86"/>
        <v>217.55555555555554</v>
      </c>
      <c r="BY120" s="527">
        <f t="shared" si="87"/>
        <v>810.22222222222229</v>
      </c>
      <c r="BZ120" s="181">
        <f t="shared" si="88"/>
        <v>0.78832432432432431</v>
      </c>
      <c r="CA120" s="520" t="b">
        <f t="shared" si="89"/>
        <v>0</v>
      </c>
    </row>
    <row r="121" spans="1:79" s="151" customFormat="1">
      <c r="A121" s="151" t="str">
        <f t="shared" si="68"/>
        <v>2EoKEntryCity4</v>
      </c>
      <c r="B121" s="520" t="str">
        <f t="shared" si="90"/>
        <v>2EoKEntryCity4</v>
      </c>
      <c r="C121" s="179">
        <v>2</v>
      </c>
      <c r="D121" s="179" t="s">
        <v>303</v>
      </c>
      <c r="E121" s="178" t="s">
        <v>45</v>
      </c>
      <c r="F121" s="178" t="s">
        <v>262</v>
      </c>
      <c r="G121" s="185" t="s">
        <v>408</v>
      </c>
      <c r="J121" s="520" t="str">
        <f t="shared" si="69"/>
        <v>EntryCity4</v>
      </c>
      <c r="L121" s="204">
        <f>INDEX(Mapping!$H:$H,MATCH(C$3&amp;C121,Mapping!$B:$B,0))</f>
        <v>1</v>
      </c>
      <c r="M121" s="204" t="str">
        <f>INDEX(Mapping!$H:$H,MATCH(D$3&amp;$D121,Mapping!$B:$B,0))</f>
        <v>EoK</v>
      </c>
      <c r="N121" s="204" t="str">
        <f>INDEX(Mapping!$H:$H,MATCH(E$3&amp;E121,Mapping!$B:$B,0))</f>
        <v>Lite</v>
      </c>
      <c r="O121" s="204" t="str">
        <f>INDEX(Mapping!$H:$H,MATCH(F$3&amp;F121,Mapping!$B:$B,0))</f>
        <v>Metro</v>
      </c>
      <c r="P121" s="204">
        <f>INDEX(Mapping!$H:$H,MATCH(G$3&amp;G121,Mapping!$B:$B,0))</f>
        <v>4</v>
      </c>
      <c r="Q121" s="204" t="str">
        <f>INDEX(Mapping!$H:$H,MATCH(Q$3&amp;$F121,Mapping!$B:$B,0))</f>
        <v>Metro - Regionaal</v>
      </c>
      <c r="R121" s="204" t="str">
        <f>INDEX(Mapping!$H:$H,MATCH("ZM VPN Service Level"&amp;E121,Mapping!$B:$B,0))</f>
        <v>Advanced</v>
      </c>
      <c r="S121" s="139" t="b">
        <f>IF($D121="EoK",INDEX(Mapping!$I:$I,MATCH($G$3&amp;$G121,Mapping!B:B,0)),FALSE)</f>
        <v>0</v>
      </c>
      <c r="T121" s="139"/>
      <c r="U121" s="520" t="str">
        <f t="shared" si="70"/>
        <v>LiteMetro4</v>
      </c>
      <c r="W121" s="521">
        <f>MATCH($J121,'Tarieven ZM'!$B:$B,0)</f>
        <v>11</v>
      </c>
      <c r="X121" s="204">
        <f>INDEX('Tarieven ZM'!$H:$H,$W121)</f>
        <v>1000</v>
      </c>
      <c r="Y121" s="198">
        <f>-INDEX(Parameters!$B:$B,MATCH(Y$3&amp;$C121,Parameters!$A:$A,0))*$X121</f>
        <v>0</v>
      </c>
      <c r="Z121" s="198">
        <f>-INDEX(Parameters!$B:$B,MATCH(Z$3&amp;$C121,Parameters!$A:$A,0))*$X121</f>
        <v>0</v>
      </c>
      <c r="AA121" s="139">
        <f t="shared" si="71"/>
        <v>1000</v>
      </c>
      <c r="AB121" s="205">
        <f>AA121/INDEX(Parameters!$B:$B,MATCH("AfschrijftermijnVVE"&amp;12*$C121,Parameters!$A:$A,0))</f>
        <v>27.777777777777779</v>
      </c>
      <c r="AC121" s="204">
        <f>INDEX('Tarieven ZM'!$G:$G,$W121)</f>
        <v>1000</v>
      </c>
      <c r="AD121" s="198">
        <f>-INDEX(Parameters!$B:$B,MATCH(AD$3&amp;$C121,Parameters!$A:$A,0))*$AC121</f>
        <v>0</v>
      </c>
      <c r="AE121" s="198">
        <f>-INDEX(Parameters!$B:$B,MATCH(AE$3,Parameters!$A:$A,0))*$AC121</f>
        <v>0</v>
      </c>
      <c r="AF121" s="139">
        <f t="shared" si="72"/>
        <v>1000</v>
      </c>
      <c r="AG121" s="522">
        <f t="shared" si="73"/>
        <v>1027.7777777777778</v>
      </c>
      <c r="AH121" s="175"/>
      <c r="AI121" s="523">
        <f>MATCH($U121,'Tarieven W&amp;O'!$B:$B,0)</f>
        <v>39</v>
      </c>
      <c r="AJ121" s="204">
        <f>IF(AI121&lt;&gt;"nvt",INDEX('Tarieven W&amp;O'!$H:$H,$AI121),0)</f>
        <v>0</v>
      </c>
      <c r="AK121" s="204">
        <f>IF(AI121&lt;&gt;"nvt",INDEX('Tarieven W&amp;O'!$I:$I,$AI121),0)</f>
        <v>25</v>
      </c>
      <c r="AL121" s="524">
        <f>IF(AI121&lt;&gt;"nvt",-INDEX(Parameters!$B:$B,MATCH(AL$3,Parameters!$A:$A,0))*(AJ121+AK121),0)</f>
        <v>0</v>
      </c>
      <c r="AM121" s="525"/>
      <c r="AN121" s="139">
        <f t="shared" si="74"/>
        <v>25</v>
      </c>
      <c r="AO121" s="205">
        <f>AN121/INDEX(Parameters!$B:$B,MATCH("AfschrijftermijnVVE"&amp;12*$C121,Parameters!$A:$A,0))</f>
        <v>0.69444444444444442</v>
      </c>
      <c r="AP121" s="139">
        <f t="shared" si="75"/>
        <v>39</v>
      </c>
      <c r="AQ121" s="526">
        <f>IF(AP121&lt;&gt;"nvt",INDEX('Tarieven W&amp;O'!$G:$G,$AP121),0)</f>
        <v>18.47</v>
      </c>
      <c r="AR121" s="251">
        <f>IF($S121,INDEX('Tarieven W&amp;O'!$G:$G,MATCH(N121&amp;R121,'Tarieven W&amp;O'!$B:$B,0)),0)</f>
        <v>0</v>
      </c>
      <c r="AS121" s="205">
        <f>-INDEX(Parameters!$B:$B,MATCH(AS$3,Parameters!$A:$A,0))*(AQ121+AR121)</f>
        <v>0</v>
      </c>
      <c r="AT121" s="205">
        <f>INDEX(hulpblad!$E:$E,MATCH(M121&amp;Q121,hulpblad!$B:$B,0))</f>
        <v>1</v>
      </c>
      <c r="AU121" s="150">
        <f t="shared" si="76"/>
        <v>19.47</v>
      </c>
      <c r="AV121" s="150">
        <f t="shared" si="77"/>
        <v>20.164444444444442</v>
      </c>
      <c r="AX121" s="526">
        <f>Parameters!$B$6*AV121</f>
        <v>0.20164444444444443</v>
      </c>
      <c r="AY121" s="150">
        <v>0</v>
      </c>
      <c r="AZ121" s="150"/>
      <c r="BA121" s="150">
        <f t="shared" si="78"/>
        <v>0.20164444444444443</v>
      </c>
      <c r="BB121" s="150"/>
      <c r="BC121" s="522">
        <f t="shared" si="79"/>
        <v>20.366088888888886</v>
      </c>
      <c r="BD121" s="175"/>
      <c r="BE121" s="527">
        <f t="shared" si="80"/>
        <v>1007.411688888889</v>
      </c>
      <c r="BF121" s="181">
        <f t="shared" si="81"/>
        <v>0.98018434594594595</v>
      </c>
      <c r="BG121" s="520" t="b">
        <f t="shared" si="82"/>
        <v>0</v>
      </c>
      <c r="BI121" s="528" t="s">
        <v>2181</v>
      </c>
      <c r="BL121" s="151" t="str">
        <f t="shared" si="83"/>
        <v>EoKMetro - Regionaal</v>
      </c>
      <c r="BM121" s="529">
        <v>0</v>
      </c>
      <c r="BN121" s="180">
        <f>BM121/INDEX(Parameters!$B:$B,MATCH("AfschrijftermijnVVE"&amp;12*$C121,Parameters!$A:$A,0))</f>
        <v>0</v>
      </c>
      <c r="BO121" s="184">
        <f>INDEX('inkoop ULL tbv EVPN'!I:I,MATCH(BL121,'inkoop ULL tbv EVPN'!H:H,0))</f>
        <v>2</v>
      </c>
      <c r="BP121" s="184">
        <f t="shared" si="84"/>
        <v>2</v>
      </c>
      <c r="BR121" s="180">
        <f>Parameters!$B$12*AG121</f>
        <v>102.77777777777779</v>
      </c>
      <c r="BS121" s="180">
        <f>SUM(Distributievergoedingen!$F$12,Distributievergoedingen!$I$12,Distributievergoedingen!$L$12,Distributievergoedingen!$O$12)*AF121+SUM(Distributievergoedingen!$O$12*AA121+Distributievergoedingen!$R$12+Distributievergoedingen!$U$12+Distributievergoedingen!$X$12)/(MAX(36,12*C121))</f>
        <v>112.77777777777777</v>
      </c>
      <c r="BT121" s="150"/>
      <c r="BU121" s="150">
        <f t="shared" si="85"/>
        <v>215.55555555555554</v>
      </c>
      <c r="BW121" s="522">
        <f t="shared" si="86"/>
        <v>217.55555555555554</v>
      </c>
      <c r="BY121" s="527">
        <f t="shared" si="87"/>
        <v>810.22222222222229</v>
      </c>
      <c r="BZ121" s="181">
        <f t="shared" si="88"/>
        <v>0.78832432432432431</v>
      </c>
      <c r="CA121" s="520" t="b">
        <f t="shared" si="89"/>
        <v>0</v>
      </c>
    </row>
    <row r="122" spans="1:79" s="151" customFormat="1">
      <c r="A122" s="151" t="str">
        <f t="shared" si="68"/>
        <v>2EoKEntryCity5</v>
      </c>
      <c r="B122" s="520" t="str">
        <f t="shared" si="90"/>
        <v>2EoKEntryCity5</v>
      </c>
      <c r="C122" s="179">
        <v>2</v>
      </c>
      <c r="D122" s="179" t="s">
        <v>303</v>
      </c>
      <c r="E122" s="178" t="s">
        <v>45</v>
      </c>
      <c r="F122" s="178" t="s">
        <v>262</v>
      </c>
      <c r="G122" s="185" t="s">
        <v>409</v>
      </c>
      <c r="J122" s="520" t="str">
        <f t="shared" si="69"/>
        <v>EntryCity5</v>
      </c>
      <c r="L122" s="204">
        <f>INDEX(Mapping!$H:$H,MATCH(C$3&amp;C122,Mapping!$B:$B,0))</f>
        <v>1</v>
      </c>
      <c r="M122" s="204" t="str">
        <f>INDEX(Mapping!$H:$H,MATCH(D$3&amp;$D122,Mapping!$B:$B,0))</f>
        <v>EoK</v>
      </c>
      <c r="N122" s="204" t="str">
        <f>INDEX(Mapping!$H:$H,MATCH(E$3&amp;E122,Mapping!$B:$B,0))</f>
        <v>Lite</v>
      </c>
      <c r="O122" s="204" t="str">
        <f>INDEX(Mapping!$H:$H,MATCH(F$3&amp;F122,Mapping!$B:$B,0))</f>
        <v>Metro</v>
      </c>
      <c r="P122" s="204">
        <f>INDEX(Mapping!$H:$H,MATCH(G$3&amp;G122,Mapping!$B:$B,0))</f>
        <v>5</v>
      </c>
      <c r="Q122" s="204" t="str">
        <f>INDEX(Mapping!$H:$H,MATCH(Q$3&amp;$F122,Mapping!$B:$B,0))</f>
        <v>Metro - Regionaal</v>
      </c>
      <c r="R122" s="204" t="str">
        <f>INDEX(Mapping!$H:$H,MATCH("ZM VPN Service Level"&amp;E122,Mapping!$B:$B,0))</f>
        <v>Advanced</v>
      </c>
      <c r="S122" s="139" t="b">
        <f>IF($D122="EoK",INDEX(Mapping!$I:$I,MATCH($G$3&amp;$G122,Mapping!B:B,0)),FALSE)</f>
        <v>0</v>
      </c>
      <c r="T122" s="139"/>
      <c r="U122" s="520" t="str">
        <f t="shared" si="70"/>
        <v>LiteMetro5</v>
      </c>
      <c r="W122" s="521">
        <f>MATCH($J122,'Tarieven ZM'!$B:$B,0)</f>
        <v>12</v>
      </c>
      <c r="X122" s="204">
        <f>INDEX('Tarieven ZM'!$H:$H,$W122)</f>
        <v>1000</v>
      </c>
      <c r="Y122" s="198">
        <f>-INDEX(Parameters!$B:$B,MATCH(Y$3&amp;$C122,Parameters!$A:$A,0))*$X122</f>
        <v>0</v>
      </c>
      <c r="Z122" s="198">
        <f>-INDEX(Parameters!$B:$B,MATCH(Z$3&amp;$C122,Parameters!$A:$A,0))*$X122</f>
        <v>0</v>
      </c>
      <c r="AA122" s="139">
        <f t="shared" si="71"/>
        <v>1000</v>
      </c>
      <c r="AB122" s="205">
        <f>AA122/INDEX(Parameters!$B:$B,MATCH("AfschrijftermijnVVE"&amp;12*$C122,Parameters!$A:$A,0))</f>
        <v>27.777777777777779</v>
      </c>
      <c r="AC122" s="204">
        <f>INDEX('Tarieven ZM'!$G:$G,$W122)</f>
        <v>1000</v>
      </c>
      <c r="AD122" s="198">
        <f>-INDEX(Parameters!$B:$B,MATCH(AD$3&amp;$C122,Parameters!$A:$A,0))*$AC122</f>
        <v>0</v>
      </c>
      <c r="AE122" s="198">
        <f>-INDEX(Parameters!$B:$B,MATCH(AE$3,Parameters!$A:$A,0))*$AC122</f>
        <v>0</v>
      </c>
      <c r="AF122" s="139">
        <f t="shared" si="72"/>
        <v>1000</v>
      </c>
      <c r="AG122" s="522">
        <f t="shared" si="73"/>
        <v>1027.7777777777778</v>
      </c>
      <c r="AH122" s="175"/>
      <c r="AI122" s="523">
        <f>MATCH($U122,'Tarieven W&amp;O'!$B:$B,0)</f>
        <v>40</v>
      </c>
      <c r="AJ122" s="204">
        <f>IF(AI122&lt;&gt;"nvt",INDEX('Tarieven W&amp;O'!$H:$H,$AI122),0)</f>
        <v>0</v>
      </c>
      <c r="AK122" s="204">
        <f>IF(AI122&lt;&gt;"nvt",INDEX('Tarieven W&amp;O'!$I:$I,$AI122),0)</f>
        <v>25</v>
      </c>
      <c r="AL122" s="524">
        <f>IF(AI122&lt;&gt;"nvt",-INDEX(Parameters!$B:$B,MATCH(AL$3,Parameters!$A:$A,0))*(AJ122+AK122),0)</f>
        <v>0</v>
      </c>
      <c r="AM122" s="525"/>
      <c r="AN122" s="139">
        <f t="shared" si="74"/>
        <v>25</v>
      </c>
      <c r="AO122" s="205">
        <f>AN122/INDEX(Parameters!$B:$B,MATCH("AfschrijftermijnVVE"&amp;12*$C122,Parameters!$A:$A,0))</f>
        <v>0.69444444444444442</v>
      </c>
      <c r="AP122" s="139">
        <f t="shared" si="75"/>
        <v>40</v>
      </c>
      <c r="AQ122" s="526">
        <f>IF(AP122&lt;&gt;"nvt",INDEX('Tarieven W&amp;O'!$G:$G,$AP122),0)</f>
        <v>18.47</v>
      </c>
      <c r="AR122" s="251">
        <f>IF($S122,INDEX('Tarieven W&amp;O'!$G:$G,MATCH(N122&amp;R122,'Tarieven W&amp;O'!$B:$B,0)),0)</f>
        <v>0</v>
      </c>
      <c r="AS122" s="205">
        <f>-INDEX(Parameters!$B:$B,MATCH(AS$3,Parameters!$A:$A,0))*(AQ122+AR122)</f>
        <v>0</v>
      </c>
      <c r="AT122" s="205">
        <f>INDEX(hulpblad!$E:$E,MATCH(M122&amp;Q122,hulpblad!$B:$B,0))</f>
        <v>1</v>
      </c>
      <c r="AU122" s="150">
        <f t="shared" si="76"/>
        <v>19.47</v>
      </c>
      <c r="AV122" s="150">
        <f t="shared" si="77"/>
        <v>20.164444444444442</v>
      </c>
      <c r="AX122" s="526">
        <f>Parameters!$B$6*AV122</f>
        <v>0.20164444444444443</v>
      </c>
      <c r="AY122" s="150">
        <v>0</v>
      </c>
      <c r="AZ122" s="150"/>
      <c r="BA122" s="150">
        <f t="shared" si="78"/>
        <v>0.20164444444444443</v>
      </c>
      <c r="BB122" s="150"/>
      <c r="BC122" s="522">
        <f t="shared" si="79"/>
        <v>20.366088888888886</v>
      </c>
      <c r="BD122" s="175"/>
      <c r="BE122" s="527">
        <f t="shared" si="80"/>
        <v>1007.411688888889</v>
      </c>
      <c r="BF122" s="181">
        <f t="shared" si="81"/>
        <v>0.98018434594594595</v>
      </c>
      <c r="BG122" s="520" t="b">
        <f t="shared" si="82"/>
        <v>0</v>
      </c>
      <c r="BI122" s="528" t="s">
        <v>2181</v>
      </c>
      <c r="BL122" s="151" t="str">
        <f t="shared" si="83"/>
        <v>EoKMetro - Regionaal</v>
      </c>
      <c r="BM122" s="529">
        <v>0</v>
      </c>
      <c r="BN122" s="180">
        <f>BM122/INDEX(Parameters!$B:$B,MATCH("AfschrijftermijnVVE"&amp;12*$C122,Parameters!$A:$A,0))</f>
        <v>0</v>
      </c>
      <c r="BO122" s="184">
        <f>INDEX('inkoop ULL tbv EVPN'!I:I,MATCH(BL122,'inkoop ULL tbv EVPN'!H:H,0))</f>
        <v>2</v>
      </c>
      <c r="BP122" s="184">
        <f t="shared" si="84"/>
        <v>2</v>
      </c>
      <c r="BR122" s="180">
        <f>Parameters!$B$12*AG122</f>
        <v>102.77777777777779</v>
      </c>
      <c r="BS122" s="180">
        <f>SUM(Distributievergoedingen!$F$12,Distributievergoedingen!$I$12,Distributievergoedingen!$L$12,Distributievergoedingen!$O$12)*AF122+SUM(Distributievergoedingen!$O$12*AA122+Distributievergoedingen!$R$12+Distributievergoedingen!$U$12+Distributievergoedingen!$X$12)/(MAX(36,12*C122))</f>
        <v>112.77777777777777</v>
      </c>
      <c r="BT122" s="150"/>
      <c r="BU122" s="150">
        <f t="shared" si="85"/>
        <v>215.55555555555554</v>
      </c>
      <c r="BW122" s="522">
        <f t="shared" si="86"/>
        <v>217.55555555555554</v>
      </c>
      <c r="BY122" s="527">
        <f t="shared" si="87"/>
        <v>810.22222222222229</v>
      </c>
      <c r="BZ122" s="181">
        <f t="shared" si="88"/>
        <v>0.78832432432432431</v>
      </c>
      <c r="CA122" s="520" t="b">
        <f t="shared" si="89"/>
        <v>0</v>
      </c>
    </row>
    <row r="123" spans="1:79" s="151" customFormat="1">
      <c r="A123" s="151" t="str">
        <f t="shared" si="68"/>
        <v>2EoKEntryCity6</v>
      </c>
      <c r="B123" s="520" t="str">
        <f t="shared" si="90"/>
        <v>2EoKEntryCity6</v>
      </c>
      <c r="C123" s="179">
        <v>2</v>
      </c>
      <c r="D123" s="179" t="s">
        <v>303</v>
      </c>
      <c r="E123" s="178" t="s">
        <v>45</v>
      </c>
      <c r="F123" s="178" t="s">
        <v>262</v>
      </c>
      <c r="G123" s="185" t="s">
        <v>410</v>
      </c>
      <c r="J123" s="520" t="str">
        <f t="shared" si="69"/>
        <v>EntryCity6</v>
      </c>
      <c r="L123" s="204">
        <f>INDEX(Mapping!$H:$H,MATCH(C$3&amp;C123,Mapping!$B:$B,0))</f>
        <v>1</v>
      </c>
      <c r="M123" s="204" t="str">
        <f>INDEX(Mapping!$H:$H,MATCH(D$3&amp;$D123,Mapping!$B:$B,0))</f>
        <v>EoK</v>
      </c>
      <c r="N123" s="204" t="str">
        <f>INDEX(Mapping!$H:$H,MATCH(E$3&amp;E123,Mapping!$B:$B,0))</f>
        <v>Lite</v>
      </c>
      <c r="O123" s="204" t="str">
        <f>INDEX(Mapping!$H:$H,MATCH(F$3&amp;F123,Mapping!$B:$B,0))</f>
        <v>Metro</v>
      </c>
      <c r="P123" s="204">
        <f>INDEX(Mapping!$H:$H,MATCH(G$3&amp;G123,Mapping!$B:$B,0))</f>
        <v>6</v>
      </c>
      <c r="Q123" s="204" t="str">
        <f>INDEX(Mapping!$H:$H,MATCH(Q$3&amp;$F123,Mapping!$B:$B,0))</f>
        <v>Metro - Regionaal</v>
      </c>
      <c r="R123" s="204" t="str">
        <f>INDEX(Mapping!$H:$H,MATCH("ZM VPN Service Level"&amp;E123,Mapping!$B:$B,0))</f>
        <v>Advanced</v>
      </c>
      <c r="S123" s="139" t="b">
        <f>IF($D123="EoK",INDEX(Mapping!$I:$I,MATCH($G$3&amp;$G123,Mapping!B:B,0)),FALSE)</f>
        <v>0</v>
      </c>
      <c r="T123" s="139"/>
      <c r="U123" s="520" t="str">
        <f t="shared" si="70"/>
        <v>LiteMetro6</v>
      </c>
      <c r="W123" s="521">
        <f>MATCH($J123,'Tarieven ZM'!$B:$B,0)</f>
        <v>13</v>
      </c>
      <c r="X123" s="204">
        <f>INDEX('Tarieven ZM'!$H:$H,$W123)</f>
        <v>1000</v>
      </c>
      <c r="Y123" s="198">
        <f>-INDEX(Parameters!$B:$B,MATCH(Y$3&amp;$C123,Parameters!$A:$A,0))*$X123</f>
        <v>0</v>
      </c>
      <c r="Z123" s="198">
        <f>-INDEX(Parameters!$B:$B,MATCH(Z$3&amp;$C123,Parameters!$A:$A,0))*$X123</f>
        <v>0</v>
      </c>
      <c r="AA123" s="139">
        <f t="shared" si="71"/>
        <v>1000</v>
      </c>
      <c r="AB123" s="205">
        <f>AA123/INDEX(Parameters!$B:$B,MATCH("AfschrijftermijnVVE"&amp;12*$C123,Parameters!$A:$A,0))</f>
        <v>27.777777777777779</v>
      </c>
      <c r="AC123" s="204">
        <f>INDEX('Tarieven ZM'!$G:$G,$W123)</f>
        <v>1000</v>
      </c>
      <c r="AD123" s="198">
        <f>-INDEX(Parameters!$B:$B,MATCH(AD$3&amp;$C123,Parameters!$A:$A,0))*$AC123</f>
        <v>0</v>
      </c>
      <c r="AE123" s="198">
        <f>-INDEX(Parameters!$B:$B,MATCH(AE$3,Parameters!$A:$A,0))*$AC123</f>
        <v>0</v>
      </c>
      <c r="AF123" s="139">
        <f t="shared" si="72"/>
        <v>1000</v>
      </c>
      <c r="AG123" s="522">
        <f t="shared" si="73"/>
        <v>1027.7777777777778</v>
      </c>
      <c r="AH123" s="175"/>
      <c r="AI123" s="523">
        <f>MATCH($U123,'Tarieven W&amp;O'!$B:$B,0)</f>
        <v>41</v>
      </c>
      <c r="AJ123" s="204">
        <f>IF(AI123&lt;&gt;"nvt",INDEX('Tarieven W&amp;O'!$H:$H,$AI123),0)</f>
        <v>0</v>
      </c>
      <c r="AK123" s="204">
        <f>IF(AI123&lt;&gt;"nvt",INDEX('Tarieven W&amp;O'!$I:$I,$AI123),0)</f>
        <v>25</v>
      </c>
      <c r="AL123" s="524">
        <f>IF(AI123&lt;&gt;"nvt",-INDEX(Parameters!$B:$B,MATCH(AL$3,Parameters!$A:$A,0))*(AJ123+AK123),0)</f>
        <v>0</v>
      </c>
      <c r="AM123" s="525"/>
      <c r="AN123" s="139">
        <f t="shared" si="74"/>
        <v>25</v>
      </c>
      <c r="AO123" s="205">
        <f>AN123/INDEX(Parameters!$B:$B,MATCH("AfschrijftermijnVVE"&amp;12*$C123,Parameters!$A:$A,0))</f>
        <v>0.69444444444444442</v>
      </c>
      <c r="AP123" s="139">
        <f t="shared" si="75"/>
        <v>41</v>
      </c>
      <c r="AQ123" s="526">
        <f>IF(AP123&lt;&gt;"nvt",INDEX('Tarieven W&amp;O'!$G:$G,$AP123),0)</f>
        <v>18.47</v>
      </c>
      <c r="AR123" s="251">
        <f>IF($S123,INDEX('Tarieven W&amp;O'!$G:$G,MATCH(N123&amp;R123,'Tarieven W&amp;O'!$B:$B,0)),0)</f>
        <v>0</v>
      </c>
      <c r="AS123" s="205">
        <f>-INDEX(Parameters!$B:$B,MATCH(AS$3,Parameters!$A:$A,0))*(AQ123+AR123)</f>
        <v>0</v>
      </c>
      <c r="AT123" s="205">
        <f>INDEX(hulpblad!$E:$E,MATCH(M123&amp;Q123,hulpblad!$B:$B,0))</f>
        <v>1</v>
      </c>
      <c r="AU123" s="150">
        <f t="shared" si="76"/>
        <v>19.47</v>
      </c>
      <c r="AV123" s="150">
        <f t="shared" si="77"/>
        <v>20.164444444444442</v>
      </c>
      <c r="AX123" s="526">
        <f>Parameters!$B$6*AV123</f>
        <v>0.20164444444444443</v>
      </c>
      <c r="AY123" s="150">
        <v>0</v>
      </c>
      <c r="AZ123" s="150"/>
      <c r="BA123" s="150">
        <f t="shared" si="78"/>
        <v>0.20164444444444443</v>
      </c>
      <c r="BB123" s="150"/>
      <c r="BC123" s="522">
        <f t="shared" si="79"/>
        <v>20.366088888888886</v>
      </c>
      <c r="BD123" s="175"/>
      <c r="BE123" s="527">
        <f t="shared" si="80"/>
        <v>1007.411688888889</v>
      </c>
      <c r="BF123" s="181">
        <f t="shared" si="81"/>
        <v>0.98018434594594595</v>
      </c>
      <c r="BG123" s="520" t="b">
        <f t="shared" si="82"/>
        <v>0</v>
      </c>
      <c r="BI123" s="528" t="s">
        <v>2181</v>
      </c>
      <c r="BL123" s="151" t="str">
        <f t="shared" si="83"/>
        <v>EoKMetro - Regionaal</v>
      </c>
      <c r="BM123" s="529">
        <v>0</v>
      </c>
      <c r="BN123" s="180">
        <f>BM123/INDEX(Parameters!$B:$B,MATCH("AfschrijftermijnVVE"&amp;12*$C123,Parameters!$A:$A,0))</f>
        <v>0</v>
      </c>
      <c r="BO123" s="184">
        <f>INDEX('inkoop ULL tbv EVPN'!I:I,MATCH(BL123,'inkoop ULL tbv EVPN'!H:H,0))</f>
        <v>2</v>
      </c>
      <c r="BP123" s="184">
        <f t="shared" si="84"/>
        <v>2</v>
      </c>
      <c r="BR123" s="180">
        <f>Parameters!$B$12*AG123</f>
        <v>102.77777777777779</v>
      </c>
      <c r="BS123" s="180">
        <f>SUM(Distributievergoedingen!$F$12,Distributievergoedingen!$I$12,Distributievergoedingen!$L$12,Distributievergoedingen!$O$12)*AF123+SUM(Distributievergoedingen!$O$12*AA123+Distributievergoedingen!$R$12+Distributievergoedingen!$U$12+Distributievergoedingen!$X$12)/(MAX(36,12*C123))</f>
        <v>112.77777777777777</v>
      </c>
      <c r="BT123" s="150"/>
      <c r="BU123" s="150">
        <f t="shared" si="85"/>
        <v>215.55555555555554</v>
      </c>
      <c r="BW123" s="522">
        <f t="shared" si="86"/>
        <v>217.55555555555554</v>
      </c>
      <c r="BY123" s="527">
        <f t="shared" si="87"/>
        <v>810.22222222222229</v>
      </c>
      <c r="BZ123" s="181">
        <f t="shared" si="88"/>
        <v>0.78832432432432431</v>
      </c>
      <c r="CA123" s="520" t="b">
        <f t="shared" si="89"/>
        <v>0</v>
      </c>
    </row>
    <row r="124" spans="1:79" s="151" customFormat="1">
      <c r="A124" s="151" t="str">
        <f t="shared" si="68"/>
        <v>2EoKEntryCity8</v>
      </c>
      <c r="B124" s="520" t="str">
        <f t="shared" si="90"/>
        <v>2EoKEntryCity8</v>
      </c>
      <c r="C124" s="179">
        <v>2</v>
      </c>
      <c r="D124" s="179" t="s">
        <v>303</v>
      </c>
      <c r="E124" s="178" t="s">
        <v>45</v>
      </c>
      <c r="F124" s="178" t="s">
        <v>262</v>
      </c>
      <c r="G124" s="185" t="s">
        <v>411</v>
      </c>
      <c r="J124" s="520" t="str">
        <f t="shared" si="69"/>
        <v>EntryCity8</v>
      </c>
      <c r="L124" s="204">
        <f>INDEX(Mapping!$H:$H,MATCH(C$3&amp;C124,Mapping!$B:$B,0))</f>
        <v>1</v>
      </c>
      <c r="M124" s="204" t="str">
        <f>INDEX(Mapping!$H:$H,MATCH(D$3&amp;$D124,Mapping!$B:$B,0))</f>
        <v>EoK</v>
      </c>
      <c r="N124" s="204" t="str">
        <f>INDEX(Mapping!$H:$H,MATCH(E$3&amp;E124,Mapping!$B:$B,0))</f>
        <v>Lite</v>
      </c>
      <c r="O124" s="204" t="str">
        <f>INDEX(Mapping!$H:$H,MATCH(F$3&amp;F124,Mapping!$B:$B,0))</f>
        <v>Metro</v>
      </c>
      <c r="P124" s="204">
        <f>INDEX(Mapping!$H:$H,MATCH(G$3&amp;G124,Mapping!$B:$B,0))</f>
        <v>8</v>
      </c>
      <c r="Q124" s="204" t="str">
        <f>INDEX(Mapping!$H:$H,MATCH(Q$3&amp;$F124,Mapping!$B:$B,0))</f>
        <v>Metro - Regionaal</v>
      </c>
      <c r="R124" s="204" t="str">
        <f>INDEX(Mapping!$H:$H,MATCH("ZM VPN Service Level"&amp;E124,Mapping!$B:$B,0))</f>
        <v>Advanced</v>
      </c>
      <c r="S124" s="139" t="b">
        <f>IF($D124="EoK",INDEX(Mapping!$I:$I,MATCH($G$3&amp;$G124,Mapping!B:B,0)),FALSE)</f>
        <v>0</v>
      </c>
      <c r="T124" s="139"/>
      <c r="U124" s="520" t="str">
        <f t="shared" si="70"/>
        <v>LiteMetro8</v>
      </c>
      <c r="W124" s="521">
        <f>MATCH($J124,'Tarieven ZM'!$B:$B,0)</f>
        <v>14</v>
      </c>
      <c r="X124" s="204">
        <f>INDEX('Tarieven ZM'!$H:$H,$W124)</f>
        <v>1000</v>
      </c>
      <c r="Y124" s="198">
        <f>-INDEX(Parameters!$B:$B,MATCH(Y$3&amp;$C124,Parameters!$A:$A,0))*$X124</f>
        <v>0</v>
      </c>
      <c r="Z124" s="198">
        <f>-INDEX(Parameters!$B:$B,MATCH(Z$3&amp;$C124,Parameters!$A:$A,0))*$X124</f>
        <v>0</v>
      </c>
      <c r="AA124" s="139">
        <f t="shared" si="71"/>
        <v>1000</v>
      </c>
      <c r="AB124" s="205">
        <f>AA124/INDEX(Parameters!$B:$B,MATCH("AfschrijftermijnVVE"&amp;12*$C124,Parameters!$A:$A,0))</f>
        <v>27.777777777777779</v>
      </c>
      <c r="AC124" s="204">
        <f>INDEX('Tarieven ZM'!$G:$G,$W124)</f>
        <v>1000</v>
      </c>
      <c r="AD124" s="198">
        <f>-INDEX(Parameters!$B:$B,MATCH(AD$3&amp;$C124,Parameters!$A:$A,0))*$AC124</f>
        <v>0</v>
      </c>
      <c r="AE124" s="198">
        <f>-INDEX(Parameters!$B:$B,MATCH(AE$3,Parameters!$A:$A,0))*$AC124</f>
        <v>0</v>
      </c>
      <c r="AF124" s="139">
        <f t="shared" si="72"/>
        <v>1000</v>
      </c>
      <c r="AG124" s="522">
        <f t="shared" si="73"/>
        <v>1027.7777777777778</v>
      </c>
      <c r="AH124" s="175"/>
      <c r="AI124" s="523">
        <f>MATCH($U124,'Tarieven W&amp;O'!$B:$B,0)</f>
        <v>42</v>
      </c>
      <c r="AJ124" s="204">
        <f>IF(AI124&lt;&gt;"nvt",INDEX('Tarieven W&amp;O'!$H:$H,$AI124),0)</f>
        <v>0</v>
      </c>
      <c r="AK124" s="204">
        <f>IF(AI124&lt;&gt;"nvt",INDEX('Tarieven W&amp;O'!$I:$I,$AI124),0)</f>
        <v>25</v>
      </c>
      <c r="AL124" s="524">
        <f>IF(AI124&lt;&gt;"nvt",-INDEX(Parameters!$B:$B,MATCH(AL$3,Parameters!$A:$A,0))*(AJ124+AK124),0)</f>
        <v>0</v>
      </c>
      <c r="AM124" s="525"/>
      <c r="AN124" s="139">
        <f t="shared" si="74"/>
        <v>25</v>
      </c>
      <c r="AO124" s="205">
        <f>AN124/INDEX(Parameters!$B:$B,MATCH("AfschrijftermijnVVE"&amp;12*$C124,Parameters!$A:$A,0))</f>
        <v>0.69444444444444442</v>
      </c>
      <c r="AP124" s="139">
        <f t="shared" si="75"/>
        <v>42</v>
      </c>
      <c r="AQ124" s="526">
        <f>IF(AP124&lt;&gt;"nvt",INDEX('Tarieven W&amp;O'!$G:$G,$AP124),0)</f>
        <v>18.47</v>
      </c>
      <c r="AR124" s="251">
        <f>IF($S124,INDEX('Tarieven W&amp;O'!$G:$G,MATCH(N124&amp;R124,'Tarieven W&amp;O'!$B:$B,0)),0)</f>
        <v>0</v>
      </c>
      <c r="AS124" s="205">
        <f>-INDEX(Parameters!$B:$B,MATCH(AS$3,Parameters!$A:$A,0))*(AQ124+AR124)</f>
        <v>0</v>
      </c>
      <c r="AT124" s="205">
        <f>INDEX(hulpblad!$E:$E,MATCH(M124&amp;Q124,hulpblad!$B:$B,0))</f>
        <v>1</v>
      </c>
      <c r="AU124" s="150">
        <f t="shared" si="76"/>
        <v>19.47</v>
      </c>
      <c r="AV124" s="150">
        <f t="shared" si="77"/>
        <v>20.164444444444442</v>
      </c>
      <c r="AX124" s="526">
        <f>Parameters!$B$6*AV124</f>
        <v>0.20164444444444443</v>
      </c>
      <c r="AY124" s="150">
        <v>0</v>
      </c>
      <c r="AZ124" s="150"/>
      <c r="BA124" s="150">
        <f t="shared" si="78"/>
        <v>0.20164444444444443</v>
      </c>
      <c r="BB124" s="150"/>
      <c r="BC124" s="522">
        <f t="shared" si="79"/>
        <v>20.366088888888886</v>
      </c>
      <c r="BD124" s="175"/>
      <c r="BE124" s="527">
        <f t="shared" si="80"/>
        <v>1007.411688888889</v>
      </c>
      <c r="BF124" s="181">
        <f t="shared" si="81"/>
        <v>0.98018434594594595</v>
      </c>
      <c r="BG124" s="520" t="b">
        <f t="shared" si="82"/>
        <v>0</v>
      </c>
      <c r="BI124" s="528" t="s">
        <v>2181</v>
      </c>
      <c r="BL124" s="151" t="str">
        <f t="shared" si="83"/>
        <v>EoKMetro - Regionaal</v>
      </c>
      <c r="BM124" s="529">
        <v>0</v>
      </c>
      <c r="BN124" s="180">
        <f>BM124/INDEX(Parameters!$B:$B,MATCH("AfschrijftermijnVVE"&amp;12*$C124,Parameters!$A:$A,0))</f>
        <v>0</v>
      </c>
      <c r="BO124" s="184">
        <f>INDEX('inkoop ULL tbv EVPN'!I:I,MATCH(BL124,'inkoop ULL tbv EVPN'!H:H,0))</f>
        <v>2</v>
      </c>
      <c r="BP124" s="184">
        <f t="shared" si="84"/>
        <v>2</v>
      </c>
      <c r="BR124" s="180">
        <f>Parameters!$B$12*AG124</f>
        <v>102.77777777777779</v>
      </c>
      <c r="BS124" s="180">
        <f>SUM(Distributievergoedingen!$F$12,Distributievergoedingen!$I$12,Distributievergoedingen!$L$12,Distributievergoedingen!$O$12)*AF124+SUM(Distributievergoedingen!$O$12*AA124+Distributievergoedingen!$R$12+Distributievergoedingen!$U$12+Distributievergoedingen!$X$12)/(MAX(36,12*C124))</f>
        <v>112.77777777777777</v>
      </c>
      <c r="BT124" s="150"/>
      <c r="BU124" s="150">
        <f t="shared" si="85"/>
        <v>215.55555555555554</v>
      </c>
      <c r="BW124" s="522">
        <f t="shared" si="86"/>
        <v>217.55555555555554</v>
      </c>
      <c r="BY124" s="527">
        <f t="shared" si="87"/>
        <v>810.22222222222229</v>
      </c>
      <c r="BZ124" s="181">
        <f t="shared" si="88"/>
        <v>0.78832432432432431</v>
      </c>
      <c r="CA124" s="520" t="b">
        <f t="shared" si="89"/>
        <v>0</v>
      </c>
    </row>
    <row r="125" spans="1:79" s="151" customFormat="1">
      <c r="A125" s="151" t="str">
        <f t="shared" si="68"/>
        <v>2EoKEntryCity10</v>
      </c>
      <c r="B125" s="520" t="str">
        <f t="shared" si="90"/>
        <v>2EoKEntryCity10</v>
      </c>
      <c r="C125" s="179">
        <v>2</v>
      </c>
      <c r="D125" s="179" t="s">
        <v>303</v>
      </c>
      <c r="E125" s="178" t="s">
        <v>45</v>
      </c>
      <c r="F125" s="178" t="s">
        <v>262</v>
      </c>
      <c r="G125" s="185" t="s">
        <v>412</v>
      </c>
      <c r="J125" s="520" t="str">
        <f t="shared" si="69"/>
        <v>EntryCity10</v>
      </c>
      <c r="L125" s="204">
        <f>INDEX(Mapping!$H:$H,MATCH(C$3&amp;C125,Mapping!$B:$B,0))</f>
        <v>1</v>
      </c>
      <c r="M125" s="204" t="str">
        <f>INDEX(Mapping!$H:$H,MATCH(D$3&amp;$D125,Mapping!$B:$B,0))</f>
        <v>EoK</v>
      </c>
      <c r="N125" s="204" t="str">
        <f>INDEX(Mapping!$H:$H,MATCH(E$3&amp;E125,Mapping!$B:$B,0))</f>
        <v>Lite</v>
      </c>
      <c r="O125" s="204" t="str">
        <f>INDEX(Mapping!$H:$H,MATCH(F$3&amp;F125,Mapping!$B:$B,0))</f>
        <v>Metro</v>
      </c>
      <c r="P125" s="204">
        <f>INDEX(Mapping!$H:$H,MATCH(G$3&amp;G125,Mapping!$B:$B,0))</f>
        <v>10</v>
      </c>
      <c r="Q125" s="204" t="str">
        <f>INDEX(Mapping!$H:$H,MATCH(Q$3&amp;$F125,Mapping!$B:$B,0))</f>
        <v>Metro - Regionaal</v>
      </c>
      <c r="R125" s="204" t="str">
        <f>INDEX(Mapping!$H:$H,MATCH("ZM VPN Service Level"&amp;E125,Mapping!$B:$B,0))</f>
        <v>Advanced</v>
      </c>
      <c r="S125" s="139" t="b">
        <f>IF($D125="EoK",INDEX(Mapping!$I:$I,MATCH($G$3&amp;$G125,Mapping!B:B,0)),FALSE)</f>
        <v>0</v>
      </c>
      <c r="T125" s="139"/>
      <c r="U125" s="520" t="str">
        <f t="shared" si="70"/>
        <v>LiteMetro10</v>
      </c>
      <c r="W125" s="521">
        <f>MATCH($J125,'Tarieven ZM'!$B:$B,0)</f>
        <v>15</v>
      </c>
      <c r="X125" s="204">
        <f>INDEX('Tarieven ZM'!$H:$H,$W125)</f>
        <v>1000</v>
      </c>
      <c r="Y125" s="198">
        <f>-INDEX(Parameters!$B:$B,MATCH(Y$3&amp;$C125,Parameters!$A:$A,0))*$X125</f>
        <v>0</v>
      </c>
      <c r="Z125" s="198">
        <f>-INDEX(Parameters!$B:$B,MATCH(Z$3&amp;$C125,Parameters!$A:$A,0))*$X125</f>
        <v>0</v>
      </c>
      <c r="AA125" s="139">
        <f t="shared" si="71"/>
        <v>1000</v>
      </c>
      <c r="AB125" s="205">
        <f>AA125/INDEX(Parameters!$B:$B,MATCH("AfschrijftermijnVVE"&amp;12*$C125,Parameters!$A:$A,0))</f>
        <v>27.777777777777779</v>
      </c>
      <c r="AC125" s="204">
        <f>INDEX('Tarieven ZM'!$G:$G,$W125)</f>
        <v>1000</v>
      </c>
      <c r="AD125" s="198">
        <f>-INDEX(Parameters!$B:$B,MATCH(AD$3&amp;$C125,Parameters!$A:$A,0))*$AC125</f>
        <v>0</v>
      </c>
      <c r="AE125" s="198">
        <f>-INDEX(Parameters!$B:$B,MATCH(AE$3,Parameters!$A:$A,0))*$AC125</f>
        <v>0</v>
      </c>
      <c r="AF125" s="139">
        <f t="shared" si="72"/>
        <v>1000</v>
      </c>
      <c r="AG125" s="522">
        <f t="shared" si="73"/>
        <v>1027.7777777777778</v>
      </c>
      <c r="AH125" s="175"/>
      <c r="AI125" s="523">
        <f>MATCH($U125,'Tarieven W&amp;O'!$B:$B,0)</f>
        <v>43</v>
      </c>
      <c r="AJ125" s="204">
        <f>IF(AI125&lt;&gt;"nvt",INDEX('Tarieven W&amp;O'!$H:$H,$AI125),0)</f>
        <v>0</v>
      </c>
      <c r="AK125" s="204">
        <f>IF(AI125&lt;&gt;"nvt",INDEX('Tarieven W&amp;O'!$I:$I,$AI125),0)</f>
        <v>25</v>
      </c>
      <c r="AL125" s="524">
        <f>IF(AI125&lt;&gt;"nvt",-INDEX(Parameters!$B:$B,MATCH(AL$3,Parameters!$A:$A,0))*(AJ125+AK125),0)</f>
        <v>0</v>
      </c>
      <c r="AM125" s="525"/>
      <c r="AN125" s="139">
        <f t="shared" si="74"/>
        <v>25</v>
      </c>
      <c r="AO125" s="205">
        <f>AN125/INDEX(Parameters!$B:$B,MATCH("AfschrijftermijnVVE"&amp;12*$C125,Parameters!$A:$A,0))</f>
        <v>0.69444444444444442</v>
      </c>
      <c r="AP125" s="139">
        <f t="shared" si="75"/>
        <v>43</v>
      </c>
      <c r="AQ125" s="526">
        <f>IF(AP125&lt;&gt;"nvt",INDEX('Tarieven W&amp;O'!$G:$G,$AP125),0)</f>
        <v>18.47</v>
      </c>
      <c r="AR125" s="251">
        <f>IF($S125,INDEX('Tarieven W&amp;O'!$G:$G,MATCH(N125&amp;R125,'Tarieven W&amp;O'!$B:$B,0)),0)</f>
        <v>0</v>
      </c>
      <c r="AS125" s="205">
        <f>-INDEX(Parameters!$B:$B,MATCH(AS$3,Parameters!$A:$A,0))*(AQ125+AR125)</f>
        <v>0</v>
      </c>
      <c r="AT125" s="205">
        <f>INDEX(hulpblad!$E:$E,MATCH(M125&amp;Q125,hulpblad!$B:$B,0))</f>
        <v>1</v>
      </c>
      <c r="AU125" s="150">
        <f t="shared" si="76"/>
        <v>19.47</v>
      </c>
      <c r="AV125" s="150">
        <f t="shared" si="77"/>
        <v>20.164444444444442</v>
      </c>
      <c r="AX125" s="526">
        <f>Parameters!$B$6*AV125</f>
        <v>0.20164444444444443</v>
      </c>
      <c r="AY125" s="150">
        <v>0</v>
      </c>
      <c r="AZ125" s="150"/>
      <c r="BA125" s="150">
        <f t="shared" si="78"/>
        <v>0.20164444444444443</v>
      </c>
      <c r="BB125" s="150"/>
      <c r="BC125" s="522">
        <f t="shared" si="79"/>
        <v>20.366088888888886</v>
      </c>
      <c r="BD125" s="175"/>
      <c r="BE125" s="527">
        <f t="shared" si="80"/>
        <v>1007.411688888889</v>
      </c>
      <c r="BF125" s="181">
        <f t="shared" si="81"/>
        <v>0.98018434594594595</v>
      </c>
      <c r="BG125" s="520" t="b">
        <f t="shared" si="82"/>
        <v>0</v>
      </c>
      <c r="BI125" s="528" t="s">
        <v>2181</v>
      </c>
      <c r="BL125" s="151" t="str">
        <f t="shared" si="83"/>
        <v>EoKMetro - Regionaal</v>
      </c>
      <c r="BM125" s="529">
        <v>0</v>
      </c>
      <c r="BN125" s="180">
        <f>BM125/INDEX(Parameters!$B:$B,MATCH("AfschrijftermijnVVE"&amp;12*$C125,Parameters!$A:$A,0))</f>
        <v>0</v>
      </c>
      <c r="BO125" s="184">
        <f>INDEX('inkoop ULL tbv EVPN'!I:I,MATCH(BL125,'inkoop ULL tbv EVPN'!H:H,0))</f>
        <v>2</v>
      </c>
      <c r="BP125" s="184">
        <f t="shared" si="84"/>
        <v>2</v>
      </c>
      <c r="BR125" s="180">
        <f>Parameters!$B$12*AG125</f>
        <v>102.77777777777779</v>
      </c>
      <c r="BS125" s="180">
        <f>SUM(Distributievergoedingen!$F$12,Distributievergoedingen!$I$12,Distributievergoedingen!$L$12,Distributievergoedingen!$O$12)*AF125+SUM(Distributievergoedingen!$O$12*AA125+Distributievergoedingen!$R$12+Distributievergoedingen!$U$12+Distributievergoedingen!$X$12)/(MAX(36,12*C125))</f>
        <v>112.77777777777777</v>
      </c>
      <c r="BT125" s="150"/>
      <c r="BU125" s="150">
        <f t="shared" si="85"/>
        <v>215.55555555555554</v>
      </c>
      <c r="BW125" s="522">
        <f t="shared" si="86"/>
        <v>217.55555555555554</v>
      </c>
      <c r="BY125" s="527">
        <f t="shared" si="87"/>
        <v>810.22222222222229</v>
      </c>
      <c r="BZ125" s="181">
        <f t="shared" si="88"/>
        <v>0.78832432432432431</v>
      </c>
      <c r="CA125" s="520" t="b">
        <f t="shared" si="89"/>
        <v>0</v>
      </c>
    </row>
    <row r="126" spans="1:79" s="151" customFormat="1">
      <c r="A126" s="151" t="str">
        <f t="shared" si="68"/>
        <v>2EoKEntryCity15</v>
      </c>
      <c r="B126" s="520" t="str">
        <f t="shared" si="90"/>
        <v>2EoKEntryCity15</v>
      </c>
      <c r="C126" s="179">
        <v>2</v>
      </c>
      <c r="D126" s="179" t="s">
        <v>303</v>
      </c>
      <c r="E126" s="178" t="s">
        <v>45</v>
      </c>
      <c r="F126" s="178" t="s">
        <v>262</v>
      </c>
      <c r="G126" s="185" t="s">
        <v>413</v>
      </c>
      <c r="J126" s="520" t="str">
        <f t="shared" si="69"/>
        <v>EntryCity15</v>
      </c>
      <c r="L126" s="204">
        <f>INDEX(Mapping!$H:$H,MATCH(C$3&amp;C126,Mapping!$B:$B,0))</f>
        <v>1</v>
      </c>
      <c r="M126" s="204" t="str">
        <f>INDEX(Mapping!$H:$H,MATCH(D$3&amp;$D126,Mapping!$B:$B,0))</f>
        <v>EoK</v>
      </c>
      <c r="N126" s="204" t="str">
        <f>INDEX(Mapping!$H:$H,MATCH(E$3&amp;E126,Mapping!$B:$B,0))</f>
        <v>Lite</v>
      </c>
      <c r="O126" s="204" t="str">
        <f>INDEX(Mapping!$H:$H,MATCH(F$3&amp;F126,Mapping!$B:$B,0))</f>
        <v>Metro</v>
      </c>
      <c r="P126" s="204">
        <f>INDEX(Mapping!$H:$H,MATCH(G$3&amp;G126,Mapping!$B:$B,0))</f>
        <v>15</v>
      </c>
      <c r="Q126" s="204" t="str">
        <f>INDEX(Mapping!$H:$H,MATCH(Q$3&amp;$F126,Mapping!$B:$B,0))</f>
        <v>Metro - Regionaal</v>
      </c>
      <c r="R126" s="204" t="str">
        <f>INDEX(Mapping!$H:$H,MATCH("ZM VPN Service Level"&amp;E126,Mapping!$B:$B,0))</f>
        <v>Advanced</v>
      </c>
      <c r="S126" s="139" t="b">
        <f>IF($D126="EoK",INDEX(Mapping!$I:$I,MATCH($G$3&amp;$G126,Mapping!B:B,0)),FALSE)</f>
        <v>0</v>
      </c>
      <c r="T126" s="139"/>
      <c r="U126" s="520" t="str">
        <f t="shared" si="70"/>
        <v>LiteMetro15</v>
      </c>
      <c r="W126" s="521">
        <f>MATCH($J126,'Tarieven ZM'!$B:$B,0)</f>
        <v>16</v>
      </c>
      <c r="X126" s="204">
        <f>INDEX('Tarieven ZM'!$H:$H,$W126)</f>
        <v>1000</v>
      </c>
      <c r="Y126" s="198">
        <f>-INDEX(Parameters!$B:$B,MATCH(Y$3&amp;$C126,Parameters!$A:$A,0))*$X126</f>
        <v>0</v>
      </c>
      <c r="Z126" s="198">
        <f>-INDEX(Parameters!$B:$B,MATCH(Z$3&amp;$C126,Parameters!$A:$A,0))*$X126</f>
        <v>0</v>
      </c>
      <c r="AA126" s="139">
        <f t="shared" si="71"/>
        <v>1000</v>
      </c>
      <c r="AB126" s="205">
        <f>AA126/INDEX(Parameters!$B:$B,MATCH("AfschrijftermijnVVE"&amp;12*$C126,Parameters!$A:$A,0))</f>
        <v>27.777777777777779</v>
      </c>
      <c r="AC126" s="204">
        <f>INDEX('Tarieven ZM'!$G:$G,$W126)</f>
        <v>1000</v>
      </c>
      <c r="AD126" s="198">
        <f>-INDEX(Parameters!$B:$B,MATCH(AD$3&amp;$C126,Parameters!$A:$A,0))*$AC126</f>
        <v>0</v>
      </c>
      <c r="AE126" s="198">
        <f>-INDEX(Parameters!$B:$B,MATCH(AE$3,Parameters!$A:$A,0))*$AC126</f>
        <v>0</v>
      </c>
      <c r="AF126" s="139">
        <f t="shared" si="72"/>
        <v>1000</v>
      </c>
      <c r="AG126" s="522">
        <f t="shared" si="73"/>
        <v>1027.7777777777778</v>
      </c>
      <c r="AH126" s="175"/>
      <c r="AI126" s="523">
        <f>MATCH($U126,'Tarieven W&amp;O'!$B:$B,0)</f>
        <v>44</v>
      </c>
      <c r="AJ126" s="204">
        <f>IF(AI126&lt;&gt;"nvt",INDEX('Tarieven W&amp;O'!$H:$H,$AI126),0)</f>
        <v>0</v>
      </c>
      <c r="AK126" s="204">
        <f>IF(AI126&lt;&gt;"nvt",INDEX('Tarieven W&amp;O'!$I:$I,$AI126),0)</f>
        <v>25</v>
      </c>
      <c r="AL126" s="524">
        <f>IF(AI126&lt;&gt;"nvt",-INDEX(Parameters!$B:$B,MATCH(AL$3,Parameters!$A:$A,0))*(AJ126+AK126),0)</f>
        <v>0</v>
      </c>
      <c r="AM126" s="525"/>
      <c r="AN126" s="139">
        <f t="shared" si="74"/>
        <v>25</v>
      </c>
      <c r="AO126" s="205">
        <f>AN126/INDEX(Parameters!$B:$B,MATCH("AfschrijftermijnVVE"&amp;12*$C126,Parameters!$A:$A,0))</f>
        <v>0.69444444444444442</v>
      </c>
      <c r="AP126" s="139">
        <f t="shared" si="75"/>
        <v>44</v>
      </c>
      <c r="AQ126" s="526">
        <f>IF(AP126&lt;&gt;"nvt",INDEX('Tarieven W&amp;O'!$G:$G,$AP126),0)</f>
        <v>22.24</v>
      </c>
      <c r="AR126" s="251">
        <f>IF($S126,INDEX('Tarieven W&amp;O'!$G:$G,MATCH(N126&amp;R126,'Tarieven W&amp;O'!$B:$B,0)),0)</f>
        <v>0</v>
      </c>
      <c r="AS126" s="205">
        <f>-INDEX(Parameters!$B:$B,MATCH(AS$3,Parameters!$A:$A,0))*(AQ126+AR126)</f>
        <v>0</v>
      </c>
      <c r="AT126" s="205">
        <f>INDEX(hulpblad!$E:$E,MATCH(M126&amp;Q126,hulpblad!$B:$B,0))</f>
        <v>1</v>
      </c>
      <c r="AU126" s="150">
        <f t="shared" si="76"/>
        <v>23.24</v>
      </c>
      <c r="AV126" s="150">
        <f t="shared" si="77"/>
        <v>23.934444444444441</v>
      </c>
      <c r="AX126" s="526">
        <f>Parameters!$B$6*AV126</f>
        <v>0.23934444444444442</v>
      </c>
      <c r="AY126" s="150">
        <v>0</v>
      </c>
      <c r="AZ126" s="150"/>
      <c r="BA126" s="150">
        <f t="shared" si="78"/>
        <v>0.23934444444444442</v>
      </c>
      <c r="BB126" s="150"/>
      <c r="BC126" s="522">
        <f t="shared" si="79"/>
        <v>24.173788888888886</v>
      </c>
      <c r="BD126" s="175"/>
      <c r="BE126" s="527">
        <f t="shared" si="80"/>
        <v>1003.6039888888889</v>
      </c>
      <c r="BF126" s="181">
        <f t="shared" si="81"/>
        <v>0.97647955675675679</v>
      </c>
      <c r="BG126" s="520" t="b">
        <f t="shared" si="82"/>
        <v>0</v>
      </c>
      <c r="BI126" s="528" t="s">
        <v>2181</v>
      </c>
      <c r="BL126" s="151" t="str">
        <f t="shared" si="83"/>
        <v>EoKMetro - Regionaal</v>
      </c>
      <c r="BM126" s="529">
        <v>0</v>
      </c>
      <c r="BN126" s="180">
        <f>BM126/INDEX(Parameters!$B:$B,MATCH("AfschrijftermijnVVE"&amp;12*$C126,Parameters!$A:$A,0))</f>
        <v>0</v>
      </c>
      <c r="BO126" s="184">
        <f>INDEX('inkoop ULL tbv EVPN'!I:I,MATCH(BL126,'inkoop ULL tbv EVPN'!H:H,0))</f>
        <v>2</v>
      </c>
      <c r="BP126" s="184">
        <f t="shared" si="84"/>
        <v>2</v>
      </c>
      <c r="BR126" s="180">
        <f>Parameters!$B$12*AG126</f>
        <v>102.77777777777779</v>
      </c>
      <c r="BS126" s="180">
        <f>SUM(Distributievergoedingen!$F$12,Distributievergoedingen!$I$12,Distributievergoedingen!$L$12,Distributievergoedingen!$O$12)*AF126+SUM(Distributievergoedingen!$O$12*AA126+Distributievergoedingen!$R$12+Distributievergoedingen!$U$12+Distributievergoedingen!$X$12)/(MAX(36,12*C126))</f>
        <v>112.77777777777777</v>
      </c>
      <c r="BT126" s="150"/>
      <c r="BU126" s="150">
        <f t="shared" si="85"/>
        <v>215.55555555555554</v>
      </c>
      <c r="BW126" s="522">
        <f t="shared" si="86"/>
        <v>217.55555555555554</v>
      </c>
      <c r="BY126" s="527">
        <f t="shared" si="87"/>
        <v>810.22222222222229</v>
      </c>
      <c r="BZ126" s="181">
        <f t="shared" si="88"/>
        <v>0.78832432432432431</v>
      </c>
      <c r="CA126" s="520" t="b">
        <f t="shared" si="89"/>
        <v>0</v>
      </c>
    </row>
    <row r="127" spans="1:79" s="151" customFormat="1">
      <c r="A127" s="151" t="str">
        <f t="shared" si="68"/>
        <v>2EoKEntryCity20</v>
      </c>
      <c r="B127" s="520" t="str">
        <f t="shared" si="90"/>
        <v>2EoKEntryCity20</v>
      </c>
      <c r="C127" s="179">
        <v>2</v>
      </c>
      <c r="D127" s="179" t="s">
        <v>303</v>
      </c>
      <c r="E127" s="178" t="s">
        <v>45</v>
      </c>
      <c r="F127" s="178" t="s">
        <v>262</v>
      </c>
      <c r="G127" s="185" t="s">
        <v>414</v>
      </c>
      <c r="J127" s="520" t="str">
        <f t="shared" si="69"/>
        <v>EntryCity20</v>
      </c>
      <c r="L127" s="204">
        <f>INDEX(Mapping!$H:$H,MATCH(C$3&amp;C127,Mapping!$B:$B,0))</f>
        <v>1</v>
      </c>
      <c r="M127" s="204" t="str">
        <f>INDEX(Mapping!$H:$H,MATCH(D$3&amp;$D127,Mapping!$B:$B,0))</f>
        <v>EoK</v>
      </c>
      <c r="N127" s="204" t="str">
        <f>INDEX(Mapping!$H:$H,MATCH(E$3&amp;E127,Mapping!$B:$B,0))</f>
        <v>Lite</v>
      </c>
      <c r="O127" s="204" t="str">
        <f>INDEX(Mapping!$H:$H,MATCH(F$3&amp;F127,Mapping!$B:$B,0))</f>
        <v>Metro</v>
      </c>
      <c r="P127" s="204">
        <f>INDEX(Mapping!$H:$H,MATCH(G$3&amp;G127,Mapping!$B:$B,0))</f>
        <v>20</v>
      </c>
      <c r="Q127" s="204" t="str">
        <f>INDEX(Mapping!$H:$H,MATCH(Q$3&amp;$F127,Mapping!$B:$B,0))</f>
        <v>Metro - Regionaal</v>
      </c>
      <c r="R127" s="204" t="str">
        <f>INDEX(Mapping!$H:$H,MATCH("ZM VPN Service Level"&amp;E127,Mapping!$B:$B,0))</f>
        <v>Advanced</v>
      </c>
      <c r="S127" s="139" t="b">
        <f>IF($D127="EoK",INDEX(Mapping!$I:$I,MATCH($G$3&amp;$G127,Mapping!B:B,0)),FALSE)</f>
        <v>0</v>
      </c>
      <c r="T127" s="139"/>
      <c r="U127" s="520" t="str">
        <f t="shared" si="70"/>
        <v>LiteMetro20</v>
      </c>
      <c r="W127" s="521">
        <f>MATCH($J127,'Tarieven ZM'!$B:$B,0)</f>
        <v>17</v>
      </c>
      <c r="X127" s="204">
        <f>INDEX('Tarieven ZM'!$H:$H,$W127)</f>
        <v>1000</v>
      </c>
      <c r="Y127" s="198">
        <f>-INDEX(Parameters!$B:$B,MATCH(Y$3&amp;$C127,Parameters!$A:$A,0))*$X127</f>
        <v>0</v>
      </c>
      <c r="Z127" s="198">
        <f>-INDEX(Parameters!$B:$B,MATCH(Z$3&amp;$C127,Parameters!$A:$A,0))*$X127</f>
        <v>0</v>
      </c>
      <c r="AA127" s="139">
        <f t="shared" si="71"/>
        <v>1000</v>
      </c>
      <c r="AB127" s="205">
        <f>AA127/INDEX(Parameters!$B:$B,MATCH("AfschrijftermijnVVE"&amp;12*$C127,Parameters!$A:$A,0))</f>
        <v>27.777777777777779</v>
      </c>
      <c r="AC127" s="204">
        <f>INDEX('Tarieven ZM'!$G:$G,$W127)</f>
        <v>1000</v>
      </c>
      <c r="AD127" s="198">
        <f>-INDEX(Parameters!$B:$B,MATCH(AD$3&amp;$C127,Parameters!$A:$A,0))*$AC127</f>
        <v>0</v>
      </c>
      <c r="AE127" s="198">
        <f>-INDEX(Parameters!$B:$B,MATCH(AE$3,Parameters!$A:$A,0))*$AC127</f>
        <v>0</v>
      </c>
      <c r="AF127" s="139">
        <f t="shared" si="72"/>
        <v>1000</v>
      </c>
      <c r="AG127" s="522">
        <f t="shared" si="73"/>
        <v>1027.7777777777778</v>
      </c>
      <c r="AH127" s="175"/>
      <c r="AI127" s="523">
        <f>MATCH($U127,'Tarieven W&amp;O'!$B:$B,0)</f>
        <v>45</v>
      </c>
      <c r="AJ127" s="204">
        <f>IF(AI127&lt;&gt;"nvt",INDEX('Tarieven W&amp;O'!$H:$H,$AI127),0)</f>
        <v>0</v>
      </c>
      <c r="AK127" s="204">
        <f>IF(AI127&lt;&gt;"nvt",INDEX('Tarieven W&amp;O'!$I:$I,$AI127),0)</f>
        <v>25</v>
      </c>
      <c r="AL127" s="524">
        <f>IF(AI127&lt;&gt;"nvt",-INDEX(Parameters!$B:$B,MATCH(AL$3,Parameters!$A:$A,0))*(AJ127+AK127),0)</f>
        <v>0</v>
      </c>
      <c r="AM127" s="525"/>
      <c r="AN127" s="139">
        <f t="shared" si="74"/>
        <v>25</v>
      </c>
      <c r="AO127" s="205">
        <f>AN127/INDEX(Parameters!$B:$B,MATCH("AfschrijftermijnVVE"&amp;12*$C127,Parameters!$A:$A,0))</f>
        <v>0.69444444444444442</v>
      </c>
      <c r="AP127" s="139">
        <f t="shared" si="75"/>
        <v>45</v>
      </c>
      <c r="AQ127" s="526">
        <f>IF(AP127&lt;&gt;"nvt",INDEX('Tarieven W&amp;O'!$G:$G,$AP127),0)</f>
        <v>29.78</v>
      </c>
      <c r="AR127" s="251">
        <f>IF($S127,INDEX('Tarieven W&amp;O'!$G:$G,MATCH(N127&amp;R127,'Tarieven W&amp;O'!$B:$B,0)),0)</f>
        <v>0</v>
      </c>
      <c r="AS127" s="205">
        <f>-INDEX(Parameters!$B:$B,MATCH(AS$3,Parameters!$A:$A,0))*(AQ127+AR127)</f>
        <v>0</v>
      </c>
      <c r="AT127" s="205">
        <f>INDEX(hulpblad!$E:$E,MATCH(M127&amp;Q127,hulpblad!$B:$B,0))</f>
        <v>1</v>
      </c>
      <c r="AU127" s="150">
        <f t="shared" si="76"/>
        <v>30.78</v>
      </c>
      <c r="AV127" s="150">
        <f t="shared" si="77"/>
        <v>31.474444444444444</v>
      </c>
      <c r="AX127" s="526">
        <f>Parameters!$B$6*AV127</f>
        <v>0.31474444444444444</v>
      </c>
      <c r="AY127" s="150">
        <v>0</v>
      </c>
      <c r="AZ127" s="150"/>
      <c r="BA127" s="150">
        <f t="shared" si="78"/>
        <v>0.31474444444444444</v>
      </c>
      <c r="BB127" s="150"/>
      <c r="BC127" s="522">
        <f t="shared" si="79"/>
        <v>31.789188888888887</v>
      </c>
      <c r="BD127" s="175"/>
      <c r="BE127" s="527">
        <f t="shared" si="80"/>
        <v>995.9885888888889</v>
      </c>
      <c r="BF127" s="181">
        <f t="shared" si="81"/>
        <v>0.96906997837837838</v>
      </c>
      <c r="BG127" s="520" t="b">
        <f t="shared" si="82"/>
        <v>0</v>
      </c>
      <c r="BI127" s="528" t="s">
        <v>2181</v>
      </c>
      <c r="BL127" s="151" t="str">
        <f t="shared" si="83"/>
        <v>EoKMetro - Regionaal</v>
      </c>
      <c r="BM127" s="529">
        <v>0</v>
      </c>
      <c r="BN127" s="180">
        <f>BM127/INDEX(Parameters!$B:$B,MATCH("AfschrijftermijnVVE"&amp;12*$C127,Parameters!$A:$A,0))</f>
        <v>0</v>
      </c>
      <c r="BO127" s="184">
        <f>INDEX('inkoop ULL tbv EVPN'!I:I,MATCH(BL127,'inkoop ULL tbv EVPN'!H:H,0))</f>
        <v>2</v>
      </c>
      <c r="BP127" s="184">
        <f t="shared" si="84"/>
        <v>2</v>
      </c>
      <c r="BR127" s="180">
        <f>Parameters!$B$12*AG127</f>
        <v>102.77777777777779</v>
      </c>
      <c r="BS127" s="180">
        <f>SUM(Distributievergoedingen!$F$12,Distributievergoedingen!$I$12,Distributievergoedingen!$L$12,Distributievergoedingen!$O$12)*AF127+SUM(Distributievergoedingen!$O$12*AA127+Distributievergoedingen!$R$12+Distributievergoedingen!$U$12+Distributievergoedingen!$X$12)/(MAX(36,12*C127))</f>
        <v>112.77777777777777</v>
      </c>
      <c r="BT127" s="150"/>
      <c r="BU127" s="150">
        <f t="shared" si="85"/>
        <v>215.55555555555554</v>
      </c>
      <c r="BW127" s="522">
        <f t="shared" si="86"/>
        <v>217.55555555555554</v>
      </c>
      <c r="BY127" s="527">
        <f t="shared" si="87"/>
        <v>810.22222222222229</v>
      </c>
      <c r="BZ127" s="181">
        <f t="shared" si="88"/>
        <v>0.78832432432432431</v>
      </c>
      <c r="CA127" s="520" t="b">
        <f t="shared" si="89"/>
        <v>0</v>
      </c>
    </row>
    <row r="128" spans="1:79" s="151" customFormat="1">
      <c r="A128" s="151" t="str">
        <f t="shared" si="68"/>
        <v>2EoKEntryCity30</v>
      </c>
      <c r="B128" s="520" t="str">
        <f t="shared" si="90"/>
        <v>2EoKEntryCity30</v>
      </c>
      <c r="C128" s="179">
        <v>2</v>
      </c>
      <c r="D128" s="179" t="s">
        <v>303</v>
      </c>
      <c r="E128" s="178" t="s">
        <v>45</v>
      </c>
      <c r="F128" s="178" t="s">
        <v>262</v>
      </c>
      <c r="G128" s="185" t="s">
        <v>415</v>
      </c>
      <c r="J128" s="520" t="str">
        <f t="shared" si="69"/>
        <v>EntryCity30</v>
      </c>
      <c r="L128" s="204">
        <f>INDEX(Mapping!$H:$H,MATCH(C$3&amp;C128,Mapping!$B:$B,0))</f>
        <v>1</v>
      </c>
      <c r="M128" s="204" t="str">
        <f>INDEX(Mapping!$H:$H,MATCH(D$3&amp;$D128,Mapping!$B:$B,0))</f>
        <v>EoK</v>
      </c>
      <c r="N128" s="204" t="str">
        <f>INDEX(Mapping!$H:$H,MATCH(E$3&amp;E128,Mapping!$B:$B,0))</f>
        <v>Lite</v>
      </c>
      <c r="O128" s="204" t="str">
        <f>INDEX(Mapping!$H:$H,MATCH(F$3&amp;F128,Mapping!$B:$B,0))</f>
        <v>Metro</v>
      </c>
      <c r="P128" s="204">
        <f>INDEX(Mapping!$H:$H,MATCH(G$3&amp;G128,Mapping!$B:$B,0))</f>
        <v>30</v>
      </c>
      <c r="Q128" s="204" t="str">
        <f>INDEX(Mapping!$H:$H,MATCH(Q$3&amp;$F128,Mapping!$B:$B,0))</f>
        <v>Metro - Regionaal</v>
      </c>
      <c r="R128" s="204" t="str">
        <f>INDEX(Mapping!$H:$H,MATCH("ZM VPN Service Level"&amp;E128,Mapping!$B:$B,0))</f>
        <v>Advanced</v>
      </c>
      <c r="S128" s="139" t="b">
        <f>IF($D128="EoK",INDEX(Mapping!$I:$I,MATCH($G$3&amp;$G128,Mapping!B:B,0)),FALSE)</f>
        <v>0</v>
      </c>
      <c r="T128" s="139"/>
      <c r="U128" s="520" t="str">
        <f t="shared" si="70"/>
        <v>LiteMetro30</v>
      </c>
      <c r="W128" s="521">
        <f>MATCH($J128,'Tarieven ZM'!$B:$B,0)</f>
        <v>18</v>
      </c>
      <c r="X128" s="204">
        <f>INDEX('Tarieven ZM'!$H:$H,$W128)</f>
        <v>1000</v>
      </c>
      <c r="Y128" s="198">
        <f>-INDEX(Parameters!$B:$B,MATCH(Y$3&amp;$C128,Parameters!$A:$A,0))*$X128</f>
        <v>0</v>
      </c>
      <c r="Z128" s="198">
        <f>-INDEX(Parameters!$B:$B,MATCH(Z$3&amp;$C128,Parameters!$A:$A,0))*$X128</f>
        <v>0</v>
      </c>
      <c r="AA128" s="139">
        <f t="shared" si="71"/>
        <v>1000</v>
      </c>
      <c r="AB128" s="205">
        <f>AA128/INDEX(Parameters!$B:$B,MATCH("AfschrijftermijnVVE"&amp;12*$C128,Parameters!$A:$A,0))</f>
        <v>27.777777777777779</v>
      </c>
      <c r="AC128" s="204">
        <f>INDEX('Tarieven ZM'!$G:$G,$W128)</f>
        <v>1000</v>
      </c>
      <c r="AD128" s="198">
        <f>-INDEX(Parameters!$B:$B,MATCH(AD$3&amp;$C128,Parameters!$A:$A,0))*$AC128</f>
        <v>0</v>
      </c>
      <c r="AE128" s="198">
        <f>-INDEX(Parameters!$B:$B,MATCH(AE$3,Parameters!$A:$A,0))*$AC128</f>
        <v>0</v>
      </c>
      <c r="AF128" s="139">
        <f t="shared" si="72"/>
        <v>1000</v>
      </c>
      <c r="AG128" s="522">
        <f t="shared" si="73"/>
        <v>1027.7777777777778</v>
      </c>
      <c r="AH128" s="175"/>
      <c r="AI128" s="523">
        <f>MATCH($U128,'Tarieven W&amp;O'!$B:$B,0)</f>
        <v>46</v>
      </c>
      <c r="AJ128" s="204">
        <f>IF(AI128&lt;&gt;"nvt",INDEX('Tarieven W&amp;O'!$H:$H,$AI128),0)</f>
        <v>0</v>
      </c>
      <c r="AK128" s="204">
        <f>IF(AI128&lt;&gt;"nvt",INDEX('Tarieven W&amp;O'!$I:$I,$AI128),0)</f>
        <v>25</v>
      </c>
      <c r="AL128" s="524">
        <f>IF(AI128&lt;&gt;"nvt",-INDEX(Parameters!$B:$B,MATCH(AL$3,Parameters!$A:$A,0))*(AJ128+AK128),0)</f>
        <v>0</v>
      </c>
      <c r="AM128" s="525"/>
      <c r="AN128" s="139">
        <f t="shared" si="74"/>
        <v>25</v>
      </c>
      <c r="AO128" s="205">
        <f>AN128/INDEX(Parameters!$B:$B,MATCH("AfschrijftermijnVVE"&amp;12*$C128,Parameters!$A:$A,0))</f>
        <v>0.69444444444444442</v>
      </c>
      <c r="AP128" s="139">
        <f t="shared" si="75"/>
        <v>46</v>
      </c>
      <c r="AQ128" s="526">
        <f>IF(AP128&lt;&gt;"nvt",INDEX('Tarieven W&amp;O'!$G:$G,$AP128),0)</f>
        <v>33.54</v>
      </c>
      <c r="AR128" s="251">
        <f>IF($S128,INDEX('Tarieven W&amp;O'!$G:$G,MATCH(N128&amp;R128,'Tarieven W&amp;O'!$B:$B,0)),0)</f>
        <v>0</v>
      </c>
      <c r="AS128" s="205">
        <f>-INDEX(Parameters!$B:$B,MATCH(AS$3,Parameters!$A:$A,0))*(AQ128+AR128)</f>
        <v>0</v>
      </c>
      <c r="AT128" s="205">
        <f>INDEX(hulpblad!$E:$E,MATCH(M128&amp;Q128,hulpblad!$B:$B,0))</f>
        <v>1</v>
      </c>
      <c r="AU128" s="150">
        <f t="shared" si="76"/>
        <v>34.54</v>
      </c>
      <c r="AV128" s="150">
        <f t="shared" si="77"/>
        <v>35.234444444444442</v>
      </c>
      <c r="AX128" s="526">
        <f>Parameters!$B$6*AV128</f>
        <v>0.3523444444444444</v>
      </c>
      <c r="AY128" s="150">
        <v>0</v>
      </c>
      <c r="AZ128" s="150"/>
      <c r="BA128" s="150">
        <f t="shared" si="78"/>
        <v>0.3523444444444444</v>
      </c>
      <c r="BB128" s="150"/>
      <c r="BC128" s="522">
        <f t="shared" si="79"/>
        <v>35.58678888888889</v>
      </c>
      <c r="BD128" s="175"/>
      <c r="BE128" s="527">
        <f t="shared" si="80"/>
        <v>992.19098888888891</v>
      </c>
      <c r="BF128" s="181">
        <f t="shared" si="81"/>
        <v>0.96537501621621624</v>
      </c>
      <c r="BG128" s="520" t="b">
        <f t="shared" si="82"/>
        <v>0</v>
      </c>
      <c r="BI128" s="528" t="s">
        <v>2181</v>
      </c>
      <c r="BL128" s="151" t="str">
        <f t="shared" si="83"/>
        <v>EoKMetro - Regionaal</v>
      </c>
      <c r="BM128" s="529">
        <v>0</v>
      </c>
      <c r="BN128" s="180">
        <f>BM128/INDEX(Parameters!$B:$B,MATCH("AfschrijftermijnVVE"&amp;12*$C128,Parameters!$A:$A,0))</f>
        <v>0</v>
      </c>
      <c r="BO128" s="184">
        <f>INDEX('inkoop ULL tbv EVPN'!I:I,MATCH(BL128,'inkoop ULL tbv EVPN'!H:H,0))</f>
        <v>2</v>
      </c>
      <c r="BP128" s="184">
        <f t="shared" si="84"/>
        <v>2</v>
      </c>
      <c r="BR128" s="180">
        <f>Parameters!$B$12*AG128</f>
        <v>102.77777777777779</v>
      </c>
      <c r="BS128" s="180">
        <f>SUM(Distributievergoedingen!$F$12,Distributievergoedingen!$I$12,Distributievergoedingen!$L$12,Distributievergoedingen!$O$12)*AF128+SUM(Distributievergoedingen!$O$12*AA128+Distributievergoedingen!$R$12+Distributievergoedingen!$U$12+Distributievergoedingen!$X$12)/(MAX(36,12*C128))</f>
        <v>112.77777777777777</v>
      </c>
      <c r="BT128" s="150"/>
      <c r="BU128" s="150">
        <f t="shared" si="85"/>
        <v>215.55555555555554</v>
      </c>
      <c r="BW128" s="522">
        <f t="shared" si="86"/>
        <v>217.55555555555554</v>
      </c>
      <c r="BY128" s="527">
        <f t="shared" si="87"/>
        <v>810.22222222222229</v>
      </c>
      <c r="BZ128" s="181">
        <f t="shared" si="88"/>
        <v>0.78832432432432431</v>
      </c>
      <c r="CA128" s="520" t="b">
        <f t="shared" si="89"/>
        <v>0</v>
      </c>
    </row>
    <row r="129" spans="1:79" s="151" customFormat="1">
      <c r="A129" s="151" t="str">
        <f t="shared" si="68"/>
        <v>2EoKEntryCity50</v>
      </c>
      <c r="B129" s="520" t="str">
        <f t="shared" si="90"/>
        <v>2EoKEntryCity50</v>
      </c>
      <c r="C129" s="179">
        <v>2</v>
      </c>
      <c r="D129" s="179" t="s">
        <v>303</v>
      </c>
      <c r="E129" s="178" t="s">
        <v>45</v>
      </c>
      <c r="F129" s="178" t="s">
        <v>262</v>
      </c>
      <c r="G129" s="185" t="s">
        <v>416</v>
      </c>
      <c r="J129" s="520" t="str">
        <f t="shared" si="69"/>
        <v>EntryCity50</v>
      </c>
      <c r="L129" s="204">
        <f>INDEX(Mapping!$H:$H,MATCH(C$3&amp;C129,Mapping!$B:$B,0))</f>
        <v>1</v>
      </c>
      <c r="M129" s="204" t="str">
        <f>INDEX(Mapping!$H:$H,MATCH(D$3&amp;$D129,Mapping!$B:$B,0))</f>
        <v>EoK</v>
      </c>
      <c r="N129" s="204" t="str">
        <f>INDEX(Mapping!$H:$H,MATCH(E$3&amp;E129,Mapping!$B:$B,0))</f>
        <v>Lite</v>
      </c>
      <c r="O129" s="204" t="str">
        <f>INDEX(Mapping!$H:$H,MATCH(F$3&amp;F129,Mapping!$B:$B,0))</f>
        <v>Metro</v>
      </c>
      <c r="P129" s="204">
        <f>INDEX(Mapping!$H:$H,MATCH(G$3&amp;G129,Mapping!$B:$B,0))</f>
        <v>50</v>
      </c>
      <c r="Q129" s="204" t="str">
        <f>INDEX(Mapping!$H:$H,MATCH(Q$3&amp;$F129,Mapping!$B:$B,0))</f>
        <v>Metro - Regionaal</v>
      </c>
      <c r="R129" s="204" t="str">
        <f>INDEX(Mapping!$H:$H,MATCH("ZM VPN Service Level"&amp;E129,Mapping!$B:$B,0))</f>
        <v>Advanced</v>
      </c>
      <c r="S129" s="139" t="b">
        <f>IF($D129="EoK",INDEX(Mapping!$I:$I,MATCH($G$3&amp;$G129,Mapping!B:B,0)),FALSE)</f>
        <v>0</v>
      </c>
      <c r="T129" s="139"/>
      <c r="U129" s="520" t="str">
        <f t="shared" si="70"/>
        <v>LiteMetro50</v>
      </c>
      <c r="W129" s="521">
        <f>MATCH($J129,'Tarieven ZM'!$B:$B,0)</f>
        <v>19</v>
      </c>
      <c r="X129" s="204">
        <f>INDEX('Tarieven ZM'!$H:$H,$W129)</f>
        <v>1000</v>
      </c>
      <c r="Y129" s="198">
        <f>-INDEX(Parameters!$B:$B,MATCH(Y$3&amp;$C129,Parameters!$A:$A,0))*$X129</f>
        <v>0</v>
      </c>
      <c r="Z129" s="198">
        <f>-INDEX(Parameters!$B:$B,MATCH(Z$3&amp;$C129,Parameters!$A:$A,0))*$X129</f>
        <v>0</v>
      </c>
      <c r="AA129" s="139">
        <f t="shared" si="71"/>
        <v>1000</v>
      </c>
      <c r="AB129" s="205">
        <f>AA129/INDEX(Parameters!$B:$B,MATCH("AfschrijftermijnVVE"&amp;12*$C129,Parameters!$A:$A,0))</f>
        <v>27.777777777777779</v>
      </c>
      <c r="AC129" s="204">
        <f>INDEX('Tarieven ZM'!$G:$G,$W129)</f>
        <v>1000</v>
      </c>
      <c r="AD129" s="198">
        <f>-INDEX(Parameters!$B:$B,MATCH(AD$3&amp;$C129,Parameters!$A:$A,0))*$AC129</f>
        <v>0</v>
      </c>
      <c r="AE129" s="198">
        <f>-INDEX(Parameters!$B:$B,MATCH(AE$3,Parameters!$A:$A,0))*$AC129</f>
        <v>0</v>
      </c>
      <c r="AF129" s="139">
        <f t="shared" si="72"/>
        <v>1000</v>
      </c>
      <c r="AG129" s="522">
        <f t="shared" si="73"/>
        <v>1027.7777777777778</v>
      </c>
      <c r="AH129" s="175"/>
      <c r="AI129" s="523">
        <f>MATCH($U129,'Tarieven W&amp;O'!$B:$B,0)</f>
        <v>47</v>
      </c>
      <c r="AJ129" s="204">
        <f>IF(AI129&lt;&gt;"nvt",INDEX('Tarieven W&amp;O'!$H:$H,$AI129),0)</f>
        <v>0</v>
      </c>
      <c r="AK129" s="204">
        <f>IF(AI129&lt;&gt;"nvt",INDEX('Tarieven W&amp;O'!$I:$I,$AI129),0)</f>
        <v>25</v>
      </c>
      <c r="AL129" s="524">
        <f>IF(AI129&lt;&gt;"nvt",-INDEX(Parameters!$B:$B,MATCH(AL$3,Parameters!$A:$A,0))*(AJ129+AK129),0)</f>
        <v>0</v>
      </c>
      <c r="AM129" s="525"/>
      <c r="AN129" s="139">
        <f t="shared" si="74"/>
        <v>25</v>
      </c>
      <c r="AO129" s="205">
        <f>AN129/INDEX(Parameters!$B:$B,MATCH("AfschrijftermijnVVE"&amp;12*$C129,Parameters!$A:$A,0))</f>
        <v>0.69444444444444442</v>
      </c>
      <c r="AP129" s="139">
        <f t="shared" si="75"/>
        <v>47</v>
      </c>
      <c r="AQ129" s="526">
        <f>IF(AP129&lt;&gt;"nvt",INDEX('Tarieven W&amp;O'!$G:$G,$AP129),0)</f>
        <v>48.62</v>
      </c>
      <c r="AR129" s="251">
        <f>IF($S129,INDEX('Tarieven W&amp;O'!$G:$G,MATCH(N129&amp;R129,'Tarieven W&amp;O'!$B:$B,0)),0)</f>
        <v>0</v>
      </c>
      <c r="AS129" s="205">
        <f>-INDEX(Parameters!$B:$B,MATCH(AS$3,Parameters!$A:$A,0))*(AQ129+AR129)</f>
        <v>0</v>
      </c>
      <c r="AT129" s="205">
        <f>INDEX(hulpblad!$E:$E,MATCH(M129&amp;Q129,hulpblad!$B:$B,0))</f>
        <v>1</v>
      </c>
      <c r="AU129" s="150">
        <f t="shared" si="76"/>
        <v>49.62</v>
      </c>
      <c r="AV129" s="150">
        <f t="shared" si="77"/>
        <v>50.31444444444444</v>
      </c>
      <c r="AX129" s="526">
        <f>Parameters!$B$6*AV129</f>
        <v>0.50314444444444439</v>
      </c>
      <c r="AY129" s="150">
        <v>0</v>
      </c>
      <c r="AZ129" s="150"/>
      <c r="BA129" s="150">
        <f t="shared" si="78"/>
        <v>0.50314444444444439</v>
      </c>
      <c r="BB129" s="150"/>
      <c r="BC129" s="522">
        <f t="shared" si="79"/>
        <v>50.817588888888885</v>
      </c>
      <c r="BD129" s="175"/>
      <c r="BE129" s="527">
        <f t="shared" si="80"/>
        <v>976.96018888888898</v>
      </c>
      <c r="BF129" s="181">
        <f t="shared" si="81"/>
        <v>0.95055585945945953</v>
      </c>
      <c r="BG129" s="520" t="b">
        <f t="shared" si="82"/>
        <v>0</v>
      </c>
      <c r="BI129" s="528" t="s">
        <v>2181</v>
      </c>
      <c r="BL129" s="151" t="str">
        <f t="shared" si="83"/>
        <v>EoKMetro - Regionaal</v>
      </c>
      <c r="BM129" s="529">
        <v>0</v>
      </c>
      <c r="BN129" s="180">
        <f>BM129/INDEX(Parameters!$B:$B,MATCH("AfschrijftermijnVVE"&amp;12*$C129,Parameters!$A:$A,0))</f>
        <v>0</v>
      </c>
      <c r="BO129" s="184">
        <f>INDEX('inkoop ULL tbv EVPN'!I:I,MATCH(BL129,'inkoop ULL tbv EVPN'!H:H,0))</f>
        <v>2</v>
      </c>
      <c r="BP129" s="184">
        <f t="shared" si="84"/>
        <v>2</v>
      </c>
      <c r="BR129" s="180">
        <f>Parameters!$B$12*AG129</f>
        <v>102.77777777777779</v>
      </c>
      <c r="BS129" s="180">
        <f>SUM(Distributievergoedingen!$F$12,Distributievergoedingen!$I$12,Distributievergoedingen!$L$12,Distributievergoedingen!$O$12)*AF129+SUM(Distributievergoedingen!$O$12*AA129+Distributievergoedingen!$R$12+Distributievergoedingen!$U$12+Distributievergoedingen!$X$12)/(MAX(36,12*C129))</f>
        <v>112.77777777777777</v>
      </c>
      <c r="BT129" s="150"/>
      <c r="BU129" s="150">
        <f t="shared" si="85"/>
        <v>215.55555555555554</v>
      </c>
      <c r="BW129" s="522">
        <f t="shared" si="86"/>
        <v>217.55555555555554</v>
      </c>
      <c r="BY129" s="527">
        <f t="shared" si="87"/>
        <v>810.22222222222229</v>
      </c>
      <c r="BZ129" s="181">
        <f t="shared" si="88"/>
        <v>0.78832432432432431</v>
      </c>
      <c r="CA129" s="520" t="b">
        <f t="shared" si="89"/>
        <v>0</v>
      </c>
    </row>
    <row r="130" spans="1:79" s="151" customFormat="1">
      <c r="A130" s="151" t="str">
        <f t="shared" si="68"/>
        <v>2EoKEntryCity80</v>
      </c>
      <c r="B130" s="520" t="str">
        <f t="shared" si="90"/>
        <v>2EoKEntryCity80</v>
      </c>
      <c r="C130" s="179">
        <v>2</v>
      </c>
      <c r="D130" s="179" t="s">
        <v>303</v>
      </c>
      <c r="E130" s="178" t="s">
        <v>45</v>
      </c>
      <c r="F130" s="178" t="s">
        <v>262</v>
      </c>
      <c r="G130" s="185" t="s">
        <v>417</v>
      </c>
      <c r="J130" s="520" t="str">
        <f t="shared" si="69"/>
        <v>EntryCity80</v>
      </c>
      <c r="L130" s="204">
        <f>INDEX(Mapping!$H:$H,MATCH(C$3&amp;C130,Mapping!$B:$B,0))</f>
        <v>1</v>
      </c>
      <c r="M130" s="204" t="str">
        <f>INDEX(Mapping!$H:$H,MATCH(D$3&amp;$D130,Mapping!$B:$B,0))</f>
        <v>EoK</v>
      </c>
      <c r="N130" s="204" t="str">
        <f>INDEX(Mapping!$H:$H,MATCH(E$3&amp;E130,Mapping!$B:$B,0))</f>
        <v>Lite</v>
      </c>
      <c r="O130" s="204" t="str">
        <f>INDEX(Mapping!$H:$H,MATCH(F$3&amp;F130,Mapping!$B:$B,0))</f>
        <v>Metro</v>
      </c>
      <c r="P130" s="204">
        <f>INDEX(Mapping!$H:$H,MATCH(G$3&amp;G130,Mapping!$B:$B,0))</f>
        <v>80</v>
      </c>
      <c r="Q130" s="204" t="str">
        <f>INDEX(Mapping!$H:$H,MATCH(Q$3&amp;$F130,Mapping!$B:$B,0))</f>
        <v>Metro - Regionaal</v>
      </c>
      <c r="R130" s="204" t="str">
        <f>INDEX(Mapping!$H:$H,MATCH("ZM VPN Service Level"&amp;E130,Mapping!$B:$B,0))</f>
        <v>Advanced</v>
      </c>
      <c r="S130" s="139" t="b">
        <f>IF($D130="EoK",INDEX(Mapping!$I:$I,MATCH($G$3&amp;$G130,Mapping!B:B,0)),FALSE)</f>
        <v>0</v>
      </c>
      <c r="T130" s="139"/>
      <c r="U130" s="520" t="str">
        <f t="shared" si="70"/>
        <v>LiteMetro80</v>
      </c>
      <c r="W130" s="521">
        <f>MATCH($J130,'Tarieven ZM'!$B:$B,0)</f>
        <v>20</v>
      </c>
      <c r="X130" s="204">
        <f>INDEX('Tarieven ZM'!$H:$H,$W130)</f>
        <v>1000</v>
      </c>
      <c r="Y130" s="198">
        <f>-INDEX(Parameters!$B:$B,MATCH(Y$3&amp;$C130,Parameters!$A:$A,0))*$X130</f>
        <v>0</v>
      </c>
      <c r="Z130" s="198">
        <f>-INDEX(Parameters!$B:$B,MATCH(Z$3&amp;$C130,Parameters!$A:$A,0))*$X130</f>
        <v>0</v>
      </c>
      <c r="AA130" s="139">
        <f t="shared" si="71"/>
        <v>1000</v>
      </c>
      <c r="AB130" s="205">
        <f>AA130/INDEX(Parameters!$B:$B,MATCH("AfschrijftermijnVVE"&amp;12*$C130,Parameters!$A:$A,0))</f>
        <v>27.777777777777779</v>
      </c>
      <c r="AC130" s="204">
        <f>INDEX('Tarieven ZM'!$G:$G,$W130)</f>
        <v>1000</v>
      </c>
      <c r="AD130" s="198">
        <f>-INDEX(Parameters!$B:$B,MATCH(AD$3&amp;$C130,Parameters!$A:$A,0))*$AC130</f>
        <v>0</v>
      </c>
      <c r="AE130" s="198">
        <f>-INDEX(Parameters!$B:$B,MATCH(AE$3,Parameters!$A:$A,0))*$AC130</f>
        <v>0</v>
      </c>
      <c r="AF130" s="139">
        <f t="shared" si="72"/>
        <v>1000</v>
      </c>
      <c r="AG130" s="522">
        <f t="shared" si="73"/>
        <v>1027.7777777777778</v>
      </c>
      <c r="AH130" s="175"/>
      <c r="AI130" s="523">
        <f>MATCH($U130,'Tarieven W&amp;O'!$B:$B,0)</f>
        <v>48</v>
      </c>
      <c r="AJ130" s="204">
        <f>IF(AI130&lt;&gt;"nvt",INDEX('Tarieven W&amp;O'!$H:$H,$AI130),0)</f>
        <v>0</v>
      </c>
      <c r="AK130" s="204">
        <f>IF(AI130&lt;&gt;"nvt",INDEX('Tarieven W&amp;O'!$I:$I,$AI130),0)</f>
        <v>25</v>
      </c>
      <c r="AL130" s="524">
        <f>IF(AI130&lt;&gt;"nvt",-INDEX(Parameters!$B:$B,MATCH(AL$3,Parameters!$A:$A,0))*(AJ130+AK130),0)</f>
        <v>0</v>
      </c>
      <c r="AM130" s="525"/>
      <c r="AN130" s="139">
        <f t="shared" si="74"/>
        <v>25</v>
      </c>
      <c r="AO130" s="205">
        <f>AN130/INDEX(Parameters!$B:$B,MATCH("AfschrijftermijnVVE"&amp;12*$C130,Parameters!$A:$A,0))</f>
        <v>0.69444444444444442</v>
      </c>
      <c r="AP130" s="139">
        <f t="shared" si="75"/>
        <v>48</v>
      </c>
      <c r="AQ130" s="526">
        <f>IF(AP130&lt;&gt;"nvt",INDEX('Tarieven W&amp;O'!$G:$G,$AP130),0)</f>
        <v>63.7</v>
      </c>
      <c r="AR130" s="251">
        <f>IF($S130,INDEX('Tarieven W&amp;O'!$G:$G,MATCH(N130&amp;R130,'Tarieven W&amp;O'!$B:$B,0)),0)</f>
        <v>0</v>
      </c>
      <c r="AS130" s="205">
        <f>-INDEX(Parameters!$B:$B,MATCH(AS$3,Parameters!$A:$A,0))*(AQ130+AR130)</f>
        <v>0</v>
      </c>
      <c r="AT130" s="205">
        <f>INDEX(hulpblad!$E:$E,MATCH(M130&amp;Q130,hulpblad!$B:$B,0))</f>
        <v>1</v>
      </c>
      <c r="AU130" s="150">
        <f t="shared" si="76"/>
        <v>64.7</v>
      </c>
      <c r="AV130" s="150">
        <f t="shared" si="77"/>
        <v>65.394444444444446</v>
      </c>
      <c r="AX130" s="526">
        <f>Parameters!$B$6*AV130</f>
        <v>0.65394444444444444</v>
      </c>
      <c r="AY130" s="150">
        <v>0</v>
      </c>
      <c r="AZ130" s="150"/>
      <c r="BA130" s="150">
        <f t="shared" si="78"/>
        <v>0.65394444444444444</v>
      </c>
      <c r="BB130" s="150"/>
      <c r="BC130" s="522">
        <f t="shared" si="79"/>
        <v>66.048388888888894</v>
      </c>
      <c r="BD130" s="175"/>
      <c r="BE130" s="527">
        <f t="shared" si="80"/>
        <v>961.72938888888893</v>
      </c>
      <c r="BF130" s="181">
        <f t="shared" si="81"/>
        <v>0.93573670270270271</v>
      </c>
      <c r="BG130" s="520" t="b">
        <f t="shared" si="82"/>
        <v>0</v>
      </c>
      <c r="BI130" s="528" t="s">
        <v>2181</v>
      </c>
      <c r="BL130" s="151" t="str">
        <f t="shared" si="83"/>
        <v>EoKMetro - Regionaal</v>
      </c>
      <c r="BM130" s="529">
        <v>0</v>
      </c>
      <c r="BN130" s="180">
        <f>BM130/INDEX(Parameters!$B:$B,MATCH("AfschrijftermijnVVE"&amp;12*$C130,Parameters!$A:$A,0))</f>
        <v>0</v>
      </c>
      <c r="BO130" s="184">
        <f>INDEX('inkoop ULL tbv EVPN'!I:I,MATCH(BL130,'inkoop ULL tbv EVPN'!H:H,0))</f>
        <v>2</v>
      </c>
      <c r="BP130" s="184">
        <f t="shared" si="84"/>
        <v>2</v>
      </c>
      <c r="BR130" s="180">
        <f>Parameters!$B$12*AG130</f>
        <v>102.77777777777779</v>
      </c>
      <c r="BS130" s="180">
        <f>SUM(Distributievergoedingen!$F$12,Distributievergoedingen!$I$12,Distributievergoedingen!$L$12,Distributievergoedingen!$O$12)*AF130+SUM(Distributievergoedingen!$O$12*AA130+Distributievergoedingen!$R$12+Distributievergoedingen!$U$12+Distributievergoedingen!$X$12)/(MAX(36,12*C130))</f>
        <v>112.77777777777777</v>
      </c>
      <c r="BT130" s="150"/>
      <c r="BU130" s="150">
        <f t="shared" si="85"/>
        <v>215.55555555555554</v>
      </c>
      <c r="BW130" s="522">
        <f t="shared" si="86"/>
        <v>217.55555555555554</v>
      </c>
      <c r="BY130" s="527">
        <f t="shared" si="87"/>
        <v>810.22222222222229</v>
      </c>
      <c r="BZ130" s="181">
        <f t="shared" si="88"/>
        <v>0.78832432432432431</v>
      </c>
      <c r="CA130" s="520" t="b">
        <f t="shared" si="89"/>
        <v>0</v>
      </c>
    </row>
    <row r="131" spans="1:79" s="151" customFormat="1">
      <c r="A131" s="151" t="str">
        <f t="shared" si="68"/>
        <v>2EoKEntryCity100</v>
      </c>
      <c r="B131" s="520" t="str">
        <f t="shared" si="90"/>
        <v>2EoKEntryCity100</v>
      </c>
      <c r="C131" s="179">
        <v>2</v>
      </c>
      <c r="D131" s="179" t="s">
        <v>303</v>
      </c>
      <c r="E131" s="178" t="s">
        <v>45</v>
      </c>
      <c r="F131" s="178" t="s">
        <v>262</v>
      </c>
      <c r="G131" s="185" t="s">
        <v>418</v>
      </c>
      <c r="J131" s="520" t="str">
        <f t="shared" si="69"/>
        <v>EntryCity100</v>
      </c>
      <c r="L131" s="204">
        <f>INDEX(Mapping!$H:$H,MATCH(C$3&amp;C131,Mapping!$B:$B,0))</f>
        <v>1</v>
      </c>
      <c r="M131" s="204" t="str">
        <f>INDEX(Mapping!$H:$H,MATCH(D$3&amp;$D131,Mapping!$B:$B,0))</f>
        <v>EoK</v>
      </c>
      <c r="N131" s="204" t="str">
        <f>INDEX(Mapping!$H:$H,MATCH(E$3&amp;E131,Mapping!$B:$B,0))</f>
        <v>Lite</v>
      </c>
      <c r="O131" s="204" t="str">
        <f>INDEX(Mapping!$H:$H,MATCH(F$3&amp;F131,Mapping!$B:$B,0))</f>
        <v>Metro</v>
      </c>
      <c r="P131" s="204">
        <f>INDEX(Mapping!$H:$H,MATCH(G$3&amp;G131,Mapping!$B:$B,0))</f>
        <v>100</v>
      </c>
      <c r="Q131" s="204" t="str">
        <f>INDEX(Mapping!$H:$H,MATCH(Q$3&amp;$F131,Mapping!$B:$B,0))</f>
        <v>Metro - Regionaal</v>
      </c>
      <c r="R131" s="204" t="str">
        <f>INDEX(Mapping!$H:$H,MATCH("ZM VPN Service Level"&amp;E131,Mapping!$B:$B,0))</f>
        <v>Advanced</v>
      </c>
      <c r="S131" s="139" t="b">
        <f>IF($D131="EoK",INDEX(Mapping!$I:$I,MATCH($G$3&amp;$G131,Mapping!B:B,0)),FALSE)</f>
        <v>0</v>
      </c>
      <c r="T131" s="139"/>
      <c r="U131" s="520" t="str">
        <f t="shared" si="70"/>
        <v>LiteMetro100</v>
      </c>
      <c r="W131" s="521">
        <f>MATCH($J131,'Tarieven ZM'!$B:$B,0)</f>
        <v>21</v>
      </c>
      <c r="X131" s="204">
        <f>INDEX('Tarieven ZM'!$H:$H,$W131)</f>
        <v>1000</v>
      </c>
      <c r="Y131" s="198">
        <f>-INDEX(Parameters!$B:$B,MATCH(Y$3&amp;$C131,Parameters!$A:$A,0))*$X131</f>
        <v>0</v>
      </c>
      <c r="Z131" s="198">
        <f>-INDEX(Parameters!$B:$B,MATCH(Z$3&amp;$C131,Parameters!$A:$A,0))*$X131</f>
        <v>0</v>
      </c>
      <c r="AA131" s="139">
        <f t="shared" si="71"/>
        <v>1000</v>
      </c>
      <c r="AB131" s="205">
        <f>AA131/INDEX(Parameters!$B:$B,MATCH("AfschrijftermijnVVE"&amp;12*$C131,Parameters!$A:$A,0))</f>
        <v>27.777777777777779</v>
      </c>
      <c r="AC131" s="204">
        <f>INDEX('Tarieven ZM'!$G:$G,$W131)</f>
        <v>1000</v>
      </c>
      <c r="AD131" s="198">
        <f>-INDEX(Parameters!$B:$B,MATCH(AD$3&amp;$C131,Parameters!$A:$A,0))*$AC131</f>
        <v>0</v>
      </c>
      <c r="AE131" s="198">
        <f>-INDEX(Parameters!$B:$B,MATCH(AE$3,Parameters!$A:$A,0))*$AC131</f>
        <v>0</v>
      </c>
      <c r="AF131" s="139">
        <f t="shared" si="72"/>
        <v>1000</v>
      </c>
      <c r="AG131" s="522">
        <f t="shared" si="73"/>
        <v>1027.7777777777778</v>
      </c>
      <c r="AH131" s="175"/>
      <c r="AI131" s="523">
        <f>MATCH($U131,'Tarieven W&amp;O'!$B:$B,0)</f>
        <v>49</v>
      </c>
      <c r="AJ131" s="204">
        <f>IF(AI131&lt;&gt;"nvt",INDEX('Tarieven W&amp;O'!$H:$H,$AI131),0)</f>
        <v>0</v>
      </c>
      <c r="AK131" s="204">
        <f>IF(AI131&lt;&gt;"nvt",INDEX('Tarieven W&amp;O'!$I:$I,$AI131),0)</f>
        <v>25</v>
      </c>
      <c r="AL131" s="524">
        <f>IF(AI131&lt;&gt;"nvt",-INDEX(Parameters!$B:$B,MATCH(AL$3,Parameters!$A:$A,0))*(AJ131+AK131),0)</f>
        <v>0</v>
      </c>
      <c r="AM131" s="525"/>
      <c r="AN131" s="139">
        <f t="shared" si="74"/>
        <v>25</v>
      </c>
      <c r="AO131" s="205">
        <f>AN131/INDEX(Parameters!$B:$B,MATCH("AfschrijftermijnVVE"&amp;12*$C131,Parameters!$A:$A,0))</f>
        <v>0.69444444444444442</v>
      </c>
      <c r="AP131" s="139">
        <f t="shared" si="75"/>
        <v>49</v>
      </c>
      <c r="AQ131" s="526">
        <f>IF(AP131&lt;&gt;"nvt",INDEX('Tarieven W&amp;O'!$G:$G,$AP131),0)</f>
        <v>71.239999999999995</v>
      </c>
      <c r="AR131" s="251">
        <f>IF($S131,INDEX('Tarieven W&amp;O'!$G:$G,MATCH(N131&amp;R131,'Tarieven W&amp;O'!$B:$B,0)),0)</f>
        <v>0</v>
      </c>
      <c r="AS131" s="205">
        <f>-INDEX(Parameters!$B:$B,MATCH(AS$3,Parameters!$A:$A,0))*(AQ131+AR131)</f>
        <v>0</v>
      </c>
      <c r="AT131" s="205">
        <f>INDEX(hulpblad!$E:$E,MATCH(M131&amp;Q131,hulpblad!$B:$B,0))</f>
        <v>1</v>
      </c>
      <c r="AU131" s="150">
        <f t="shared" si="76"/>
        <v>72.239999999999995</v>
      </c>
      <c r="AV131" s="150">
        <f t="shared" si="77"/>
        <v>72.934444444444438</v>
      </c>
      <c r="AX131" s="526">
        <f>Parameters!$B$6*AV131</f>
        <v>0.72934444444444435</v>
      </c>
      <c r="AY131" s="150">
        <v>0</v>
      </c>
      <c r="AZ131" s="150"/>
      <c r="BA131" s="150">
        <f t="shared" si="78"/>
        <v>0.72934444444444435</v>
      </c>
      <c r="BB131" s="150"/>
      <c r="BC131" s="522">
        <f t="shared" si="79"/>
        <v>73.663788888888888</v>
      </c>
      <c r="BD131" s="175"/>
      <c r="BE131" s="527">
        <f t="shared" si="80"/>
        <v>954.11398888888891</v>
      </c>
      <c r="BF131" s="181">
        <f t="shared" si="81"/>
        <v>0.92832712432432429</v>
      </c>
      <c r="BG131" s="520" t="b">
        <f t="shared" si="82"/>
        <v>0</v>
      </c>
      <c r="BI131" s="528" t="s">
        <v>2181</v>
      </c>
      <c r="BL131" s="151" t="str">
        <f t="shared" si="83"/>
        <v>EoKMetro - Regionaal</v>
      </c>
      <c r="BM131" s="529">
        <v>0</v>
      </c>
      <c r="BN131" s="180">
        <f>BM131/INDEX(Parameters!$B:$B,MATCH("AfschrijftermijnVVE"&amp;12*$C131,Parameters!$A:$A,0))</f>
        <v>0</v>
      </c>
      <c r="BO131" s="184">
        <f>INDEX('inkoop ULL tbv EVPN'!I:I,MATCH(BL131,'inkoop ULL tbv EVPN'!H:H,0))</f>
        <v>2</v>
      </c>
      <c r="BP131" s="184">
        <f t="shared" si="84"/>
        <v>2</v>
      </c>
      <c r="BR131" s="180">
        <f>Parameters!$B$12*AG131</f>
        <v>102.77777777777779</v>
      </c>
      <c r="BS131" s="180">
        <f>SUM(Distributievergoedingen!$F$12,Distributievergoedingen!$I$12,Distributievergoedingen!$L$12,Distributievergoedingen!$O$12)*AF131+SUM(Distributievergoedingen!$O$12*AA131+Distributievergoedingen!$R$12+Distributievergoedingen!$U$12+Distributievergoedingen!$X$12)/(MAX(36,12*C131))</f>
        <v>112.77777777777777</v>
      </c>
      <c r="BT131" s="150"/>
      <c r="BU131" s="150">
        <f t="shared" si="85"/>
        <v>215.55555555555554</v>
      </c>
      <c r="BW131" s="522">
        <f t="shared" si="86"/>
        <v>217.55555555555554</v>
      </c>
      <c r="BY131" s="527">
        <f t="shared" si="87"/>
        <v>810.22222222222229</v>
      </c>
      <c r="BZ131" s="181">
        <f t="shared" si="88"/>
        <v>0.78832432432432431</v>
      </c>
      <c r="CA131" s="520" t="b">
        <f t="shared" si="89"/>
        <v>0</v>
      </c>
    </row>
    <row r="132" spans="1:79" s="151" customFormat="1">
      <c r="A132" s="151" t="str">
        <f t="shared" si="68"/>
        <v>2EoKEntryCity200</v>
      </c>
      <c r="B132" s="520" t="str">
        <f t="shared" si="90"/>
        <v>2EoKEntryCity200</v>
      </c>
      <c r="C132" s="179">
        <v>2</v>
      </c>
      <c r="D132" s="179" t="s">
        <v>303</v>
      </c>
      <c r="E132" s="178" t="s">
        <v>45</v>
      </c>
      <c r="F132" s="178" t="s">
        <v>262</v>
      </c>
      <c r="G132" s="185" t="s">
        <v>419</v>
      </c>
      <c r="J132" s="520" t="str">
        <f t="shared" si="69"/>
        <v>EntryCity200</v>
      </c>
      <c r="L132" s="204">
        <f>INDEX(Mapping!$H:$H,MATCH(C$3&amp;C132,Mapping!$B:$B,0))</f>
        <v>1</v>
      </c>
      <c r="M132" s="204" t="str">
        <f>INDEX(Mapping!$H:$H,MATCH(D$3&amp;$D132,Mapping!$B:$B,0))</f>
        <v>EoK</v>
      </c>
      <c r="N132" s="204" t="str">
        <f>INDEX(Mapping!$H:$H,MATCH(E$3&amp;E132,Mapping!$B:$B,0))</f>
        <v>Lite</v>
      </c>
      <c r="O132" s="204" t="str">
        <f>INDEX(Mapping!$H:$H,MATCH(F$3&amp;F132,Mapping!$B:$B,0))</f>
        <v>Metro</v>
      </c>
      <c r="P132" s="204">
        <f>INDEX(Mapping!$H:$H,MATCH(G$3&amp;G132,Mapping!$B:$B,0))</f>
        <v>200</v>
      </c>
      <c r="Q132" s="204" t="str">
        <f>INDEX(Mapping!$H:$H,MATCH(Q$3&amp;$F132,Mapping!$B:$B,0))</f>
        <v>Metro - Regionaal</v>
      </c>
      <c r="R132" s="204" t="str">
        <f>INDEX(Mapping!$H:$H,MATCH("ZM VPN Service Level"&amp;E132,Mapping!$B:$B,0))</f>
        <v>Advanced</v>
      </c>
      <c r="S132" s="139" t="b">
        <f>IF($D132="EoK",INDEX(Mapping!$I:$I,MATCH($G$3&amp;$G132,Mapping!B:B,0)),FALSE)</f>
        <v>0</v>
      </c>
      <c r="T132" s="139"/>
      <c r="U132" s="520" t="str">
        <f t="shared" si="70"/>
        <v>LiteMetro200</v>
      </c>
      <c r="W132" s="521">
        <f>MATCH($J132,'Tarieven ZM'!$B:$B,0)</f>
        <v>22</v>
      </c>
      <c r="X132" s="204">
        <f>INDEX('Tarieven ZM'!$H:$H,$W132)</f>
        <v>1000</v>
      </c>
      <c r="Y132" s="198">
        <f>-INDEX(Parameters!$B:$B,MATCH(Y$3&amp;$C132,Parameters!$A:$A,0))*$X132</f>
        <v>0</v>
      </c>
      <c r="Z132" s="198">
        <f>-INDEX(Parameters!$B:$B,MATCH(Z$3&amp;$C132,Parameters!$A:$A,0))*$X132</f>
        <v>0</v>
      </c>
      <c r="AA132" s="139">
        <f t="shared" si="71"/>
        <v>1000</v>
      </c>
      <c r="AB132" s="205">
        <f>AA132/INDEX(Parameters!$B:$B,MATCH("AfschrijftermijnVVE"&amp;12*$C132,Parameters!$A:$A,0))</f>
        <v>27.777777777777779</v>
      </c>
      <c r="AC132" s="204">
        <f>INDEX('Tarieven ZM'!$G:$G,$W132)</f>
        <v>1000</v>
      </c>
      <c r="AD132" s="198">
        <f>-INDEX(Parameters!$B:$B,MATCH(AD$3&amp;$C132,Parameters!$A:$A,0))*$AC132</f>
        <v>0</v>
      </c>
      <c r="AE132" s="198">
        <f>-INDEX(Parameters!$B:$B,MATCH(AE$3,Parameters!$A:$A,0))*$AC132</f>
        <v>0</v>
      </c>
      <c r="AF132" s="139">
        <f t="shared" si="72"/>
        <v>1000</v>
      </c>
      <c r="AG132" s="522">
        <f t="shared" si="73"/>
        <v>1027.7777777777778</v>
      </c>
      <c r="AH132" s="175"/>
      <c r="AI132" s="523">
        <f>MATCH($U132,'Tarieven W&amp;O'!$B:$B,0)</f>
        <v>50</v>
      </c>
      <c r="AJ132" s="204">
        <f>IF(AI132&lt;&gt;"nvt",INDEX('Tarieven W&amp;O'!$H:$H,$AI132),0)</f>
        <v>0</v>
      </c>
      <c r="AK132" s="204">
        <f>IF(AI132&lt;&gt;"nvt",INDEX('Tarieven W&amp;O'!$I:$I,$AI132),0)</f>
        <v>25</v>
      </c>
      <c r="AL132" s="524">
        <f>IF(AI132&lt;&gt;"nvt",-INDEX(Parameters!$B:$B,MATCH(AL$3,Parameters!$A:$A,0))*(AJ132+AK132),0)</f>
        <v>0</v>
      </c>
      <c r="AM132" s="525"/>
      <c r="AN132" s="139">
        <f t="shared" si="74"/>
        <v>25</v>
      </c>
      <c r="AO132" s="205">
        <f>AN132/INDEX(Parameters!$B:$B,MATCH("AfschrijftermijnVVE"&amp;12*$C132,Parameters!$A:$A,0))</f>
        <v>0.69444444444444442</v>
      </c>
      <c r="AP132" s="139">
        <f t="shared" si="75"/>
        <v>50</v>
      </c>
      <c r="AQ132" s="526">
        <f>IF(AP132&lt;&gt;"nvt",INDEX('Tarieven W&amp;O'!$G:$G,$AP132),0)</f>
        <v>108.93</v>
      </c>
      <c r="AR132" s="251">
        <f>IF($S132,INDEX('Tarieven W&amp;O'!$G:$G,MATCH(N132&amp;R132,'Tarieven W&amp;O'!$B:$B,0)),0)</f>
        <v>0</v>
      </c>
      <c r="AS132" s="205">
        <f>-INDEX(Parameters!$B:$B,MATCH(AS$3,Parameters!$A:$A,0))*(AQ132+AR132)</f>
        <v>0</v>
      </c>
      <c r="AT132" s="205">
        <f>INDEX(hulpblad!$E:$E,MATCH(M132&amp;Q132,hulpblad!$B:$B,0))</f>
        <v>1</v>
      </c>
      <c r="AU132" s="150">
        <f t="shared" si="76"/>
        <v>109.93</v>
      </c>
      <c r="AV132" s="150">
        <f t="shared" si="77"/>
        <v>110.62444444444445</v>
      </c>
      <c r="AX132" s="526">
        <f>Parameters!$B$6*AV132</f>
        <v>1.1062444444444446</v>
      </c>
      <c r="AY132" s="150">
        <v>0</v>
      </c>
      <c r="AZ132" s="150"/>
      <c r="BA132" s="150">
        <f t="shared" si="78"/>
        <v>1.1062444444444446</v>
      </c>
      <c r="BB132" s="150"/>
      <c r="BC132" s="522">
        <f t="shared" si="79"/>
        <v>111.73068888888889</v>
      </c>
      <c r="BD132" s="175"/>
      <c r="BE132" s="527">
        <f t="shared" si="80"/>
        <v>916.04708888888899</v>
      </c>
      <c r="BF132" s="181">
        <f t="shared" si="81"/>
        <v>0.89128905945945947</v>
      </c>
      <c r="BG132" s="520" t="b">
        <f t="shared" si="82"/>
        <v>0</v>
      </c>
      <c r="BI132" s="528" t="s">
        <v>2181</v>
      </c>
      <c r="BL132" s="151" t="str">
        <f t="shared" si="83"/>
        <v>EoKMetro - Regionaal</v>
      </c>
      <c r="BM132" s="529">
        <v>0</v>
      </c>
      <c r="BN132" s="180">
        <f>BM132/INDEX(Parameters!$B:$B,MATCH("AfschrijftermijnVVE"&amp;12*$C132,Parameters!$A:$A,0))</f>
        <v>0</v>
      </c>
      <c r="BO132" s="184">
        <f>INDEX('inkoop ULL tbv EVPN'!I:I,MATCH(BL132,'inkoop ULL tbv EVPN'!H:H,0))</f>
        <v>2</v>
      </c>
      <c r="BP132" s="184">
        <f t="shared" si="84"/>
        <v>2</v>
      </c>
      <c r="BR132" s="180">
        <f>Parameters!$B$12*AG132</f>
        <v>102.77777777777779</v>
      </c>
      <c r="BS132" s="180">
        <f>SUM(Distributievergoedingen!$F$12,Distributievergoedingen!$I$12,Distributievergoedingen!$L$12,Distributievergoedingen!$O$12)*AF132+SUM(Distributievergoedingen!$O$12*AA132+Distributievergoedingen!$R$12+Distributievergoedingen!$U$12+Distributievergoedingen!$X$12)/(MAX(36,12*C132))</f>
        <v>112.77777777777777</v>
      </c>
      <c r="BT132" s="150"/>
      <c r="BU132" s="150">
        <f t="shared" si="85"/>
        <v>215.55555555555554</v>
      </c>
      <c r="BW132" s="522">
        <f t="shared" si="86"/>
        <v>217.55555555555554</v>
      </c>
      <c r="BY132" s="527">
        <f t="shared" si="87"/>
        <v>810.22222222222229</v>
      </c>
      <c r="BZ132" s="181">
        <f t="shared" si="88"/>
        <v>0.78832432432432431</v>
      </c>
      <c r="CA132" s="520" t="b">
        <f t="shared" si="89"/>
        <v>0</v>
      </c>
    </row>
    <row r="133" spans="1:79" s="151" customFormat="1">
      <c r="A133" s="151" t="str">
        <f t="shared" si="68"/>
        <v>2EoKEntryCity300</v>
      </c>
      <c r="B133" s="520" t="str">
        <f t="shared" si="90"/>
        <v>2EoKEntryCity300</v>
      </c>
      <c r="C133" s="179">
        <v>2</v>
      </c>
      <c r="D133" s="179" t="s">
        <v>303</v>
      </c>
      <c r="E133" s="178" t="s">
        <v>45</v>
      </c>
      <c r="F133" s="178" t="s">
        <v>262</v>
      </c>
      <c r="G133" s="185" t="s">
        <v>420</v>
      </c>
      <c r="J133" s="520" t="str">
        <f t="shared" si="69"/>
        <v>EntryCity300</v>
      </c>
      <c r="L133" s="204">
        <f>INDEX(Mapping!$H:$H,MATCH(C$3&amp;C133,Mapping!$B:$B,0))</f>
        <v>1</v>
      </c>
      <c r="M133" s="204" t="str">
        <f>INDEX(Mapping!$H:$H,MATCH(D$3&amp;$D133,Mapping!$B:$B,0))</f>
        <v>EoK</v>
      </c>
      <c r="N133" s="204" t="str">
        <f>INDEX(Mapping!$H:$H,MATCH(E$3&amp;E133,Mapping!$B:$B,0))</f>
        <v>Lite</v>
      </c>
      <c r="O133" s="204" t="str">
        <f>INDEX(Mapping!$H:$H,MATCH(F$3&amp;F133,Mapping!$B:$B,0))</f>
        <v>Metro</v>
      </c>
      <c r="P133" s="204">
        <f>INDEX(Mapping!$H:$H,MATCH(G$3&amp;G133,Mapping!$B:$B,0))</f>
        <v>300</v>
      </c>
      <c r="Q133" s="204" t="str">
        <f>INDEX(Mapping!$H:$H,MATCH(Q$3&amp;$F133,Mapping!$B:$B,0))</f>
        <v>Metro - Regionaal</v>
      </c>
      <c r="R133" s="204" t="str">
        <f>INDEX(Mapping!$H:$H,MATCH("ZM VPN Service Level"&amp;E133,Mapping!$B:$B,0))</f>
        <v>Advanced</v>
      </c>
      <c r="S133" s="139" t="b">
        <f>IF($D133="EoK",INDEX(Mapping!$I:$I,MATCH($G$3&amp;$G133,Mapping!B:B,0)),FALSE)</f>
        <v>0</v>
      </c>
      <c r="T133" s="139"/>
      <c r="U133" s="520" t="str">
        <f t="shared" si="70"/>
        <v>LiteMetro300</v>
      </c>
      <c r="W133" s="521">
        <f>MATCH($J133,'Tarieven ZM'!$B:$B,0)</f>
        <v>23</v>
      </c>
      <c r="X133" s="204">
        <f>INDEX('Tarieven ZM'!$H:$H,$W133)</f>
        <v>1000</v>
      </c>
      <c r="Y133" s="198">
        <f>-INDEX(Parameters!$B:$B,MATCH(Y$3&amp;$C133,Parameters!$A:$A,0))*$X133</f>
        <v>0</v>
      </c>
      <c r="Z133" s="198">
        <f>-INDEX(Parameters!$B:$B,MATCH(Z$3&amp;$C133,Parameters!$A:$A,0))*$X133</f>
        <v>0</v>
      </c>
      <c r="AA133" s="139">
        <f t="shared" si="71"/>
        <v>1000</v>
      </c>
      <c r="AB133" s="205">
        <f>AA133/INDEX(Parameters!$B:$B,MATCH("AfschrijftermijnVVE"&amp;12*$C133,Parameters!$A:$A,0))</f>
        <v>27.777777777777779</v>
      </c>
      <c r="AC133" s="204">
        <f>INDEX('Tarieven ZM'!$G:$G,$W133)</f>
        <v>1000</v>
      </c>
      <c r="AD133" s="198">
        <f>-INDEX(Parameters!$B:$B,MATCH(AD$3&amp;$C133,Parameters!$A:$A,0))*$AC133</f>
        <v>0</v>
      </c>
      <c r="AE133" s="198">
        <f>-INDEX(Parameters!$B:$B,MATCH(AE$3,Parameters!$A:$A,0))*$AC133</f>
        <v>0</v>
      </c>
      <c r="AF133" s="139">
        <f t="shared" si="72"/>
        <v>1000</v>
      </c>
      <c r="AG133" s="522">
        <f t="shared" si="73"/>
        <v>1027.7777777777778</v>
      </c>
      <c r="AH133" s="175"/>
      <c r="AI133" s="523">
        <f>MATCH($U133,'Tarieven W&amp;O'!$B:$B,0)</f>
        <v>51</v>
      </c>
      <c r="AJ133" s="204">
        <f>IF(AI133&lt;&gt;"nvt",INDEX('Tarieven W&amp;O'!$H:$H,$AI133),0)</f>
        <v>0</v>
      </c>
      <c r="AK133" s="204">
        <f>IF(AI133&lt;&gt;"nvt",INDEX('Tarieven W&amp;O'!$I:$I,$AI133),0)</f>
        <v>25</v>
      </c>
      <c r="AL133" s="524">
        <f>IF(AI133&lt;&gt;"nvt",-INDEX(Parameters!$B:$B,MATCH(AL$3,Parameters!$A:$A,0))*(AJ133+AK133),0)</f>
        <v>0</v>
      </c>
      <c r="AM133" s="525"/>
      <c r="AN133" s="139">
        <f t="shared" si="74"/>
        <v>25</v>
      </c>
      <c r="AO133" s="205">
        <f>AN133/INDEX(Parameters!$B:$B,MATCH("AfschrijftermijnVVE"&amp;12*$C133,Parameters!$A:$A,0))</f>
        <v>0.69444444444444442</v>
      </c>
      <c r="AP133" s="139">
        <f t="shared" si="75"/>
        <v>51</v>
      </c>
      <c r="AQ133" s="526">
        <f>IF(AP133&lt;&gt;"nvt",INDEX('Tarieven W&amp;O'!$G:$G,$AP133),0)</f>
        <v>127.77</v>
      </c>
      <c r="AR133" s="251">
        <f>IF($S133,INDEX('Tarieven W&amp;O'!$G:$G,MATCH(N133&amp;R133,'Tarieven W&amp;O'!$B:$B,0)),0)</f>
        <v>0</v>
      </c>
      <c r="AS133" s="205">
        <f>-INDEX(Parameters!$B:$B,MATCH(AS$3,Parameters!$A:$A,0))*(AQ133+AR133)</f>
        <v>0</v>
      </c>
      <c r="AT133" s="205">
        <f>INDEX(hulpblad!$E:$E,MATCH(M133&amp;Q133,hulpblad!$B:$B,0))</f>
        <v>1</v>
      </c>
      <c r="AU133" s="150">
        <f t="shared" si="76"/>
        <v>128.76999999999998</v>
      </c>
      <c r="AV133" s="150">
        <f t="shared" si="77"/>
        <v>129.46444444444444</v>
      </c>
      <c r="AX133" s="526">
        <f>Parameters!$B$6*AV133</f>
        <v>1.2946444444444445</v>
      </c>
      <c r="AY133" s="150">
        <v>0</v>
      </c>
      <c r="AZ133" s="150"/>
      <c r="BA133" s="150">
        <f t="shared" si="78"/>
        <v>1.2946444444444445</v>
      </c>
      <c r="BB133" s="150"/>
      <c r="BC133" s="522">
        <f t="shared" si="79"/>
        <v>130.7590888888889</v>
      </c>
      <c r="BD133" s="175"/>
      <c r="BE133" s="527">
        <f t="shared" si="80"/>
        <v>897.01868888888896</v>
      </c>
      <c r="BF133" s="181">
        <f t="shared" si="81"/>
        <v>0.87277494054054061</v>
      </c>
      <c r="BG133" s="520" t="b">
        <f t="shared" si="82"/>
        <v>0</v>
      </c>
      <c r="BI133" s="528" t="s">
        <v>2181</v>
      </c>
      <c r="BL133" s="151" t="str">
        <f t="shared" si="83"/>
        <v>EoKMetro - Regionaal</v>
      </c>
      <c r="BM133" s="529">
        <v>0</v>
      </c>
      <c r="BN133" s="180">
        <f>BM133/INDEX(Parameters!$B:$B,MATCH("AfschrijftermijnVVE"&amp;12*$C133,Parameters!$A:$A,0))</f>
        <v>0</v>
      </c>
      <c r="BO133" s="184">
        <f>INDEX('inkoop ULL tbv EVPN'!I:I,MATCH(BL133,'inkoop ULL tbv EVPN'!H:H,0))</f>
        <v>2</v>
      </c>
      <c r="BP133" s="184">
        <f t="shared" si="84"/>
        <v>2</v>
      </c>
      <c r="BR133" s="180">
        <f>Parameters!$B$12*AG133</f>
        <v>102.77777777777779</v>
      </c>
      <c r="BS133" s="180">
        <f>SUM(Distributievergoedingen!$F$12,Distributievergoedingen!$I$12,Distributievergoedingen!$L$12,Distributievergoedingen!$O$12)*AF133+SUM(Distributievergoedingen!$O$12*AA133+Distributievergoedingen!$R$12+Distributievergoedingen!$U$12+Distributievergoedingen!$X$12)/(MAX(36,12*C133))</f>
        <v>112.77777777777777</v>
      </c>
      <c r="BT133" s="150"/>
      <c r="BU133" s="150">
        <f t="shared" si="85"/>
        <v>215.55555555555554</v>
      </c>
      <c r="BW133" s="522">
        <f t="shared" si="86"/>
        <v>217.55555555555554</v>
      </c>
      <c r="BY133" s="527">
        <f t="shared" si="87"/>
        <v>810.22222222222229</v>
      </c>
      <c r="BZ133" s="181">
        <f t="shared" si="88"/>
        <v>0.78832432432432431</v>
      </c>
      <c r="CA133" s="520" t="b">
        <f t="shared" si="89"/>
        <v>0</v>
      </c>
    </row>
    <row r="134" spans="1:79" s="151" customFormat="1">
      <c r="A134" s="151" t="str">
        <f t="shared" si="68"/>
        <v>2EoKEntryCity500</v>
      </c>
      <c r="B134" s="520" t="str">
        <f t="shared" si="90"/>
        <v>2EoKEntryCity500</v>
      </c>
      <c r="C134" s="179">
        <v>2</v>
      </c>
      <c r="D134" s="179" t="s">
        <v>303</v>
      </c>
      <c r="E134" s="178" t="s">
        <v>45</v>
      </c>
      <c r="F134" s="178" t="s">
        <v>262</v>
      </c>
      <c r="G134" s="185" t="s">
        <v>421</v>
      </c>
      <c r="J134" s="520" t="str">
        <f t="shared" si="69"/>
        <v>EntryCity500</v>
      </c>
      <c r="L134" s="204">
        <f>INDEX(Mapping!$H:$H,MATCH(C$3&amp;C134,Mapping!$B:$B,0))</f>
        <v>1</v>
      </c>
      <c r="M134" s="204" t="str">
        <f>INDEX(Mapping!$H:$H,MATCH(D$3&amp;$D134,Mapping!$B:$B,0))</f>
        <v>EoK</v>
      </c>
      <c r="N134" s="204" t="str">
        <f>INDEX(Mapping!$H:$H,MATCH(E$3&amp;E134,Mapping!$B:$B,0))</f>
        <v>Lite</v>
      </c>
      <c r="O134" s="204" t="str">
        <f>INDEX(Mapping!$H:$H,MATCH(F$3&amp;F134,Mapping!$B:$B,0))</f>
        <v>Metro</v>
      </c>
      <c r="P134" s="204">
        <f>INDEX(Mapping!$H:$H,MATCH(G$3&amp;G134,Mapping!$B:$B,0))</f>
        <v>500</v>
      </c>
      <c r="Q134" s="204" t="str">
        <f>INDEX(Mapping!$H:$H,MATCH(Q$3&amp;$F134,Mapping!$B:$B,0))</f>
        <v>Metro - Regionaal</v>
      </c>
      <c r="R134" s="204" t="str">
        <f>INDEX(Mapping!$H:$H,MATCH("ZM VPN Service Level"&amp;E134,Mapping!$B:$B,0))</f>
        <v>Advanced</v>
      </c>
      <c r="S134" s="139" t="b">
        <f>IF($D134="EoK",INDEX(Mapping!$I:$I,MATCH($G$3&amp;$G134,Mapping!B:B,0)),FALSE)</f>
        <v>0</v>
      </c>
      <c r="T134" s="139"/>
      <c r="U134" s="520" t="str">
        <f t="shared" si="70"/>
        <v>LiteMetro500</v>
      </c>
      <c r="W134" s="521">
        <f>MATCH($J134,'Tarieven ZM'!$B:$B,0)</f>
        <v>24</v>
      </c>
      <c r="X134" s="204">
        <f>INDEX('Tarieven ZM'!$H:$H,$W134)</f>
        <v>1000</v>
      </c>
      <c r="Y134" s="198">
        <f>-INDEX(Parameters!$B:$B,MATCH(Y$3&amp;$C134,Parameters!$A:$A,0))*$X134</f>
        <v>0</v>
      </c>
      <c r="Z134" s="198">
        <f>-INDEX(Parameters!$B:$B,MATCH(Z$3&amp;$C134,Parameters!$A:$A,0))*$X134</f>
        <v>0</v>
      </c>
      <c r="AA134" s="139">
        <f t="shared" si="71"/>
        <v>1000</v>
      </c>
      <c r="AB134" s="205">
        <f>AA134/INDEX(Parameters!$B:$B,MATCH("AfschrijftermijnVVE"&amp;12*$C134,Parameters!$A:$A,0))</f>
        <v>27.777777777777779</v>
      </c>
      <c r="AC134" s="204">
        <f>INDEX('Tarieven ZM'!$G:$G,$W134)</f>
        <v>1000</v>
      </c>
      <c r="AD134" s="198">
        <f>-INDEX(Parameters!$B:$B,MATCH(AD$3&amp;$C134,Parameters!$A:$A,0))*$AC134</f>
        <v>0</v>
      </c>
      <c r="AE134" s="198">
        <f>-INDEX(Parameters!$B:$B,MATCH(AE$3,Parameters!$A:$A,0))*$AC134</f>
        <v>0</v>
      </c>
      <c r="AF134" s="139">
        <f t="shared" si="72"/>
        <v>1000</v>
      </c>
      <c r="AG134" s="522">
        <f t="shared" si="73"/>
        <v>1027.7777777777778</v>
      </c>
      <c r="AH134" s="175"/>
      <c r="AI134" s="523">
        <f>MATCH($U134,'Tarieven W&amp;O'!$B:$B,0)</f>
        <v>52</v>
      </c>
      <c r="AJ134" s="204">
        <f>IF(AI134&lt;&gt;"nvt",INDEX('Tarieven W&amp;O'!$H:$H,$AI134),0)</f>
        <v>0</v>
      </c>
      <c r="AK134" s="204">
        <f>IF(AI134&lt;&gt;"nvt",INDEX('Tarieven W&amp;O'!$I:$I,$AI134),0)</f>
        <v>25</v>
      </c>
      <c r="AL134" s="524">
        <f>IF(AI134&lt;&gt;"nvt",-INDEX(Parameters!$B:$B,MATCH(AL$3,Parameters!$A:$A,0))*(AJ134+AK134),0)</f>
        <v>0</v>
      </c>
      <c r="AM134" s="525"/>
      <c r="AN134" s="139">
        <f t="shared" si="74"/>
        <v>25</v>
      </c>
      <c r="AO134" s="205">
        <f>AN134/INDEX(Parameters!$B:$B,MATCH("AfschrijftermijnVVE"&amp;12*$C134,Parameters!$A:$A,0))</f>
        <v>0.69444444444444442</v>
      </c>
      <c r="AP134" s="139">
        <f t="shared" si="75"/>
        <v>52</v>
      </c>
      <c r="AQ134" s="526">
        <f>IF(AP134&lt;&gt;"nvt",INDEX('Tarieven W&amp;O'!$G:$G,$AP134),0)</f>
        <v>161.69</v>
      </c>
      <c r="AR134" s="251">
        <f>IF($S134,INDEX('Tarieven W&amp;O'!$G:$G,MATCH(N134&amp;R134,'Tarieven W&amp;O'!$B:$B,0)),0)</f>
        <v>0</v>
      </c>
      <c r="AS134" s="205">
        <f>-INDEX(Parameters!$B:$B,MATCH(AS$3,Parameters!$A:$A,0))*(AQ134+AR134)</f>
        <v>0</v>
      </c>
      <c r="AT134" s="205">
        <f>INDEX(hulpblad!$E:$E,MATCH(M134&amp;Q134,hulpblad!$B:$B,0))</f>
        <v>1</v>
      </c>
      <c r="AU134" s="150">
        <f t="shared" si="76"/>
        <v>162.69</v>
      </c>
      <c r="AV134" s="150">
        <f t="shared" si="77"/>
        <v>163.38444444444445</v>
      </c>
      <c r="AX134" s="526">
        <f>Parameters!$B$6*AV134</f>
        <v>1.6338444444444447</v>
      </c>
      <c r="AY134" s="150">
        <v>0</v>
      </c>
      <c r="AZ134" s="150"/>
      <c r="BA134" s="150">
        <f t="shared" si="78"/>
        <v>1.6338444444444447</v>
      </c>
      <c r="BB134" s="150"/>
      <c r="BC134" s="522">
        <f t="shared" si="79"/>
        <v>165.01828888888889</v>
      </c>
      <c r="BD134" s="175"/>
      <c r="BE134" s="527">
        <f t="shared" si="80"/>
        <v>862.75948888888888</v>
      </c>
      <c r="BF134" s="181">
        <f t="shared" si="81"/>
        <v>0.83944166486486482</v>
      </c>
      <c r="BG134" s="520" t="b">
        <f t="shared" si="82"/>
        <v>0</v>
      </c>
      <c r="BI134" s="528" t="s">
        <v>2181</v>
      </c>
      <c r="BL134" s="151" t="str">
        <f t="shared" si="83"/>
        <v>EoKMetro - Regionaal</v>
      </c>
      <c r="BM134" s="529">
        <v>0</v>
      </c>
      <c r="BN134" s="180">
        <f>BM134/INDEX(Parameters!$B:$B,MATCH("AfschrijftermijnVVE"&amp;12*$C134,Parameters!$A:$A,0))</f>
        <v>0</v>
      </c>
      <c r="BO134" s="184">
        <f>INDEX('inkoop ULL tbv EVPN'!I:I,MATCH(BL134,'inkoop ULL tbv EVPN'!H:H,0))</f>
        <v>2</v>
      </c>
      <c r="BP134" s="184">
        <f t="shared" si="84"/>
        <v>2</v>
      </c>
      <c r="BR134" s="180">
        <f>Parameters!$B$12*AG134</f>
        <v>102.77777777777779</v>
      </c>
      <c r="BS134" s="180">
        <f>SUM(Distributievergoedingen!$F$12,Distributievergoedingen!$I$12,Distributievergoedingen!$L$12,Distributievergoedingen!$O$12)*AF134+SUM(Distributievergoedingen!$O$12*AA134+Distributievergoedingen!$R$12+Distributievergoedingen!$U$12+Distributievergoedingen!$X$12)/(MAX(36,12*C134))</f>
        <v>112.77777777777777</v>
      </c>
      <c r="BT134" s="150"/>
      <c r="BU134" s="150">
        <f t="shared" si="85"/>
        <v>215.55555555555554</v>
      </c>
      <c r="BW134" s="522">
        <f t="shared" si="86"/>
        <v>217.55555555555554</v>
      </c>
      <c r="BY134" s="527">
        <f t="shared" si="87"/>
        <v>810.22222222222229</v>
      </c>
      <c r="BZ134" s="181">
        <f t="shared" si="88"/>
        <v>0.78832432432432431</v>
      </c>
      <c r="CA134" s="520" t="b">
        <f t="shared" si="89"/>
        <v>0</v>
      </c>
    </row>
    <row r="135" spans="1:79" s="151" customFormat="1">
      <c r="A135" s="151" t="str">
        <f t="shared" si="68"/>
        <v>2EoKEntryCity800</v>
      </c>
      <c r="B135" s="520" t="str">
        <f t="shared" si="90"/>
        <v>2EoKEntryCity800</v>
      </c>
      <c r="C135" s="179">
        <v>2</v>
      </c>
      <c r="D135" s="179" t="s">
        <v>303</v>
      </c>
      <c r="E135" s="178" t="s">
        <v>45</v>
      </c>
      <c r="F135" s="178" t="s">
        <v>262</v>
      </c>
      <c r="G135" s="185" t="s">
        <v>422</v>
      </c>
      <c r="J135" s="520" t="str">
        <f t="shared" si="69"/>
        <v>EntryCity800</v>
      </c>
      <c r="L135" s="204">
        <f>INDEX(Mapping!$H:$H,MATCH(C$3&amp;C135,Mapping!$B:$B,0))</f>
        <v>1</v>
      </c>
      <c r="M135" s="204" t="str">
        <f>INDEX(Mapping!$H:$H,MATCH(D$3&amp;$D135,Mapping!$B:$B,0))</f>
        <v>EoK</v>
      </c>
      <c r="N135" s="204" t="str">
        <f>INDEX(Mapping!$H:$H,MATCH(E$3&amp;E135,Mapping!$B:$B,0))</f>
        <v>Lite</v>
      </c>
      <c r="O135" s="204" t="str">
        <f>INDEX(Mapping!$H:$H,MATCH(F$3&amp;F135,Mapping!$B:$B,0))</f>
        <v>Metro</v>
      </c>
      <c r="P135" s="204">
        <f>INDEX(Mapping!$H:$H,MATCH(G$3&amp;G135,Mapping!$B:$B,0))</f>
        <v>800</v>
      </c>
      <c r="Q135" s="204" t="str">
        <f>INDEX(Mapping!$H:$H,MATCH(Q$3&amp;$F135,Mapping!$B:$B,0))</f>
        <v>Metro - Regionaal</v>
      </c>
      <c r="R135" s="204" t="str">
        <f>INDEX(Mapping!$H:$H,MATCH("ZM VPN Service Level"&amp;E135,Mapping!$B:$B,0))</f>
        <v>Advanced</v>
      </c>
      <c r="S135" s="139" t="b">
        <f>IF($D135="EoK",INDEX(Mapping!$I:$I,MATCH($G$3&amp;$G135,Mapping!B:B,0)),FALSE)</f>
        <v>0</v>
      </c>
      <c r="T135" s="139"/>
      <c r="U135" s="520" t="str">
        <f t="shared" si="70"/>
        <v>LiteMetro800</v>
      </c>
      <c r="W135" s="521">
        <f>MATCH($J135,'Tarieven ZM'!$B:$B,0)</f>
        <v>25</v>
      </c>
      <c r="X135" s="204">
        <f>INDEX('Tarieven ZM'!$H:$H,$W135)</f>
        <v>1000</v>
      </c>
      <c r="Y135" s="198">
        <f>-INDEX(Parameters!$B:$B,MATCH(Y$3&amp;$C135,Parameters!$A:$A,0))*$X135</f>
        <v>0</v>
      </c>
      <c r="Z135" s="198">
        <f>-INDEX(Parameters!$B:$B,MATCH(Z$3&amp;$C135,Parameters!$A:$A,0))*$X135</f>
        <v>0</v>
      </c>
      <c r="AA135" s="139">
        <f t="shared" si="71"/>
        <v>1000</v>
      </c>
      <c r="AB135" s="205">
        <f>AA135/INDEX(Parameters!$B:$B,MATCH("AfschrijftermijnVVE"&amp;12*$C135,Parameters!$A:$A,0))</f>
        <v>27.777777777777779</v>
      </c>
      <c r="AC135" s="204">
        <f>INDEX('Tarieven ZM'!$G:$G,$W135)</f>
        <v>1000</v>
      </c>
      <c r="AD135" s="198">
        <f>-INDEX(Parameters!$B:$B,MATCH(AD$3&amp;$C135,Parameters!$A:$A,0))*$AC135</f>
        <v>0</v>
      </c>
      <c r="AE135" s="198">
        <f>-INDEX(Parameters!$B:$B,MATCH(AE$3,Parameters!$A:$A,0))*$AC135</f>
        <v>0</v>
      </c>
      <c r="AF135" s="139">
        <f t="shared" si="72"/>
        <v>1000</v>
      </c>
      <c r="AG135" s="522">
        <f t="shared" si="73"/>
        <v>1027.7777777777778</v>
      </c>
      <c r="AH135" s="175"/>
      <c r="AI135" s="523">
        <f>MATCH($U135,'Tarieven W&amp;O'!$B:$B,0)</f>
        <v>53</v>
      </c>
      <c r="AJ135" s="204">
        <f>IF(AI135&lt;&gt;"nvt",INDEX('Tarieven W&amp;O'!$H:$H,$AI135),0)</f>
        <v>0</v>
      </c>
      <c r="AK135" s="204">
        <f>IF(AI135&lt;&gt;"nvt",INDEX('Tarieven W&amp;O'!$I:$I,$AI135),0)</f>
        <v>25</v>
      </c>
      <c r="AL135" s="524">
        <f>IF(AI135&lt;&gt;"nvt",-INDEX(Parameters!$B:$B,MATCH(AL$3,Parameters!$A:$A,0))*(AJ135+AK135),0)</f>
        <v>0</v>
      </c>
      <c r="AM135" s="525"/>
      <c r="AN135" s="139">
        <f t="shared" si="74"/>
        <v>25</v>
      </c>
      <c r="AO135" s="205">
        <f>AN135/INDEX(Parameters!$B:$B,MATCH("AfschrijftermijnVVE"&amp;12*$C135,Parameters!$A:$A,0))</f>
        <v>0.69444444444444442</v>
      </c>
      <c r="AP135" s="139">
        <f t="shared" si="75"/>
        <v>53</v>
      </c>
      <c r="AQ135" s="526">
        <f>IF(AP135&lt;&gt;"nvt",INDEX('Tarieven W&amp;O'!$G:$G,$AP135),0)</f>
        <v>184.31</v>
      </c>
      <c r="AR135" s="251">
        <f>IF($S135,INDEX('Tarieven W&amp;O'!$G:$G,MATCH(N135&amp;R135,'Tarieven W&amp;O'!$B:$B,0)),0)</f>
        <v>0</v>
      </c>
      <c r="AS135" s="205">
        <f>-INDEX(Parameters!$B:$B,MATCH(AS$3,Parameters!$A:$A,0))*(AQ135+AR135)</f>
        <v>0</v>
      </c>
      <c r="AT135" s="205">
        <f>INDEX(hulpblad!$E:$E,MATCH(M135&amp;Q135,hulpblad!$B:$B,0))</f>
        <v>1</v>
      </c>
      <c r="AU135" s="150">
        <f t="shared" si="76"/>
        <v>185.31</v>
      </c>
      <c r="AV135" s="150">
        <f t="shared" si="77"/>
        <v>186.00444444444446</v>
      </c>
      <c r="AX135" s="526">
        <f>Parameters!$B$6*AV135</f>
        <v>1.8600444444444446</v>
      </c>
      <c r="AY135" s="150">
        <v>0</v>
      </c>
      <c r="AZ135" s="150"/>
      <c r="BA135" s="150">
        <f t="shared" si="78"/>
        <v>1.8600444444444446</v>
      </c>
      <c r="BB135" s="150"/>
      <c r="BC135" s="522">
        <f t="shared" si="79"/>
        <v>187.8644888888889</v>
      </c>
      <c r="BD135" s="175"/>
      <c r="BE135" s="527">
        <f t="shared" si="80"/>
        <v>839.91328888888893</v>
      </c>
      <c r="BF135" s="181">
        <f t="shared" si="81"/>
        <v>0.8172129297297297</v>
      </c>
      <c r="BG135" s="520" t="b">
        <f t="shared" si="82"/>
        <v>0</v>
      </c>
      <c r="BI135" s="528" t="s">
        <v>2181</v>
      </c>
      <c r="BL135" s="151" t="str">
        <f t="shared" si="83"/>
        <v>EoKMetro - Regionaal</v>
      </c>
      <c r="BM135" s="529">
        <v>0</v>
      </c>
      <c r="BN135" s="180">
        <f>BM135/INDEX(Parameters!$B:$B,MATCH("AfschrijftermijnVVE"&amp;12*$C135,Parameters!$A:$A,0))</f>
        <v>0</v>
      </c>
      <c r="BO135" s="184">
        <f>INDEX('inkoop ULL tbv EVPN'!I:I,MATCH(BL135,'inkoop ULL tbv EVPN'!H:H,0))</f>
        <v>2</v>
      </c>
      <c r="BP135" s="184">
        <f t="shared" si="84"/>
        <v>2</v>
      </c>
      <c r="BR135" s="180">
        <f>Parameters!$B$12*AG135</f>
        <v>102.77777777777779</v>
      </c>
      <c r="BS135" s="180">
        <f>SUM(Distributievergoedingen!$F$12,Distributievergoedingen!$I$12,Distributievergoedingen!$L$12,Distributievergoedingen!$O$12)*AF135+SUM(Distributievergoedingen!$O$12*AA135+Distributievergoedingen!$R$12+Distributievergoedingen!$U$12+Distributievergoedingen!$X$12)/(MAX(36,12*C135))</f>
        <v>112.77777777777777</v>
      </c>
      <c r="BT135" s="150"/>
      <c r="BU135" s="150">
        <f t="shared" si="85"/>
        <v>215.55555555555554</v>
      </c>
      <c r="BW135" s="522">
        <f t="shared" si="86"/>
        <v>217.55555555555554</v>
      </c>
      <c r="BY135" s="527">
        <f t="shared" si="87"/>
        <v>810.22222222222229</v>
      </c>
      <c r="BZ135" s="181">
        <f t="shared" si="88"/>
        <v>0.78832432432432431</v>
      </c>
      <c r="CA135" s="520" t="b">
        <f t="shared" si="89"/>
        <v>0</v>
      </c>
    </row>
    <row r="136" spans="1:79" s="151" customFormat="1">
      <c r="A136" s="151" t="str">
        <f t="shared" si="68"/>
        <v>2EoKEntryCity1000</v>
      </c>
      <c r="B136" s="520" t="str">
        <f t="shared" si="90"/>
        <v>2EoKEntryCity1000</v>
      </c>
      <c r="C136" s="179">
        <v>2</v>
      </c>
      <c r="D136" s="179" t="s">
        <v>303</v>
      </c>
      <c r="E136" s="178" t="s">
        <v>45</v>
      </c>
      <c r="F136" s="178" t="s">
        <v>262</v>
      </c>
      <c r="G136" s="185" t="s">
        <v>423</v>
      </c>
      <c r="J136" s="520" t="str">
        <f t="shared" si="69"/>
        <v>EntryCity1000</v>
      </c>
      <c r="L136" s="204">
        <f>INDEX(Mapping!$H:$H,MATCH(C$3&amp;C136,Mapping!$B:$B,0))</f>
        <v>1</v>
      </c>
      <c r="M136" s="204" t="str">
        <f>INDEX(Mapping!$H:$H,MATCH(D$3&amp;$D136,Mapping!$B:$B,0))</f>
        <v>EoK</v>
      </c>
      <c r="N136" s="204" t="str">
        <f>INDEX(Mapping!$H:$H,MATCH(E$3&amp;E136,Mapping!$B:$B,0))</f>
        <v>Lite</v>
      </c>
      <c r="O136" s="204" t="str">
        <f>INDEX(Mapping!$H:$H,MATCH(F$3&amp;F136,Mapping!$B:$B,0))</f>
        <v>Metro</v>
      </c>
      <c r="P136" s="204">
        <f>INDEX(Mapping!$H:$H,MATCH(G$3&amp;G136,Mapping!$B:$B,0))</f>
        <v>1000</v>
      </c>
      <c r="Q136" s="204" t="str">
        <f>INDEX(Mapping!$H:$H,MATCH(Q$3&amp;$F136,Mapping!$B:$B,0))</f>
        <v>Metro - Regionaal</v>
      </c>
      <c r="R136" s="204" t="str">
        <f>INDEX(Mapping!$H:$H,MATCH("ZM VPN Service Level"&amp;E136,Mapping!$B:$B,0))</f>
        <v>Advanced</v>
      </c>
      <c r="S136" s="139" t="b">
        <f>IF($D136="EoK",INDEX(Mapping!$I:$I,MATCH($G$3&amp;$G136,Mapping!B:B,0)),FALSE)</f>
        <v>0</v>
      </c>
      <c r="T136" s="139"/>
      <c r="U136" s="520" t="str">
        <f t="shared" si="70"/>
        <v>LiteMetro1000</v>
      </c>
      <c r="W136" s="521">
        <f>MATCH($J136,'Tarieven ZM'!$B:$B,0)</f>
        <v>26</v>
      </c>
      <c r="X136" s="204">
        <f>INDEX('Tarieven ZM'!$H:$H,$W136)</f>
        <v>1000</v>
      </c>
      <c r="Y136" s="198">
        <f>-INDEX(Parameters!$B:$B,MATCH(Y$3&amp;$C136,Parameters!$A:$A,0))*$X136</f>
        <v>0</v>
      </c>
      <c r="Z136" s="198">
        <f>-INDEX(Parameters!$B:$B,MATCH(Z$3&amp;$C136,Parameters!$A:$A,0))*$X136</f>
        <v>0</v>
      </c>
      <c r="AA136" s="139">
        <f t="shared" si="71"/>
        <v>1000</v>
      </c>
      <c r="AB136" s="205">
        <f>AA136/INDEX(Parameters!$B:$B,MATCH("AfschrijftermijnVVE"&amp;12*$C136,Parameters!$A:$A,0))</f>
        <v>27.777777777777779</v>
      </c>
      <c r="AC136" s="204">
        <f>INDEX('Tarieven ZM'!$G:$G,$W136)</f>
        <v>1000</v>
      </c>
      <c r="AD136" s="198">
        <f>-INDEX(Parameters!$B:$B,MATCH(AD$3&amp;$C136,Parameters!$A:$A,0))*$AC136</f>
        <v>0</v>
      </c>
      <c r="AE136" s="198">
        <f>-INDEX(Parameters!$B:$B,MATCH(AE$3,Parameters!$A:$A,0))*$AC136</f>
        <v>0</v>
      </c>
      <c r="AF136" s="139">
        <f t="shared" si="72"/>
        <v>1000</v>
      </c>
      <c r="AG136" s="522">
        <f t="shared" si="73"/>
        <v>1027.7777777777778</v>
      </c>
      <c r="AH136" s="175"/>
      <c r="AI136" s="523">
        <f>MATCH($U136,'Tarieven W&amp;O'!$B:$B,0)</f>
        <v>54</v>
      </c>
      <c r="AJ136" s="204">
        <f>IF(AI136&lt;&gt;"nvt",INDEX('Tarieven W&amp;O'!$H:$H,$AI136),0)</f>
        <v>0</v>
      </c>
      <c r="AK136" s="204">
        <f>IF(AI136&lt;&gt;"nvt",INDEX('Tarieven W&amp;O'!$I:$I,$AI136),0)</f>
        <v>25</v>
      </c>
      <c r="AL136" s="524">
        <f>IF(AI136&lt;&gt;"nvt",-INDEX(Parameters!$B:$B,MATCH(AL$3,Parameters!$A:$A,0))*(AJ136+AK136),0)</f>
        <v>0</v>
      </c>
      <c r="AM136" s="525"/>
      <c r="AN136" s="139">
        <f t="shared" si="74"/>
        <v>25</v>
      </c>
      <c r="AO136" s="205">
        <f>AN136/INDEX(Parameters!$B:$B,MATCH("AfschrijftermijnVVE"&amp;12*$C136,Parameters!$A:$A,0))</f>
        <v>0.69444444444444442</v>
      </c>
      <c r="AP136" s="139">
        <f t="shared" si="75"/>
        <v>54</v>
      </c>
      <c r="AQ136" s="526">
        <f>IF(AP136&lt;&gt;"nvt",INDEX('Tarieven W&amp;O'!$G:$G,$AP136),0)</f>
        <v>203.15</v>
      </c>
      <c r="AR136" s="251">
        <f>IF($S136,INDEX('Tarieven W&amp;O'!$G:$G,MATCH(N136&amp;R136,'Tarieven W&amp;O'!$B:$B,0)),0)</f>
        <v>0</v>
      </c>
      <c r="AS136" s="205">
        <f>-INDEX(Parameters!$B:$B,MATCH(AS$3,Parameters!$A:$A,0))*(AQ136+AR136)</f>
        <v>0</v>
      </c>
      <c r="AT136" s="205">
        <f>INDEX(hulpblad!$E:$E,MATCH(M136&amp;Q136,hulpblad!$B:$B,0))</f>
        <v>1</v>
      </c>
      <c r="AU136" s="150">
        <f t="shared" si="76"/>
        <v>204.15</v>
      </c>
      <c r="AV136" s="150">
        <f t="shared" si="77"/>
        <v>204.84444444444446</v>
      </c>
      <c r="AX136" s="526">
        <f>Parameters!$B$6*AV136</f>
        <v>2.0484444444444447</v>
      </c>
      <c r="AY136" s="150">
        <v>0</v>
      </c>
      <c r="AZ136" s="150"/>
      <c r="BA136" s="150">
        <f t="shared" si="78"/>
        <v>2.0484444444444447</v>
      </c>
      <c r="BB136" s="150"/>
      <c r="BC136" s="522">
        <f t="shared" si="79"/>
        <v>206.8928888888889</v>
      </c>
      <c r="BD136" s="175"/>
      <c r="BE136" s="527">
        <f t="shared" si="80"/>
        <v>820.8848888888889</v>
      </c>
      <c r="BF136" s="181">
        <f t="shared" si="81"/>
        <v>0.79869881081081073</v>
      </c>
      <c r="BG136" s="520" t="b">
        <f t="shared" si="82"/>
        <v>0</v>
      </c>
      <c r="BI136" s="528" t="s">
        <v>2181</v>
      </c>
      <c r="BL136" s="151" t="str">
        <f t="shared" si="83"/>
        <v>EoKMetro - Regionaal</v>
      </c>
      <c r="BM136" s="529">
        <v>0</v>
      </c>
      <c r="BN136" s="180">
        <f>BM136/INDEX(Parameters!$B:$B,MATCH("AfschrijftermijnVVE"&amp;12*$C136,Parameters!$A:$A,0))</f>
        <v>0</v>
      </c>
      <c r="BO136" s="184">
        <f>INDEX('inkoop ULL tbv EVPN'!I:I,MATCH(BL136,'inkoop ULL tbv EVPN'!H:H,0))</f>
        <v>2</v>
      </c>
      <c r="BP136" s="184">
        <f t="shared" si="84"/>
        <v>2</v>
      </c>
      <c r="BR136" s="180">
        <f>Parameters!$B$12*AG136</f>
        <v>102.77777777777779</v>
      </c>
      <c r="BS136" s="180">
        <f>SUM(Distributievergoedingen!$F$12,Distributievergoedingen!$I$12,Distributievergoedingen!$L$12,Distributievergoedingen!$O$12)*AF136+SUM(Distributievergoedingen!$O$12*AA136+Distributievergoedingen!$R$12+Distributievergoedingen!$U$12+Distributievergoedingen!$X$12)/(MAX(36,12*C136))</f>
        <v>112.77777777777777</v>
      </c>
      <c r="BT136" s="150"/>
      <c r="BU136" s="150">
        <f t="shared" si="85"/>
        <v>215.55555555555554</v>
      </c>
      <c r="BW136" s="522">
        <f t="shared" si="86"/>
        <v>217.55555555555554</v>
      </c>
      <c r="BY136" s="527">
        <f t="shared" si="87"/>
        <v>810.22222222222229</v>
      </c>
      <c r="BZ136" s="181">
        <f t="shared" si="88"/>
        <v>0.78832432432432431</v>
      </c>
      <c r="CA136" s="520" t="b">
        <f t="shared" si="89"/>
        <v>0</v>
      </c>
    </row>
    <row r="137" spans="1:79" s="151" customFormat="1">
      <c r="A137" s="151" t="str">
        <f t="shared" si="68"/>
        <v>2EoKEntryRegionaal1</v>
      </c>
      <c r="B137" s="520" t="str">
        <f t="shared" si="90"/>
        <v>2EoKEntryRegionaal1</v>
      </c>
      <c r="C137" s="179">
        <v>2</v>
      </c>
      <c r="D137" s="179" t="s">
        <v>303</v>
      </c>
      <c r="E137" s="178" t="s">
        <v>45</v>
      </c>
      <c r="F137" s="178" t="s">
        <v>265</v>
      </c>
      <c r="G137" s="185" t="s">
        <v>362</v>
      </c>
      <c r="J137" s="520" t="str">
        <f t="shared" si="69"/>
        <v>EntryRegionaal1</v>
      </c>
      <c r="L137" s="204">
        <f>INDEX(Mapping!$H:$H,MATCH(C$3&amp;C137,Mapping!$B:$B,0))</f>
        <v>1</v>
      </c>
      <c r="M137" s="204" t="str">
        <f>INDEX(Mapping!$H:$H,MATCH(D$3&amp;$D137,Mapping!$B:$B,0))</f>
        <v>EoK</v>
      </c>
      <c r="N137" s="204" t="str">
        <f>INDEX(Mapping!$H:$H,MATCH(E$3&amp;E137,Mapping!$B:$B,0))</f>
        <v>Lite</v>
      </c>
      <c r="O137" s="204" t="str">
        <f>INDEX(Mapping!$H:$H,MATCH(F$3&amp;F137,Mapping!$B:$B,0))</f>
        <v>Metro</v>
      </c>
      <c r="P137" s="204">
        <f>INDEX(Mapping!$H:$H,MATCH(G$3&amp;G137,Mapping!$B:$B,0))</f>
        <v>1</v>
      </c>
      <c r="Q137" s="204" t="str">
        <f>INDEX(Mapping!$H:$H,MATCH(Q$3&amp;$F137,Mapping!$B:$B,0))</f>
        <v>Metro - Nationaal</v>
      </c>
      <c r="R137" s="204" t="str">
        <f>INDEX(Mapping!$H:$H,MATCH("ZM VPN Service Level"&amp;E137,Mapping!$B:$B,0))</f>
        <v>Advanced</v>
      </c>
      <c r="S137" s="139" t="b">
        <f>IF($D137="EoK",INDEX(Mapping!$I:$I,MATCH($G$3&amp;$G137,Mapping!B:B,0)),FALSE)</f>
        <v>1</v>
      </c>
      <c r="T137" s="139"/>
      <c r="U137" s="520" t="str">
        <f t="shared" si="70"/>
        <v>LiteMetro1</v>
      </c>
      <c r="W137" s="521">
        <f>MATCH($J137,'Tarieven ZM'!$B:$B,0)</f>
        <v>27</v>
      </c>
      <c r="X137" s="204">
        <f>INDEX('Tarieven ZM'!$H:$H,$W137)</f>
        <v>1000</v>
      </c>
      <c r="Y137" s="198">
        <f>-INDEX(Parameters!$B:$B,MATCH(Y$3&amp;$C137,Parameters!$A:$A,0))*$X137</f>
        <v>0</v>
      </c>
      <c r="Z137" s="198">
        <f>-INDEX(Parameters!$B:$B,MATCH(Z$3&amp;$C137,Parameters!$A:$A,0))*$X137</f>
        <v>0</v>
      </c>
      <c r="AA137" s="139">
        <f t="shared" si="71"/>
        <v>1000</v>
      </c>
      <c r="AB137" s="205">
        <f>AA137/INDEX(Parameters!$B:$B,MATCH("AfschrijftermijnVVE"&amp;12*$C137,Parameters!$A:$A,0))</f>
        <v>27.777777777777779</v>
      </c>
      <c r="AC137" s="204">
        <f>INDEX('Tarieven ZM'!$G:$G,$W137)</f>
        <v>1000</v>
      </c>
      <c r="AD137" s="198">
        <f>-INDEX(Parameters!$B:$B,MATCH(AD$3&amp;$C137,Parameters!$A:$A,0))*$AC137</f>
        <v>0</v>
      </c>
      <c r="AE137" s="198">
        <f>-INDEX(Parameters!$B:$B,MATCH(AE$3,Parameters!$A:$A,0))*$AC137</f>
        <v>0</v>
      </c>
      <c r="AF137" s="139">
        <f t="shared" si="72"/>
        <v>1000</v>
      </c>
      <c r="AG137" s="522">
        <f t="shared" si="73"/>
        <v>1027.7777777777778</v>
      </c>
      <c r="AH137" s="175"/>
      <c r="AI137" s="523">
        <f>MATCH($U137,'Tarieven W&amp;O'!$B:$B,0)</f>
        <v>36</v>
      </c>
      <c r="AJ137" s="204">
        <f>IF(AI137&lt;&gt;"nvt",INDEX('Tarieven W&amp;O'!$H:$H,$AI137),0)</f>
        <v>0</v>
      </c>
      <c r="AK137" s="204">
        <f>IF(AI137&lt;&gt;"nvt",INDEX('Tarieven W&amp;O'!$I:$I,$AI137),0)</f>
        <v>25</v>
      </c>
      <c r="AL137" s="524">
        <f>IF(AI137&lt;&gt;"nvt",-INDEX(Parameters!$B:$B,MATCH(AL$3,Parameters!$A:$A,0))*(AJ137+AK137),0)</f>
        <v>0</v>
      </c>
      <c r="AM137" s="525"/>
      <c r="AN137" s="139">
        <f t="shared" si="74"/>
        <v>25</v>
      </c>
      <c r="AO137" s="205">
        <f>AN137/INDEX(Parameters!$B:$B,MATCH("AfschrijftermijnVVE"&amp;12*$C137,Parameters!$A:$A,0))</f>
        <v>0.69444444444444442</v>
      </c>
      <c r="AP137" s="139">
        <f t="shared" si="75"/>
        <v>36</v>
      </c>
      <c r="AQ137" s="526">
        <f>IF(AP137&lt;&gt;"nvt",INDEX('Tarieven W&amp;O'!$G:$G,$AP137),0)</f>
        <v>14.29</v>
      </c>
      <c r="AR137" s="251">
        <f>IF($S137,INDEX('Tarieven W&amp;O'!$G:$G,MATCH(N137&amp;R137,'Tarieven W&amp;O'!$B:$B,0)),0)</f>
        <v>5.25</v>
      </c>
      <c r="AS137" s="205">
        <f>-INDEX(Parameters!$B:$B,MATCH(AS$3,Parameters!$A:$A,0))*(AQ137+AR137)</f>
        <v>0</v>
      </c>
      <c r="AT137" s="205">
        <f>INDEX(hulpblad!$E:$E,MATCH(M137&amp;Q137,hulpblad!$B:$B,0))</f>
        <v>2</v>
      </c>
      <c r="AU137" s="150">
        <f t="shared" si="76"/>
        <v>21.54</v>
      </c>
      <c r="AV137" s="150">
        <f t="shared" si="77"/>
        <v>22.234444444444442</v>
      </c>
      <c r="AX137" s="526">
        <f>Parameters!$B$6*AV137</f>
        <v>0.22234444444444443</v>
      </c>
      <c r="AY137" s="150">
        <v>0</v>
      </c>
      <c r="AZ137" s="150"/>
      <c r="BA137" s="150">
        <f t="shared" si="78"/>
        <v>0.22234444444444443</v>
      </c>
      <c r="BB137" s="150"/>
      <c r="BC137" s="522">
        <f t="shared" si="79"/>
        <v>22.456788888888887</v>
      </c>
      <c r="BD137" s="175"/>
      <c r="BE137" s="527">
        <f t="shared" si="80"/>
        <v>1005.3209888888889</v>
      </c>
      <c r="BF137" s="181">
        <f t="shared" si="81"/>
        <v>0.9781501513513513</v>
      </c>
      <c r="BG137" s="520" t="b">
        <f t="shared" si="82"/>
        <v>0</v>
      </c>
      <c r="BI137" s="528" t="s">
        <v>2181</v>
      </c>
      <c r="BL137" s="151" t="str">
        <f t="shared" si="83"/>
        <v>EoKMetro - Nationaal</v>
      </c>
      <c r="BM137" s="529">
        <v>0</v>
      </c>
      <c r="BN137" s="180">
        <f>BM137/INDEX(Parameters!$B:$B,MATCH("AfschrijftermijnVVE"&amp;12*$C137,Parameters!$A:$A,0))</f>
        <v>0</v>
      </c>
      <c r="BO137" s="184">
        <f>INDEX('inkoop ULL tbv EVPN'!I:I,MATCH(BL137,'inkoop ULL tbv EVPN'!H:H,0))</f>
        <v>2</v>
      </c>
      <c r="BP137" s="184">
        <f t="shared" si="84"/>
        <v>2</v>
      </c>
      <c r="BR137" s="180">
        <f>Parameters!$B$12*AG137</f>
        <v>102.77777777777779</v>
      </c>
      <c r="BS137" s="180">
        <f>SUM(Distributievergoedingen!$F$12,Distributievergoedingen!$I$12,Distributievergoedingen!$L$12,Distributievergoedingen!$O$12)*AF137+SUM(Distributievergoedingen!$O$12*AA137+Distributievergoedingen!$R$12+Distributievergoedingen!$U$12+Distributievergoedingen!$X$12)/(MAX(36,12*C137))</f>
        <v>112.77777777777777</v>
      </c>
      <c r="BT137" s="150"/>
      <c r="BU137" s="150">
        <f t="shared" si="85"/>
        <v>215.55555555555554</v>
      </c>
      <c r="BW137" s="522">
        <f t="shared" si="86"/>
        <v>217.55555555555554</v>
      </c>
      <c r="BY137" s="527">
        <f t="shared" si="87"/>
        <v>810.22222222222229</v>
      </c>
      <c r="BZ137" s="181">
        <f t="shared" si="88"/>
        <v>0.78832432432432431</v>
      </c>
      <c r="CA137" s="520" t="b">
        <f t="shared" si="89"/>
        <v>0</v>
      </c>
    </row>
    <row r="138" spans="1:79" s="151" customFormat="1">
      <c r="A138" s="151" t="str">
        <f t="shared" si="68"/>
        <v>2EoKEntryRegionaal2</v>
      </c>
      <c r="B138" s="520" t="str">
        <f t="shared" si="90"/>
        <v>2EoKEntryRegionaal2</v>
      </c>
      <c r="C138" s="179">
        <v>2</v>
      </c>
      <c r="D138" s="179" t="s">
        <v>303</v>
      </c>
      <c r="E138" s="178" t="s">
        <v>45</v>
      </c>
      <c r="F138" s="178" t="s">
        <v>265</v>
      </c>
      <c r="G138" s="185" t="s">
        <v>363</v>
      </c>
      <c r="J138" s="520" t="str">
        <f t="shared" si="69"/>
        <v>EntryRegionaal2</v>
      </c>
      <c r="L138" s="204">
        <f>INDEX(Mapping!$H:$H,MATCH(C$3&amp;C138,Mapping!$B:$B,0))</f>
        <v>1</v>
      </c>
      <c r="M138" s="204" t="str">
        <f>INDEX(Mapping!$H:$H,MATCH(D$3&amp;$D138,Mapping!$B:$B,0))</f>
        <v>EoK</v>
      </c>
      <c r="N138" s="204" t="str">
        <f>INDEX(Mapping!$H:$H,MATCH(E$3&amp;E138,Mapping!$B:$B,0))</f>
        <v>Lite</v>
      </c>
      <c r="O138" s="204" t="str">
        <f>INDEX(Mapping!$H:$H,MATCH(F$3&amp;F138,Mapping!$B:$B,0))</f>
        <v>Metro</v>
      </c>
      <c r="P138" s="204">
        <f>INDEX(Mapping!$H:$H,MATCH(G$3&amp;G138,Mapping!$B:$B,0))</f>
        <v>2</v>
      </c>
      <c r="Q138" s="204" t="str">
        <f>INDEX(Mapping!$H:$H,MATCH(Q$3&amp;$F138,Mapping!$B:$B,0))</f>
        <v>Metro - Nationaal</v>
      </c>
      <c r="R138" s="204" t="str">
        <f>INDEX(Mapping!$H:$H,MATCH("ZM VPN Service Level"&amp;E138,Mapping!$B:$B,0))</f>
        <v>Advanced</v>
      </c>
      <c r="S138" s="139" t="b">
        <f>IF($D138="EoK",INDEX(Mapping!$I:$I,MATCH($G$3&amp;$G138,Mapping!B:B,0)),FALSE)</f>
        <v>1</v>
      </c>
      <c r="T138" s="139"/>
      <c r="U138" s="520" t="str">
        <f t="shared" si="70"/>
        <v>LiteMetro2</v>
      </c>
      <c r="W138" s="521">
        <f>MATCH($J138,'Tarieven ZM'!$B:$B,0)</f>
        <v>28</v>
      </c>
      <c r="X138" s="204">
        <f>INDEX('Tarieven ZM'!$H:$H,$W138)</f>
        <v>1000</v>
      </c>
      <c r="Y138" s="198">
        <f>-INDEX(Parameters!$B:$B,MATCH(Y$3&amp;$C138,Parameters!$A:$A,0))*$X138</f>
        <v>0</v>
      </c>
      <c r="Z138" s="198">
        <f>-INDEX(Parameters!$B:$B,MATCH(Z$3&amp;$C138,Parameters!$A:$A,0))*$X138</f>
        <v>0</v>
      </c>
      <c r="AA138" s="139">
        <f t="shared" si="71"/>
        <v>1000</v>
      </c>
      <c r="AB138" s="205">
        <f>AA138/INDEX(Parameters!$B:$B,MATCH("AfschrijftermijnVVE"&amp;12*$C138,Parameters!$A:$A,0))</f>
        <v>27.777777777777779</v>
      </c>
      <c r="AC138" s="204">
        <f>INDEX('Tarieven ZM'!$G:$G,$W138)</f>
        <v>1000</v>
      </c>
      <c r="AD138" s="198">
        <f>-INDEX(Parameters!$B:$B,MATCH(AD$3&amp;$C138,Parameters!$A:$A,0))*$AC138</f>
        <v>0</v>
      </c>
      <c r="AE138" s="198">
        <f>-INDEX(Parameters!$B:$B,MATCH(AE$3,Parameters!$A:$A,0))*$AC138</f>
        <v>0</v>
      </c>
      <c r="AF138" s="139">
        <f t="shared" si="72"/>
        <v>1000</v>
      </c>
      <c r="AG138" s="522">
        <f t="shared" si="73"/>
        <v>1027.7777777777778</v>
      </c>
      <c r="AH138" s="175"/>
      <c r="AI138" s="523">
        <f>MATCH($U138,'Tarieven W&amp;O'!$B:$B,0)</f>
        <v>37</v>
      </c>
      <c r="AJ138" s="204">
        <f>IF(AI138&lt;&gt;"nvt",INDEX('Tarieven W&amp;O'!$H:$H,$AI138),0)</f>
        <v>0</v>
      </c>
      <c r="AK138" s="204">
        <f>IF(AI138&lt;&gt;"nvt",INDEX('Tarieven W&amp;O'!$I:$I,$AI138),0)</f>
        <v>25</v>
      </c>
      <c r="AL138" s="524">
        <f>IF(AI138&lt;&gt;"nvt",-INDEX(Parameters!$B:$B,MATCH(AL$3,Parameters!$A:$A,0))*(AJ138+AK138),0)</f>
        <v>0</v>
      </c>
      <c r="AM138" s="525"/>
      <c r="AN138" s="139">
        <f t="shared" si="74"/>
        <v>25</v>
      </c>
      <c r="AO138" s="205">
        <f>AN138/INDEX(Parameters!$B:$B,MATCH("AfschrijftermijnVVE"&amp;12*$C138,Parameters!$A:$A,0))</f>
        <v>0.69444444444444442</v>
      </c>
      <c r="AP138" s="139">
        <f t="shared" si="75"/>
        <v>37</v>
      </c>
      <c r="AQ138" s="526">
        <f>IF(AP138&lt;&gt;"nvt",INDEX('Tarieven W&amp;O'!$G:$G,$AP138),0)</f>
        <v>16.55</v>
      </c>
      <c r="AR138" s="251">
        <f>IF($S138,INDEX('Tarieven W&amp;O'!$G:$G,MATCH(N138&amp;R138,'Tarieven W&amp;O'!$B:$B,0)),0)</f>
        <v>5.25</v>
      </c>
      <c r="AS138" s="205">
        <f>-INDEX(Parameters!$B:$B,MATCH(AS$3,Parameters!$A:$A,0))*(AQ138+AR138)</f>
        <v>0</v>
      </c>
      <c r="AT138" s="205">
        <f>INDEX(hulpblad!$E:$E,MATCH(M138&amp;Q138,hulpblad!$B:$B,0))</f>
        <v>2</v>
      </c>
      <c r="AU138" s="150">
        <f t="shared" si="76"/>
        <v>23.8</v>
      </c>
      <c r="AV138" s="150">
        <f t="shared" si="77"/>
        <v>24.494444444444444</v>
      </c>
      <c r="AX138" s="526">
        <f>Parameters!$B$6*AV138</f>
        <v>0.24494444444444444</v>
      </c>
      <c r="AY138" s="150">
        <v>0</v>
      </c>
      <c r="AZ138" s="150"/>
      <c r="BA138" s="150">
        <f t="shared" si="78"/>
        <v>0.24494444444444444</v>
      </c>
      <c r="BB138" s="150"/>
      <c r="BC138" s="522">
        <f t="shared" si="79"/>
        <v>24.73938888888889</v>
      </c>
      <c r="BD138" s="175"/>
      <c r="BE138" s="527">
        <f t="shared" si="80"/>
        <v>1003.0383888888889</v>
      </c>
      <c r="BF138" s="181">
        <f t="shared" si="81"/>
        <v>0.97592924324324326</v>
      </c>
      <c r="BG138" s="520" t="b">
        <f t="shared" si="82"/>
        <v>0</v>
      </c>
      <c r="BI138" s="528" t="s">
        <v>2181</v>
      </c>
      <c r="BL138" s="151" t="str">
        <f t="shared" si="83"/>
        <v>EoKMetro - Nationaal</v>
      </c>
      <c r="BM138" s="529">
        <v>0</v>
      </c>
      <c r="BN138" s="180">
        <f>BM138/INDEX(Parameters!$B:$B,MATCH("AfschrijftermijnVVE"&amp;12*$C138,Parameters!$A:$A,0))</f>
        <v>0</v>
      </c>
      <c r="BO138" s="184">
        <f>INDEX('inkoop ULL tbv EVPN'!I:I,MATCH(BL138,'inkoop ULL tbv EVPN'!H:H,0))</f>
        <v>2</v>
      </c>
      <c r="BP138" s="184">
        <f t="shared" si="84"/>
        <v>2</v>
      </c>
      <c r="BR138" s="180">
        <f>Parameters!$B$12*AG138</f>
        <v>102.77777777777779</v>
      </c>
      <c r="BS138" s="180">
        <f>SUM(Distributievergoedingen!$F$12,Distributievergoedingen!$I$12,Distributievergoedingen!$L$12,Distributievergoedingen!$O$12)*AF138+SUM(Distributievergoedingen!$O$12*AA138+Distributievergoedingen!$R$12+Distributievergoedingen!$U$12+Distributievergoedingen!$X$12)/(MAX(36,12*C138))</f>
        <v>112.77777777777777</v>
      </c>
      <c r="BT138" s="150"/>
      <c r="BU138" s="150">
        <f t="shared" si="85"/>
        <v>215.55555555555554</v>
      </c>
      <c r="BW138" s="522">
        <f t="shared" si="86"/>
        <v>217.55555555555554</v>
      </c>
      <c r="BY138" s="527">
        <f t="shared" si="87"/>
        <v>810.22222222222229</v>
      </c>
      <c r="BZ138" s="181">
        <f t="shared" si="88"/>
        <v>0.78832432432432431</v>
      </c>
      <c r="CA138" s="520" t="b">
        <f t="shared" si="89"/>
        <v>0</v>
      </c>
    </row>
    <row r="139" spans="1:79" s="151" customFormat="1">
      <c r="A139" s="151" t="str">
        <f t="shared" si="68"/>
        <v>2EoKEntryRegionaal3</v>
      </c>
      <c r="B139" s="520" t="str">
        <f t="shared" si="90"/>
        <v>2EoKEntryRegionaal3</v>
      </c>
      <c r="C139" s="179">
        <v>2</v>
      </c>
      <c r="D139" s="179" t="s">
        <v>303</v>
      </c>
      <c r="E139" s="178" t="s">
        <v>45</v>
      </c>
      <c r="F139" s="178" t="s">
        <v>265</v>
      </c>
      <c r="G139" s="185" t="s">
        <v>407</v>
      </c>
      <c r="J139" s="520" t="str">
        <f t="shared" ref="J139:J202" si="91">E139&amp;F139&amp;G139&amp;H139</f>
        <v>EntryRegionaal3</v>
      </c>
      <c r="L139" s="204">
        <f>INDEX(Mapping!$H:$H,MATCH(C$3&amp;C139,Mapping!$B:$B,0))</f>
        <v>1</v>
      </c>
      <c r="M139" s="204" t="str">
        <f>INDEX(Mapping!$H:$H,MATCH(D$3&amp;$D139,Mapping!$B:$B,0))</f>
        <v>EoK</v>
      </c>
      <c r="N139" s="204" t="str">
        <f>INDEX(Mapping!$H:$H,MATCH(E$3&amp;E139,Mapping!$B:$B,0))</f>
        <v>Lite</v>
      </c>
      <c r="O139" s="204" t="str">
        <f>INDEX(Mapping!$H:$H,MATCH(F$3&amp;F139,Mapping!$B:$B,0))</f>
        <v>Metro</v>
      </c>
      <c r="P139" s="204">
        <f>INDEX(Mapping!$H:$H,MATCH(G$3&amp;G139,Mapping!$B:$B,0))</f>
        <v>3</v>
      </c>
      <c r="Q139" s="204" t="str">
        <f>INDEX(Mapping!$H:$H,MATCH(Q$3&amp;$F139,Mapping!$B:$B,0))</f>
        <v>Metro - Nationaal</v>
      </c>
      <c r="R139" s="204" t="str">
        <f>INDEX(Mapping!$H:$H,MATCH("ZM VPN Service Level"&amp;E139,Mapping!$B:$B,0))</f>
        <v>Advanced</v>
      </c>
      <c r="S139" s="139" t="b">
        <f>IF($D139="EoK",INDEX(Mapping!$I:$I,MATCH($G$3&amp;$G139,Mapping!B:B,0)),FALSE)</f>
        <v>0</v>
      </c>
      <c r="T139" s="139"/>
      <c r="U139" s="520" t="str">
        <f t="shared" ref="U139:U202" si="92">N139&amp;O139&amp;P139</f>
        <v>LiteMetro3</v>
      </c>
      <c r="W139" s="521">
        <f>MATCH($J139,'Tarieven ZM'!$B:$B,0)</f>
        <v>29</v>
      </c>
      <c r="X139" s="204">
        <f>INDEX('Tarieven ZM'!$H:$H,$W139)</f>
        <v>1000</v>
      </c>
      <c r="Y139" s="198">
        <f>-INDEX(Parameters!$B:$B,MATCH(Y$3&amp;$C139,Parameters!$A:$A,0))*$X139</f>
        <v>0</v>
      </c>
      <c r="Z139" s="198">
        <f>-INDEX(Parameters!$B:$B,MATCH(Z$3&amp;$C139,Parameters!$A:$A,0))*$X139</f>
        <v>0</v>
      </c>
      <c r="AA139" s="139">
        <f t="shared" si="71"/>
        <v>1000</v>
      </c>
      <c r="AB139" s="205">
        <f>AA139/INDEX(Parameters!$B:$B,MATCH("AfschrijftermijnVVE"&amp;12*$C139,Parameters!$A:$A,0))</f>
        <v>27.777777777777779</v>
      </c>
      <c r="AC139" s="204">
        <f>INDEX('Tarieven ZM'!$G:$G,$W139)</f>
        <v>1000</v>
      </c>
      <c r="AD139" s="198">
        <f>-INDEX(Parameters!$B:$B,MATCH(AD$3&amp;$C139,Parameters!$A:$A,0))*$AC139</f>
        <v>0</v>
      </c>
      <c r="AE139" s="198">
        <f>-INDEX(Parameters!$B:$B,MATCH(AE$3,Parameters!$A:$A,0))*$AC139</f>
        <v>0</v>
      </c>
      <c r="AF139" s="139">
        <f t="shared" si="72"/>
        <v>1000</v>
      </c>
      <c r="AG139" s="522">
        <f t="shared" si="73"/>
        <v>1027.7777777777778</v>
      </c>
      <c r="AH139" s="175"/>
      <c r="AI139" s="523">
        <f>MATCH($U139,'Tarieven W&amp;O'!$B:$B,0)</f>
        <v>38</v>
      </c>
      <c r="AJ139" s="204">
        <f>IF(AI139&lt;&gt;"nvt",INDEX('Tarieven W&amp;O'!$H:$H,$AI139),0)</f>
        <v>0</v>
      </c>
      <c r="AK139" s="204">
        <f>IF(AI139&lt;&gt;"nvt",INDEX('Tarieven W&amp;O'!$I:$I,$AI139),0)</f>
        <v>25</v>
      </c>
      <c r="AL139" s="524">
        <f>IF(AI139&lt;&gt;"nvt",-INDEX(Parameters!$B:$B,MATCH(AL$3,Parameters!$A:$A,0))*(AJ139+AK139),0)</f>
        <v>0</v>
      </c>
      <c r="AM139" s="525"/>
      <c r="AN139" s="139">
        <f t="shared" si="74"/>
        <v>25</v>
      </c>
      <c r="AO139" s="205">
        <f>AN139/INDEX(Parameters!$B:$B,MATCH("AfschrijftermijnVVE"&amp;12*$C139,Parameters!$A:$A,0))</f>
        <v>0.69444444444444442</v>
      </c>
      <c r="AP139" s="139">
        <f t="shared" si="75"/>
        <v>38</v>
      </c>
      <c r="AQ139" s="526">
        <f>IF(AP139&lt;&gt;"nvt",INDEX('Tarieven W&amp;O'!$G:$G,$AP139),0)</f>
        <v>18.47</v>
      </c>
      <c r="AR139" s="251">
        <f>IF($S139,INDEX('Tarieven W&amp;O'!$G:$G,MATCH(N139&amp;R139,'Tarieven W&amp;O'!$B:$B,0)),0)</f>
        <v>0</v>
      </c>
      <c r="AS139" s="205">
        <f>-INDEX(Parameters!$B:$B,MATCH(AS$3,Parameters!$A:$A,0))*(AQ139+AR139)</f>
        <v>0</v>
      </c>
      <c r="AT139" s="205">
        <f>INDEX(hulpblad!$E:$E,MATCH(M139&amp;Q139,hulpblad!$B:$B,0))</f>
        <v>2</v>
      </c>
      <c r="AU139" s="150">
        <f t="shared" si="76"/>
        <v>20.47</v>
      </c>
      <c r="AV139" s="150">
        <f t="shared" si="77"/>
        <v>21.164444444444442</v>
      </c>
      <c r="AX139" s="526">
        <f>Parameters!$B$6*AV139</f>
        <v>0.21164444444444441</v>
      </c>
      <c r="AY139" s="150">
        <v>0</v>
      </c>
      <c r="AZ139" s="150"/>
      <c r="BA139" s="150">
        <f t="shared" si="78"/>
        <v>0.21164444444444441</v>
      </c>
      <c r="BB139" s="150"/>
      <c r="BC139" s="522">
        <f t="shared" si="79"/>
        <v>21.376088888888887</v>
      </c>
      <c r="BD139" s="175"/>
      <c r="BE139" s="527">
        <f t="shared" si="80"/>
        <v>1006.4016888888889</v>
      </c>
      <c r="BF139" s="181">
        <f t="shared" si="81"/>
        <v>0.97920164324324321</v>
      </c>
      <c r="BG139" s="520" t="b">
        <f t="shared" ref="BG139:BG202" si="93">BF139&lt;0</f>
        <v>0</v>
      </c>
      <c r="BI139" s="528" t="s">
        <v>2181</v>
      </c>
      <c r="BL139" s="151" t="str">
        <f t="shared" si="83"/>
        <v>EoKMetro - Nationaal</v>
      </c>
      <c r="BM139" s="529">
        <v>0</v>
      </c>
      <c r="BN139" s="180">
        <f>BM139/INDEX(Parameters!$B:$B,MATCH("AfschrijftermijnVVE"&amp;12*$C139,Parameters!$A:$A,0))</f>
        <v>0</v>
      </c>
      <c r="BO139" s="184">
        <f>INDEX('inkoop ULL tbv EVPN'!I:I,MATCH(BL139,'inkoop ULL tbv EVPN'!H:H,0))</f>
        <v>2</v>
      </c>
      <c r="BP139" s="184">
        <f t="shared" si="84"/>
        <v>2</v>
      </c>
      <c r="BR139" s="180">
        <f>Parameters!$B$12*AG139</f>
        <v>102.77777777777779</v>
      </c>
      <c r="BS139" s="180">
        <f>SUM(Distributievergoedingen!$F$12,Distributievergoedingen!$I$12,Distributievergoedingen!$L$12,Distributievergoedingen!$O$12)*AF139+SUM(Distributievergoedingen!$O$12*AA139+Distributievergoedingen!$R$12+Distributievergoedingen!$U$12+Distributievergoedingen!$X$12)/(MAX(36,12*C139))</f>
        <v>112.77777777777777</v>
      </c>
      <c r="BT139" s="150"/>
      <c r="BU139" s="150">
        <f t="shared" si="85"/>
        <v>215.55555555555554</v>
      </c>
      <c r="BW139" s="522">
        <f t="shared" si="86"/>
        <v>217.55555555555554</v>
      </c>
      <c r="BY139" s="527">
        <f t="shared" si="87"/>
        <v>810.22222222222229</v>
      </c>
      <c r="BZ139" s="181">
        <f t="shared" si="88"/>
        <v>0.78832432432432431</v>
      </c>
      <c r="CA139" s="520" t="b">
        <f t="shared" si="89"/>
        <v>0</v>
      </c>
    </row>
    <row r="140" spans="1:79" s="151" customFormat="1">
      <c r="A140" s="151" t="str">
        <f t="shared" si="68"/>
        <v>2EoKEntryRegionaal4</v>
      </c>
      <c r="B140" s="520" t="str">
        <f t="shared" si="90"/>
        <v>2EoKEntryRegionaal4</v>
      </c>
      <c r="C140" s="179">
        <v>2</v>
      </c>
      <c r="D140" s="179" t="s">
        <v>303</v>
      </c>
      <c r="E140" s="178" t="s">
        <v>45</v>
      </c>
      <c r="F140" s="178" t="s">
        <v>265</v>
      </c>
      <c r="G140" s="185" t="s">
        <v>408</v>
      </c>
      <c r="J140" s="520" t="str">
        <f t="shared" si="91"/>
        <v>EntryRegionaal4</v>
      </c>
      <c r="L140" s="204">
        <f>INDEX(Mapping!$H:$H,MATCH(C$3&amp;C140,Mapping!$B:$B,0))</f>
        <v>1</v>
      </c>
      <c r="M140" s="204" t="str">
        <f>INDEX(Mapping!$H:$H,MATCH(D$3&amp;$D140,Mapping!$B:$B,0))</f>
        <v>EoK</v>
      </c>
      <c r="N140" s="204" t="str">
        <f>INDEX(Mapping!$H:$H,MATCH(E$3&amp;E140,Mapping!$B:$B,0))</f>
        <v>Lite</v>
      </c>
      <c r="O140" s="204" t="str">
        <f>INDEX(Mapping!$H:$H,MATCH(F$3&amp;F140,Mapping!$B:$B,0))</f>
        <v>Metro</v>
      </c>
      <c r="P140" s="204">
        <f>INDEX(Mapping!$H:$H,MATCH(G$3&amp;G140,Mapping!$B:$B,0))</f>
        <v>4</v>
      </c>
      <c r="Q140" s="204" t="str">
        <f>INDEX(Mapping!$H:$H,MATCH(Q$3&amp;$F140,Mapping!$B:$B,0))</f>
        <v>Metro - Nationaal</v>
      </c>
      <c r="R140" s="204" t="str">
        <f>INDEX(Mapping!$H:$H,MATCH("ZM VPN Service Level"&amp;E140,Mapping!$B:$B,0))</f>
        <v>Advanced</v>
      </c>
      <c r="S140" s="139" t="b">
        <f>IF($D140="EoK",INDEX(Mapping!$I:$I,MATCH($G$3&amp;$G140,Mapping!B:B,0)),FALSE)</f>
        <v>0</v>
      </c>
      <c r="T140" s="139"/>
      <c r="U140" s="520" t="str">
        <f t="shared" si="92"/>
        <v>LiteMetro4</v>
      </c>
      <c r="W140" s="521">
        <f>MATCH($J140,'Tarieven ZM'!$B:$B,0)</f>
        <v>30</v>
      </c>
      <c r="X140" s="204">
        <f>INDEX('Tarieven ZM'!$H:$H,$W140)</f>
        <v>1000</v>
      </c>
      <c r="Y140" s="198">
        <f>-INDEX(Parameters!$B:$B,MATCH(Y$3&amp;$C140,Parameters!$A:$A,0))*$X140</f>
        <v>0</v>
      </c>
      <c r="Z140" s="198">
        <f>-INDEX(Parameters!$B:$B,MATCH(Z$3&amp;$C140,Parameters!$A:$A,0))*$X140</f>
        <v>0</v>
      </c>
      <c r="AA140" s="139">
        <f t="shared" si="71"/>
        <v>1000</v>
      </c>
      <c r="AB140" s="205">
        <f>AA140/INDEX(Parameters!$B:$B,MATCH("AfschrijftermijnVVE"&amp;12*$C140,Parameters!$A:$A,0))</f>
        <v>27.777777777777779</v>
      </c>
      <c r="AC140" s="204">
        <f>INDEX('Tarieven ZM'!$G:$G,$W140)</f>
        <v>1000</v>
      </c>
      <c r="AD140" s="198">
        <f>-INDEX(Parameters!$B:$B,MATCH(AD$3&amp;$C140,Parameters!$A:$A,0))*$AC140</f>
        <v>0</v>
      </c>
      <c r="AE140" s="198">
        <f>-INDEX(Parameters!$B:$B,MATCH(AE$3,Parameters!$A:$A,0))*$AC140</f>
        <v>0</v>
      </c>
      <c r="AF140" s="139">
        <f t="shared" si="72"/>
        <v>1000</v>
      </c>
      <c r="AG140" s="522">
        <f t="shared" si="73"/>
        <v>1027.7777777777778</v>
      </c>
      <c r="AH140" s="175"/>
      <c r="AI140" s="523">
        <f>MATCH($U140,'Tarieven W&amp;O'!$B:$B,0)</f>
        <v>39</v>
      </c>
      <c r="AJ140" s="204">
        <f>IF(AI140&lt;&gt;"nvt",INDEX('Tarieven W&amp;O'!$H:$H,$AI140),0)</f>
        <v>0</v>
      </c>
      <c r="AK140" s="204">
        <f>IF(AI140&lt;&gt;"nvt",INDEX('Tarieven W&amp;O'!$I:$I,$AI140),0)</f>
        <v>25</v>
      </c>
      <c r="AL140" s="524">
        <f>IF(AI140&lt;&gt;"nvt",-INDEX(Parameters!$B:$B,MATCH(AL$3,Parameters!$A:$A,0))*(AJ140+AK140),0)</f>
        <v>0</v>
      </c>
      <c r="AM140" s="525"/>
      <c r="AN140" s="139">
        <f t="shared" si="74"/>
        <v>25</v>
      </c>
      <c r="AO140" s="205">
        <f>AN140/INDEX(Parameters!$B:$B,MATCH("AfschrijftermijnVVE"&amp;12*$C140,Parameters!$A:$A,0))</f>
        <v>0.69444444444444442</v>
      </c>
      <c r="AP140" s="139">
        <f t="shared" si="75"/>
        <v>39</v>
      </c>
      <c r="AQ140" s="526">
        <f>IF(AP140&lt;&gt;"nvt",INDEX('Tarieven W&amp;O'!$G:$G,$AP140),0)</f>
        <v>18.47</v>
      </c>
      <c r="AR140" s="251">
        <f>IF($S140,INDEX('Tarieven W&amp;O'!$G:$G,MATCH(N140&amp;R140,'Tarieven W&amp;O'!$B:$B,0)),0)</f>
        <v>0</v>
      </c>
      <c r="AS140" s="205">
        <f>-INDEX(Parameters!$B:$B,MATCH(AS$3,Parameters!$A:$A,0))*(AQ140+AR140)</f>
        <v>0</v>
      </c>
      <c r="AT140" s="205">
        <f>INDEX(hulpblad!$E:$E,MATCH(M140&amp;Q140,hulpblad!$B:$B,0))</f>
        <v>2</v>
      </c>
      <c r="AU140" s="150">
        <f t="shared" si="76"/>
        <v>20.47</v>
      </c>
      <c r="AV140" s="150">
        <f t="shared" si="77"/>
        <v>21.164444444444442</v>
      </c>
      <c r="AX140" s="526">
        <f>Parameters!$B$6*AV140</f>
        <v>0.21164444444444441</v>
      </c>
      <c r="AY140" s="150">
        <v>0</v>
      </c>
      <c r="AZ140" s="150"/>
      <c r="BA140" s="150">
        <f t="shared" si="78"/>
        <v>0.21164444444444441</v>
      </c>
      <c r="BB140" s="150"/>
      <c r="BC140" s="522">
        <f t="shared" si="79"/>
        <v>21.376088888888887</v>
      </c>
      <c r="BD140" s="175"/>
      <c r="BE140" s="527">
        <f t="shared" si="80"/>
        <v>1006.4016888888889</v>
      </c>
      <c r="BF140" s="181">
        <f t="shared" si="81"/>
        <v>0.97920164324324321</v>
      </c>
      <c r="BG140" s="520" t="b">
        <f t="shared" si="93"/>
        <v>0</v>
      </c>
      <c r="BI140" s="528" t="s">
        <v>2181</v>
      </c>
      <c r="BL140" s="151" t="str">
        <f t="shared" si="83"/>
        <v>EoKMetro - Nationaal</v>
      </c>
      <c r="BM140" s="529">
        <v>0</v>
      </c>
      <c r="BN140" s="180">
        <f>BM140/INDEX(Parameters!$B:$B,MATCH("AfschrijftermijnVVE"&amp;12*$C140,Parameters!$A:$A,0))</f>
        <v>0</v>
      </c>
      <c r="BO140" s="184">
        <f>INDEX('inkoop ULL tbv EVPN'!I:I,MATCH(BL140,'inkoop ULL tbv EVPN'!H:H,0))</f>
        <v>2</v>
      </c>
      <c r="BP140" s="184">
        <f t="shared" si="84"/>
        <v>2</v>
      </c>
      <c r="BR140" s="180">
        <f>Parameters!$B$12*AG140</f>
        <v>102.77777777777779</v>
      </c>
      <c r="BS140" s="180">
        <f>SUM(Distributievergoedingen!$F$12,Distributievergoedingen!$I$12,Distributievergoedingen!$L$12,Distributievergoedingen!$O$12)*AF140+SUM(Distributievergoedingen!$O$12*AA140+Distributievergoedingen!$R$12+Distributievergoedingen!$U$12+Distributievergoedingen!$X$12)/(MAX(36,12*C140))</f>
        <v>112.77777777777777</v>
      </c>
      <c r="BT140" s="150"/>
      <c r="BU140" s="150">
        <f t="shared" si="85"/>
        <v>215.55555555555554</v>
      </c>
      <c r="BW140" s="522">
        <f t="shared" si="86"/>
        <v>217.55555555555554</v>
      </c>
      <c r="BY140" s="527">
        <f t="shared" si="87"/>
        <v>810.22222222222229</v>
      </c>
      <c r="BZ140" s="181">
        <f t="shared" si="88"/>
        <v>0.78832432432432431</v>
      </c>
      <c r="CA140" s="520" t="b">
        <f t="shared" si="89"/>
        <v>0</v>
      </c>
    </row>
    <row r="141" spans="1:79" s="151" customFormat="1">
      <c r="A141" s="151" t="str">
        <f t="shared" si="68"/>
        <v>2EoKEntryRegionaal5</v>
      </c>
      <c r="B141" s="520" t="str">
        <f t="shared" si="90"/>
        <v>2EoKEntryRegionaal5</v>
      </c>
      <c r="C141" s="179">
        <v>2</v>
      </c>
      <c r="D141" s="179" t="s">
        <v>303</v>
      </c>
      <c r="E141" s="178" t="s">
        <v>45</v>
      </c>
      <c r="F141" s="178" t="s">
        <v>265</v>
      </c>
      <c r="G141" s="185" t="s">
        <v>409</v>
      </c>
      <c r="J141" s="520" t="str">
        <f t="shared" si="91"/>
        <v>EntryRegionaal5</v>
      </c>
      <c r="L141" s="204">
        <f>INDEX(Mapping!$H:$H,MATCH(C$3&amp;C141,Mapping!$B:$B,0))</f>
        <v>1</v>
      </c>
      <c r="M141" s="204" t="str">
        <f>INDEX(Mapping!$H:$H,MATCH(D$3&amp;$D141,Mapping!$B:$B,0))</f>
        <v>EoK</v>
      </c>
      <c r="N141" s="204" t="str">
        <f>INDEX(Mapping!$H:$H,MATCH(E$3&amp;E141,Mapping!$B:$B,0))</f>
        <v>Lite</v>
      </c>
      <c r="O141" s="204" t="str">
        <f>INDEX(Mapping!$H:$H,MATCH(F$3&amp;F141,Mapping!$B:$B,0))</f>
        <v>Metro</v>
      </c>
      <c r="P141" s="204">
        <f>INDEX(Mapping!$H:$H,MATCH(G$3&amp;G141,Mapping!$B:$B,0))</f>
        <v>5</v>
      </c>
      <c r="Q141" s="204" t="str">
        <f>INDEX(Mapping!$H:$H,MATCH(Q$3&amp;$F141,Mapping!$B:$B,0))</f>
        <v>Metro - Nationaal</v>
      </c>
      <c r="R141" s="204" t="str">
        <f>INDEX(Mapping!$H:$H,MATCH("ZM VPN Service Level"&amp;E141,Mapping!$B:$B,0))</f>
        <v>Advanced</v>
      </c>
      <c r="S141" s="139" t="b">
        <f>IF($D141="EoK",INDEX(Mapping!$I:$I,MATCH($G$3&amp;$G141,Mapping!B:B,0)),FALSE)</f>
        <v>0</v>
      </c>
      <c r="T141" s="139"/>
      <c r="U141" s="520" t="str">
        <f t="shared" si="92"/>
        <v>LiteMetro5</v>
      </c>
      <c r="W141" s="521">
        <f>MATCH($J141,'Tarieven ZM'!$B:$B,0)</f>
        <v>31</v>
      </c>
      <c r="X141" s="204">
        <f>INDEX('Tarieven ZM'!$H:$H,$W141)</f>
        <v>1000</v>
      </c>
      <c r="Y141" s="198">
        <f>-INDEX(Parameters!$B:$B,MATCH(Y$3&amp;$C141,Parameters!$A:$A,0))*$X141</f>
        <v>0</v>
      </c>
      <c r="Z141" s="198">
        <f>-INDEX(Parameters!$B:$B,MATCH(Z$3&amp;$C141,Parameters!$A:$A,0))*$X141</f>
        <v>0</v>
      </c>
      <c r="AA141" s="139">
        <f t="shared" si="71"/>
        <v>1000</v>
      </c>
      <c r="AB141" s="205">
        <f>AA141/INDEX(Parameters!$B:$B,MATCH("AfschrijftermijnVVE"&amp;12*$C141,Parameters!$A:$A,0))</f>
        <v>27.777777777777779</v>
      </c>
      <c r="AC141" s="204">
        <f>INDEX('Tarieven ZM'!$G:$G,$W141)</f>
        <v>1000</v>
      </c>
      <c r="AD141" s="198">
        <f>-INDEX(Parameters!$B:$B,MATCH(AD$3&amp;$C141,Parameters!$A:$A,0))*$AC141</f>
        <v>0</v>
      </c>
      <c r="AE141" s="198">
        <f>-INDEX(Parameters!$B:$B,MATCH(AE$3,Parameters!$A:$A,0))*$AC141</f>
        <v>0</v>
      </c>
      <c r="AF141" s="139">
        <f t="shared" si="72"/>
        <v>1000</v>
      </c>
      <c r="AG141" s="522">
        <f t="shared" si="73"/>
        <v>1027.7777777777778</v>
      </c>
      <c r="AH141" s="175"/>
      <c r="AI141" s="523">
        <f>MATCH($U141,'Tarieven W&amp;O'!$B:$B,0)</f>
        <v>40</v>
      </c>
      <c r="AJ141" s="204">
        <f>IF(AI141&lt;&gt;"nvt",INDEX('Tarieven W&amp;O'!$H:$H,$AI141),0)</f>
        <v>0</v>
      </c>
      <c r="AK141" s="204">
        <f>IF(AI141&lt;&gt;"nvt",INDEX('Tarieven W&amp;O'!$I:$I,$AI141),0)</f>
        <v>25</v>
      </c>
      <c r="AL141" s="524">
        <f>IF(AI141&lt;&gt;"nvt",-INDEX(Parameters!$B:$B,MATCH(AL$3,Parameters!$A:$A,0))*(AJ141+AK141),0)</f>
        <v>0</v>
      </c>
      <c r="AM141" s="525"/>
      <c r="AN141" s="139">
        <f t="shared" si="74"/>
        <v>25</v>
      </c>
      <c r="AO141" s="205">
        <f>AN141/INDEX(Parameters!$B:$B,MATCH("AfschrijftermijnVVE"&amp;12*$C141,Parameters!$A:$A,0))</f>
        <v>0.69444444444444442</v>
      </c>
      <c r="AP141" s="139">
        <f t="shared" si="75"/>
        <v>40</v>
      </c>
      <c r="AQ141" s="526">
        <f>IF(AP141&lt;&gt;"nvt",INDEX('Tarieven W&amp;O'!$G:$G,$AP141),0)</f>
        <v>18.47</v>
      </c>
      <c r="AR141" s="251">
        <f>IF($S141,INDEX('Tarieven W&amp;O'!$G:$G,MATCH(N141&amp;R141,'Tarieven W&amp;O'!$B:$B,0)),0)</f>
        <v>0</v>
      </c>
      <c r="AS141" s="205">
        <f>-INDEX(Parameters!$B:$B,MATCH(AS$3,Parameters!$A:$A,0))*(AQ141+AR141)</f>
        <v>0</v>
      </c>
      <c r="AT141" s="205">
        <f>INDEX(hulpblad!$E:$E,MATCH(M141&amp;Q141,hulpblad!$B:$B,0))</f>
        <v>2</v>
      </c>
      <c r="AU141" s="150">
        <f t="shared" si="76"/>
        <v>20.47</v>
      </c>
      <c r="AV141" s="150">
        <f t="shared" si="77"/>
        <v>21.164444444444442</v>
      </c>
      <c r="AX141" s="526">
        <f>Parameters!$B$6*AV141</f>
        <v>0.21164444444444441</v>
      </c>
      <c r="AY141" s="150">
        <v>0</v>
      </c>
      <c r="AZ141" s="150"/>
      <c r="BA141" s="150">
        <f t="shared" si="78"/>
        <v>0.21164444444444441</v>
      </c>
      <c r="BB141" s="150"/>
      <c r="BC141" s="522">
        <f t="shared" si="79"/>
        <v>21.376088888888887</v>
      </c>
      <c r="BD141" s="175"/>
      <c r="BE141" s="527">
        <f t="shared" si="80"/>
        <v>1006.4016888888889</v>
      </c>
      <c r="BF141" s="181">
        <f t="shared" si="81"/>
        <v>0.97920164324324321</v>
      </c>
      <c r="BG141" s="520" t="b">
        <f t="shared" si="93"/>
        <v>0</v>
      </c>
      <c r="BI141" s="528" t="s">
        <v>2181</v>
      </c>
      <c r="BL141" s="151" t="str">
        <f t="shared" si="83"/>
        <v>EoKMetro - Nationaal</v>
      </c>
      <c r="BM141" s="529">
        <v>0</v>
      </c>
      <c r="BN141" s="180">
        <f>BM141/INDEX(Parameters!$B:$B,MATCH("AfschrijftermijnVVE"&amp;12*$C141,Parameters!$A:$A,0))</f>
        <v>0</v>
      </c>
      <c r="BO141" s="184">
        <f>INDEX('inkoop ULL tbv EVPN'!I:I,MATCH(BL141,'inkoop ULL tbv EVPN'!H:H,0))</f>
        <v>2</v>
      </c>
      <c r="BP141" s="184">
        <f t="shared" si="84"/>
        <v>2</v>
      </c>
      <c r="BR141" s="180">
        <f>Parameters!$B$12*AG141</f>
        <v>102.77777777777779</v>
      </c>
      <c r="BS141" s="180">
        <f>SUM(Distributievergoedingen!$F$12,Distributievergoedingen!$I$12,Distributievergoedingen!$L$12,Distributievergoedingen!$O$12)*AF141+SUM(Distributievergoedingen!$O$12*AA141+Distributievergoedingen!$R$12+Distributievergoedingen!$U$12+Distributievergoedingen!$X$12)/(MAX(36,12*C141))</f>
        <v>112.77777777777777</v>
      </c>
      <c r="BT141" s="150"/>
      <c r="BU141" s="150">
        <f t="shared" si="85"/>
        <v>215.55555555555554</v>
      </c>
      <c r="BW141" s="522">
        <f t="shared" si="86"/>
        <v>217.55555555555554</v>
      </c>
      <c r="BY141" s="527">
        <f t="shared" si="87"/>
        <v>810.22222222222229</v>
      </c>
      <c r="BZ141" s="181">
        <f t="shared" si="88"/>
        <v>0.78832432432432431</v>
      </c>
      <c r="CA141" s="520" t="b">
        <f t="shared" si="89"/>
        <v>0</v>
      </c>
    </row>
    <row r="142" spans="1:79" s="151" customFormat="1">
      <c r="A142" s="151" t="str">
        <f t="shared" si="68"/>
        <v>2EoKEntryRegionaal6</v>
      </c>
      <c r="B142" s="520" t="str">
        <f t="shared" si="90"/>
        <v>2EoKEntryRegionaal6</v>
      </c>
      <c r="C142" s="179">
        <v>2</v>
      </c>
      <c r="D142" s="179" t="s">
        <v>303</v>
      </c>
      <c r="E142" s="178" t="s">
        <v>45</v>
      </c>
      <c r="F142" s="178" t="s">
        <v>265</v>
      </c>
      <c r="G142" s="185" t="s">
        <v>410</v>
      </c>
      <c r="J142" s="520" t="str">
        <f t="shared" si="91"/>
        <v>EntryRegionaal6</v>
      </c>
      <c r="L142" s="204">
        <f>INDEX(Mapping!$H:$H,MATCH(C$3&amp;C142,Mapping!$B:$B,0))</f>
        <v>1</v>
      </c>
      <c r="M142" s="204" t="str">
        <f>INDEX(Mapping!$H:$H,MATCH(D$3&amp;$D142,Mapping!$B:$B,0))</f>
        <v>EoK</v>
      </c>
      <c r="N142" s="204" t="str">
        <f>INDEX(Mapping!$H:$H,MATCH(E$3&amp;E142,Mapping!$B:$B,0))</f>
        <v>Lite</v>
      </c>
      <c r="O142" s="204" t="str">
        <f>INDEX(Mapping!$H:$H,MATCH(F$3&amp;F142,Mapping!$B:$B,0))</f>
        <v>Metro</v>
      </c>
      <c r="P142" s="204">
        <f>INDEX(Mapping!$H:$H,MATCH(G$3&amp;G142,Mapping!$B:$B,0))</f>
        <v>6</v>
      </c>
      <c r="Q142" s="204" t="str">
        <f>INDEX(Mapping!$H:$H,MATCH(Q$3&amp;$F142,Mapping!$B:$B,0))</f>
        <v>Metro - Nationaal</v>
      </c>
      <c r="R142" s="204" t="str">
        <f>INDEX(Mapping!$H:$H,MATCH("ZM VPN Service Level"&amp;E142,Mapping!$B:$B,0))</f>
        <v>Advanced</v>
      </c>
      <c r="S142" s="139" t="b">
        <f>IF($D142="EoK",INDEX(Mapping!$I:$I,MATCH($G$3&amp;$G142,Mapping!B:B,0)),FALSE)</f>
        <v>0</v>
      </c>
      <c r="T142" s="139"/>
      <c r="U142" s="520" t="str">
        <f t="shared" si="92"/>
        <v>LiteMetro6</v>
      </c>
      <c r="W142" s="521">
        <f>MATCH($J142,'Tarieven ZM'!$B:$B,0)</f>
        <v>32</v>
      </c>
      <c r="X142" s="204">
        <f>INDEX('Tarieven ZM'!$H:$H,$W142)</f>
        <v>1000</v>
      </c>
      <c r="Y142" s="198">
        <f>-INDEX(Parameters!$B:$B,MATCH(Y$3&amp;$C142,Parameters!$A:$A,0))*$X142</f>
        <v>0</v>
      </c>
      <c r="Z142" s="198">
        <f>-INDEX(Parameters!$B:$B,MATCH(Z$3&amp;$C142,Parameters!$A:$A,0))*$X142</f>
        <v>0</v>
      </c>
      <c r="AA142" s="139">
        <f t="shared" si="71"/>
        <v>1000</v>
      </c>
      <c r="AB142" s="205">
        <f>AA142/INDEX(Parameters!$B:$B,MATCH("AfschrijftermijnVVE"&amp;12*$C142,Parameters!$A:$A,0))</f>
        <v>27.777777777777779</v>
      </c>
      <c r="AC142" s="204">
        <f>INDEX('Tarieven ZM'!$G:$G,$W142)</f>
        <v>1000</v>
      </c>
      <c r="AD142" s="198">
        <f>-INDEX(Parameters!$B:$B,MATCH(AD$3&amp;$C142,Parameters!$A:$A,0))*$AC142</f>
        <v>0</v>
      </c>
      <c r="AE142" s="198">
        <f>-INDEX(Parameters!$B:$B,MATCH(AE$3,Parameters!$A:$A,0))*$AC142</f>
        <v>0</v>
      </c>
      <c r="AF142" s="139">
        <f t="shared" si="72"/>
        <v>1000</v>
      </c>
      <c r="AG142" s="522">
        <f t="shared" si="73"/>
        <v>1027.7777777777778</v>
      </c>
      <c r="AH142" s="175"/>
      <c r="AI142" s="523">
        <f>MATCH($U142,'Tarieven W&amp;O'!$B:$B,0)</f>
        <v>41</v>
      </c>
      <c r="AJ142" s="204">
        <f>IF(AI142&lt;&gt;"nvt",INDEX('Tarieven W&amp;O'!$H:$H,$AI142),0)</f>
        <v>0</v>
      </c>
      <c r="AK142" s="204">
        <f>IF(AI142&lt;&gt;"nvt",INDEX('Tarieven W&amp;O'!$I:$I,$AI142),0)</f>
        <v>25</v>
      </c>
      <c r="AL142" s="524">
        <f>IF(AI142&lt;&gt;"nvt",-INDEX(Parameters!$B:$B,MATCH(AL$3,Parameters!$A:$A,0))*(AJ142+AK142),0)</f>
        <v>0</v>
      </c>
      <c r="AM142" s="525"/>
      <c r="AN142" s="139">
        <f t="shared" si="74"/>
        <v>25</v>
      </c>
      <c r="AO142" s="205">
        <f>AN142/INDEX(Parameters!$B:$B,MATCH("AfschrijftermijnVVE"&amp;12*$C142,Parameters!$A:$A,0))</f>
        <v>0.69444444444444442</v>
      </c>
      <c r="AP142" s="139">
        <f t="shared" si="75"/>
        <v>41</v>
      </c>
      <c r="AQ142" s="526">
        <f>IF(AP142&lt;&gt;"nvt",INDEX('Tarieven W&amp;O'!$G:$G,$AP142),0)</f>
        <v>18.47</v>
      </c>
      <c r="AR142" s="251">
        <f>IF($S142,INDEX('Tarieven W&amp;O'!$G:$G,MATCH(N142&amp;R142,'Tarieven W&amp;O'!$B:$B,0)),0)</f>
        <v>0</v>
      </c>
      <c r="AS142" s="205">
        <f>-INDEX(Parameters!$B:$B,MATCH(AS$3,Parameters!$A:$A,0))*(AQ142+AR142)</f>
        <v>0</v>
      </c>
      <c r="AT142" s="205">
        <f>INDEX(hulpblad!$E:$E,MATCH(M142&amp;Q142,hulpblad!$B:$B,0))</f>
        <v>2</v>
      </c>
      <c r="AU142" s="150">
        <f t="shared" si="76"/>
        <v>20.47</v>
      </c>
      <c r="AV142" s="150">
        <f t="shared" si="77"/>
        <v>21.164444444444442</v>
      </c>
      <c r="AX142" s="526">
        <f>Parameters!$B$6*AV142</f>
        <v>0.21164444444444441</v>
      </c>
      <c r="AY142" s="150">
        <v>0</v>
      </c>
      <c r="AZ142" s="150"/>
      <c r="BA142" s="150">
        <f t="shared" si="78"/>
        <v>0.21164444444444441</v>
      </c>
      <c r="BB142" s="150"/>
      <c r="BC142" s="522">
        <f t="shared" si="79"/>
        <v>21.376088888888887</v>
      </c>
      <c r="BD142" s="175"/>
      <c r="BE142" s="527">
        <f t="shared" si="80"/>
        <v>1006.4016888888889</v>
      </c>
      <c r="BF142" s="181">
        <f t="shared" si="81"/>
        <v>0.97920164324324321</v>
      </c>
      <c r="BG142" s="520" t="b">
        <f t="shared" si="93"/>
        <v>0</v>
      </c>
      <c r="BI142" s="528" t="s">
        <v>2181</v>
      </c>
      <c r="BL142" s="151" t="str">
        <f t="shared" si="83"/>
        <v>EoKMetro - Nationaal</v>
      </c>
      <c r="BM142" s="529">
        <v>0</v>
      </c>
      <c r="BN142" s="180">
        <f>BM142/INDEX(Parameters!$B:$B,MATCH("AfschrijftermijnVVE"&amp;12*$C142,Parameters!$A:$A,0))</f>
        <v>0</v>
      </c>
      <c r="BO142" s="184">
        <f>INDEX('inkoop ULL tbv EVPN'!I:I,MATCH(BL142,'inkoop ULL tbv EVPN'!H:H,0))</f>
        <v>2</v>
      </c>
      <c r="BP142" s="184">
        <f t="shared" si="84"/>
        <v>2</v>
      </c>
      <c r="BR142" s="180">
        <f>Parameters!$B$12*AG142</f>
        <v>102.77777777777779</v>
      </c>
      <c r="BS142" s="180">
        <f>SUM(Distributievergoedingen!$F$12,Distributievergoedingen!$I$12,Distributievergoedingen!$L$12,Distributievergoedingen!$O$12)*AF142+SUM(Distributievergoedingen!$O$12*AA142+Distributievergoedingen!$R$12+Distributievergoedingen!$U$12+Distributievergoedingen!$X$12)/(MAX(36,12*C142))</f>
        <v>112.77777777777777</v>
      </c>
      <c r="BT142" s="150"/>
      <c r="BU142" s="150">
        <f t="shared" si="85"/>
        <v>215.55555555555554</v>
      </c>
      <c r="BW142" s="522">
        <f t="shared" si="86"/>
        <v>217.55555555555554</v>
      </c>
      <c r="BY142" s="527">
        <f t="shared" si="87"/>
        <v>810.22222222222229</v>
      </c>
      <c r="BZ142" s="181">
        <f t="shared" si="88"/>
        <v>0.78832432432432431</v>
      </c>
      <c r="CA142" s="520" t="b">
        <f t="shared" si="89"/>
        <v>0</v>
      </c>
    </row>
    <row r="143" spans="1:79" s="151" customFormat="1">
      <c r="A143" s="151" t="str">
        <f t="shared" si="68"/>
        <v>2EoKEntryRegionaal8</v>
      </c>
      <c r="B143" s="520" t="str">
        <f t="shared" si="90"/>
        <v>2EoKEntryRegionaal8</v>
      </c>
      <c r="C143" s="179">
        <v>2</v>
      </c>
      <c r="D143" s="179" t="s">
        <v>303</v>
      </c>
      <c r="E143" s="178" t="s">
        <v>45</v>
      </c>
      <c r="F143" s="178" t="s">
        <v>265</v>
      </c>
      <c r="G143" s="185" t="s">
        <v>411</v>
      </c>
      <c r="J143" s="520" t="str">
        <f t="shared" si="91"/>
        <v>EntryRegionaal8</v>
      </c>
      <c r="L143" s="204">
        <f>INDEX(Mapping!$H:$H,MATCH(C$3&amp;C143,Mapping!$B:$B,0))</f>
        <v>1</v>
      </c>
      <c r="M143" s="204" t="str">
        <f>INDEX(Mapping!$H:$H,MATCH(D$3&amp;$D143,Mapping!$B:$B,0))</f>
        <v>EoK</v>
      </c>
      <c r="N143" s="204" t="str">
        <f>INDEX(Mapping!$H:$H,MATCH(E$3&amp;E143,Mapping!$B:$B,0))</f>
        <v>Lite</v>
      </c>
      <c r="O143" s="204" t="str">
        <f>INDEX(Mapping!$H:$H,MATCH(F$3&amp;F143,Mapping!$B:$B,0))</f>
        <v>Metro</v>
      </c>
      <c r="P143" s="204">
        <f>INDEX(Mapping!$H:$H,MATCH(G$3&amp;G143,Mapping!$B:$B,0))</f>
        <v>8</v>
      </c>
      <c r="Q143" s="204" t="str">
        <f>INDEX(Mapping!$H:$H,MATCH(Q$3&amp;$F143,Mapping!$B:$B,0))</f>
        <v>Metro - Nationaal</v>
      </c>
      <c r="R143" s="204" t="str">
        <f>INDEX(Mapping!$H:$H,MATCH("ZM VPN Service Level"&amp;E143,Mapping!$B:$B,0))</f>
        <v>Advanced</v>
      </c>
      <c r="S143" s="139" t="b">
        <f>IF($D143="EoK",INDEX(Mapping!$I:$I,MATCH($G$3&amp;$G143,Mapping!B:B,0)),FALSE)</f>
        <v>0</v>
      </c>
      <c r="T143" s="139"/>
      <c r="U143" s="520" t="str">
        <f t="shared" si="92"/>
        <v>LiteMetro8</v>
      </c>
      <c r="W143" s="521">
        <f>MATCH($J143,'Tarieven ZM'!$B:$B,0)</f>
        <v>33</v>
      </c>
      <c r="X143" s="204">
        <f>INDEX('Tarieven ZM'!$H:$H,$W143)</f>
        <v>1000</v>
      </c>
      <c r="Y143" s="198">
        <f>-INDEX(Parameters!$B:$B,MATCH(Y$3&amp;$C143,Parameters!$A:$A,0))*$X143</f>
        <v>0</v>
      </c>
      <c r="Z143" s="198">
        <f>-INDEX(Parameters!$B:$B,MATCH(Z$3&amp;$C143,Parameters!$A:$A,0))*$X143</f>
        <v>0</v>
      </c>
      <c r="AA143" s="139">
        <f t="shared" ref="AA143:AA206" si="94">SUM(X143:Z143)</f>
        <v>1000</v>
      </c>
      <c r="AB143" s="205">
        <f>AA143/INDEX(Parameters!$B:$B,MATCH("AfschrijftermijnVVE"&amp;12*$C143,Parameters!$A:$A,0))</f>
        <v>27.777777777777779</v>
      </c>
      <c r="AC143" s="204">
        <f>INDEX('Tarieven ZM'!$G:$G,$W143)</f>
        <v>1000</v>
      </c>
      <c r="AD143" s="198">
        <f>-INDEX(Parameters!$B:$B,MATCH(AD$3&amp;$C143,Parameters!$A:$A,0))*$AC143</f>
        <v>0</v>
      </c>
      <c r="AE143" s="198">
        <f>-INDEX(Parameters!$B:$B,MATCH(AE$3,Parameters!$A:$A,0))*$AC143</f>
        <v>0</v>
      </c>
      <c r="AF143" s="139">
        <f t="shared" ref="AF143:AF206" si="95">SUM(AC143:AE143)</f>
        <v>1000</v>
      </c>
      <c r="AG143" s="522">
        <f t="shared" ref="AG143:AG206" si="96">SUM(AB143,AF143)</f>
        <v>1027.7777777777778</v>
      </c>
      <c r="AH143" s="175"/>
      <c r="AI143" s="523">
        <f>MATCH($U143,'Tarieven W&amp;O'!$B:$B,0)</f>
        <v>42</v>
      </c>
      <c r="AJ143" s="204">
        <f>IF(AI143&lt;&gt;"nvt",INDEX('Tarieven W&amp;O'!$H:$H,$AI143),0)</f>
        <v>0</v>
      </c>
      <c r="AK143" s="204">
        <f>IF(AI143&lt;&gt;"nvt",INDEX('Tarieven W&amp;O'!$I:$I,$AI143),0)</f>
        <v>25</v>
      </c>
      <c r="AL143" s="524">
        <f>IF(AI143&lt;&gt;"nvt",-INDEX(Parameters!$B:$B,MATCH(AL$3,Parameters!$A:$A,0))*(AJ143+AK143),0)</f>
        <v>0</v>
      </c>
      <c r="AM143" s="525"/>
      <c r="AN143" s="139">
        <f t="shared" ref="AN143:AN206" si="97">SUM(AJ143:AM143)</f>
        <v>25</v>
      </c>
      <c r="AO143" s="205">
        <f>AN143/INDEX(Parameters!$B:$B,MATCH("AfschrijftermijnVVE"&amp;12*$C143,Parameters!$A:$A,0))</f>
        <v>0.69444444444444442</v>
      </c>
      <c r="AP143" s="139">
        <f t="shared" ref="AP143:AP206" si="98">AI143</f>
        <v>42</v>
      </c>
      <c r="AQ143" s="526">
        <f>IF(AP143&lt;&gt;"nvt",INDEX('Tarieven W&amp;O'!$G:$G,$AP143),0)</f>
        <v>18.47</v>
      </c>
      <c r="AR143" s="251">
        <f>IF($S143,INDEX('Tarieven W&amp;O'!$G:$G,MATCH(N143&amp;R143,'Tarieven W&amp;O'!$B:$B,0)),0)</f>
        <v>0</v>
      </c>
      <c r="AS143" s="205">
        <f>-INDEX(Parameters!$B:$B,MATCH(AS$3,Parameters!$A:$A,0))*(AQ143+AR143)</f>
        <v>0</v>
      </c>
      <c r="AT143" s="205">
        <f>INDEX(hulpblad!$E:$E,MATCH(M143&amp;Q143,hulpblad!$B:$B,0))</f>
        <v>2</v>
      </c>
      <c r="AU143" s="150">
        <f t="shared" si="76"/>
        <v>20.47</v>
      </c>
      <c r="AV143" s="150">
        <f t="shared" si="77"/>
        <v>21.164444444444442</v>
      </c>
      <c r="AX143" s="526">
        <f>Parameters!$B$6*AV143</f>
        <v>0.21164444444444441</v>
      </c>
      <c r="AY143" s="150">
        <v>0</v>
      </c>
      <c r="AZ143" s="150"/>
      <c r="BA143" s="150">
        <f t="shared" ref="BA143:BA206" si="99">SUM(AX143:AZ143)</f>
        <v>0.21164444444444441</v>
      </c>
      <c r="BB143" s="150"/>
      <c r="BC143" s="522">
        <f t="shared" ref="BC143:BC206" si="100">SUM(AV143,BA143)</f>
        <v>21.376088888888887</v>
      </c>
      <c r="BD143" s="175"/>
      <c r="BE143" s="527">
        <f t="shared" si="80"/>
        <v>1006.4016888888889</v>
      </c>
      <c r="BF143" s="181">
        <f t="shared" si="81"/>
        <v>0.97920164324324321</v>
      </c>
      <c r="BG143" s="520" t="b">
        <f t="shared" si="93"/>
        <v>0</v>
      </c>
      <c r="BI143" s="528" t="s">
        <v>2181</v>
      </c>
      <c r="BL143" s="151" t="str">
        <f t="shared" si="83"/>
        <v>EoKMetro - Nationaal</v>
      </c>
      <c r="BM143" s="529">
        <v>0</v>
      </c>
      <c r="BN143" s="180">
        <f>BM143/INDEX(Parameters!$B:$B,MATCH("AfschrijftermijnVVE"&amp;12*$C143,Parameters!$A:$A,0))</f>
        <v>0</v>
      </c>
      <c r="BO143" s="184">
        <f>INDEX('inkoop ULL tbv EVPN'!I:I,MATCH(BL143,'inkoop ULL tbv EVPN'!H:H,0))</f>
        <v>2</v>
      </c>
      <c r="BP143" s="184">
        <f t="shared" si="84"/>
        <v>2</v>
      </c>
      <c r="BR143" s="180">
        <f>Parameters!$B$12*AG143</f>
        <v>102.77777777777779</v>
      </c>
      <c r="BS143" s="180">
        <f>SUM(Distributievergoedingen!$F$12,Distributievergoedingen!$I$12,Distributievergoedingen!$L$12,Distributievergoedingen!$O$12)*AF143+SUM(Distributievergoedingen!$O$12*AA143+Distributievergoedingen!$R$12+Distributievergoedingen!$U$12+Distributievergoedingen!$X$12)/(MAX(36,12*C143))</f>
        <v>112.77777777777777</v>
      </c>
      <c r="BT143" s="150"/>
      <c r="BU143" s="150">
        <f t="shared" si="85"/>
        <v>215.55555555555554</v>
      </c>
      <c r="BW143" s="522">
        <f t="shared" si="86"/>
        <v>217.55555555555554</v>
      </c>
      <c r="BY143" s="527">
        <f t="shared" si="87"/>
        <v>810.22222222222229</v>
      </c>
      <c r="BZ143" s="181">
        <f t="shared" si="88"/>
        <v>0.78832432432432431</v>
      </c>
      <c r="CA143" s="520" t="b">
        <f t="shared" si="89"/>
        <v>0</v>
      </c>
    </row>
    <row r="144" spans="1:79" s="151" customFormat="1">
      <c r="A144" s="151" t="str">
        <f t="shared" si="68"/>
        <v>2EoKEntryRegionaal10</v>
      </c>
      <c r="B144" s="520" t="str">
        <f t="shared" si="90"/>
        <v>2EoKEntryRegionaal10</v>
      </c>
      <c r="C144" s="179">
        <v>2</v>
      </c>
      <c r="D144" s="179" t="s">
        <v>303</v>
      </c>
      <c r="E144" s="178" t="s">
        <v>45</v>
      </c>
      <c r="F144" s="178" t="s">
        <v>265</v>
      </c>
      <c r="G144" s="185" t="s">
        <v>412</v>
      </c>
      <c r="J144" s="520" t="str">
        <f t="shared" si="91"/>
        <v>EntryRegionaal10</v>
      </c>
      <c r="L144" s="204">
        <f>INDEX(Mapping!$H:$H,MATCH(C$3&amp;C144,Mapping!$B:$B,0))</f>
        <v>1</v>
      </c>
      <c r="M144" s="204" t="str">
        <f>INDEX(Mapping!$H:$H,MATCH(D$3&amp;$D144,Mapping!$B:$B,0))</f>
        <v>EoK</v>
      </c>
      <c r="N144" s="204" t="str">
        <f>INDEX(Mapping!$H:$H,MATCH(E$3&amp;E144,Mapping!$B:$B,0))</f>
        <v>Lite</v>
      </c>
      <c r="O144" s="204" t="str">
        <f>INDEX(Mapping!$H:$H,MATCH(F$3&amp;F144,Mapping!$B:$B,0))</f>
        <v>Metro</v>
      </c>
      <c r="P144" s="204">
        <f>INDEX(Mapping!$H:$H,MATCH(G$3&amp;G144,Mapping!$B:$B,0))</f>
        <v>10</v>
      </c>
      <c r="Q144" s="204" t="str">
        <f>INDEX(Mapping!$H:$H,MATCH(Q$3&amp;$F144,Mapping!$B:$B,0))</f>
        <v>Metro - Nationaal</v>
      </c>
      <c r="R144" s="204" t="str">
        <f>INDEX(Mapping!$H:$H,MATCH("ZM VPN Service Level"&amp;E144,Mapping!$B:$B,0))</f>
        <v>Advanced</v>
      </c>
      <c r="S144" s="139" t="b">
        <f>IF($D144="EoK",INDEX(Mapping!$I:$I,MATCH($G$3&amp;$G144,Mapping!B:B,0)),FALSE)</f>
        <v>0</v>
      </c>
      <c r="T144" s="139"/>
      <c r="U144" s="520" t="str">
        <f t="shared" si="92"/>
        <v>LiteMetro10</v>
      </c>
      <c r="W144" s="521">
        <f>MATCH($J144,'Tarieven ZM'!$B:$B,0)</f>
        <v>34</v>
      </c>
      <c r="X144" s="204">
        <f>INDEX('Tarieven ZM'!$H:$H,$W144)</f>
        <v>1000</v>
      </c>
      <c r="Y144" s="198">
        <f>-INDEX(Parameters!$B:$B,MATCH(Y$3&amp;$C144,Parameters!$A:$A,0))*$X144</f>
        <v>0</v>
      </c>
      <c r="Z144" s="198">
        <f>-INDEX(Parameters!$B:$B,MATCH(Z$3&amp;$C144,Parameters!$A:$A,0))*$X144</f>
        <v>0</v>
      </c>
      <c r="AA144" s="139">
        <f t="shared" si="94"/>
        <v>1000</v>
      </c>
      <c r="AB144" s="205">
        <f>AA144/INDEX(Parameters!$B:$B,MATCH("AfschrijftermijnVVE"&amp;12*$C144,Parameters!$A:$A,0))</f>
        <v>27.777777777777779</v>
      </c>
      <c r="AC144" s="204">
        <f>INDEX('Tarieven ZM'!$G:$G,$W144)</f>
        <v>1000</v>
      </c>
      <c r="AD144" s="198">
        <f>-INDEX(Parameters!$B:$B,MATCH(AD$3&amp;$C144,Parameters!$A:$A,0))*$AC144</f>
        <v>0</v>
      </c>
      <c r="AE144" s="198">
        <f>-INDEX(Parameters!$B:$B,MATCH(AE$3,Parameters!$A:$A,0))*$AC144</f>
        <v>0</v>
      </c>
      <c r="AF144" s="139">
        <f t="shared" si="95"/>
        <v>1000</v>
      </c>
      <c r="AG144" s="522">
        <f t="shared" si="96"/>
        <v>1027.7777777777778</v>
      </c>
      <c r="AH144" s="175"/>
      <c r="AI144" s="523">
        <f>MATCH($U144,'Tarieven W&amp;O'!$B:$B,0)</f>
        <v>43</v>
      </c>
      <c r="AJ144" s="204">
        <f>IF(AI144&lt;&gt;"nvt",INDEX('Tarieven W&amp;O'!$H:$H,$AI144),0)</f>
        <v>0</v>
      </c>
      <c r="AK144" s="204">
        <f>IF(AI144&lt;&gt;"nvt",INDEX('Tarieven W&amp;O'!$I:$I,$AI144),0)</f>
        <v>25</v>
      </c>
      <c r="AL144" s="524">
        <f>IF(AI144&lt;&gt;"nvt",-INDEX(Parameters!$B:$B,MATCH(AL$3,Parameters!$A:$A,0))*(AJ144+AK144),0)</f>
        <v>0</v>
      </c>
      <c r="AM144" s="525"/>
      <c r="AN144" s="139">
        <f t="shared" si="97"/>
        <v>25</v>
      </c>
      <c r="AO144" s="205">
        <f>AN144/INDEX(Parameters!$B:$B,MATCH("AfschrijftermijnVVE"&amp;12*$C144,Parameters!$A:$A,0))</f>
        <v>0.69444444444444442</v>
      </c>
      <c r="AP144" s="139">
        <f t="shared" si="98"/>
        <v>43</v>
      </c>
      <c r="AQ144" s="526">
        <f>IF(AP144&lt;&gt;"nvt",INDEX('Tarieven W&amp;O'!$G:$G,$AP144),0)</f>
        <v>18.47</v>
      </c>
      <c r="AR144" s="251">
        <f>IF($S144,INDEX('Tarieven W&amp;O'!$G:$G,MATCH(N144&amp;R144,'Tarieven W&amp;O'!$B:$B,0)),0)</f>
        <v>0</v>
      </c>
      <c r="AS144" s="205">
        <f>-INDEX(Parameters!$B:$B,MATCH(AS$3,Parameters!$A:$A,0))*(AQ144+AR144)</f>
        <v>0</v>
      </c>
      <c r="AT144" s="205">
        <f>INDEX(hulpblad!$E:$E,MATCH(M144&amp;Q144,hulpblad!$B:$B,0))</f>
        <v>2</v>
      </c>
      <c r="AU144" s="150">
        <f t="shared" si="76"/>
        <v>20.47</v>
      </c>
      <c r="AV144" s="150">
        <f t="shared" si="77"/>
        <v>21.164444444444442</v>
      </c>
      <c r="AX144" s="526">
        <f>Parameters!$B$6*AV144</f>
        <v>0.21164444444444441</v>
      </c>
      <c r="AY144" s="150">
        <v>0</v>
      </c>
      <c r="AZ144" s="150"/>
      <c r="BA144" s="150">
        <f t="shared" si="99"/>
        <v>0.21164444444444441</v>
      </c>
      <c r="BB144" s="150"/>
      <c r="BC144" s="522">
        <f t="shared" si="100"/>
        <v>21.376088888888887</v>
      </c>
      <c r="BD144" s="175"/>
      <c r="BE144" s="527">
        <f t="shared" si="80"/>
        <v>1006.4016888888889</v>
      </c>
      <c r="BF144" s="181">
        <f t="shared" si="81"/>
        <v>0.97920164324324321</v>
      </c>
      <c r="BG144" s="520" t="b">
        <f t="shared" si="93"/>
        <v>0</v>
      </c>
      <c r="BI144" s="528" t="s">
        <v>2181</v>
      </c>
      <c r="BL144" s="151" t="str">
        <f t="shared" si="83"/>
        <v>EoKMetro - Nationaal</v>
      </c>
      <c r="BM144" s="529">
        <v>0</v>
      </c>
      <c r="BN144" s="180">
        <f>BM144/INDEX(Parameters!$B:$B,MATCH("AfschrijftermijnVVE"&amp;12*$C144,Parameters!$A:$A,0))</f>
        <v>0</v>
      </c>
      <c r="BO144" s="184">
        <f>INDEX('inkoop ULL tbv EVPN'!I:I,MATCH(BL144,'inkoop ULL tbv EVPN'!H:H,0))</f>
        <v>2</v>
      </c>
      <c r="BP144" s="184">
        <f t="shared" si="84"/>
        <v>2</v>
      </c>
      <c r="BR144" s="180">
        <f>Parameters!$B$12*AG144</f>
        <v>102.77777777777779</v>
      </c>
      <c r="BS144" s="180">
        <f>SUM(Distributievergoedingen!$F$12,Distributievergoedingen!$I$12,Distributievergoedingen!$L$12,Distributievergoedingen!$O$12)*AF144+SUM(Distributievergoedingen!$O$12*AA144+Distributievergoedingen!$R$12+Distributievergoedingen!$U$12+Distributievergoedingen!$X$12)/(MAX(36,12*C144))</f>
        <v>112.77777777777777</v>
      </c>
      <c r="BT144" s="150"/>
      <c r="BU144" s="150">
        <f t="shared" si="85"/>
        <v>215.55555555555554</v>
      </c>
      <c r="BW144" s="522">
        <f t="shared" si="86"/>
        <v>217.55555555555554</v>
      </c>
      <c r="BY144" s="527">
        <f t="shared" si="87"/>
        <v>810.22222222222229</v>
      </c>
      <c r="BZ144" s="181">
        <f t="shared" si="88"/>
        <v>0.78832432432432431</v>
      </c>
      <c r="CA144" s="520" t="b">
        <f t="shared" si="89"/>
        <v>0</v>
      </c>
    </row>
    <row r="145" spans="1:79" s="151" customFormat="1">
      <c r="A145" s="151" t="str">
        <f t="shared" si="68"/>
        <v>2EoKEntryRegionaal15</v>
      </c>
      <c r="B145" s="520" t="str">
        <f t="shared" si="90"/>
        <v>2EoKEntryRegionaal15</v>
      </c>
      <c r="C145" s="179">
        <v>2</v>
      </c>
      <c r="D145" s="179" t="s">
        <v>303</v>
      </c>
      <c r="E145" s="178" t="s">
        <v>45</v>
      </c>
      <c r="F145" s="178" t="s">
        <v>265</v>
      </c>
      <c r="G145" s="185" t="s">
        <v>413</v>
      </c>
      <c r="J145" s="520" t="str">
        <f t="shared" si="91"/>
        <v>EntryRegionaal15</v>
      </c>
      <c r="L145" s="204">
        <f>INDEX(Mapping!$H:$H,MATCH(C$3&amp;C145,Mapping!$B:$B,0))</f>
        <v>1</v>
      </c>
      <c r="M145" s="204" t="str">
        <f>INDEX(Mapping!$H:$H,MATCH(D$3&amp;$D145,Mapping!$B:$B,0))</f>
        <v>EoK</v>
      </c>
      <c r="N145" s="204" t="str">
        <f>INDEX(Mapping!$H:$H,MATCH(E$3&amp;E145,Mapping!$B:$B,0))</f>
        <v>Lite</v>
      </c>
      <c r="O145" s="204" t="str">
        <f>INDEX(Mapping!$H:$H,MATCH(F$3&amp;F145,Mapping!$B:$B,0))</f>
        <v>Metro</v>
      </c>
      <c r="P145" s="204">
        <f>INDEX(Mapping!$H:$H,MATCH(G$3&amp;G145,Mapping!$B:$B,0))</f>
        <v>15</v>
      </c>
      <c r="Q145" s="204" t="str">
        <f>INDEX(Mapping!$H:$H,MATCH(Q$3&amp;$F145,Mapping!$B:$B,0))</f>
        <v>Metro - Nationaal</v>
      </c>
      <c r="R145" s="204" t="str">
        <f>INDEX(Mapping!$H:$H,MATCH("ZM VPN Service Level"&amp;E145,Mapping!$B:$B,0))</f>
        <v>Advanced</v>
      </c>
      <c r="S145" s="139" t="b">
        <f>IF($D145="EoK",INDEX(Mapping!$I:$I,MATCH($G$3&amp;$G145,Mapping!B:B,0)),FALSE)</f>
        <v>0</v>
      </c>
      <c r="T145" s="139"/>
      <c r="U145" s="520" t="str">
        <f t="shared" si="92"/>
        <v>LiteMetro15</v>
      </c>
      <c r="W145" s="521">
        <f>MATCH($J145,'Tarieven ZM'!$B:$B,0)</f>
        <v>35</v>
      </c>
      <c r="X145" s="204">
        <f>INDEX('Tarieven ZM'!$H:$H,$W145)</f>
        <v>1000</v>
      </c>
      <c r="Y145" s="198">
        <f>-INDEX(Parameters!$B:$B,MATCH(Y$3&amp;$C145,Parameters!$A:$A,0))*$X145</f>
        <v>0</v>
      </c>
      <c r="Z145" s="198">
        <f>-INDEX(Parameters!$B:$B,MATCH(Z$3&amp;$C145,Parameters!$A:$A,0))*$X145</f>
        <v>0</v>
      </c>
      <c r="AA145" s="139">
        <f t="shared" si="94"/>
        <v>1000</v>
      </c>
      <c r="AB145" s="205">
        <f>AA145/INDEX(Parameters!$B:$B,MATCH("AfschrijftermijnVVE"&amp;12*$C145,Parameters!$A:$A,0))</f>
        <v>27.777777777777779</v>
      </c>
      <c r="AC145" s="204">
        <f>INDEX('Tarieven ZM'!$G:$G,$W145)</f>
        <v>1000</v>
      </c>
      <c r="AD145" s="198">
        <f>-INDEX(Parameters!$B:$B,MATCH(AD$3&amp;$C145,Parameters!$A:$A,0))*$AC145</f>
        <v>0</v>
      </c>
      <c r="AE145" s="198">
        <f>-INDEX(Parameters!$B:$B,MATCH(AE$3,Parameters!$A:$A,0))*$AC145</f>
        <v>0</v>
      </c>
      <c r="AF145" s="139">
        <f t="shared" si="95"/>
        <v>1000</v>
      </c>
      <c r="AG145" s="522">
        <f t="shared" si="96"/>
        <v>1027.7777777777778</v>
      </c>
      <c r="AH145" s="175"/>
      <c r="AI145" s="523">
        <f>MATCH($U145,'Tarieven W&amp;O'!$B:$B,0)</f>
        <v>44</v>
      </c>
      <c r="AJ145" s="204">
        <f>IF(AI145&lt;&gt;"nvt",INDEX('Tarieven W&amp;O'!$H:$H,$AI145),0)</f>
        <v>0</v>
      </c>
      <c r="AK145" s="204">
        <f>IF(AI145&lt;&gt;"nvt",INDEX('Tarieven W&amp;O'!$I:$I,$AI145),0)</f>
        <v>25</v>
      </c>
      <c r="AL145" s="524">
        <f>IF(AI145&lt;&gt;"nvt",-INDEX(Parameters!$B:$B,MATCH(AL$3,Parameters!$A:$A,0))*(AJ145+AK145),0)</f>
        <v>0</v>
      </c>
      <c r="AM145" s="525"/>
      <c r="AN145" s="139">
        <f t="shared" si="97"/>
        <v>25</v>
      </c>
      <c r="AO145" s="205">
        <f>AN145/INDEX(Parameters!$B:$B,MATCH("AfschrijftermijnVVE"&amp;12*$C145,Parameters!$A:$A,0))</f>
        <v>0.69444444444444442</v>
      </c>
      <c r="AP145" s="139">
        <f t="shared" si="98"/>
        <v>44</v>
      </c>
      <c r="AQ145" s="526">
        <f>IF(AP145&lt;&gt;"nvt",INDEX('Tarieven W&amp;O'!$G:$G,$AP145),0)</f>
        <v>22.24</v>
      </c>
      <c r="AR145" s="251">
        <f>IF($S145,INDEX('Tarieven W&amp;O'!$G:$G,MATCH(N145&amp;R145,'Tarieven W&amp;O'!$B:$B,0)),0)</f>
        <v>0</v>
      </c>
      <c r="AS145" s="205">
        <f>-INDEX(Parameters!$B:$B,MATCH(AS$3,Parameters!$A:$A,0))*(AQ145+AR145)</f>
        <v>0</v>
      </c>
      <c r="AT145" s="205">
        <f>INDEX(hulpblad!$E:$E,MATCH(M145&amp;Q145,hulpblad!$B:$B,0))</f>
        <v>2</v>
      </c>
      <c r="AU145" s="150">
        <f t="shared" si="76"/>
        <v>24.24</v>
      </c>
      <c r="AV145" s="150">
        <f t="shared" si="77"/>
        <v>24.934444444444441</v>
      </c>
      <c r="AX145" s="526">
        <f>Parameters!$B$6*AV145</f>
        <v>0.24934444444444442</v>
      </c>
      <c r="AY145" s="150">
        <v>0</v>
      </c>
      <c r="AZ145" s="150"/>
      <c r="BA145" s="150">
        <f t="shared" si="99"/>
        <v>0.24934444444444442</v>
      </c>
      <c r="BB145" s="150"/>
      <c r="BC145" s="522">
        <f t="shared" si="100"/>
        <v>25.183788888888884</v>
      </c>
      <c r="BD145" s="175"/>
      <c r="BE145" s="527">
        <f t="shared" si="80"/>
        <v>1002.5939888888889</v>
      </c>
      <c r="BF145" s="181">
        <f t="shared" si="81"/>
        <v>0.97549685405405406</v>
      </c>
      <c r="BG145" s="520" t="b">
        <f t="shared" si="93"/>
        <v>0</v>
      </c>
      <c r="BI145" s="528" t="s">
        <v>2181</v>
      </c>
      <c r="BL145" s="151" t="str">
        <f t="shared" si="83"/>
        <v>EoKMetro - Nationaal</v>
      </c>
      <c r="BM145" s="529">
        <v>0</v>
      </c>
      <c r="BN145" s="180">
        <f>BM145/INDEX(Parameters!$B:$B,MATCH("AfschrijftermijnVVE"&amp;12*$C145,Parameters!$A:$A,0))</f>
        <v>0</v>
      </c>
      <c r="BO145" s="184">
        <f>INDEX('inkoop ULL tbv EVPN'!I:I,MATCH(BL145,'inkoop ULL tbv EVPN'!H:H,0))</f>
        <v>2</v>
      </c>
      <c r="BP145" s="184">
        <f t="shared" si="84"/>
        <v>2</v>
      </c>
      <c r="BR145" s="180">
        <f>Parameters!$B$12*AG145</f>
        <v>102.77777777777779</v>
      </c>
      <c r="BS145" s="180">
        <f>SUM(Distributievergoedingen!$F$12,Distributievergoedingen!$I$12,Distributievergoedingen!$L$12,Distributievergoedingen!$O$12)*AF145+SUM(Distributievergoedingen!$O$12*AA145+Distributievergoedingen!$R$12+Distributievergoedingen!$U$12+Distributievergoedingen!$X$12)/(MAX(36,12*C145))</f>
        <v>112.77777777777777</v>
      </c>
      <c r="BT145" s="150"/>
      <c r="BU145" s="150">
        <f t="shared" si="85"/>
        <v>215.55555555555554</v>
      </c>
      <c r="BW145" s="522">
        <f t="shared" si="86"/>
        <v>217.55555555555554</v>
      </c>
      <c r="BY145" s="527">
        <f t="shared" si="87"/>
        <v>810.22222222222229</v>
      </c>
      <c r="BZ145" s="181">
        <f t="shared" si="88"/>
        <v>0.78832432432432431</v>
      </c>
      <c r="CA145" s="520" t="b">
        <f t="shared" si="89"/>
        <v>0</v>
      </c>
    </row>
    <row r="146" spans="1:79" s="151" customFormat="1">
      <c r="A146" s="151" t="str">
        <f t="shared" si="68"/>
        <v>2EoKEntryRegionaal20</v>
      </c>
      <c r="B146" s="520" t="str">
        <f t="shared" si="90"/>
        <v>2EoKEntryRegionaal20</v>
      </c>
      <c r="C146" s="179">
        <v>2</v>
      </c>
      <c r="D146" s="179" t="s">
        <v>303</v>
      </c>
      <c r="E146" s="178" t="s">
        <v>45</v>
      </c>
      <c r="F146" s="178" t="s">
        <v>265</v>
      </c>
      <c r="G146" s="185" t="s">
        <v>414</v>
      </c>
      <c r="J146" s="520" t="str">
        <f t="shared" si="91"/>
        <v>EntryRegionaal20</v>
      </c>
      <c r="L146" s="204">
        <f>INDEX(Mapping!$H:$H,MATCH(C$3&amp;C146,Mapping!$B:$B,0))</f>
        <v>1</v>
      </c>
      <c r="M146" s="204" t="str">
        <f>INDEX(Mapping!$H:$H,MATCH(D$3&amp;$D146,Mapping!$B:$B,0))</f>
        <v>EoK</v>
      </c>
      <c r="N146" s="204" t="str">
        <f>INDEX(Mapping!$H:$H,MATCH(E$3&amp;E146,Mapping!$B:$B,0))</f>
        <v>Lite</v>
      </c>
      <c r="O146" s="204" t="str">
        <f>INDEX(Mapping!$H:$H,MATCH(F$3&amp;F146,Mapping!$B:$B,0))</f>
        <v>Metro</v>
      </c>
      <c r="P146" s="204">
        <f>INDEX(Mapping!$H:$H,MATCH(G$3&amp;G146,Mapping!$B:$B,0))</f>
        <v>20</v>
      </c>
      <c r="Q146" s="204" t="str">
        <f>INDEX(Mapping!$H:$H,MATCH(Q$3&amp;$F146,Mapping!$B:$B,0))</f>
        <v>Metro - Nationaal</v>
      </c>
      <c r="R146" s="204" t="str">
        <f>INDEX(Mapping!$H:$H,MATCH("ZM VPN Service Level"&amp;E146,Mapping!$B:$B,0))</f>
        <v>Advanced</v>
      </c>
      <c r="S146" s="139" t="b">
        <f>IF($D146="EoK",INDEX(Mapping!$I:$I,MATCH($G$3&amp;$G146,Mapping!B:B,0)),FALSE)</f>
        <v>0</v>
      </c>
      <c r="T146" s="139"/>
      <c r="U146" s="520" t="str">
        <f t="shared" si="92"/>
        <v>LiteMetro20</v>
      </c>
      <c r="W146" s="521">
        <f>MATCH($J146,'Tarieven ZM'!$B:$B,0)</f>
        <v>36</v>
      </c>
      <c r="X146" s="204">
        <f>INDEX('Tarieven ZM'!$H:$H,$W146)</f>
        <v>1000</v>
      </c>
      <c r="Y146" s="198">
        <f>-INDEX(Parameters!$B:$B,MATCH(Y$3&amp;$C146,Parameters!$A:$A,0))*$X146</f>
        <v>0</v>
      </c>
      <c r="Z146" s="198">
        <f>-INDEX(Parameters!$B:$B,MATCH(Z$3&amp;$C146,Parameters!$A:$A,0))*$X146</f>
        <v>0</v>
      </c>
      <c r="AA146" s="139">
        <f t="shared" si="94"/>
        <v>1000</v>
      </c>
      <c r="AB146" s="205">
        <f>AA146/INDEX(Parameters!$B:$B,MATCH("AfschrijftermijnVVE"&amp;12*$C146,Parameters!$A:$A,0))</f>
        <v>27.777777777777779</v>
      </c>
      <c r="AC146" s="204">
        <f>INDEX('Tarieven ZM'!$G:$G,$W146)</f>
        <v>1000</v>
      </c>
      <c r="AD146" s="198">
        <f>-INDEX(Parameters!$B:$B,MATCH(AD$3&amp;$C146,Parameters!$A:$A,0))*$AC146</f>
        <v>0</v>
      </c>
      <c r="AE146" s="198">
        <f>-INDEX(Parameters!$B:$B,MATCH(AE$3,Parameters!$A:$A,0))*$AC146</f>
        <v>0</v>
      </c>
      <c r="AF146" s="139">
        <f t="shared" si="95"/>
        <v>1000</v>
      </c>
      <c r="AG146" s="522">
        <f t="shared" si="96"/>
        <v>1027.7777777777778</v>
      </c>
      <c r="AH146" s="175"/>
      <c r="AI146" s="523">
        <f>MATCH($U146,'Tarieven W&amp;O'!$B:$B,0)</f>
        <v>45</v>
      </c>
      <c r="AJ146" s="204">
        <f>IF(AI146&lt;&gt;"nvt",INDEX('Tarieven W&amp;O'!$H:$H,$AI146),0)</f>
        <v>0</v>
      </c>
      <c r="AK146" s="204">
        <f>IF(AI146&lt;&gt;"nvt",INDEX('Tarieven W&amp;O'!$I:$I,$AI146),0)</f>
        <v>25</v>
      </c>
      <c r="AL146" s="524">
        <f>IF(AI146&lt;&gt;"nvt",-INDEX(Parameters!$B:$B,MATCH(AL$3,Parameters!$A:$A,0))*(AJ146+AK146),0)</f>
        <v>0</v>
      </c>
      <c r="AM146" s="525"/>
      <c r="AN146" s="139">
        <f t="shared" si="97"/>
        <v>25</v>
      </c>
      <c r="AO146" s="205">
        <f>AN146/INDEX(Parameters!$B:$B,MATCH("AfschrijftermijnVVE"&amp;12*$C146,Parameters!$A:$A,0))</f>
        <v>0.69444444444444442</v>
      </c>
      <c r="AP146" s="139">
        <f t="shared" si="98"/>
        <v>45</v>
      </c>
      <c r="AQ146" s="526">
        <f>IF(AP146&lt;&gt;"nvt",INDEX('Tarieven W&amp;O'!$G:$G,$AP146),0)</f>
        <v>29.78</v>
      </c>
      <c r="AR146" s="251">
        <f>IF($S146,INDEX('Tarieven W&amp;O'!$G:$G,MATCH(N146&amp;R146,'Tarieven W&amp;O'!$B:$B,0)),0)</f>
        <v>0</v>
      </c>
      <c r="AS146" s="205">
        <f>-INDEX(Parameters!$B:$B,MATCH(AS$3,Parameters!$A:$A,0))*(AQ146+AR146)</f>
        <v>0</v>
      </c>
      <c r="AT146" s="205">
        <f>INDEX(hulpblad!$E:$E,MATCH(M146&amp;Q146,hulpblad!$B:$B,0))</f>
        <v>2</v>
      </c>
      <c r="AU146" s="150">
        <f t="shared" si="76"/>
        <v>31.78</v>
      </c>
      <c r="AV146" s="150">
        <f t="shared" si="77"/>
        <v>32.474444444444444</v>
      </c>
      <c r="AX146" s="526">
        <f>Parameters!$B$6*AV146</f>
        <v>0.32474444444444445</v>
      </c>
      <c r="AY146" s="150">
        <v>0</v>
      </c>
      <c r="AZ146" s="150"/>
      <c r="BA146" s="150">
        <f t="shared" si="99"/>
        <v>0.32474444444444445</v>
      </c>
      <c r="BB146" s="150"/>
      <c r="BC146" s="522">
        <f t="shared" si="100"/>
        <v>32.799188888888885</v>
      </c>
      <c r="BD146" s="175"/>
      <c r="BE146" s="527">
        <f t="shared" si="80"/>
        <v>994.97858888888891</v>
      </c>
      <c r="BF146" s="181">
        <f t="shared" si="81"/>
        <v>0.96808727567567565</v>
      </c>
      <c r="BG146" s="520" t="b">
        <f t="shared" si="93"/>
        <v>0</v>
      </c>
      <c r="BI146" s="528" t="s">
        <v>2181</v>
      </c>
      <c r="BL146" s="151" t="str">
        <f t="shared" si="83"/>
        <v>EoKMetro - Nationaal</v>
      </c>
      <c r="BM146" s="529">
        <v>0</v>
      </c>
      <c r="BN146" s="180">
        <f>BM146/INDEX(Parameters!$B:$B,MATCH("AfschrijftermijnVVE"&amp;12*$C146,Parameters!$A:$A,0))</f>
        <v>0</v>
      </c>
      <c r="BO146" s="184">
        <f>INDEX('inkoop ULL tbv EVPN'!I:I,MATCH(BL146,'inkoop ULL tbv EVPN'!H:H,0))</f>
        <v>2</v>
      </c>
      <c r="BP146" s="184">
        <f t="shared" si="84"/>
        <v>2</v>
      </c>
      <c r="BR146" s="180">
        <f>Parameters!$B$12*AG146</f>
        <v>102.77777777777779</v>
      </c>
      <c r="BS146" s="180">
        <f>SUM(Distributievergoedingen!$F$12,Distributievergoedingen!$I$12,Distributievergoedingen!$L$12,Distributievergoedingen!$O$12)*AF146+SUM(Distributievergoedingen!$O$12*AA146+Distributievergoedingen!$R$12+Distributievergoedingen!$U$12+Distributievergoedingen!$X$12)/(MAX(36,12*C146))</f>
        <v>112.77777777777777</v>
      </c>
      <c r="BT146" s="150"/>
      <c r="BU146" s="150">
        <f t="shared" si="85"/>
        <v>215.55555555555554</v>
      </c>
      <c r="BW146" s="522">
        <f t="shared" si="86"/>
        <v>217.55555555555554</v>
      </c>
      <c r="BY146" s="527">
        <f t="shared" si="87"/>
        <v>810.22222222222229</v>
      </c>
      <c r="BZ146" s="181">
        <f t="shared" si="88"/>
        <v>0.78832432432432431</v>
      </c>
      <c r="CA146" s="520" t="b">
        <f t="shared" si="89"/>
        <v>0</v>
      </c>
    </row>
    <row r="147" spans="1:79" s="151" customFormat="1">
      <c r="A147" s="151" t="str">
        <f t="shared" si="68"/>
        <v>2EoKEntryRegionaal30</v>
      </c>
      <c r="B147" s="520" t="str">
        <f t="shared" si="90"/>
        <v>2EoKEntryRegionaal30</v>
      </c>
      <c r="C147" s="179">
        <v>2</v>
      </c>
      <c r="D147" s="179" t="s">
        <v>303</v>
      </c>
      <c r="E147" s="178" t="s">
        <v>45</v>
      </c>
      <c r="F147" s="178" t="s">
        <v>265</v>
      </c>
      <c r="G147" s="185" t="s">
        <v>415</v>
      </c>
      <c r="J147" s="520" t="str">
        <f t="shared" si="91"/>
        <v>EntryRegionaal30</v>
      </c>
      <c r="L147" s="204">
        <f>INDEX(Mapping!$H:$H,MATCH(C$3&amp;C147,Mapping!$B:$B,0))</f>
        <v>1</v>
      </c>
      <c r="M147" s="204" t="str">
        <f>INDEX(Mapping!$H:$H,MATCH(D$3&amp;$D147,Mapping!$B:$B,0))</f>
        <v>EoK</v>
      </c>
      <c r="N147" s="204" t="str">
        <f>INDEX(Mapping!$H:$H,MATCH(E$3&amp;E147,Mapping!$B:$B,0))</f>
        <v>Lite</v>
      </c>
      <c r="O147" s="204" t="str">
        <f>INDEX(Mapping!$H:$H,MATCH(F$3&amp;F147,Mapping!$B:$B,0))</f>
        <v>Metro</v>
      </c>
      <c r="P147" s="204">
        <f>INDEX(Mapping!$H:$H,MATCH(G$3&amp;G147,Mapping!$B:$B,0))</f>
        <v>30</v>
      </c>
      <c r="Q147" s="204" t="str">
        <f>INDEX(Mapping!$H:$H,MATCH(Q$3&amp;$F147,Mapping!$B:$B,0))</f>
        <v>Metro - Nationaal</v>
      </c>
      <c r="R147" s="204" t="str">
        <f>INDEX(Mapping!$H:$H,MATCH("ZM VPN Service Level"&amp;E147,Mapping!$B:$B,0))</f>
        <v>Advanced</v>
      </c>
      <c r="S147" s="139" t="b">
        <f>IF($D147="EoK",INDEX(Mapping!$I:$I,MATCH($G$3&amp;$G147,Mapping!B:B,0)),FALSE)</f>
        <v>0</v>
      </c>
      <c r="T147" s="139"/>
      <c r="U147" s="520" t="str">
        <f t="shared" si="92"/>
        <v>LiteMetro30</v>
      </c>
      <c r="W147" s="521">
        <f>MATCH($J147,'Tarieven ZM'!$B:$B,0)</f>
        <v>37</v>
      </c>
      <c r="X147" s="204">
        <f>INDEX('Tarieven ZM'!$H:$H,$W147)</f>
        <v>1000</v>
      </c>
      <c r="Y147" s="198">
        <f>-INDEX(Parameters!$B:$B,MATCH(Y$3&amp;$C147,Parameters!$A:$A,0))*$X147</f>
        <v>0</v>
      </c>
      <c r="Z147" s="198">
        <f>-INDEX(Parameters!$B:$B,MATCH(Z$3&amp;$C147,Parameters!$A:$A,0))*$X147</f>
        <v>0</v>
      </c>
      <c r="AA147" s="139">
        <f t="shared" si="94"/>
        <v>1000</v>
      </c>
      <c r="AB147" s="205">
        <f>AA147/INDEX(Parameters!$B:$B,MATCH("AfschrijftermijnVVE"&amp;12*$C147,Parameters!$A:$A,0))</f>
        <v>27.777777777777779</v>
      </c>
      <c r="AC147" s="204">
        <f>INDEX('Tarieven ZM'!$G:$G,$W147)</f>
        <v>1000</v>
      </c>
      <c r="AD147" s="198">
        <f>-INDEX(Parameters!$B:$B,MATCH(AD$3&amp;$C147,Parameters!$A:$A,0))*$AC147</f>
        <v>0</v>
      </c>
      <c r="AE147" s="198">
        <f>-INDEX(Parameters!$B:$B,MATCH(AE$3,Parameters!$A:$A,0))*$AC147</f>
        <v>0</v>
      </c>
      <c r="AF147" s="139">
        <f t="shared" si="95"/>
        <v>1000</v>
      </c>
      <c r="AG147" s="522">
        <f t="shared" si="96"/>
        <v>1027.7777777777778</v>
      </c>
      <c r="AH147" s="175"/>
      <c r="AI147" s="523">
        <f>MATCH($U147,'Tarieven W&amp;O'!$B:$B,0)</f>
        <v>46</v>
      </c>
      <c r="AJ147" s="204">
        <f>IF(AI147&lt;&gt;"nvt",INDEX('Tarieven W&amp;O'!$H:$H,$AI147),0)</f>
        <v>0</v>
      </c>
      <c r="AK147" s="204">
        <f>IF(AI147&lt;&gt;"nvt",INDEX('Tarieven W&amp;O'!$I:$I,$AI147),0)</f>
        <v>25</v>
      </c>
      <c r="AL147" s="524">
        <f>IF(AI147&lt;&gt;"nvt",-INDEX(Parameters!$B:$B,MATCH(AL$3,Parameters!$A:$A,0))*(AJ147+AK147),0)</f>
        <v>0</v>
      </c>
      <c r="AM147" s="525"/>
      <c r="AN147" s="139">
        <f t="shared" si="97"/>
        <v>25</v>
      </c>
      <c r="AO147" s="205">
        <f>AN147/INDEX(Parameters!$B:$B,MATCH("AfschrijftermijnVVE"&amp;12*$C147,Parameters!$A:$A,0))</f>
        <v>0.69444444444444442</v>
      </c>
      <c r="AP147" s="139">
        <f t="shared" si="98"/>
        <v>46</v>
      </c>
      <c r="AQ147" s="526">
        <f>IF(AP147&lt;&gt;"nvt",INDEX('Tarieven W&amp;O'!$G:$G,$AP147),0)</f>
        <v>33.54</v>
      </c>
      <c r="AR147" s="251">
        <f>IF($S147,INDEX('Tarieven W&amp;O'!$G:$G,MATCH(N147&amp;R147,'Tarieven W&amp;O'!$B:$B,0)),0)</f>
        <v>0</v>
      </c>
      <c r="AS147" s="205">
        <f>-INDEX(Parameters!$B:$B,MATCH(AS$3,Parameters!$A:$A,0))*(AQ147+AR147)</f>
        <v>0</v>
      </c>
      <c r="AT147" s="205">
        <f>INDEX(hulpblad!$E:$E,MATCH(M147&amp;Q147,hulpblad!$B:$B,0))</f>
        <v>2</v>
      </c>
      <c r="AU147" s="150">
        <f t="shared" si="76"/>
        <v>35.54</v>
      </c>
      <c r="AV147" s="150">
        <f t="shared" si="77"/>
        <v>36.234444444444442</v>
      </c>
      <c r="AX147" s="526">
        <f>Parameters!$B$6*AV147</f>
        <v>0.36234444444444441</v>
      </c>
      <c r="AY147" s="150">
        <v>0</v>
      </c>
      <c r="AZ147" s="150"/>
      <c r="BA147" s="150">
        <f t="shared" si="99"/>
        <v>0.36234444444444441</v>
      </c>
      <c r="BB147" s="150"/>
      <c r="BC147" s="522">
        <f t="shared" si="100"/>
        <v>36.596788888888888</v>
      </c>
      <c r="BD147" s="175"/>
      <c r="BE147" s="527">
        <f t="shared" si="80"/>
        <v>991.18098888888892</v>
      </c>
      <c r="BF147" s="181">
        <f t="shared" si="81"/>
        <v>0.96439231351351351</v>
      </c>
      <c r="BG147" s="520" t="b">
        <f t="shared" si="93"/>
        <v>0</v>
      </c>
      <c r="BI147" s="528" t="s">
        <v>2181</v>
      </c>
      <c r="BL147" s="151" t="str">
        <f t="shared" si="83"/>
        <v>EoKMetro - Nationaal</v>
      </c>
      <c r="BM147" s="529">
        <v>0</v>
      </c>
      <c r="BN147" s="180">
        <f>BM147/INDEX(Parameters!$B:$B,MATCH("AfschrijftermijnVVE"&amp;12*$C147,Parameters!$A:$A,0))</f>
        <v>0</v>
      </c>
      <c r="BO147" s="184">
        <f>INDEX('inkoop ULL tbv EVPN'!I:I,MATCH(BL147,'inkoop ULL tbv EVPN'!H:H,0))</f>
        <v>2</v>
      </c>
      <c r="BP147" s="184">
        <f t="shared" si="84"/>
        <v>2</v>
      </c>
      <c r="BR147" s="180">
        <f>Parameters!$B$12*AG147</f>
        <v>102.77777777777779</v>
      </c>
      <c r="BS147" s="180">
        <f>SUM(Distributievergoedingen!$F$12,Distributievergoedingen!$I$12,Distributievergoedingen!$L$12,Distributievergoedingen!$O$12)*AF147+SUM(Distributievergoedingen!$O$12*AA147+Distributievergoedingen!$R$12+Distributievergoedingen!$U$12+Distributievergoedingen!$X$12)/(MAX(36,12*C147))</f>
        <v>112.77777777777777</v>
      </c>
      <c r="BT147" s="150"/>
      <c r="BU147" s="150">
        <f t="shared" si="85"/>
        <v>215.55555555555554</v>
      </c>
      <c r="BW147" s="522">
        <f t="shared" si="86"/>
        <v>217.55555555555554</v>
      </c>
      <c r="BY147" s="527">
        <f t="shared" si="87"/>
        <v>810.22222222222229</v>
      </c>
      <c r="BZ147" s="181">
        <f t="shared" si="88"/>
        <v>0.78832432432432431</v>
      </c>
      <c r="CA147" s="520" t="b">
        <f t="shared" si="89"/>
        <v>0</v>
      </c>
    </row>
    <row r="148" spans="1:79" s="151" customFormat="1">
      <c r="A148" s="151" t="str">
        <f t="shared" si="68"/>
        <v>2EoKEntryRegionaal50</v>
      </c>
      <c r="B148" s="520" t="str">
        <f t="shared" si="90"/>
        <v>2EoKEntryRegionaal50</v>
      </c>
      <c r="C148" s="179">
        <v>2</v>
      </c>
      <c r="D148" s="179" t="s">
        <v>303</v>
      </c>
      <c r="E148" s="178" t="s">
        <v>45</v>
      </c>
      <c r="F148" s="178" t="s">
        <v>265</v>
      </c>
      <c r="G148" s="185" t="s">
        <v>416</v>
      </c>
      <c r="J148" s="520" t="str">
        <f t="shared" si="91"/>
        <v>EntryRegionaal50</v>
      </c>
      <c r="L148" s="204">
        <f>INDEX(Mapping!$H:$H,MATCH(C$3&amp;C148,Mapping!$B:$B,0))</f>
        <v>1</v>
      </c>
      <c r="M148" s="204" t="str">
        <f>INDEX(Mapping!$H:$H,MATCH(D$3&amp;$D148,Mapping!$B:$B,0))</f>
        <v>EoK</v>
      </c>
      <c r="N148" s="204" t="str">
        <f>INDEX(Mapping!$H:$H,MATCH(E$3&amp;E148,Mapping!$B:$B,0))</f>
        <v>Lite</v>
      </c>
      <c r="O148" s="204" t="str">
        <f>INDEX(Mapping!$H:$H,MATCH(F$3&amp;F148,Mapping!$B:$B,0))</f>
        <v>Metro</v>
      </c>
      <c r="P148" s="204">
        <f>INDEX(Mapping!$H:$H,MATCH(G$3&amp;G148,Mapping!$B:$B,0))</f>
        <v>50</v>
      </c>
      <c r="Q148" s="204" t="str">
        <f>INDEX(Mapping!$H:$H,MATCH(Q$3&amp;$F148,Mapping!$B:$B,0))</f>
        <v>Metro - Nationaal</v>
      </c>
      <c r="R148" s="204" t="str">
        <f>INDEX(Mapping!$H:$H,MATCH("ZM VPN Service Level"&amp;E148,Mapping!$B:$B,0))</f>
        <v>Advanced</v>
      </c>
      <c r="S148" s="139" t="b">
        <f>IF($D148="EoK",INDEX(Mapping!$I:$I,MATCH($G$3&amp;$G148,Mapping!B:B,0)),FALSE)</f>
        <v>0</v>
      </c>
      <c r="T148" s="139"/>
      <c r="U148" s="520" t="str">
        <f t="shared" si="92"/>
        <v>LiteMetro50</v>
      </c>
      <c r="W148" s="521">
        <f>MATCH($J148,'Tarieven ZM'!$B:$B,0)</f>
        <v>38</v>
      </c>
      <c r="X148" s="204">
        <f>INDEX('Tarieven ZM'!$H:$H,$W148)</f>
        <v>1000</v>
      </c>
      <c r="Y148" s="198">
        <f>-INDEX(Parameters!$B:$B,MATCH(Y$3&amp;$C148,Parameters!$A:$A,0))*$X148</f>
        <v>0</v>
      </c>
      <c r="Z148" s="198">
        <f>-INDEX(Parameters!$B:$B,MATCH(Z$3&amp;$C148,Parameters!$A:$A,0))*$X148</f>
        <v>0</v>
      </c>
      <c r="AA148" s="139">
        <f t="shared" si="94"/>
        <v>1000</v>
      </c>
      <c r="AB148" s="205">
        <f>AA148/INDEX(Parameters!$B:$B,MATCH("AfschrijftermijnVVE"&amp;12*$C148,Parameters!$A:$A,0))</f>
        <v>27.777777777777779</v>
      </c>
      <c r="AC148" s="204">
        <f>INDEX('Tarieven ZM'!$G:$G,$W148)</f>
        <v>1000</v>
      </c>
      <c r="AD148" s="198">
        <f>-INDEX(Parameters!$B:$B,MATCH(AD$3&amp;$C148,Parameters!$A:$A,0))*$AC148</f>
        <v>0</v>
      </c>
      <c r="AE148" s="198">
        <f>-INDEX(Parameters!$B:$B,MATCH(AE$3,Parameters!$A:$A,0))*$AC148</f>
        <v>0</v>
      </c>
      <c r="AF148" s="139">
        <f t="shared" si="95"/>
        <v>1000</v>
      </c>
      <c r="AG148" s="522">
        <f t="shared" si="96"/>
        <v>1027.7777777777778</v>
      </c>
      <c r="AH148" s="175"/>
      <c r="AI148" s="523">
        <f>MATCH($U148,'Tarieven W&amp;O'!$B:$B,0)</f>
        <v>47</v>
      </c>
      <c r="AJ148" s="204">
        <f>IF(AI148&lt;&gt;"nvt",INDEX('Tarieven W&amp;O'!$H:$H,$AI148),0)</f>
        <v>0</v>
      </c>
      <c r="AK148" s="204">
        <f>IF(AI148&lt;&gt;"nvt",INDEX('Tarieven W&amp;O'!$I:$I,$AI148),0)</f>
        <v>25</v>
      </c>
      <c r="AL148" s="524">
        <f>IF(AI148&lt;&gt;"nvt",-INDEX(Parameters!$B:$B,MATCH(AL$3,Parameters!$A:$A,0))*(AJ148+AK148),0)</f>
        <v>0</v>
      </c>
      <c r="AM148" s="525"/>
      <c r="AN148" s="139">
        <f t="shared" si="97"/>
        <v>25</v>
      </c>
      <c r="AO148" s="205">
        <f>AN148/INDEX(Parameters!$B:$B,MATCH("AfschrijftermijnVVE"&amp;12*$C148,Parameters!$A:$A,0))</f>
        <v>0.69444444444444442</v>
      </c>
      <c r="AP148" s="139">
        <f t="shared" si="98"/>
        <v>47</v>
      </c>
      <c r="AQ148" s="526">
        <f>IF(AP148&lt;&gt;"nvt",INDEX('Tarieven W&amp;O'!$G:$G,$AP148),0)</f>
        <v>48.62</v>
      </c>
      <c r="AR148" s="251">
        <f>IF($S148,INDEX('Tarieven W&amp;O'!$G:$G,MATCH(N148&amp;R148,'Tarieven W&amp;O'!$B:$B,0)),0)</f>
        <v>0</v>
      </c>
      <c r="AS148" s="205">
        <f>-INDEX(Parameters!$B:$B,MATCH(AS$3,Parameters!$A:$A,0))*(AQ148+AR148)</f>
        <v>0</v>
      </c>
      <c r="AT148" s="205">
        <f>INDEX(hulpblad!$E:$E,MATCH(M148&amp;Q148,hulpblad!$B:$B,0))</f>
        <v>2</v>
      </c>
      <c r="AU148" s="150">
        <f t="shared" si="76"/>
        <v>50.62</v>
      </c>
      <c r="AV148" s="150">
        <f t="shared" si="77"/>
        <v>51.31444444444444</v>
      </c>
      <c r="AX148" s="526">
        <f>Parameters!$B$6*AV148</f>
        <v>0.5131444444444444</v>
      </c>
      <c r="AY148" s="150">
        <v>0</v>
      </c>
      <c r="AZ148" s="150"/>
      <c r="BA148" s="150">
        <f t="shared" si="99"/>
        <v>0.5131444444444444</v>
      </c>
      <c r="BB148" s="150"/>
      <c r="BC148" s="522">
        <f t="shared" si="100"/>
        <v>51.827588888888883</v>
      </c>
      <c r="BD148" s="175"/>
      <c r="BE148" s="527">
        <f t="shared" si="80"/>
        <v>975.95018888888899</v>
      </c>
      <c r="BF148" s="181">
        <f t="shared" si="81"/>
        <v>0.9495731567567568</v>
      </c>
      <c r="BG148" s="520" t="b">
        <f t="shared" si="93"/>
        <v>0</v>
      </c>
      <c r="BI148" s="528" t="s">
        <v>2181</v>
      </c>
      <c r="BL148" s="151" t="str">
        <f t="shared" si="83"/>
        <v>EoKMetro - Nationaal</v>
      </c>
      <c r="BM148" s="529">
        <v>0</v>
      </c>
      <c r="BN148" s="180">
        <f>BM148/INDEX(Parameters!$B:$B,MATCH("AfschrijftermijnVVE"&amp;12*$C148,Parameters!$A:$A,0))</f>
        <v>0</v>
      </c>
      <c r="BO148" s="184">
        <f>INDEX('inkoop ULL tbv EVPN'!I:I,MATCH(BL148,'inkoop ULL tbv EVPN'!H:H,0))</f>
        <v>2</v>
      </c>
      <c r="BP148" s="184">
        <f t="shared" si="84"/>
        <v>2</v>
      </c>
      <c r="BR148" s="180">
        <f>Parameters!$B$12*AG148</f>
        <v>102.77777777777779</v>
      </c>
      <c r="BS148" s="180">
        <f>SUM(Distributievergoedingen!$F$12,Distributievergoedingen!$I$12,Distributievergoedingen!$L$12,Distributievergoedingen!$O$12)*AF148+SUM(Distributievergoedingen!$O$12*AA148+Distributievergoedingen!$R$12+Distributievergoedingen!$U$12+Distributievergoedingen!$X$12)/(MAX(36,12*C148))</f>
        <v>112.77777777777777</v>
      </c>
      <c r="BT148" s="150"/>
      <c r="BU148" s="150">
        <f t="shared" si="85"/>
        <v>215.55555555555554</v>
      </c>
      <c r="BW148" s="522">
        <f t="shared" si="86"/>
        <v>217.55555555555554</v>
      </c>
      <c r="BY148" s="527">
        <f t="shared" si="87"/>
        <v>810.22222222222229</v>
      </c>
      <c r="BZ148" s="181">
        <f t="shared" si="88"/>
        <v>0.78832432432432431</v>
      </c>
      <c r="CA148" s="520" t="b">
        <f t="shared" si="89"/>
        <v>0</v>
      </c>
    </row>
    <row r="149" spans="1:79" s="151" customFormat="1">
      <c r="A149" s="151" t="str">
        <f t="shared" si="68"/>
        <v>2EoKEntryRegionaal80</v>
      </c>
      <c r="B149" s="520" t="str">
        <f t="shared" si="90"/>
        <v>2EoKEntryRegionaal80</v>
      </c>
      <c r="C149" s="179">
        <v>2</v>
      </c>
      <c r="D149" s="179" t="s">
        <v>303</v>
      </c>
      <c r="E149" s="178" t="s">
        <v>45</v>
      </c>
      <c r="F149" s="178" t="s">
        <v>265</v>
      </c>
      <c r="G149" s="185" t="s">
        <v>417</v>
      </c>
      <c r="J149" s="520" t="str">
        <f t="shared" si="91"/>
        <v>EntryRegionaal80</v>
      </c>
      <c r="L149" s="204">
        <f>INDEX(Mapping!$H:$H,MATCH(C$3&amp;C149,Mapping!$B:$B,0))</f>
        <v>1</v>
      </c>
      <c r="M149" s="204" t="str">
        <f>INDEX(Mapping!$H:$H,MATCH(D$3&amp;$D149,Mapping!$B:$B,0))</f>
        <v>EoK</v>
      </c>
      <c r="N149" s="204" t="str">
        <f>INDEX(Mapping!$H:$H,MATCH(E$3&amp;E149,Mapping!$B:$B,0))</f>
        <v>Lite</v>
      </c>
      <c r="O149" s="204" t="str">
        <f>INDEX(Mapping!$H:$H,MATCH(F$3&amp;F149,Mapping!$B:$B,0))</f>
        <v>Metro</v>
      </c>
      <c r="P149" s="204">
        <f>INDEX(Mapping!$H:$H,MATCH(G$3&amp;G149,Mapping!$B:$B,0))</f>
        <v>80</v>
      </c>
      <c r="Q149" s="204" t="str">
        <f>INDEX(Mapping!$H:$H,MATCH(Q$3&amp;$F149,Mapping!$B:$B,0))</f>
        <v>Metro - Nationaal</v>
      </c>
      <c r="R149" s="204" t="str">
        <f>INDEX(Mapping!$H:$H,MATCH("ZM VPN Service Level"&amp;E149,Mapping!$B:$B,0))</f>
        <v>Advanced</v>
      </c>
      <c r="S149" s="139" t="b">
        <f>IF($D149="EoK",INDEX(Mapping!$I:$I,MATCH($G$3&amp;$G149,Mapping!B:B,0)),FALSE)</f>
        <v>0</v>
      </c>
      <c r="T149" s="139"/>
      <c r="U149" s="520" t="str">
        <f t="shared" si="92"/>
        <v>LiteMetro80</v>
      </c>
      <c r="W149" s="521">
        <f>MATCH($J149,'Tarieven ZM'!$B:$B,0)</f>
        <v>39</v>
      </c>
      <c r="X149" s="204">
        <f>INDEX('Tarieven ZM'!$H:$H,$W149)</f>
        <v>1000</v>
      </c>
      <c r="Y149" s="198">
        <f>-INDEX(Parameters!$B:$B,MATCH(Y$3&amp;$C149,Parameters!$A:$A,0))*$X149</f>
        <v>0</v>
      </c>
      <c r="Z149" s="198">
        <f>-INDEX(Parameters!$B:$B,MATCH(Z$3&amp;$C149,Parameters!$A:$A,0))*$X149</f>
        <v>0</v>
      </c>
      <c r="AA149" s="139">
        <f t="shared" si="94"/>
        <v>1000</v>
      </c>
      <c r="AB149" s="205">
        <f>AA149/INDEX(Parameters!$B:$B,MATCH("AfschrijftermijnVVE"&amp;12*$C149,Parameters!$A:$A,0))</f>
        <v>27.777777777777779</v>
      </c>
      <c r="AC149" s="204">
        <f>INDEX('Tarieven ZM'!$G:$G,$W149)</f>
        <v>1000</v>
      </c>
      <c r="AD149" s="198">
        <f>-INDEX(Parameters!$B:$B,MATCH(AD$3&amp;$C149,Parameters!$A:$A,0))*$AC149</f>
        <v>0</v>
      </c>
      <c r="AE149" s="198">
        <f>-INDEX(Parameters!$B:$B,MATCH(AE$3,Parameters!$A:$A,0))*$AC149</f>
        <v>0</v>
      </c>
      <c r="AF149" s="139">
        <f t="shared" si="95"/>
        <v>1000</v>
      </c>
      <c r="AG149" s="522">
        <f t="shared" si="96"/>
        <v>1027.7777777777778</v>
      </c>
      <c r="AH149" s="175"/>
      <c r="AI149" s="523">
        <f>MATCH($U149,'Tarieven W&amp;O'!$B:$B,0)</f>
        <v>48</v>
      </c>
      <c r="AJ149" s="204">
        <f>IF(AI149&lt;&gt;"nvt",INDEX('Tarieven W&amp;O'!$H:$H,$AI149),0)</f>
        <v>0</v>
      </c>
      <c r="AK149" s="204">
        <f>IF(AI149&lt;&gt;"nvt",INDEX('Tarieven W&amp;O'!$I:$I,$AI149),0)</f>
        <v>25</v>
      </c>
      <c r="AL149" s="524">
        <f>IF(AI149&lt;&gt;"nvt",-INDEX(Parameters!$B:$B,MATCH(AL$3,Parameters!$A:$A,0))*(AJ149+AK149),0)</f>
        <v>0</v>
      </c>
      <c r="AM149" s="525"/>
      <c r="AN149" s="139">
        <f t="shared" si="97"/>
        <v>25</v>
      </c>
      <c r="AO149" s="205">
        <f>AN149/INDEX(Parameters!$B:$B,MATCH("AfschrijftermijnVVE"&amp;12*$C149,Parameters!$A:$A,0))</f>
        <v>0.69444444444444442</v>
      </c>
      <c r="AP149" s="139">
        <f t="shared" si="98"/>
        <v>48</v>
      </c>
      <c r="AQ149" s="526">
        <f>IF(AP149&lt;&gt;"nvt",INDEX('Tarieven W&amp;O'!$G:$G,$AP149),0)</f>
        <v>63.7</v>
      </c>
      <c r="AR149" s="251">
        <f>IF($S149,INDEX('Tarieven W&amp;O'!$G:$G,MATCH(N149&amp;R149,'Tarieven W&amp;O'!$B:$B,0)),0)</f>
        <v>0</v>
      </c>
      <c r="AS149" s="205">
        <f>-INDEX(Parameters!$B:$B,MATCH(AS$3,Parameters!$A:$A,0))*(AQ149+AR149)</f>
        <v>0</v>
      </c>
      <c r="AT149" s="205">
        <f>INDEX(hulpblad!$E:$E,MATCH(M149&amp;Q149,hulpblad!$B:$B,0))</f>
        <v>2</v>
      </c>
      <c r="AU149" s="150">
        <f t="shared" si="76"/>
        <v>65.7</v>
      </c>
      <c r="AV149" s="150">
        <f t="shared" si="77"/>
        <v>66.394444444444446</v>
      </c>
      <c r="AX149" s="526">
        <f>Parameters!$B$6*AV149</f>
        <v>0.66394444444444445</v>
      </c>
      <c r="AY149" s="150">
        <v>0</v>
      </c>
      <c r="AZ149" s="150"/>
      <c r="BA149" s="150">
        <f t="shared" si="99"/>
        <v>0.66394444444444445</v>
      </c>
      <c r="BB149" s="150"/>
      <c r="BC149" s="522">
        <f t="shared" si="100"/>
        <v>67.058388888888885</v>
      </c>
      <c r="BD149" s="175"/>
      <c r="BE149" s="527">
        <f t="shared" si="80"/>
        <v>960.71938888888894</v>
      </c>
      <c r="BF149" s="181">
        <f t="shared" si="81"/>
        <v>0.93475399999999997</v>
      </c>
      <c r="BG149" s="520" t="b">
        <f t="shared" si="93"/>
        <v>0</v>
      </c>
      <c r="BI149" s="528" t="s">
        <v>2181</v>
      </c>
      <c r="BL149" s="151" t="str">
        <f t="shared" si="83"/>
        <v>EoKMetro - Nationaal</v>
      </c>
      <c r="BM149" s="529">
        <v>0</v>
      </c>
      <c r="BN149" s="180">
        <f>BM149/INDEX(Parameters!$B:$B,MATCH("AfschrijftermijnVVE"&amp;12*$C149,Parameters!$A:$A,0))</f>
        <v>0</v>
      </c>
      <c r="BO149" s="184">
        <f>INDEX('inkoop ULL tbv EVPN'!I:I,MATCH(BL149,'inkoop ULL tbv EVPN'!H:H,0))</f>
        <v>2</v>
      </c>
      <c r="BP149" s="184">
        <f t="shared" si="84"/>
        <v>2</v>
      </c>
      <c r="BR149" s="180">
        <f>Parameters!$B$12*AG149</f>
        <v>102.77777777777779</v>
      </c>
      <c r="BS149" s="180">
        <f>SUM(Distributievergoedingen!$F$12,Distributievergoedingen!$I$12,Distributievergoedingen!$L$12,Distributievergoedingen!$O$12)*AF149+SUM(Distributievergoedingen!$O$12*AA149+Distributievergoedingen!$R$12+Distributievergoedingen!$U$12+Distributievergoedingen!$X$12)/(MAX(36,12*C149))</f>
        <v>112.77777777777777</v>
      </c>
      <c r="BT149" s="150"/>
      <c r="BU149" s="150">
        <f t="shared" si="85"/>
        <v>215.55555555555554</v>
      </c>
      <c r="BW149" s="522">
        <f t="shared" si="86"/>
        <v>217.55555555555554</v>
      </c>
      <c r="BY149" s="527">
        <f t="shared" si="87"/>
        <v>810.22222222222229</v>
      </c>
      <c r="BZ149" s="181">
        <f t="shared" si="88"/>
        <v>0.78832432432432431</v>
      </c>
      <c r="CA149" s="520" t="b">
        <f t="shared" si="89"/>
        <v>0</v>
      </c>
    </row>
    <row r="150" spans="1:79" s="151" customFormat="1">
      <c r="A150" s="151" t="str">
        <f t="shared" si="68"/>
        <v>2EoKEntryRegionaal100</v>
      </c>
      <c r="B150" s="520" t="str">
        <f t="shared" si="90"/>
        <v>2EoKEntryRegionaal100</v>
      </c>
      <c r="C150" s="179">
        <v>2</v>
      </c>
      <c r="D150" s="179" t="s">
        <v>303</v>
      </c>
      <c r="E150" s="178" t="s">
        <v>45</v>
      </c>
      <c r="F150" s="178" t="s">
        <v>265</v>
      </c>
      <c r="G150" s="185" t="s">
        <v>418</v>
      </c>
      <c r="J150" s="520" t="str">
        <f t="shared" si="91"/>
        <v>EntryRegionaal100</v>
      </c>
      <c r="L150" s="204">
        <f>INDEX(Mapping!$H:$H,MATCH(C$3&amp;C150,Mapping!$B:$B,0))</f>
        <v>1</v>
      </c>
      <c r="M150" s="204" t="str">
        <f>INDEX(Mapping!$H:$H,MATCH(D$3&amp;$D150,Mapping!$B:$B,0))</f>
        <v>EoK</v>
      </c>
      <c r="N150" s="204" t="str">
        <f>INDEX(Mapping!$H:$H,MATCH(E$3&amp;E150,Mapping!$B:$B,0))</f>
        <v>Lite</v>
      </c>
      <c r="O150" s="204" t="str">
        <f>INDEX(Mapping!$H:$H,MATCH(F$3&amp;F150,Mapping!$B:$B,0))</f>
        <v>Metro</v>
      </c>
      <c r="P150" s="204">
        <f>INDEX(Mapping!$H:$H,MATCH(G$3&amp;G150,Mapping!$B:$B,0))</f>
        <v>100</v>
      </c>
      <c r="Q150" s="204" t="str">
        <f>INDEX(Mapping!$H:$H,MATCH(Q$3&amp;$F150,Mapping!$B:$B,0))</f>
        <v>Metro - Nationaal</v>
      </c>
      <c r="R150" s="204" t="str">
        <f>INDEX(Mapping!$H:$H,MATCH("ZM VPN Service Level"&amp;E150,Mapping!$B:$B,0))</f>
        <v>Advanced</v>
      </c>
      <c r="S150" s="139" t="b">
        <f>IF($D150="EoK",INDEX(Mapping!$I:$I,MATCH($G$3&amp;$G150,Mapping!B:B,0)),FALSE)</f>
        <v>0</v>
      </c>
      <c r="T150" s="139"/>
      <c r="U150" s="520" t="str">
        <f t="shared" si="92"/>
        <v>LiteMetro100</v>
      </c>
      <c r="W150" s="521">
        <f>MATCH($J150,'Tarieven ZM'!$B:$B,0)</f>
        <v>40</v>
      </c>
      <c r="X150" s="204">
        <f>INDEX('Tarieven ZM'!$H:$H,$W150)</f>
        <v>1000</v>
      </c>
      <c r="Y150" s="198">
        <f>-INDEX(Parameters!$B:$B,MATCH(Y$3&amp;$C150,Parameters!$A:$A,0))*$X150</f>
        <v>0</v>
      </c>
      <c r="Z150" s="198">
        <f>-INDEX(Parameters!$B:$B,MATCH(Z$3&amp;$C150,Parameters!$A:$A,0))*$X150</f>
        <v>0</v>
      </c>
      <c r="AA150" s="139">
        <f t="shared" si="94"/>
        <v>1000</v>
      </c>
      <c r="AB150" s="205">
        <f>AA150/INDEX(Parameters!$B:$B,MATCH("AfschrijftermijnVVE"&amp;12*$C150,Parameters!$A:$A,0))</f>
        <v>27.777777777777779</v>
      </c>
      <c r="AC150" s="204">
        <f>INDEX('Tarieven ZM'!$G:$G,$W150)</f>
        <v>1000</v>
      </c>
      <c r="AD150" s="198">
        <f>-INDEX(Parameters!$B:$B,MATCH(AD$3&amp;$C150,Parameters!$A:$A,0))*$AC150</f>
        <v>0</v>
      </c>
      <c r="AE150" s="198">
        <f>-INDEX(Parameters!$B:$B,MATCH(AE$3,Parameters!$A:$A,0))*$AC150</f>
        <v>0</v>
      </c>
      <c r="AF150" s="139">
        <f t="shared" si="95"/>
        <v>1000</v>
      </c>
      <c r="AG150" s="522">
        <f t="shared" si="96"/>
        <v>1027.7777777777778</v>
      </c>
      <c r="AH150" s="175"/>
      <c r="AI150" s="523">
        <f>MATCH($U150,'Tarieven W&amp;O'!$B:$B,0)</f>
        <v>49</v>
      </c>
      <c r="AJ150" s="204">
        <f>IF(AI150&lt;&gt;"nvt",INDEX('Tarieven W&amp;O'!$H:$H,$AI150),0)</f>
        <v>0</v>
      </c>
      <c r="AK150" s="204">
        <f>IF(AI150&lt;&gt;"nvt",INDEX('Tarieven W&amp;O'!$I:$I,$AI150),0)</f>
        <v>25</v>
      </c>
      <c r="AL150" s="524">
        <f>IF(AI150&lt;&gt;"nvt",-INDEX(Parameters!$B:$B,MATCH(AL$3,Parameters!$A:$A,0))*(AJ150+AK150),0)</f>
        <v>0</v>
      </c>
      <c r="AM150" s="525"/>
      <c r="AN150" s="139">
        <f t="shared" si="97"/>
        <v>25</v>
      </c>
      <c r="AO150" s="205">
        <f>AN150/INDEX(Parameters!$B:$B,MATCH("AfschrijftermijnVVE"&amp;12*$C150,Parameters!$A:$A,0))</f>
        <v>0.69444444444444442</v>
      </c>
      <c r="AP150" s="139">
        <f t="shared" si="98"/>
        <v>49</v>
      </c>
      <c r="AQ150" s="526">
        <f>IF(AP150&lt;&gt;"nvt",INDEX('Tarieven W&amp;O'!$G:$G,$AP150),0)</f>
        <v>71.239999999999995</v>
      </c>
      <c r="AR150" s="251">
        <f>IF($S150,INDEX('Tarieven W&amp;O'!$G:$G,MATCH(N150&amp;R150,'Tarieven W&amp;O'!$B:$B,0)),0)</f>
        <v>0</v>
      </c>
      <c r="AS150" s="205">
        <f>-INDEX(Parameters!$B:$B,MATCH(AS$3,Parameters!$A:$A,0))*(AQ150+AR150)</f>
        <v>0</v>
      </c>
      <c r="AT150" s="205">
        <f>INDEX(hulpblad!$E:$E,MATCH(M150&amp;Q150,hulpblad!$B:$B,0))</f>
        <v>2</v>
      </c>
      <c r="AU150" s="150">
        <f t="shared" si="76"/>
        <v>73.239999999999995</v>
      </c>
      <c r="AV150" s="150">
        <f t="shared" si="77"/>
        <v>73.934444444444438</v>
      </c>
      <c r="AX150" s="526">
        <f>Parameters!$B$6*AV150</f>
        <v>0.73934444444444436</v>
      </c>
      <c r="AY150" s="150">
        <v>0</v>
      </c>
      <c r="AZ150" s="150"/>
      <c r="BA150" s="150">
        <f t="shared" si="99"/>
        <v>0.73934444444444436</v>
      </c>
      <c r="BB150" s="150"/>
      <c r="BC150" s="522">
        <f t="shared" si="100"/>
        <v>74.673788888888879</v>
      </c>
      <c r="BD150" s="175"/>
      <c r="BE150" s="527">
        <f t="shared" si="80"/>
        <v>953.10398888888892</v>
      </c>
      <c r="BF150" s="181">
        <f t="shared" si="81"/>
        <v>0.92734442162162156</v>
      </c>
      <c r="BG150" s="520" t="b">
        <f t="shared" si="93"/>
        <v>0</v>
      </c>
      <c r="BI150" s="528" t="s">
        <v>2181</v>
      </c>
      <c r="BL150" s="151" t="str">
        <f t="shared" si="83"/>
        <v>EoKMetro - Nationaal</v>
      </c>
      <c r="BM150" s="529">
        <v>0</v>
      </c>
      <c r="BN150" s="180">
        <f>BM150/INDEX(Parameters!$B:$B,MATCH("AfschrijftermijnVVE"&amp;12*$C150,Parameters!$A:$A,0))</f>
        <v>0</v>
      </c>
      <c r="BO150" s="184">
        <f>INDEX('inkoop ULL tbv EVPN'!I:I,MATCH(BL150,'inkoop ULL tbv EVPN'!H:H,0))</f>
        <v>2</v>
      </c>
      <c r="BP150" s="184">
        <f t="shared" si="84"/>
        <v>2</v>
      </c>
      <c r="BR150" s="180">
        <f>Parameters!$B$12*AG150</f>
        <v>102.77777777777779</v>
      </c>
      <c r="BS150" s="180">
        <f>SUM(Distributievergoedingen!$F$12,Distributievergoedingen!$I$12,Distributievergoedingen!$L$12,Distributievergoedingen!$O$12)*AF150+SUM(Distributievergoedingen!$O$12*AA150+Distributievergoedingen!$R$12+Distributievergoedingen!$U$12+Distributievergoedingen!$X$12)/(MAX(36,12*C150))</f>
        <v>112.77777777777777</v>
      </c>
      <c r="BT150" s="150"/>
      <c r="BU150" s="150">
        <f t="shared" si="85"/>
        <v>215.55555555555554</v>
      </c>
      <c r="BW150" s="522">
        <f t="shared" si="86"/>
        <v>217.55555555555554</v>
      </c>
      <c r="BY150" s="527">
        <f t="shared" si="87"/>
        <v>810.22222222222229</v>
      </c>
      <c r="BZ150" s="181">
        <f t="shared" si="88"/>
        <v>0.78832432432432431</v>
      </c>
      <c r="CA150" s="520" t="b">
        <f t="shared" si="89"/>
        <v>0</v>
      </c>
    </row>
    <row r="151" spans="1:79" s="151" customFormat="1">
      <c r="A151" s="151" t="str">
        <f t="shared" si="68"/>
        <v>2EoKEntryRegionaal200</v>
      </c>
      <c r="B151" s="520" t="str">
        <f t="shared" si="90"/>
        <v>2EoKEntryRegionaal200</v>
      </c>
      <c r="C151" s="179">
        <v>2</v>
      </c>
      <c r="D151" s="179" t="s">
        <v>303</v>
      </c>
      <c r="E151" s="178" t="s">
        <v>45</v>
      </c>
      <c r="F151" s="178" t="s">
        <v>265</v>
      </c>
      <c r="G151" s="185" t="s">
        <v>419</v>
      </c>
      <c r="J151" s="520" t="str">
        <f t="shared" si="91"/>
        <v>EntryRegionaal200</v>
      </c>
      <c r="L151" s="204">
        <f>INDEX(Mapping!$H:$H,MATCH(C$3&amp;C151,Mapping!$B:$B,0))</f>
        <v>1</v>
      </c>
      <c r="M151" s="204" t="str">
        <f>INDEX(Mapping!$H:$H,MATCH(D$3&amp;$D151,Mapping!$B:$B,0))</f>
        <v>EoK</v>
      </c>
      <c r="N151" s="204" t="str">
        <f>INDEX(Mapping!$H:$H,MATCH(E$3&amp;E151,Mapping!$B:$B,0))</f>
        <v>Lite</v>
      </c>
      <c r="O151" s="204" t="str">
        <f>INDEX(Mapping!$H:$H,MATCH(F$3&amp;F151,Mapping!$B:$B,0))</f>
        <v>Metro</v>
      </c>
      <c r="P151" s="204">
        <f>INDEX(Mapping!$H:$H,MATCH(G$3&amp;G151,Mapping!$B:$B,0))</f>
        <v>200</v>
      </c>
      <c r="Q151" s="204" t="str">
        <f>INDEX(Mapping!$H:$H,MATCH(Q$3&amp;$F151,Mapping!$B:$B,0))</f>
        <v>Metro - Nationaal</v>
      </c>
      <c r="R151" s="204" t="str">
        <f>INDEX(Mapping!$H:$H,MATCH("ZM VPN Service Level"&amp;E151,Mapping!$B:$B,0))</f>
        <v>Advanced</v>
      </c>
      <c r="S151" s="139" t="b">
        <f>IF($D151="EoK",INDEX(Mapping!$I:$I,MATCH($G$3&amp;$G151,Mapping!B:B,0)),FALSE)</f>
        <v>0</v>
      </c>
      <c r="T151" s="139"/>
      <c r="U151" s="520" t="str">
        <f t="shared" si="92"/>
        <v>LiteMetro200</v>
      </c>
      <c r="W151" s="521">
        <f>MATCH($J151,'Tarieven ZM'!$B:$B,0)</f>
        <v>41</v>
      </c>
      <c r="X151" s="204">
        <f>INDEX('Tarieven ZM'!$H:$H,$W151)</f>
        <v>1000</v>
      </c>
      <c r="Y151" s="198">
        <f>-INDEX(Parameters!$B:$B,MATCH(Y$3&amp;$C151,Parameters!$A:$A,0))*$X151</f>
        <v>0</v>
      </c>
      <c r="Z151" s="198">
        <f>-INDEX(Parameters!$B:$B,MATCH(Z$3&amp;$C151,Parameters!$A:$A,0))*$X151</f>
        <v>0</v>
      </c>
      <c r="AA151" s="139">
        <f t="shared" si="94"/>
        <v>1000</v>
      </c>
      <c r="AB151" s="205">
        <f>AA151/INDEX(Parameters!$B:$B,MATCH("AfschrijftermijnVVE"&amp;12*$C151,Parameters!$A:$A,0))</f>
        <v>27.777777777777779</v>
      </c>
      <c r="AC151" s="204">
        <f>INDEX('Tarieven ZM'!$G:$G,$W151)</f>
        <v>1000</v>
      </c>
      <c r="AD151" s="198">
        <f>-INDEX(Parameters!$B:$B,MATCH(AD$3&amp;$C151,Parameters!$A:$A,0))*$AC151</f>
        <v>0</v>
      </c>
      <c r="AE151" s="198">
        <f>-INDEX(Parameters!$B:$B,MATCH(AE$3,Parameters!$A:$A,0))*$AC151</f>
        <v>0</v>
      </c>
      <c r="AF151" s="139">
        <f t="shared" si="95"/>
        <v>1000</v>
      </c>
      <c r="AG151" s="522">
        <f t="shared" si="96"/>
        <v>1027.7777777777778</v>
      </c>
      <c r="AH151" s="175"/>
      <c r="AI151" s="523">
        <f>MATCH($U151,'Tarieven W&amp;O'!$B:$B,0)</f>
        <v>50</v>
      </c>
      <c r="AJ151" s="204">
        <f>IF(AI151&lt;&gt;"nvt",INDEX('Tarieven W&amp;O'!$H:$H,$AI151),0)</f>
        <v>0</v>
      </c>
      <c r="AK151" s="204">
        <f>IF(AI151&lt;&gt;"nvt",INDEX('Tarieven W&amp;O'!$I:$I,$AI151),0)</f>
        <v>25</v>
      </c>
      <c r="AL151" s="524">
        <f>IF(AI151&lt;&gt;"nvt",-INDEX(Parameters!$B:$B,MATCH(AL$3,Parameters!$A:$A,0))*(AJ151+AK151),0)</f>
        <v>0</v>
      </c>
      <c r="AM151" s="525"/>
      <c r="AN151" s="139">
        <f t="shared" si="97"/>
        <v>25</v>
      </c>
      <c r="AO151" s="205">
        <f>AN151/INDEX(Parameters!$B:$B,MATCH("AfschrijftermijnVVE"&amp;12*$C151,Parameters!$A:$A,0))</f>
        <v>0.69444444444444442</v>
      </c>
      <c r="AP151" s="139">
        <f t="shared" si="98"/>
        <v>50</v>
      </c>
      <c r="AQ151" s="526">
        <f>IF(AP151&lt;&gt;"nvt",INDEX('Tarieven W&amp;O'!$G:$G,$AP151),0)</f>
        <v>108.93</v>
      </c>
      <c r="AR151" s="251">
        <f>IF($S151,INDEX('Tarieven W&amp;O'!$G:$G,MATCH(N151&amp;R151,'Tarieven W&amp;O'!$B:$B,0)),0)</f>
        <v>0</v>
      </c>
      <c r="AS151" s="205">
        <f>-INDEX(Parameters!$B:$B,MATCH(AS$3,Parameters!$A:$A,0))*(AQ151+AR151)</f>
        <v>0</v>
      </c>
      <c r="AT151" s="205">
        <f>INDEX(hulpblad!$E:$E,MATCH(M151&amp;Q151,hulpblad!$B:$B,0))</f>
        <v>2</v>
      </c>
      <c r="AU151" s="150">
        <f t="shared" si="76"/>
        <v>110.93</v>
      </c>
      <c r="AV151" s="150">
        <f t="shared" si="77"/>
        <v>111.62444444444445</v>
      </c>
      <c r="AX151" s="526">
        <f>Parameters!$B$6*AV151</f>
        <v>1.1162444444444446</v>
      </c>
      <c r="AY151" s="150">
        <v>0</v>
      </c>
      <c r="AZ151" s="150"/>
      <c r="BA151" s="150">
        <f t="shared" si="99"/>
        <v>1.1162444444444446</v>
      </c>
      <c r="BB151" s="150"/>
      <c r="BC151" s="522">
        <f t="shared" si="100"/>
        <v>112.7406888888889</v>
      </c>
      <c r="BD151" s="175"/>
      <c r="BE151" s="527">
        <f t="shared" si="80"/>
        <v>915.03708888888889</v>
      </c>
      <c r="BF151" s="181">
        <f t="shared" si="81"/>
        <v>0.89030635675675673</v>
      </c>
      <c r="BG151" s="520" t="b">
        <f t="shared" si="93"/>
        <v>0</v>
      </c>
      <c r="BI151" s="528" t="s">
        <v>2181</v>
      </c>
      <c r="BL151" s="151" t="str">
        <f t="shared" si="83"/>
        <v>EoKMetro - Nationaal</v>
      </c>
      <c r="BM151" s="529">
        <v>0</v>
      </c>
      <c r="BN151" s="180">
        <f>BM151/INDEX(Parameters!$B:$B,MATCH("AfschrijftermijnVVE"&amp;12*$C151,Parameters!$A:$A,0))</f>
        <v>0</v>
      </c>
      <c r="BO151" s="184">
        <f>INDEX('inkoop ULL tbv EVPN'!I:I,MATCH(BL151,'inkoop ULL tbv EVPN'!H:H,0))</f>
        <v>2</v>
      </c>
      <c r="BP151" s="184">
        <f t="shared" si="84"/>
        <v>2</v>
      </c>
      <c r="BR151" s="180">
        <f>Parameters!$B$12*AG151</f>
        <v>102.77777777777779</v>
      </c>
      <c r="BS151" s="180">
        <f>SUM(Distributievergoedingen!$F$12,Distributievergoedingen!$I$12,Distributievergoedingen!$L$12,Distributievergoedingen!$O$12)*AF151+SUM(Distributievergoedingen!$O$12*AA151+Distributievergoedingen!$R$12+Distributievergoedingen!$U$12+Distributievergoedingen!$X$12)/(MAX(36,12*C151))</f>
        <v>112.77777777777777</v>
      </c>
      <c r="BT151" s="150"/>
      <c r="BU151" s="150">
        <f t="shared" si="85"/>
        <v>215.55555555555554</v>
      </c>
      <c r="BW151" s="522">
        <f t="shared" si="86"/>
        <v>217.55555555555554</v>
      </c>
      <c r="BY151" s="527">
        <f t="shared" si="87"/>
        <v>810.22222222222229</v>
      </c>
      <c r="BZ151" s="181">
        <f t="shared" si="88"/>
        <v>0.78832432432432431</v>
      </c>
      <c r="CA151" s="520" t="b">
        <f t="shared" si="89"/>
        <v>0</v>
      </c>
    </row>
    <row r="152" spans="1:79" s="151" customFormat="1">
      <c r="A152" s="151" t="str">
        <f t="shared" si="68"/>
        <v>2EoKEntryRegionaal300</v>
      </c>
      <c r="B152" s="520" t="str">
        <f t="shared" si="90"/>
        <v>2EoKEntryRegionaal300</v>
      </c>
      <c r="C152" s="179">
        <v>2</v>
      </c>
      <c r="D152" s="179" t="s">
        <v>303</v>
      </c>
      <c r="E152" s="178" t="s">
        <v>45</v>
      </c>
      <c r="F152" s="178" t="s">
        <v>265</v>
      </c>
      <c r="G152" s="185" t="s">
        <v>420</v>
      </c>
      <c r="J152" s="520" t="str">
        <f t="shared" si="91"/>
        <v>EntryRegionaal300</v>
      </c>
      <c r="L152" s="204">
        <f>INDEX(Mapping!$H:$H,MATCH(C$3&amp;C152,Mapping!$B:$B,0))</f>
        <v>1</v>
      </c>
      <c r="M152" s="204" t="str">
        <f>INDEX(Mapping!$H:$H,MATCH(D$3&amp;$D152,Mapping!$B:$B,0))</f>
        <v>EoK</v>
      </c>
      <c r="N152" s="204" t="str">
        <f>INDEX(Mapping!$H:$H,MATCH(E$3&amp;E152,Mapping!$B:$B,0))</f>
        <v>Lite</v>
      </c>
      <c r="O152" s="204" t="str">
        <f>INDEX(Mapping!$H:$H,MATCH(F$3&amp;F152,Mapping!$B:$B,0))</f>
        <v>Metro</v>
      </c>
      <c r="P152" s="204">
        <f>INDEX(Mapping!$H:$H,MATCH(G$3&amp;G152,Mapping!$B:$B,0))</f>
        <v>300</v>
      </c>
      <c r="Q152" s="204" t="str">
        <f>INDEX(Mapping!$H:$H,MATCH(Q$3&amp;$F152,Mapping!$B:$B,0))</f>
        <v>Metro - Nationaal</v>
      </c>
      <c r="R152" s="204" t="str">
        <f>INDEX(Mapping!$H:$H,MATCH("ZM VPN Service Level"&amp;E152,Mapping!$B:$B,0))</f>
        <v>Advanced</v>
      </c>
      <c r="S152" s="139" t="b">
        <f>IF($D152="EoK",INDEX(Mapping!$I:$I,MATCH($G$3&amp;$G152,Mapping!B:B,0)),FALSE)</f>
        <v>0</v>
      </c>
      <c r="T152" s="139"/>
      <c r="U152" s="520" t="str">
        <f t="shared" si="92"/>
        <v>LiteMetro300</v>
      </c>
      <c r="W152" s="521">
        <f>MATCH($J152,'Tarieven ZM'!$B:$B,0)</f>
        <v>42</v>
      </c>
      <c r="X152" s="204">
        <f>INDEX('Tarieven ZM'!$H:$H,$W152)</f>
        <v>1000</v>
      </c>
      <c r="Y152" s="198">
        <f>-INDEX(Parameters!$B:$B,MATCH(Y$3&amp;$C152,Parameters!$A:$A,0))*$X152</f>
        <v>0</v>
      </c>
      <c r="Z152" s="198">
        <f>-INDEX(Parameters!$B:$B,MATCH(Z$3&amp;$C152,Parameters!$A:$A,0))*$X152</f>
        <v>0</v>
      </c>
      <c r="AA152" s="139">
        <f t="shared" si="94"/>
        <v>1000</v>
      </c>
      <c r="AB152" s="205">
        <f>AA152/INDEX(Parameters!$B:$B,MATCH("AfschrijftermijnVVE"&amp;12*$C152,Parameters!$A:$A,0))</f>
        <v>27.777777777777779</v>
      </c>
      <c r="AC152" s="204">
        <f>INDEX('Tarieven ZM'!$G:$G,$W152)</f>
        <v>1000</v>
      </c>
      <c r="AD152" s="198">
        <f>-INDEX(Parameters!$B:$B,MATCH(AD$3&amp;$C152,Parameters!$A:$A,0))*$AC152</f>
        <v>0</v>
      </c>
      <c r="AE152" s="198">
        <f>-INDEX(Parameters!$B:$B,MATCH(AE$3,Parameters!$A:$A,0))*$AC152</f>
        <v>0</v>
      </c>
      <c r="AF152" s="139">
        <f t="shared" si="95"/>
        <v>1000</v>
      </c>
      <c r="AG152" s="522">
        <f t="shared" si="96"/>
        <v>1027.7777777777778</v>
      </c>
      <c r="AH152" s="175"/>
      <c r="AI152" s="523">
        <f>MATCH($U152,'Tarieven W&amp;O'!$B:$B,0)</f>
        <v>51</v>
      </c>
      <c r="AJ152" s="204">
        <f>IF(AI152&lt;&gt;"nvt",INDEX('Tarieven W&amp;O'!$H:$H,$AI152),0)</f>
        <v>0</v>
      </c>
      <c r="AK152" s="204">
        <f>IF(AI152&lt;&gt;"nvt",INDEX('Tarieven W&amp;O'!$I:$I,$AI152),0)</f>
        <v>25</v>
      </c>
      <c r="AL152" s="524">
        <f>IF(AI152&lt;&gt;"nvt",-INDEX(Parameters!$B:$B,MATCH(AL$3,Parameters!$A:$A,0))*(AJ152+AK152),0)</f>
        <v>0</v>
      </c>
      <c r="AM152" s="525"/>
      <c r="AN152" s="139">
        <f t="shared" si="97"/>
        <v>25</v>
      </c>
      <c r="AO152" s="205">
        <f>AN152/INDEX(Parameters!$B:$B,MATCH("AfschrijftermijnVVE"&amp;12*$C152,Parameters!$A:$A,0))</f>
        <v>0.69444444444444442</v>
      </c>
      <c r="AP152" s="139">
        <f t="shared" si="98"/>
        <v>51</v>
      </c>
      <c r="AQ152" s="526">
        <f>IF(AP152&lt;&gt;"nvt",INDEX('Tarieven W&amp;O'!$G:$G,$AP152),0)</f>
        <v>127.77</v>
      </c>
      <c r="AR152" s="251">
        <f>IF($S152,INDEX('Tarieven W&amp;O'!$G:$G,MATCH(N152&amp;R152,'Tarieven W&amp;O'!$B:$B,0)),0)</f>
        <v>0</v>
      </c>
      <c r="AS152" s="205">
        <f>-INDEX(Parameters!$B:$B,MATCH(AS$3,Parameters!$A:$A,0))*(AQ152+AR152)</f>
        <v>0</v>
      </c>
      <c r="AT152" s="205">
        <f>INDEX(hulpblad!$E:$E,MATCH(M152&amp;Q152,hulpblad!$B:$B,0))</f>
        <v>2</v>
      </c>
      <c r="AU152" s="150">
        <f t="shared" si="76"/>
        <v>129.76999999999998</v>
      </c>
      <c r="AV152" s="150">
        <f t="shared" si="77"/>
        <v>130.46444444444444</v>
      </c>
      <c r="AX152" s="526">
        <f>Parameters!$B$6*AV152</f>
        <v>1.3046444444444445</v>
      </c>
      <c r="AY152" s="150">
        <v>0</v>
      </c>
      <c r="AZ152" s="150"/>
      <c r="BA152" s="150">
        <f t="shared" si="99"/>
        <v>1.3046444444444445</v>
      </c>
      <c r="BB152" s="150"/>
      <c r="BC152" s="522">
        <f t="shared" si="100"/>
        <v>131.76908888888889</v>
      </c>
      <c r="BD152" s="175"/>
      <c r="BE152" s="527">
        <f t="shared" si="80"/>
        <v>896.00868888888897</v>
      </c>
      <c r="BF152" s="181">
        <f t="shared" si="81"/>
        <v>0.87179223783783788</v>
      </c>
      <c r="BG152" s="520" t="b">
        <f t="shared" si="93"/>
        <v>0</v>
      </c>
      <c r="BI152" s="528" t="s">
        <v>2181</v>
      </c>
      <c r="BL152" s="151" t="str">
        <f t="shared" si="83"/>
        <v>EoKMetro - Nationaal</v>
      </c>
      <c r="BM152" s="529">
        <v>0</v>
      </c>
      <c r="BN152" s="180">
        <f>BM152/INDEX(Parameters!$B:$B,MATCH("AfschrijftermijnVVE"&amp;12*$C152,Parameters!$A:$A,0))</f>
        <v>0</v>
      </c>
      <c r="BO152" s="184">
        <f>INDEX('inkoop ULL tbv EVPN'!I:I,MATCH(BL152,'inkoop ULL tbv EVPN'!H:H,0))</f>
        <v>2</v>
      </c>
      <c r="BP152" s="184">
        <f t="shared" si="84"/>
        <v>2</v>
      </c>
      <c r="BR152" s="180">
        <f>Parameters!$B$12*AG152</f>
        <v>102.77777777777779</v>
      </c>
      <c r="BS152" s="180">
        <f>SUM(Distributievergoedingen!$F$12,Distributievergoedingen!$I$12,Distributievergoedingen!$L$12,Distributievergoedingen!$O$12)*AF152+SUM(Distributievergoedingen!$O$12*AA152+Distributievergoedingen!$R$12+Distributievergoedingen!$U$12+Distributievergoedingen!$X$12)/(MAX(36,12*C152))</f>
        <v>112.77777777777777</v>
      </c>
      <c r="BT152" s="150"/>
      <c r="BU152" s="150">
        <f t="shared" si="85"/>
        <v>215.55555555555554</v>
      </c>
      <c r="BW152" s="522">
        <f t="shared" si="86"/>
        <v>217.55555555555554</v>
      </c>
      <c r="BY152" s="527">
        <f t="shared" si="87"/>
        <v>810.22222222222229</v>
      </c>
      <c r="BZ152" s="181">
        <f t="shared" si="88"/>
        <v>0.78832432432432431</v>
      </c>
      <c r="CA152" s="520" t="b">
        <f t="shared" si="89"/>
        <v>0</v>
      </c>
    </row>
    <row r="153" spans="1:79" s="151" customFormat="1">
      <c r="A153" s="151" t="str">
        <f t="shared" si="68"/>
        <v>2EoKEntryRegionaal500</v>
      </c>
      <c r="B153" s="520" t="str">
        <f t="shared" si="90"/>
        <v>2EoKEntryRegionaal500</v>
      </c>
      <c r="C153" s="179">
        <v>2</v>
      </c>
      <c r="D153" s="179" t="s">
        <v>303</v>
      </c>
      <c r="E153" s="178" t="s">
        <v>45</v>
      </c>
      <c r="F153" s="178" t="s">
        <v>265</v>
      </c>
      <c r="G153" s="185" t="s">
        <v>421</v>
      </c>
      <c r="J153" s="520" t="str">
        <f t="shared" si="91"/>
        <v>EntryRegionaal500</v>
      </c>
      <c r="L153" s="204">
        <f>INDEX(Mapping!$H:$H,MATCH(C$3&amp;C153,Mapping!$B:$B,0))</f>
        <v>1</v>
      </c>
      <c r="M153" s="204" t="str">
        <f>INDEX(Mapping!$H:$H,MATCH(D$3&amp;$D153,Mapping!$B:$B,0))</f>
        <v>EoK</v>
      </c>
      <c r="N153" s="204" t="str">
        <f>INDEX(Mapping!$H:$H,MATCH(E$3&amp;E153,Mapping!$B:$B,0))</f>
        <v>Lite</v>
      </c>
      <c r="O153" s="204" t="str">
        <f>INDEX(Mapping!$H:$H,MATCH(F$3&amp;F153,Mapping!$B:$B,0))</f>
        <v>Metro</v>
      </c>
      <c r="P153" s="204">
        <f>INDEX(Mapping!$H:$H,MATCH(G$3&amp;G153,Mapping!$B:$B,0))</f>
        <v>500</v>
      </c>
      <c r="Q153" s="204" t="str">
        <f>INDEX(Mapping!$H:$H,MATCH(Q$3&amp;$F153,Mapping!$B:$B,0))</f>
        <v>Metro - Nationaal</v>
      </c>
      <c r="R153" s="204" t="str">
        <f>INDEX(Mapping!$H:$H,MATCH("ZM VPN Service Level"&amp;E153,Mapping!$B:$B,0))</f>
        <v>Advanced</v>
      </c>
      <c r="S153" s="139" t="b">
        <f>IF($D153="EoK",INDEX(Mapping!$I:$I,MATCH($G$3&amp;$G153,Mapping!B:B,0)),FALSE)</f>
        <v>0</v>
      </c>
      <c r="T153" s="139"/>
      <c r="U153" s="520" t="str">
        <f t="shared" si="92"/>
        <v>LiteMetro500</v>
      </c>
      <c r="W153" s="521">
        <f>MATCH($J153,'Tarieven ZM'!$B:$B,0)</f>
        <v>43</v>
      </c>
      <c r="X153" s="204">
        <f>INDEX('Tarieven ZM'!$H:$H,$W153)</f>
        <v>1000</v>
      </c>
      <c r="Y153" s="198">
        <f>-INDEX(Parameters!$B:$B,MATCH(Y$3&amp;$C153,Parameters!$A:$A,0))*$X153</f>
        <v>0</v>
      </c>
      <c r="Z153" s="198">
        <f>-INDEX(Parameters!$B:$B,MATCH(Z$3&amp;$C153,Parameters!$A:$A,0))*$X153</f>
        <v>0</v>
      </c>
      <c r="AA153" s="139">
        <f t="shared" si="94"/>
        <v>1000</v>
      </c>
      <c r="AB153" s="205">
        <f>AA153/INDEX(Parameters!$B:$B,MATCH("AfschrijftermijnVVE"&amp;12*$C153,Parameters!$A:$A,0))</f>
        <v>27.777777777777779</v>
      </c>
      <c r="AC153" s="204">
        <f>INDEX('Tarieven ZM'!$G:$G,$W153)</f>
        <v>1000</v>
      </c>
      <c r="AD153" s="198">
        <f>-INDEX(Parameters!$B:$B,MATCH(AD$3&amp;$C153,Parameters!$A:$A,0))*$AC153</f>
        <v>0</v>
      </c>
      <c r="AE153" s="198">
        <f>-INDEX(Parameters!$B:$B,MATCH(AE$3,Parameters!$A:$A,0))*$AC153</f>
        <v>0</v>
      </c>
      <c r="AF153" s="139">
        <f t="shared" si="95"/>
        <v>1000</v>
      </c>
      <c r="AG153" s="522">
        <f t="shared" si="96"/>
        <v>1027.7777777777778</v>
      </c>
      <c r="AH153" s="175"/>
      <c r="AI153" s="523">
        <f>MATCH($U153,'Tarieven W&amp;O'!$B:$B,0)</f>
        <v>52</v>
      </c>
      <c r="AJ153" s="204">
        <f>IF(AI153&lt;&gt;"nvt",INDEX('Tarieven W&amp;O'!$H:$H,$AI153),0)</f>
        <v>0</v>
      </c>
      <c r="AK153" s="204">
        <f>IF(AI153&lt;&gt;"nvt",INDEX('Tarieven W&amp;O'!$I:$I,$AI153),0)</f>
        <v>25</v>
      </c>
      <c r="AL153" s="524">
        <f>IF(AI153&lt;&gt;"nvt",-INDEX(Parameters!$B:$B,MATCH(AL$3,Parameters!$A:$A,0))*(AJ153+AK153),0)</f>
        <v>0</v>
      </c>
      <c r="AM153" s="525"/>
      <c r="AN153" s="139">
        <f t="shared" si="97"/>
        <v>25</v>
      </c>
      <c r="AO153" s="205">
        <f>AN153/INDEX(Parameters!$B:$B,MATCH("AfschrijftermijnVVE"&amp;12*$C153,Parameters!$A:$A,0))</f>
        <v>0.69444444444444442</v>
      </c>
      <c r="AP153" s="139">
        <f t="shared" si="98"/>
        <v>52</v>
      </c>
      <c r="AQ153" s="526">
        <f>IF(AP153&lt;&gt;"nvt",INDEX('Tarieven W&amp;O'!$G:$G,$AP153),0)</f>
        <v>161.69</v>
      </c>
      <c r="AR153" s="251">
        <f>IF($S153,INDEX('Tarieven W&amp;O'!$G:$G,MATCH(N153&amp;R153,'Tarieven W&amp;O'!$B:$B,0)),0)</f>
        <v>0</v>
      </c>
      <c r="AS153" s="205">
        <f>-INDEX(Parameters!$B:$B,MATCH(AS$3,Parameters!$A:$A,0))*(AQ153+AR153)</f>
        <v>0</v>
      </c>
      <c r="AT153" s="205">
        <f>INDEX(hulpblad!$E:$E,MATCH(M153&amp;Q153,hulpblad!$B:$B,0))</f>
        <v>2</v>
      </c>
      <c r="AU153" s="150">
        <f t="shared" si="76"/>
        <v>163.69</v>
      </c>
      <c r="AV153" s="150">
        <f t="shared" si="77"/>
        <v>164.38444444444445</v>
      </c>
      <c r="AX153" s="526">
        <f>Parameters!$B$6*AV153</f>
        <v>1.6438444444444447</v>
      </c>
      <c r="AY153" s="150">
        <v>0</v>
      </c>
      <c r="AZ153" s="150"/>
      <c r="BA153" s="150">
        <f t="shared" si="99"/>
        <v>1.6438444444444447</v>
      </c>
      <c r="BB153" s="150"/>
      <c r="BC153" s="522">
        <f t="shared" si="100"/>
        <v>166.02828888888891</v>
      </c>
      <c r="BD153" s="175"/>
      <c r="BE153" s="527">
        <f t="shared" si="80"/>
        <v>861.74948888888889</v>
      </c>
      <c r="BF153" s="181">
        <f t="shared" si="81"/>
        <v>0.83845896216216209</v>
      </c>
      <c r="BG153" s="520" t="b">
        <f t="shared" si="93"/>
        <v>0</v>
      </c>
      <c r="BI153" s="528" t="s">
        <v>2181</v>
      </c>
      <c r="BL153" s="151" t="str">
        <f t="shared" si="83"/>
        <v>EoKMetro - Nationaal</v>
      </c>
      <c r="BM153" s="529">
        <v>0</v>
      </c>
      <c r="BN153" s="180">
        <f>BM153/INDEX(Parameters!$B:$B,MATCH("AfschrijftermijnVVE"&amp;12*$C153,Parameters!$A:$A,0))</f>
        <v>0</v>
      </c>
      <c r="BO153" s="184">
        <f>INDEX('inkoop ULL tbv EVPN'!I:I,MATCH(BL153,'inkoop ULL tbv EVPN'!H:H,0))</f>
        <v>2</v>
      </c>
      <c r="BP153" s="184">
        <f t="shared" si="84"/>
        <v>2</v>
      </c>
      <c r="BR153" s="180">
        <f>Parameters!$B$12*AG153</f>
        <v>102.77777777777779</v>
      </c>
      <c r="BS153" s="180">
        <f>SUM(Distributievergoedingen!$F$12,Distributievergoedingen!$I$12,Distributievergoedingen!$L$12,Distributievergoedingen!$O$12)*AF153+SUM(Distributievergoedingen!$O$12*AA153+Distributievergoedingen!$R$12+Distributievergoedingen!$U$12+Distributievergoedingen!$X$12)/(MAX(36,12*C153))</f>
        <v>112.77777777777777</v>
      </c>
      <c r="BT153" s="150"/>
      <c r="BU153" s="150">
        <f t="shared" si="85"/>
        <v>215.55555555555554</v>
      </c>
      <c r="BW153" s="522">
        <f t="shared" si="86"/>
        <v>217.55555555555554</v>
      </c>
      <c r="BY153" s="527">
        <f t="shared" si="87"/>
        <v>810.22222222222229</v>
      </c>
      <c r="BZ153" s="181">
        <f t="shared" si="88"/>
        <v>0.78832432432432431</v>
      </c>
      <c r="CA153" s="520" t="b">
        <f t="shared" si="89"/>
        <v>0</v>
      </c>
    </row>
    <row r="154" spans="1:79" s="151" customFormat="1">
      <c r="A154" s="151" t="str">
        <f t="shared" si="68"/>
        <v>2EoKEntryRegionaal800</v>
      </c>
      <c r="B154" s="520" t="str">
        <f t="shared" si="90"/>
        <v>2EoKEntryRegionaal800</v>
      </c>
      <c r="C154" s="179">
        <v>2</v>
      </c>
      <c r="D154" s="179" t="s">
        <v>303</v>
      </c>
      <c r="E154" s="178" t="s">
        <v>45</v>
      </c>
      <c r="F154" s="178" t="s">
        <v>265</v>
      </c>
      <c r="G154" s="185" t="s">
        <v>422</v>
      </c>
      <c r="J154" s="520" t="str">
        <f t="shared" si="91"/>
        <v>EntryRegionaal800</v>
      </c>
      <c r="L154" s="204">
        <f>INDEX(Mapping!$H:$H,MATCH(C$3&amp;C154,Mapping!$B:$B,0))</f>
        <v>1</v>
      </c>
      <c r="M154" s="204" t="str">
        <f>INDEX(Mapping!$H:$H,MATCH(D$3&amp;$D154,Mapping!$B:$B,0))</f>
        <v>EoK</v>
      </c>
      <c r="N154" s="204" t="str">
        <f>INDEX(Mapping!$H:$H,MATCH(E$3&amp;E154,Mapping!$B:$B,0))</f>
        <v>Lite</v>
      </c>
      <c r="O154" s="204" t="str">
        <f>INDEX(Mapping!$H:$H,MATCH(F$3&amp;F154,Mapping!$B:$B,0))</f>
        <v>Metro</v>
      </c>
      <c r="P154" s="204">
        <f>INDEX(Mapping!$H:$H,MATCH(G$3&amp;G154,Mapping!$B:$B,0))</f>
        <v>800</v>
      </c>
      <c r="Q154" s="204" t="str">
        <f>INDEX(Mapping!$H:$H,MATCH(Q$3&amp;$F154,Mapping!$B:$B,0))</f>
        <v>Metro - Nationaal</v>
      </c>
      <c r="R154" s="204" t="str">
        <f>INDEX(Mapping!$H:$H,MATCH("ZM VPN Service Level"&amp;E154,Mapping!$B:$B,0))</f>
        <v>Advanced</v>
      </c>
      <c r="S154" s="139" t="b">
        <f>IF($D154="EoK",INDEX(Mapping!$I:$I,MATCH($G$3&amp;$G154,Mapping!B:B,0)),FALSE)</f>
        <v>0</v>
      </c>
      <c r="T154" s="139"/>
      <c r="U154" s="520" t="str">
        <f t="shared" si="92"/>
        <v>LiteMetro800</v>
      </c>
      <c r="W154" s="521">
        <f>MATCH($J154,'Tarieven ZM'!$B:$B,0)</f>
        <v>44</v>
      </c>
      <c r="X154" s="204">
        <f>INDEX('Tarieven ZM'!$H:$H,$W154)</f>
        <v>1000</v>
      </c>
      <c r="Y154" s="198">
        <f>-INDEX(Parameters!$B:$B,MATCH(Y$3&amp;$C154,Parameters!$A:$A,0))*$X154</f>
        <v>0</v>
      </c>
      <c r="Z154" s="198">
        <f>-INDEX(Parameters!$B:$B,MATCH(Z$3&amp;$C154,Parameters!$A:$A,0))*$X154</f>
        <v>0</v>
      </c>
      <c r="AA154" s="139">
        <f t="shared" si="94"/>
        <v>1000</v>
      </c>
      <c r="AB154" s="205">
        <f>AA154/INDEX(Parameters!$B:$B,MATCH("AfschrijftermijnVVE"&amp;12*$C154,Parameters!$A:$A,0))</f>
        <v>27.777777777777779</v>
      </c>
      <c r="AC154" s="204">
        <f>INDEX('Tarieven ZM'!$G:$G,$W154)</f>
        <v>1000</v>
      </c>
      <c r="AD154" s="198">
        <f>-INDEX(Parameters!$B:$B,MATCH(AD$3&amp;$C154,Parameters!$A:$A,0))*$AC154</f>
        <v>0</v>
      </c>
      <c r="AE154" s="198">
        <f>-INDEX(Parameters!$B:$B,MATCH(AE$3,Parameters!$A:$A,0))*$AC154</f>
        <v>0</v>
      </c>
      <c r="AF154" s="139">
        <f t="shared" si="95"/>
        <v>1000</v>
      </c>
      <c r="AG154" s="522">
        <f t="shared" si="96"/>
        <v>1027.7777777777778</v>
      </c>
      <c r="AH154" s="175"/>
      <c r="AI154" s="523">
        <f>MATCH($U154,'Tarieven W&amp;O'!$B:$B,0)</f>
        <v>53</v>
      </c>
      <c r="AJ154" s="204">
        <f>IF(AI154&lt;&gt;"nvt",INDEX('Tarieven W&amp;O'!$H:$H,$AI154),0)</f>
        <v>0</v>
      </c>
      <c r="AK154" s="204">
        <f>IF(AI154&lt;&gt;"nvt",INDEX('Tarieven W&amp;O'!$I:$I,$AI154),0)</f>
        <v>25</v>
      </c>
      <c r="AL154" s="524">
        <f>IF(AI154&lt;&gt;"nvt",-INDEX(Parameters!$B:$B,MATCH(AL$3,Parameters!$A:$A,0))*(AJ154+AK154),0)</f>
        <v>0</v>
      </c>
      <c r="AM154" s="525"/>
      <c r="AN154" s="139">
        <f t="shared" si="97"/>
        <v>25</v>
      </c>
      <c r="AO154" s="205">
        <f>AN154/INDEX(Parameters!$B:$B,MATCH("AfschrijftermijnVVE"&amp;12*$C154,Parameters!$A:$A,0))</f>
        <v>0.69444444444444442</v>
      </c>
      <c r="AP154" s="139">
        <f t="shared" si="98"/>
        <v>53</v>
      </c>
      <c r="AQ154" s="526">
        <f>IF(AP154&lt;&gt;"nvt",INDEX('Tarieven W&amp;O'!$G:$G,$AP154),0)</f>
        <v>184.31</v>
      </c>
      <c r="AR154" s="251">
        <f>IF($S154,INDEX('Tarieven W&amp;O'!$G:$G,MATCH(N154&amp;R154,'Tarieven W&amp;O'!$B:$B,0)),0)</f>
        <v>0</v>
      </c>
      <c r="AS154" s="205">
        <f>-INDEX(Parameters!$B:$B,MATCH(AS$3,Parameters!$A:$A,0))*(AQ154+AR154)</f>
        <v>0</v>
      </c>
      <c r="AT154" s="205">
        <f>INDEX(hulpblad!$E:$E,MATCH(M154&amp;Q154,hulpblad!$B:$B,0))</f>
        <v>2</v>
      </c>
      <c r="AU154" s="150">
        <f t="shared" si="76"/>
        <v>186.31</v>
      </c>
      <c r="AV154" s="150">
        <f t="shared" si="77"/>
        <v>187.00444444444446</v>
      </c>
      <c r="AX154" s="526">
        <f>Parameters!$B$6*AV154</f>
        <v>1.8700444444444446</v>
      </c>
      <c r="AY154" s="150">
        <v>0</v>
      </c>
      <c r="AZ154" s="150"/>
      <c r="BA154" s="150">
        <f t="shared" si="99"/>
        <v>1.8700444444444446</v>
      </c>
      <c r="BB154" s="150"/>
      <c r="BC154" s="522">
        <f t="shared" si="100"/>
        <v>188.87448888888889</v>
      </c>
      <c r="BD154" s="175"/>
      <c r="BE154" s="527">
        <f t="shared" si="80"/>
        <v>838.90328888888894</v>
      </c>
      <c r="BF154" s="181">
        <f t="shared" si="81"/>
        <v>0.81623022702702708</v>
      </c>
      <c r="BG154" s="520" t="b">
        <f t="shared" si="93"/>
        <v>0</v>
      </c>
      <c r="BI154" s="528" t="s">
        <v>2181</v>
      </c>
      <c r="BL154" s="151" t="str">
        <f t="shared" si="83"/>
        <v>EoKMetro - Nationaal</v>
      </c>
      <c r="BM154" s="529">
        <v>0</v>
      </c>
      <c r="BN154" s="180">
        <f>BM154/INDEX(Parameters!$B:$B,MATCH("AfschrijftermijnVVE"&amp;12*$C154,Parameters!$A:$A,0))</f>
        <v>0</v>
      </c>
      <c r="BO154" s="184">
        <f>INDEX('inkoop ULL tbv EVPN'!I:I,MATCH(BL154,'inkoop ULL tbv EVPN'!H:H,0))</f>
        <v>2</v>
      </c>
      <c r="BP154" s="184">
        <f t="shared" si="84"/>
        <v>2</v>
      </c>
      <c r="BR154" s="180">
        <f>Parameters!$B$12*AG154</f>
        <v>102.77777777777779</v>
      </c>
      <c r="BS154" s="180">
        <f>SUM(Distributievergoedingen!$F$12,Distributievergoedingen!$I$12,Distributievergoedingen!$L$12,Distributievergoedingen!$O$12)*AF154+SUM(Distributievergoedingen!$O$12*AA154+Distributievergoedingen!$R$12+Distributievergoedingen!$U$12+Distributievergoedingen!$X$12)/(MAX(36,12*C154))</f>
        <v>112.77777777777777</v>
      </c>
      <c r="BT154" s="150"/>
      <c r="BU154" s="150">
        <f t="shared" si="85"/>
        <v>215.55555555555554</v>
      </c>
      <c r="BW154" s="522">
        <f t="shared" si="86"/>
        <v>217.55555555555554</v>
      </c>
      <c r="BY154" s="527">
        <f t="shared" si="87"/>
        <v>810.22222222222229</v>
      </c>
      <c r="BZ154" s="181">
        <f t="shared" si="88"/>
        <v>0.78832432432432431</v>
      </c>
      <c r="CA154" s="520" t="b">
        <f t="shared" si="89"/>
        <v>0</v>
      </c>
    </row>
    <row r="155" spans="1:79" s="151" customFormat="1">
      <c r="A155" s="151" t="str">
        <f t="shared" si="68"/>
        <v>2EoKEntryRegionaal1000</v>
      </c>
      <c r="B155" s="520" t="str">
        <f t="shared" si="90"/>
        <v>2EoKEntryRegionaal1000</v>
      </c>
      <c r="C155" s="179">
        <v>2</v>
      </c>
      <c r="D155" s="179" t="s">
        <v>303</v>
      </c>
      <c r="E155" s="178" t="s">
        <v>45</v>
      </c>
      <c r="F155" s="178" t="s">
        <v>265</v>
      </c>
      <c r="G155" s="185" t="s">
        <v>423</v>
      </c>
      <c r="J155" s="520" t="str">
        <f t="shared" si="91"/>
        <v>EntryRegionaal1000</v>
      </c>
      <c r="L155" s="204">
        <f>INDEX(Mapping!$H:$H,MATCH(C$3&amp;C155,Mapping!$B:$B,0))</f>
        <v>1</v>
      </c>
      <c r="M155" s="204" t="str">
        <f>INDEX(Mapping!$H:$H,MATCH(D$3&amp;$D155,Mapping!$B:$B,0))</f>
        <v>EoK</v>
      </c>
      <c r="N155" s="204" t="str">
        <f>INDEX(Mapping!$H:$H,MATCH(E$3&amp;E155,Mapping!$B:$B,0))</f>
        <v>Lite</v>
      </c>
      <c r="O155" s="204" t="str">
        <f>INDEX(Mapping!$H:$H,MATCH(F$3&amp;F155,Mapping!$B:$B,0))</f>
        <v>Metro</v>
      </c>
      <c r="P155" s="204">
        <f>INDEX(Mapping!$H:$H,MATCH(G$3&amp;G155,Mapping!$B:$B,0))</f>
        <v>1000</v>
      </c>
      <c r="Q155" s="204" t="str">
        <f>INDEX(Mapping!$H:$H,MATCH(Q$3&amp;$F155,Mapping!$B:$B,0))</f>
        <v>Metro - Nationaal</v>
      </c>
      <c r="R155" s="204" t="str">
        <f>INDEX(Mapping!$H:$H,MATCH("ZM VPN Service Level"&amp;E155,Mapping!$B:$B,0))</f>
        <v>Advanced</v>
      </c>
      <c r="S155" s="139" t="b">
        <f>IF($D155="EoK",INDEX(Mapping!$I:$I,MATCH($G$3&amp;$G155,Mapping!B:B,0)),FALSE)</f>
        <v>0</v>
      </c>
      <c r="T155" s="139"/>
      <c r="U155" s="520" t="str">
        <f t="shared" si="92"/>
        <v>LiteMetro1000</v>
      </c>
      <c r="W155" s="521">
        <f>MATCH($J155,'Tarieven ZM'!$B:$B,0)</f>
        <v>45</v>
      </c>
      <c r="X155" s="204">
        <f>INDEX('Tarieven ZM'!$H:$H,$W155)</f>
        <v>1000</v>
      </c>
      <c r="Y155" s="198">
        <f>-INDEX(Parameters!$B:$B,MATCH(Y$3&amp;$C155,Parameters!$A:$A,0))*$X155</f>
        <v>0</v>
      </c>
      <c r="Z155" s="198">
        <f>-INDEX(Parameters!$B:$B,MATCH(Z$3&amp;$C155,Parameters!$A:$A,0))*$X155</f>
        <v>0</v>
      </c>
      <c r="AA155" s="139">
        <f t="shared" si="94"/>
        <v>1000</v>
      </c>
      <c r="AB155" s="205">
        <f>AA155/INDEX(Parameters!$B:$B,MATCH("AfschrijftermijnVVE"&amp;12*$C155,Parameters!$A:$A,0))</f>
        <v>27.777777777777779</v>
      </c>
      <c r="AC155" s="204">
        <f>INDEX('Tarieven ZM'!$G:$G,$W155)</f>
        <v>1000</v>
      </c>
      <c r="AD155" s="198">
        <f>-INDEX(Parameters!$B:$B,MATCH(AD$3&amp;$C155,Parameters!$A:$A,0))*$AC155</f>
        <v>0</v>
      </c>
      <c r="AE155" s="198">
        <f>-INDEX(Parameters!$B:$B,MATCH(AE$3,Parameters!$A:$A,0))*$AC155</f>
        <v>0</v>
      </c>
      <c r="AF155" s="139">
        <f t="shared" si="95"/>
        <v>1000</v>
      </c>
      <c r="AG155" s="522">
        <f t="shared" si="96"/>
        <v>1027.7777777777778</v>
      </c>
      <c r="AH155" s="175"/>
      <c r="AI155" s="523">
        <f>MATCH($U155,'Tarieven W&amp;O'!$B:$B,0)</f>
        <v>54</v>
      </c>
      <c r="AJ155" s="204">
        <f>IF(AI155&lt;&gt;"nvt",INDEX('Tarieven W&amp;O'!$H:$H,$AI155),0)</f>
        <v>0</v>
      </c>
      <c r="AK155" s="204">
        <f>IF(AI155&lt;&gt;"nvt",INDEX('Tarieven W&amp;O'!$I:$I,$AI155),0)</f>
        <v>25</v>
      </c>
      <c r="AL155" s="524">
        <f>IF(AI155&lt;&gt;"nvt",-INDEX(Parameters!$B:$B,MATCH(AL$3,Parameters!$A:$A,0))*(AJ155+AK155),0)</f>
        <v>0</v>
      </c>
      <c r="AM155" s="525"/>
      <c r="AN155" s="139">
        <f t="shared" si="97"/>
        <v>25</v>
      </c>
      <c r="AO155" s="205">
        <f>AN155/INDEX(Parameters!$B:$B,MATCH("AfschrijftermijnVVE"&amp;12*$C155,Parameters!$A:$A,0))</f>
        <v>0.69444444444444442</v>
      </c>
      <c r="AP155" s="139">
        <f t="shared" si="98"/>
        <v>54</v>
      </c>
      <c r="AQ155" s="526">
        <f>IF(AP155&lt;&gt;"nvt",INDEX('Tarieven W&amp;O'!$G:$G,$AP155),0)</f>
        <v>203.15</v>
      </c>
      <c r="AR155" s="251">
        <f>IF($S155,INDEX('Tarieven W&amp;O'!$G:$G,MATCH(N155&amp;R155,'Tarieven W&amp;O'!$B:$B,0)),0)</f>
        <v>0</v>
      </c>
      <c r="AS155" s="205">
        <f>-INDEX(Parameters!$B:$B,MATCH(AS$3,Parameters!$A:$A,0))*(AQ155+AR155)</f>
        <v>0</v>
      </c>
      <c r="AT155" s="205">
        <f>INDEX(hulpblad!$E:$E,MATCH(M155&amp;Q155,hulpblad!$B:$B,0))</f>
        <v>2</v>
      </c>
      <c r="AU155" s="150">
        <f t="shared" si="76"/>
        <v>205.15</v>
      </c>
      <c r="AV155" s="150">
        <f t="shared" si="77"/>
        <v>205.84444444444446</v>
      </c>
      <c r="AX155" s="526">
        <f>Parameters!$B$6*AV155</f>
        <v>2.0584444444444445</v>
      </c>
      <c r="AY155" s="150">
        <v>0</v>
      </c>
      <c r="AZ155" s="150"/>
      <c r="BA155" s="150">
        <f t="shared" si="99"/>
        <v>2.0584444444444445</v>
      </c>
      <c r="BB155" s="150"/>
      <c r="BC155" s="522">
        <f t="shared" si="100"/>
        <v>207.9028888888889</v>
      </c>
      <c r="BD155" s="175"/>
      <c r="BE155" s="527">
        <f t="shared" si="80"/>
        <v>819.8748888888889</v>
      </c>
      <c r="BF155" s="181">
        <f t="shared" si="81"/>
        <v>0.79771610810810811</v>
      </c>
      <c r="BG155" s="520" t="b">
        <f t="shared" si="93"/>
        <v>0</v>
      </c>
      <c r="BI155" s="528" t="s">
        <v>2181</v>
      </c>
      <c r="BL155" s="151" t="str">
        <f t="shared" si="83"/>
        <v>EoKMetro - Nationaal</v>
      </c>
      <c r="BM155" s="529">
        <v>0</v>
      </c>
      <c r="BN155" s="180">
        <f>BM155/INDEX(Parameters!$B:$B,MATCH("AfschrijftermijnVVE"&amp;12*$C155,Parameters!$A:$A,0))</f>
        <v>0</v>
      </c>
      <c r="BO155" s="184">
        <f>INDEX('inkoop ULL tbv EVPN'!I:I,MATCH(BL155,'inkoop ULL tbv EVPN'!H:H,0))</f>
        <v>2</v>
      </c>
      <c r="BP155" s="184">
        <f t="shared" si="84"/>
        <v>2</v>
      </c>
      <c r="BR155" s="180">
        <f>Parameters!$B$12*AG155</f>
        <v>102.77777777777779</v>
      </c>
      <c r="BS155" s="180">
        <f>SUM(Distributievergoedingen!$F$12,Distributievergoedingen!$I$12,Distributievergoedingen!$L$12,Distributievergoedingen!$O$12)*AF155+SUM(Distributievergoedingen!$O$12*AA155+Distributievergoedingen!$R$12+Distributievergoedingen!$U$12+Distributievergoedingen!$X$12)/(MAX(36,12*C155))</f>
        <v>112.77777777777777</v>
      </c>
      <c r="BT155" s="150"/>
      <c r="BU155" s="150">
        <f t="shared" si="85"/>
        <v>215.55555555555554</v>
      </c>
      <c r="BW155" s="522">
        <f t="shared" si="86"/>
        <v>217.55555555555554</v>
      </c>
      <c r="BY155" s="527">
        <f t="shared" si="87"/>
        <v>810.22222222222229</v>
      </c>
      <c r="BZ155" s="181">
        <f t="shared" si="88"/>
        <v>0.78832432432432431</v>
      </c>
      <c r="CA155" s="520" t="b">
        <f t="shared" si="89"/>
        <v>0</v>
      </c>
    </row>
    <row r="156" spans="1:79" s="151" customFormat="1">
      <c r="A156" s="151" t="str">
        <f t="shared" si="68"/>
        <v>2EoKEntryNationaal1</v>
      </c>
      <c r="B156" s="520" t="str">
        <f t="shared" si="90"/>
        <v>2EoKEntryNationaal1</v>
      </c>
      <c r="C156" s="179">
        <v>2</v>
      </c>
      <c r="D156" s="179" t="s">
        <v>303</v>
      </c>
      <c r="E156" s="178" t="s">
        <v>45</v>
      </c>
      <c r="F156" s="178" t="s">
        <v>266</v>
      </c>
      <c r="G156" s="185" t="s">
        <v>362</v>
      </c>
      <c r="J156" s="520" t="str">
        <f t="shared" si="91"/>
        <v>EntryNationaal1</v>
      </c>
      <c r="L156" s="204">
        <f>INDEX(Mapping!$H:$H,MATCH(C$3&amp;C156,Mapping!$B:$B,0))</f>
        <v>1</v>
      </c>
      <c r="M156" s="204" t="str">
        <f>INDEX(Mapping!$H:$H,MATCH(D$3&amp;$D156,Mapping!$B:$B,0))</f>
        <v>EoK</v>
      </c>
      <c r="N156" s="204" t="str">
        <f>INDEX(Mapping!$H:$H,MATCH(E$3&amp;E156,Mapping!$B:$B,0))</f>
        <v>Lite</v>
      </c>
      <c r="O156" s="204" t="str">
        <f>INDEX(Mapping!$H:$H,MATCH(F$3&amp;F156,Mapping!$B:$B,0))</f>
        <v>Metro</v>
      </c>
      <c r="P156" s="204">
        <f>INDEX(Mapping!$H:$H,MATCH(G$3&amp;G156,Mapping!$B:$B,0))</f>
        <v>1</v>
      </c>
      <c r="Q156" s="204" t="str">
        <f>INDEX(Mapping!$H:$H,MATCH(Q$3&amp;$F156,Mapping!$B:$B,0))</f>
        <v>Metro - Nationaal</v>
      </c>
      <c r="R156" s="204" t="str">
        <f>INDEX(Mapping!$H:$H,MATCH("ZM VPN Service Level"&amp;E156,Mapping!$B:$B,0))</f>
        <v>Advanced</v>
      </c>
      <c r="S156" s="139" t="b">
        <f>IF($D156="EoK",INDEX(Mapping!$I:$I,MATCH($G$3&amp;$G156,Mapping!B:B,0)),FALSE)</f>
        <v>1</v>
      </c>
      <c r="T156" s="139"/>
      <c r="U156" s="520" t="str">
        <f t="shared" si="92"/>
        <v>LiteMetro1</v>
      </c>
      <c r="W156" s="521">
        <f>MATCH($J156,'Tarieven ZM'!$B:$B,0)</f>
        <v>46</v>
      </c>
      <c r="X156" s="204">
        <f>INDEX('Tarieven ZM'!$H:$H,$W156)</f>
        <v>1000</v>
      </c>
      <c r="Y156" s="198">
        <f>-INDEX(Parameters!$B:$B,MATCH(Y$3&amp;$C156,Parameters!$A:$A,0))*$X156</f>
        <v>0</v>
      </c>
      <c r="Z156" s="198">
        <f>-INDEX(Parameters!$B:$B,MATCH(Z$3&amp;$C156,Parameters!$A:$A,0))*$X156</f>
        <v>0</v>
      </c>
      <c r="AA156" s="139">
        <f t="shared" si="94"/>
        <v>1000</v>
      </c>
      <c r="AB156" s="205">
        <f>AA156/INDEX(Parameters!$B:$B,MATCH("AfschrijftermijnVVE"&amp;12*$C156,Parameters!$A:$A,0))</f>
        <v>27.777777777777779</v>
      </c>
      <c r="AC156" s="204">
        <f>INDEX('Tarieven ZM'!$G:$G,$W156)</f>
        <v>1000</v>
      </c>
      <c r="AD156" s="198">
        <f>-INDEX(Parameters!$B:$B,MATCH(AD$3&amp;$C156,Parameters!$A:$A,0))*$AC156</f>
        <v>0</v>
      </c>
      <c r="AE156" s="198">
        <f>-INDEX(Parameters!$B:$B,MATCH(AE$3,Parameters!$A:$A,0))*$AC156</f>
        <v>0</v>
      </c>
      <c r="AF156" s="139">
        <f t="shared" si="95"/>
        <v>1000</v>
      </c>
      <c r="AG156" s="522">
        <f t="shared" si="96"/>
        <v>1027.7777777777778</v>
      </c>
      <c r="AH156" s="175"/>
      <c r="AI156" s="523">
        <f>MATCH($U156,'Tarieven W&amp;O'!$B:$B,0)</f>
        <v>36</v>
      </c>
      <c r="AJ156" s="204">
        <f>IF(AI156&lt;&gt;"nvt",INDEX('Tarieven W&amp;O'!$H:$H,$AI156),0)</f>
        <v>0</v>
      </c>
      <c r="AK156" s="204">
        <f>IF(AI156&lt;&gt;"nvt",INDEX('Tarieven W&amp;O'!$I:$I,$AI156),0)</f>
        <v>25</v>
      </c>
      <c r="AL156" s="524">
        <f>IF(AI156&lt;&gt;"nvt",-INDEX(Parameters!$B:$B,MATCH(AL$3,Parameters!$A:$A,0))*(AJ156+AK156),0)</f>
        <v>0</v>
      </c>
      <c r="AM156" s="525"/>
      <c r="AN156" s="139">
        <f t="shared" si="97"/>
        <v>25</v>
      </c>
      <c r="AO156" s="205">
        <f>AN156/INDEX(Parameters!$B:$B,MATCH("AfschrijftermijnVVE"&amp;12*$C156,Parameters!$A:$A,0))</f>
        <v>0.69444444444444442</v>
      </c>
      <c r="AP156" s="139">
        <f t="shared" si="98"/>
        <v>36</v>
      </c>
      <c r="AQ156" s="526">
        <f>IF(AP156&lt;&gt;"nvt",INDEX('Tarieven W&amp;O'!$G:$G,$AP156),0)</f>
        <v>14.29</v>
      </c>
      <c r="AR156" s="251">
        <f>IF($S156,INDEX('Tarieven W&amp;O'!$G:$G,MATCH(N156&amp;R156,'Tarieven W&amp;O'!$B:$B,0)),0)</f>
        <v>5.25</v>
      </c>
      <c r="AS156" s="205">
        <f>-INDEX(Parameters!$B:$B,MATCH(AS$3,Parameters!$A:$A,0))*(AQ156+AR156)</f>
        <v>0</v>
      </c>
      <c r="AT156" s="205">
        <f>INDEX(hulpblad!$E:$E,MATCH(M156&amp;Q156,hulpblad!$B:$B,0))</f>
        <v>2</v>
      </c>
      <c r="AU156" s="150">
        <f t="shared" si="76"/>
        <v>21.54</v>
      </c>
      <c r="AV156" s="150">
        <f t="shared" si="77"/>
        <v>22.234444444444442</v>
      </c>
      <c r="AX156" s="526">
        <f>Parameters!$B$6*AV156</f>
        <v>0.22234444444444443</v>
      </c>
      <c r="AY156" s="150">
        <v>0</v>
      </c>
      <c r="AZ156" s="150"/>
      <c r="BA156" s="150">
        <f t="shared" si="99"/>
        <v>0.22234444444444443</v>
      </c>
      <c r="BB156" s="150"/>
      <c r="BC156" s="522">
        <f t="shared" si="100"/>
        <v>22.456788888888887</v>
      </c>
      <c r="BD156" s="175"/>
      <c r="BE156" s="527">
        <f t="shared" si="80"/>
        <v>1005.3209888888889</v>
      </c>
      <c r="BF156" s="181">
        <f t="shared" si="81"/>
        <v>0.9781501513513513</v>
      </c>
      <c r="BG156" s="520" t="b">
        <f t="shared" si="93"/>
        <v>0</v>
      </c>
      <c r="BI156" s="528" t="s">
        <v>2181</v>
      </c>
      <c r="BL156" s="151" t="str">
        <f t="shared" si="83"/>
        <v>EoKMetro - Nationaal</v>
      </c>
      <c r="BM156" s="529">
        <v>0</v>
      </c>
      <c r="BN156" s="180">
        <f>BM156/INDEX(Parameters!$B:$B,MATCH("AfschrijftermijnVVE"&amp;12*$C156,Parameters!$A:$A,0))</f>
        <v>0</v>
      </c>
      <c r="BO156" s="184">
        <f>INDEX('inkoop ULL tbv EVPN'!I:I,MATCH(BL156,'inkoop ULL tbv EVPN'!H:H,0))</f>
        <v>2</v>
      </c>
      <c r="BP156" s="184">
        <f t="shared" si="84"/>
        <v>2</v>
      </c>
      <c r="BR156" s="180">
        <f>Parameters!$B$12*AG156</f>
        <v>102.77777777777779</v>
      </c>
      <c r="BS156" s="180">
        <f>SUM(Distributievergoedingen!$F$12,Distributievergoedingen!$I$12,Distributievergoedingen!$L$12,Distributievergoedingen!$O$12)*AF156+SUM(Distributievergoedingen!$O$12*AA156+Distributievergoedingen!$R$12+Distributievergoedingen!$U$12+Distributievergoedingen!$X$12)/(MAX(36,12*C156))</f>
        <v>112.77777777777777</v>
      </c>
      <c r="BT156" s="150"/>
      <c r="BU156" s="150">
        <f t="shared" si="85"/>
        <v>215.55555555555554</v>
      </c>
      <c r="BW156" s="522">
        <f t="shared" si="86"/>
        <v>217.55555555555554</v>
      </c>
      <c r="BY156" s="527">
        <f t="shared" si="87"/>
        <v>810.22222222222229</v>
      </c>
      <c r="BZ156" s="181">
        <f t="shared" si="88"/>
        <v>0.78832432432432431</v>
      </c>
      <c r="CA156" s="520" t="b">
        <f t="shared" si="89"/>
        <v>0</v>
      </c>
    </row>
    <row r="157" spans="1:79" s="151" customFormat="1">
      <c r="A157" s="151" t="str">
        <f t="shared" si="68"/>
        <v>2EoKEntryNationaal2</v>
      </c>
      <c r="B157" s="520" t="str">
        <f t="shared" si="90"/>
        <v>2EoKEntryNationaal2</v>
      </c>
      <c r="C157" s="179">
        <v>2</v>
      </c>
      <c r="D157" s="179" t="s">
        <v>303</v>
      </c>
      <c r="E157" s="178" t="s">
        <v>45</v>
      </c>
      <c r="F157" s="178" t="s">
        <v>266</v>
      </c>
      <c r="G157" s="185" t="s">
        <v>363</v>
      </c>
      <c r="J157" s="520" t="str">
        <f t="shared" si="91"/>
        <v>EntryNationaal2</v>
      </c>
      <c r="L157" s="204">
        <f>INDEX(Mapping!$H:$H,MATCH(C$3&amp;C157,Mapping!$B:$B,0))</f>
        <v>1</v>
      </c>
      <c r="M157" s="204" t="str">
        <f>INDEX(Mapping!$H:$H,MATCH(D$3&amp;$D157,Mapping!$B:$B,0))</f>
        <v>EoK</v>
      </c>
      <c r="N157" s="204" t="str">
        <f>INDEX(Mapping!$H:$H,MATCH(E$3&amp;E157,Mapping!$B:$B,0))</f>
        <v>Lite</v>
      </c>
      <c r="O157" s="204" t="str">
        <f>INDEX(Mapping!$H:$H,MATCH(F$3&amp;F157,Mapping!$B:$B,0))</f>
        <v>Metro</v>
      </c>
      <c r="P157" s="204">
        <f>INDEX(Mapping!$H:$H,MATCH(G$3&amp;G157,Mapping!$B:$B,0))</f>
        <v>2</v>
      </c>
      <c r="Q157" s="204" t="str">
        <f>INDEX(Mapping!$H:$H,MATCH(Q$3&amp;$F157,Mapping!$B:$B,0))</f>
        <v>Metro - Nationaal</v>
      </c>
      <c r="R157" s="204" t="str">
        <f>INDEX(Mapping!$H:$H,MATCH("ZM VPN Service Level"&amp;E157,Mapping!$B:$B,0))</f>
        <v>Advanced</v>
      </c>
      <c r="S157" s="139" t="b">
        <f>IF($D157="EoK",INDEX(Mapping!$I:$I,MATCH($G$3&amp;$G157,Mapping!B:B,0)),FALSE)</f>
        <v>1</v>
      </c>
      <c r="T157" s="139"/>
      <c r="U157" s="520" t="str">
        <f t="shared" si="92"/>
        <v>LiteMetro2</v>
      </c>
      <c r="W157" s="521">
        <f>MATCH($J157,'Tarieven ZM'!$B:$B,0)</f>
        <v>47</v>
      </c>
      <c r="X157" s="204">
        <f>INDEX('Tarieven ZM'!$H:$H,$W157)</f>
        <v>1000</v>
      </c>
      <c r="Y157" s="198">
        <f>-INDEX(Parameters!$B:$B,MATCH(Y$3&amp;$C157,Parameters!$A:$A,0))*$X157</f>
        <v>0</v>
      </c>
      <c r="Z157" s="198">
        <f>-INDEX(Parameters!$B:$B,MATCH(Z$3&amp;$C157,Parameters!$A:$A,0))*$X157</f>
        <v>0</v>
      </c>
      <c r="AA157" s="139">
        <f t="shared" si="94"/>
        <v>1000</v>
      </c>
      <c r="AB157" s="205">
        <f>AA157/INDEX(Parameters!$B:$B,MATCH("AfschrijftermijnVVE"&amp;12*$C157,Parameters!$A:$A,0))</f>
        <v>27.777777777777779</v>
      </c>
      <c r="AC157" s="204">
        <f>INDEX('Tarieven ZM'!$G:$G,$W157)</f>
        <v>1000</v>
      </c>
      <c r="AD157" s="198">
        <f>-INDEX(Parameters!$B:$B,MATCH(AD$3&amp;$C157,Parameters!$A:$A,0))*$AC157</f>
        <v>0</v>
      </c>
      <c r="AE157" s="198">
        <f>-INDEX(Parameters!$B:$B,MATCH(AE$3,Parameters!$A:$A,0))*$AC157</f>
        <v>0</v>
      </c>
      <c r="AF157" s="139">
        <f t="shared" si="95"/>
        <v>1000</v>
      </c>
      <c r="AG157" s="522">
        <f t="shared" si="96"/>
        <v>1027.7777777777778</v>
      </c>
      <c r="AH157" s="175"/>
      <c r="AI157" s="523">
        <f>MATCH($U157,'Tarieven W&amp;O'!$B:$B,0)</f>
        <v>37</v>
      </c>
      <c r="AJ157" s="204">
        <f>IF(AI157&lt;&gt;"nvt",INDEX('Tarieven W&amp;O'!$H:$H,$AI157),0)</f>
        <v>0</v>
      </c>
      <c r="AK157" s="204">
        <f>IF(AI157&lt;&gt;"nvt",INDEX('Tarieven W&amp;O'!$I:$I,$AI157),0)</f>
        <v>25</v>
      </c>
      <c r="AL157" s="524">
        <f>IF(AI157&lt;&gt;"nvt",-INDEX(Parameters!$B:$B,MATCH(AL$3,Parameters!$A:$A,0))*(AJ157+AK157),0)</f>
        <v>0</v>
      </c>
      <c r="AM157" s="525"/>
      <c r="AN157" s="139">
        <f t="shared" si="97"/>
        <v>25</v>
      </c>
      <c r="AO157" s="205">
        <f>AN157/INDEX(Parameters!$B:$B,MATCH("AfschrijftermijnVVE"&amp;12*$C157,Parameters!$A:$A,0))</f>
        <v>0.69444444444444442</v>
      </c>
      <c r="AP157" s="139">
        <f t="shared" si="98"/>
        <v>37</v>
      </c>
      <c r="AQ157" s="526">
        <f>IF(AP157&lt;&gt;"nvt",INDEX('Tarieven W&amp;O'!$G:$G,$AP157),0)</f>
        <v>16.55</v>
      </c>
      <c r="AR157" s="251">
        <f>IF($S157,INDEX('Tarieven W&amp;O'!$G:$G,MATCH(N157&amp;R157,'Tarieven W&amp;O'!$B:$B,0)),0)</f>
        <v>5.25</v>
      </c>
      <c r="AS157" s="205">
        <f>-INDEX(Parameters!$B:$B,MATCH(AS$3,Parameters!$A:$A,0))*(AQ157+AR157)</f>
        <v>0</v>
      </c>
      <c r="AT157" s="205">
        <f>INDEX(hulpblad!$E:$E,MATCH(M157&amp;Q157,hulpblad!$B:$B,0))</f>
        <v>2</v>
      </c>
      <c r="AU157" s="150">
        <f t="shared" si="76"/>
        <v>23.8</v>
      </c>
      <c r="AV157" s="150">
        <f t="shared" si="77"/>
        <v>24.494444444444444</v>
      </c>
      <c r="AX157" s="526">
        <f>Parameters!$B$6*AV157</f>
        <v>0.24494444444444444</v>
      </c>
      <c r="AY157" s="150">
        <v>0</v>
      </c>
      <c r="AZ157" s="150"/>
      <c r="BA157" s="150">
        <f t="shared" si="99"/>
        <v>0.24494444444444444</v>
      </c>
      <c r="BB157" s="150"/>
      <c r="BC157" s="522">
        <f t="shared" si="100"/>
        <v>24.73938888888889</v>
      </c>
      <c r="BD157" s="175"/>
      <c r="BE157" s="527">
        <f t="shared" si="80"/>
        <v>1003.0383888888889</v>
      </c>
      <c r="BF157" s="181">
        <f t="shared" si="81"/>
        <v>0.97592924324324326</v>
      </c>
      <c r="BG157" s="520" t="b">
        <f t="shared" si="93"/>
        <v>0</v>
      </c>
      <c r="BI157" s="528" t="s">
        <v>2181</v>
      </c>
      <c r="BL157" s="151" t="str">
        <f t="shared" si="83"/>
        <v>EoKMetro - Nationaal</v>
      </c>
      <c r="BM157" s="529">
        <v>0</v>
      </c>
      <c r="BN157" s="180">
        <f>BM157/INDEX(Parameters!$B:$B,MATCH("AfschrijftermijnVVE"&amp;12*$C157,Parameters!$A:$A,0))</f>
        <v>0</v>
      </c>
      <c r="BO157" s="184">
        <f>INDEX('inkoop ULL tbv EVPN'!I:I,MATCH(BL157,'inkoop ULL tbv EVPN'!H:H,0))</f>
        <v>2</v>
      </c>
      <c r="BP157" s="184">
        <f t="shared" si="84"/>
        <v>2</v>
      </c>
      <c r="BR157" s="180">
        <f>Parameters!$B$12*AG157</f>
        <v>102.77777777777779</v>
      </c>
      <c r="BS157" s="180">
        <f>SUM(Distributievergoedingen!$F$12,Distributievergoedingen!$I$12,Distributievergoedingen!$L$12,Distributievergoedingen!$O$12)*AF157+SUM(Distributievergoedingen!$O$12*AA157+Distributievergoedingen!$R$12+Distributievergoedingen!$U$12+Distributievergoedingen!$X$12)/(MAX(36,12*C157))</f>
        <v>112.77777777777777</v>
      </c>
      <c r="BT157" s="150"/>
      <c r="BU157" s="150">
        <f t="shared" si="85"/>
        <v>215.55555555555554</v>
      </c>
      <c r="BW157" s="522">
        <f t="shared" si="86"/>
        <v>217.55555555555554</v>
      </c>
      <c r="BY157" s="527">
        <f t="shared" si="87"/>
        <v>810.22222222222229</v>
      </c>
      <c r="BZ157" s="181">
        <f t="shared" si="88"/>
        <v>0.78832432432432431</v>
      </c>
      <c r="CA157" s="520" t="b">
        <f t="shared" si="89"/>
        <v>0</v>
      </c>
    </row>
    <row r="158" spans="1:79" s="151" customFormat="1">
      <c r="A158" s="151" t="str">
        <f t="shared" si="68"/>
        <v>2EoKEntryNationaal3</v>
      </c>
      <c r="B158" s="520" t="str">
        <f t="shared" si="90"/>
        <v>2EoKEntryNationaal3</v>
      </c>
      <c r="C158" s="179">
        <v>2</v>
      </c>
      <c r="D158" s="179" t="s">
        <v>303</v>
      </c>
      <c r="E158" s="178" t="s">
        <v>45</v>
      </c>
      <c r="F158" s="178" t="s">
        <v>266</v>
      </c>
      <c r="G158" s="185" t="s">
        <v>407</v>
      </c>
      <c r="J158" s="520" t="str">
        <f t="shared" si="91"/>
        <v>EntryNationaal3</v>
      </c>
      <c r="L158" s="204">
        <f>INDEX(Mapping!$H:$H,MATCH(C$3&amp;C158,Mapping!$B:$B,0))</f>
        <v>1</v>
      </c>
      <c r="M158" s="204" t="str">
        <f>INDEX(Mapping!$H:$H,MATCH(D$3&amp;$D158,Mapping!$B:$B,0))</f>
        <v>EoK</v>
      </c>
      <c r="N158" s="204" t="str">
        <f>INDEX(Mapping!$H:$H,MATCH(E$3&amp;E158,Mapping!$B:$B,0))</f>
        <v>Lite</v>
      </c>
      <c r="O158" s="204" t="str">
        <f>INDEX(Mapping!$H:$H,MATCH(F$3&amp;F158,Mapping!$B:$B,0))</f>
        <v>Metro</v>
      </c>
      <c r="P158" s="204">
        <f>INDEX(Mapping!$H:$H,MATCH(G$3&amp;G158,Mapping!$B:$B,0))</f>
        <v>3</v>
      </c>
      <c r="Q158" s="204" t="str">
        <f>INDEX(Mapping!$H:$H,MATCH(Q$3&amp;$F158,Mapping!$B:$B,0))</f>
        <v>Metro - Nationaal</v>
      </c>
      <c r="R158" s="204" t="str">
        <f>INDEX(Mapping!$H:$H,MATCH("ZM VPN Service Level"&amp;E158,Mapping!$B:$B,0))</f>
        <v>Advanced</v>
      </c>
      <c r="S158" s="139" t="b">
        <f>IF($D158="EoK",INDEX(Mapping!$I:$I,MATCH($G$3&amp;$G158,Mapping!B:B,0)),FALSE)</f>
        <v>0</v>
      </c>
      <c r="T158" s="139"/>
      <c r="U158" s="520" t="str">
        <f t="shared" si="92"/>
        <v>LiteMetro3</v>
      </c>
      <c r="W158" s="521">
        <f>MATCH($J158,'Tarieven ZM'!$B:$B,0)</f>
        <v>48</v>
      </c>
      <c r="X158" s="204">
        <f>INDEX('Tarieven ZM'!$H:$H,$W158)</f>
        <v>1000</v>
      </c>
      <c r="Y158" s="198">
        <f>-INDEX(Parameters!$B:$B,MATCH(Y$3&amp;$C158,Parameters!$A:$A,0))*$X158</f>
        <v>0</v>
      </c>
      <c r="Z158" s="198">
        <f>-INDEX(Parameters!$B:$B,MATCH(Z$3&amp;$C158,Parameters!$A:$A,0))*$X158</f>
        <v>0</v>
      </c>
      <c r="AA158" s="139">
        <f t="shared" si="94"/>
        <v>1000</v>
      </c>
      <c r="AB158" s="205">
        <f>AA158/INDEX(Parameters!$B:$B,MATCH("AfschrijftermijnVVE"&amp;12*$C158,Parameters!$A:$A,0))</f>
        <v>27.777777777777779</v>
      </c>
      <c r="AC158" s="204">
        <f>INDEX('Tarieven ZM'!$G:$G,$W158)</f>
        <v>1000</v>
      </c>
      <c r="AD158" s="198">
        <f>-INDEX(Parameters!$B:$B,MATCH(AD$3&amp;$C158,Parameters!$A:$A,0))*$AC158</f>
        <v>0</v>
      </c>
      <c r="AE158" s="198">
        <f>-INDEX(Parameters!$B:$B,MATCH(AE$3,Parameters!$A:$A,0))*$AC158</f>
        <v>0</v>
      </c>
      <c r="AF158" s="139">
        <f t="shared" si="95"/>
        <v>1000</v>
      </c>
      <c r="AG158" s="522">
        <f t="shared" si="96"/>
        <v>1027.7777777777778</v>
      </c>
      <c r="AH158" s="175"/>
      <c r="AI158" s="523">
        <f>MATCH($U158,'Tarieven W&amp;O'!$B:$B,0)</f>
        <v>38</v>
      </c>
      <c r="AJ158" s="204">
        <f>IF(AI158&lt;&gt;"nvt",INDEX('Tarieven W&amp;O'!$H:$H,$AI158),0)</f>
        <v>0</v>
      </c>
      <c r="AK158" s="204">
        <f>IF(AI158&lt;&gt;"nvt",INDEX('Tarieven W&amp;O'!$I:$I,$AI158),0)</f>
        <v>25</v>
      </c>
      <c r="AL158" s="524">
        <f>IF(AI158&lt;&gt;"nvt",-INDEX(Parameters!$B:$B,MATCH(AL$3,Parameters!$A:$A,0))*(AJ158+AK158),0)</f>
        <v>0</v>
      </c>
      <c r="AM158" s="525"/>
      <c r="AN158" s="139">
        <f t="shared" si="97"/>
        <v>25</v>
      </c>
      <c r="AO158" s="205">
        <f>AN158/INDEX(Parameters!$B:$B,MATCH("AfschrijftermijnVVE"&amp;12*$C158,Parameters!$A:$A,0))</f>
        <v>0.69444444444444442</v>
      </c>
      <c r="AP158" s="139">
        <f t="shared" si="98"/>
        <v>38</v>
      </c>
      <c r="AQ158" s="526">
        <f>IF(AP158&lt;&gt;"nvt",INDEX('Tarieven W&amp;O'!$G:$G,$AP158),0)</f>
        <v>18.47</v>
      </c>
      <c r="AR158" s="251">
        <f>IF($S158,INDEX('Tarieven W&amp;O'!$G:$G,MATCH(N158&amp;R158,'Tarieven W&amp;O'!$B:$B,0)),0)</f>
        <v>0</v>
      </c>
      <c r="AS158" s="205">
        <f>-INDEX(Parameters!$B:$B,MATCH(AS$3,Parameters!$A:$A,0))*(AQ158+AR158)</f>
        <v>0</v>
      </c>
      <c r="AT158" s="205">
        <f>INDEX(hulpblad!$E:$E,MATCH(M158&amp;Q158,hulpblad!$B:$B,0))</f>
        <v>2</v>
      </c>
      <c r="AU158" s="150">
        <f t="shared" si="76"/>
        <v>20.47</v>
      </c>
      <c r="AV158" s="150">
        <f t="shared" si="77"/>
        <v>21.164444444444442</v>
      </c>
      <c r="AX158" s="526">
        <f>Parameters!$B$6*AV158</f>
        <v>0.21164444444444441</v>
      </c>
      <c r="AY158" s="150">
        <v>0</v>
      </c>
      <c r="AZ158" s="150"/>
      <c r="BA158" s="150">
        <f t="shared" si="99"/>
        <v>0.21164444444444441</v>
      </c>
      <c r="BB158" s="150"/>
      <c r="BC158" s="522">
        <f t="shared" si="100"/>
        <v>21.376088888888887</v>
      </c>
      <c r="BD158" s="175"/>
      <c r="BE158" s="527">
        <f t="shared" si="80"/>
        <v>1006.4016888888889</v>
      </c>
      <c r="BF158" s="181">
        <f t="shared" si="81"/>
        <v>0.97920164324324321</v>
      </c>
      <c r="BG158" s="520" t="b">
        <f t="shared" si="93"/>
        <v>0</v>
      </c>
      <c r="BI158" s="528" t="s">
        <v>2181</v>
      </c>
      <c r="BL158" s="151" t="str">
        <f t="shared" si="83"/>
        <v>EoKMetro - Nationaal</v>
      </c>
      <c r="BM158" s="529">
        <v>0</v>
      </c>
      <c r="BN158" s="180">
        <f>BM158/INDEX(Parameters!$B:$B,MATCH("AfschrijftermijnVVE"&amp;12*$C158,Parameters!$A:$A,0))</f>
        <v>0</v>
      </c>
      <c r="BO158" s="184">
        <f>INDEX('inkoop ULL tbv EVPN'!I:I,MATCH(BL158,'inkoop ULL tbv EVPN'!H:H,0))</f>
        <v>2</v>
      </c>
      <c r="BP158" s="184">
        <f t="shared" si="84"/>
        <v>2</v>
      </c>
      <c r="BR158" s="180">
        <f>Parameters!$B$12*AG158</f>
        <v>102.77777777777779</v>
      </c>
      <c r="BS158" s="180">
        <f>SUM(Distributievergoedingen!$F$12,Distributievergoedingen!$I$12,Distributievergoedingen!$L$12,Distributievergoedingen!$O$12)*AF158+SUM(Distributievergoedingen!$O$12*AA158+Distributievergoedingen!$R$12+Distributievergoedingen!$U$12+Distributievergoedingen!$X$12)/(MAX(36,12*C158))</f>
        <v>112.77777777777777</v>
      </c>
      <c r="BT158" s="150"/>
      <c r="BU158" s="150">
        <f t="shared" si="85"/>
        <v>215.55555555555554</v>
      </c>
      <c r="BW158" s="522">
        <f t="shared" si="86"/>
        <v>217.55555555555554</v>
      </c>
      <c r="BY158" s="527">
        <f t="shared" si="87"/>
        <v>810.22222222222229</v>
      </c>
      <c r="BZ158" s="181">
        <f t="shared" si="88"/>
        <v>0.78832432432432431</v>
      </c>
      <c r="CA158" s="520" t="b">
        <f t="shared" si="89"/>
        <v>0</v>
      </c>
    </row>
    <row r="159" spans="1:79" s="151" customFormat="1">
      <c r="A159" s="151" t="str">
        <f t="shared" si="68"/>
        <v>2EoKEntryNationaal4</v>
      </c>
      <c r="B159" s="520" t="str">
        <f t="shared" si="90"/>
        <v>2EoKEntryNationaal4</v>
      </c>
      <c r="C159" s="179">
        <v>2</v>
      </c>
      <c r="D159" s="179" t="s">
        <v>303</v>
      </c>
      <c r="E159" s="178" t="s">
        <v>45</v>
      </c>
      <c r="F159" s="178" t="s">
        <v>266</v>
      </c>
      <c r="G159" s="185" t="s">
        <v>408</v>
      </c>
      <c r="J159" s="520" t="str">
        <f t="shared" si="91"/>
        <v>EntryNationaal4</v>
      </c>
      <c r="L159" s="204">
        <f>INDEX(Mapping!$H:$H,MATCH(C$3&amp;C159,Mapping!$B:$B,0))</f>
        <v>1</v>
      </c>
      <c r="M159" s="204" t="str">
        <f>INDEX(Mapping!$H:$H,MATCH(D$3&amp;$D159,Mapping!$B:$B,0))</f>
        <v>EoK</v>
      </c>
      <c r="N159" s="204" t="str">
        <f>INDEX(Mapping!$H:$H,MATCH(E$3&amp;E159,Mapping!$B:$B,0))</f>
        <v>Lite</v>
      </c>
      <c r="O159" s="204" t="str">
        <f>INDEX(Mapping!$H:$H,MATCH(F$3&amp;F159,Mapping!$B:$B,0))</f>
        <v>Metro</v>
      </c>
      <c r="P159" s="204">
        <f>INDEX(Mapping!$H:$H,MATCH(G$3&amp;G159,Mapping!$B:$B,0))</f>
        <v>4</v>
      </c>
      <c r="Q159" s="204" t="str">
        <f>INDEX(Mapping!$H:$H,MATCH(Q$3&amp;$F159,Mapping!$B:$B,0))</f>
        <v>Metro - Nationaal</v>
      </c>
      <c r="R159" s="204" t="str">
        <f>INDEX(Mapping!$H:$H,MATCH("ZM VPN Service Level"&amp;E159,Mapping!$B:$B,0))</f>
        <v>Advanced</v>
      </c>
      <c r="S159" s="139" t="b">
        <f>IF($D159="EoK",INDEX(Mapping!$I:$I,MATCH($G$3&amp;$G159,Mapping!B:B,0)),FALSE)</f>
        <v>0</v>
      </c>
      <c r="T159" s="139"/>
      <c r="U159" s="520" t="str">
        <f t="shared" si="92"/>
        <v>LiteMetro4</v>
      </c>
      <c r="W159" s="521">
        <f>MATCH($J159,'Tarieven ZM'!$B:$B,0)</f>
        <v>49</v>
      </c>
      <c r="X159" s="204">
        <f>INDEX('Tarieven ZM'!$H:$H,$W159)</f>
        <v>1000</v>
      </c>
      <c r="Y159" s="198">
        <f>-INDEX(Parameters!$B:$B,MATCH(Y$3&amp;$C159,Parameters!$A:$A,0))*$X159</f>
        <v>0</v>
      </c>
      <c r="Z159" s="198">
        <f>-INDEX(Parameters!$B:$B,MATCH(Z$3&amp;$C159,Parameters!$A:$A,0))*$X159</f>
        <v>0</v>
      </c>
      <c r="AA159" s="139">
        <f t="shared" si="94"/>
        <v>1000</v>
      </c>
      <c r="AB159" s="205">
        <f>AA159/INDEX(Parameters!$B:$B,MATCH("AfschrijftermijnVVE"&amp;12*$C159,Parameters!$A:$A,0))</f>
        <v>27.777777777777779</v>
      </c>
      <c r="AC159" s="204">
        <f>INDEX('Tarieven ZM'!$G:$G,$W159)</f>
        <v>1000</v>
      </c>
      <c r="AD159" s="198">
        <f>-INDEX(Parameters!$B:$B,MATCH(AD$3&amp;$C159,Parameters!$A:$A,0))*$AC159</f>
        <v>0</v>
      </c>
      <c r="AE159" s="198">
        <f>-INDEX(Parameters!$B:$B,MATCH(AE$3,Parameters!$A:$A,0))*$AC159</f>
        <v>0</v>
      </c>
      <c r="AF159" s="139">
        <f t="shared" si="95"/>
        <v>1000</v>
      </c>
      <c r="AG159" s="522">
        <f t="shared" si="96"/>
        <v>1027.7777777777778</v>
      </c>
      <c r="AH159" s="175"/>
      <c r="AI159" s="523">
        <f>MATCH($U159,'Tarieven W&amp;O'!$B:$B,0)</f>
        <v>39</v>
      </c>
      <c r="AJ159" s="204">
        <f>IF(AI159&lt;&gt;"nvt",INDEX('Tarieven W&amp;O'!$H:$H,$AI159),0)</f>
        <v>0</v>
      </c>
      <c r="AK159" s="204">
        <f>IF(AI159&lt;&gt;"nvt",INDEX('Tarieven W&amp;O'!$I:$I,$AI159),0)</f>
        <v>25</v>
      </c>
      <c r="AL159" s="524">
        <f>IF(AI159&lt;&gt;"nvt",-INDEX(Parameters!$B:$B,MATCH(AL$3,Parameters!$A:$A,0))*(AJ159+AK159),0)</f>
        <v>0</v>
      </c>
      <c r="AM159" s="525"/>
      <c r="AN159" s="139">
        <f t="shared" si="97"/>
        <v>25</v>
      </c>
      <c r="AO159" s="205">
        <f>AN159/INDEX(Parameters!$B:$B,MATCH("AfschrijftermijnVVE"&amp;12*$C159,Parameters!$A:$A,0))</f>
        <v>0.69444444444444442</v>
      </c>
      <c r="AP159" s="139">
        <f t="shared" si="98"/>
        <v>39</v>
      </c>
      <c r="AQ159" s="526">
        <f>IF(AP159&lt;&gt;"nvt",INDEX('Tarieven W&amp;O'!$G:$G,$AP159),0)</f>
        <v>18.47</v>
      </c>
      <c r="AR159" s="251">
        <f>IF($S159,INDEX('Tarieven W&amp;O'!$G:$G,MATCH(N159&amp;R159,'Tarieven W&amp;O'!$B:$B,0)),0)</f>
        <v>0</v>
      </c>
      <c r="AS159" s="205">
        <f>-INDEX(Parameters!$B:$B,MATCH(AS$3,Parameters!$A:$A,0))*(AQ159+AR159)</f>
        <v>0</v>
      </c>
      <c r="AT159" s="205">
        <f>INDEX(hulpblad!$E:$E,MATCH(M159&amp;Q159,hulpblad!$B:$B,0))</f>
        <v>2</v>
      </c>
      <c r="AU159" s="150">
        <f t="shared" si="76"/>
        <v>20.47</v>
      </c>
      <c r="AV159" s="150">
        <f t="shared" si="77"/>
        <v>21.164444444444442</v>
      </c>
      <c r="AX159" s="526">
        <f>Parameters!$B$6*AV159</f>
        <v>0.21164444444444441</v>
      </c>
      <c r="AY159" s="150">
        <v>0</v>
      </c>
      <c r="AZ159" s="150"/>
      <c r="BA159" s="150">
        <f t="shared" si="99"/>
        <v>0.21164444444444441</v>
      </c>
      <c r="BB159" s="150"/>
      <c r="BC159" s="522">
        <f t="shared" si="100"/>
        <v>21.376088888888887</v>
      </c>
      <c r="BD159" s="175"/>
      <c r="BE159" s="527">
        <f t="shared" si="80"/>
        <v>1006.4016888888889</v>
      </c>
      <c r="BF159" s="181">
        <f t="shared" si="81"/>
        <v>0.97920164324324321</v>
      </c>
      <c r="BG159" s="520" t="b">
        <f t="shared" si="93"/>
        <v>0</v>
      </c>
      <c r="BI159" s="528" t="s">
        <v>2181</v>
      </c>
      <c r="BL159" s="151" t="str">
        <f t="shared" si="83"/>
        <v>EoKMetro - Nationaal</v>
      </c>
      <c r="BM159" s="529">
        <v>0</v>
      </c>
      <c r="BN159" s="180">
        <f>BM159/INDEX(Parameters!$B:$B,MATCH("AfschrijftermijnVVE"&amp;12*$C159,Parameters!$A:$A,0))</f>
        <v>0</v>
      </c>
      <c r="BO159" s="184">
        <f>INDEX('inkoop ULL tbv EVPN'!I:I,MATCH(BL159,'inkoop ULL tbv EVPN'!H:H,0))</f>
        <v>2</v>
      </c>
      <c r="BP159" s="184">
        <f t="shared" si="84"/>
        <v>2</v>
      </c>
      <c r="BR159" s="180">
        <f>Parameters!$B$12*AG159</f>
        <v>102.77777777777779</v>
      </c>
      <c r="BS159" s="180">
        <f>SUM(Distributievergoedingen!$F$12,Distributievergoedingen!$I$12,Distributievergoedingen!$L$12,Distributievergoedingen!$O$12)*AF159+SUM(Distributievergoedingen!$O$12*AA159+Distributievergoedingen!$R$12+Distributievergoedingen!$U$12+Distributievergoedingen!$X$12)/(MAX(36,12*C159))</f>
        <v>112.77777777777777</v>
      </c>
      <c r="BT159" s="150"/>
      <c r="BU159" s="150">
        <f t="shared" si="85"/>
        <v>215.55555555555554</v>
      </c>
      <c r="BW159" s="522">
        <f t="shared" si="86"/>
        <v>217.55555555555554</v>
      </c>
      <c r="BY159" s="527">
        <f t="shared" si="87"/>
        <v>810.22222222222229</v>
      </c>
      <c r="BZ159" s="181">
        <f t="shared" si="88"/>
        <v>0.78832432432432431</v>
      </c>
      <c r="CA159" s="520" t="b">
        <f t="shared" si="89"/>
        <v>0</v>
      </c>
    </row>
    <row r="160" spans="1:79" s="151" customFormat="1">
      <c r="A160" s="151" t="str">
        <f t="shared" si="68"/>
        <v>2EoKEntryNationaal5</v>
      </c>
      <c r="B160" s="520" t="str">
        <f t="shared" si="90"/>
        <v>2EoKEntryNationaal5</v>
      </c>
      <c r="C160" s="179">
        <v>2</v>
      </c>
      <c r="D160" s="179" t="s">
        <v>303</v>
      </c>
      <c r="E160" s="178" t="s">
        <v>45</v>
      </c>
      <c r="F160" s="178" t="s">
        <v>266</v>
      </c>
      <c r="G160" s="185" t="s">
        <v>409</v>
      </c>
      <c r="J160" s="520" t="str">
        <f t="shared" si="91"/>
        <v>EntryNationaal5</v>
      </c>
      <c r="L160" s="204">
        <f>INDEX(Mapping!$H:$H,MATCH(C$3&amp;C160,Mapping!$B:$B,0))</f>
        <v>1</v>
      </c>
      <c r="M160" s="204" t="str">
        <f>INDEX(Mapping!$H:$H,MATCH(D$3&amp;$D160,Mapping!$B:$B,0))</f>
        <v>EoK</v>
      </c>
      <c r="N160" s="204" t="str">
        <f>INDEX(Mapping!$H:$H,MATCH(E$3&amp;E160,Mapping!$B:$B,0))</f>
        <v>Lite</v>
      </c>
      <c r="O160" s="204" t="str">
        <f>INDEX(Mapping!$H:$H,MATCH(F$3&amp;F160,Mapping!$B:$B,0))</f>
        <v>Metro</v>
      </c>
      <c r="P160" s="204">
        <f>INDEX(Mapping!$H:$H,MATCH(G$3&amp;G160,Mapping!$B:$B,0))</f>
        <v>5</v>
      </c>
      <c r="Q160" s="204" t="str">
        <f>INDEX(Mapping!$H:$H,MATCH(Q$3&amp;$F160,Mapping!$B:$B,0))</f>
        <v>Metro - Nationaal</v>
      </c>
      <c r="R160" s="204" t="str">
        <f>INDEX(Mapping!$H:$H,MATCH("ZM VPN Service Level"&amp;E160,Mapping!$B:$B,0))</f>
        <v>Advanced</v>
      </c>
      <c r="S160" s="139" t="b">
        <f>IF($D160="EoK",INDEX(Mapping!$I:$I,MATCH($G$3&amp;$G160,Mapping!B:B,0)),FALSE)</f>
        <v>0</v>
      </c>
      <c r="T160" s="139"/>
      <c r="U160" s="520" t="str">
        <f t="shared" si="92"/>
        <v>LiteMetro5</v>
      </c>
      <c r="W160" s="521">
        <f>MATCH($J160,'Tarieven ZM'!$B:$B,0)</f>
        <v>50</v>
      </c>
      <c r="X160" s="204">
        <f>INDEX('Tarieven ZM'!$H:$H,$W160)</f>
        <v>1000</v>
      </c>
      <c r="Y160" s="198">
        <f>-INDEX(Parameters!$B:$B,MATCH(Y$3&amp;$C160,Parameters!$A:$A,0))*$X160</f>
        <v>0</v>
      </c>
      <c r="Z160" s="198">
        <f>-INDEX(Parameters!$B:$B,MATCH(Z$3&amp;$C160,Parameters!$A:$A,0))*$X160</f>
        <v>0</v>
      </c>
      <c r="AA160" s="139">
        <f t="shared" si="94"/>
        <v>1000</v>
      </c>
      <c r="AB160" s="205">
        <f>AA160/INDEX(Parameters!$B:$B,MATCH("AfschrijftermijnVVE"&amp;12*$C160,Parameters!$A:$A,0))</f>
        <v>27.777777777777779</v>
      </c>
      <c r="AC160" s="204">
        <f>INDEX('Tarieven ZM'!$G:$G,$W160)</f>
        <v>1000</v>
      </c>
      <c r="AD160" s="198">
        <f>-INDEX(Parameters!$B:$B,MATCH(AD$3&amp;$C160,Parameters!$A:$A,0))*$AC160</f>
        <v>0</v>
      </c>
      <c r="AE160" s="198">
        <f>-INDEX(Parameters!$B:$B,MATCH(AE$3,Parameters!$A:$A,0))*$AC160</f>
        <v>0</v>
      </c>
      <c r="AF160" s="139">
        <f t="shared" si="95"/>
        <v>1000</v>
      </c>
      <c r="AG160" s="522">
        <f t="shared" si="96"/>
        <v>1027.7777777777778</v>
      </c>
      <c r="AH160" s="175"/>
      <c r="AI160" s="523">
        <f>MATCH($U160,'Tarieven W&amp;O'!$B:$B,0)</f>
        <v>40</v>
      </c>
      <c r="AJ160" s="204">
        <f>IF(AI160&lt;&gt;"nvt",INDEX('Tarieven W&amp;O'!$H:$H,$AI160),0)</f>
        <v>0</v>
      </c>
      <c r="AK160" s="204">
        <f>IF(AI160&lt;&gt;"nvt",INDEX('Tarieven W&amp;O'!$I:$I,$AI160),0)</f>
        <v>25</v>
      </c>
      <c r="AL160" s="524">
        <f>IF(AI160&lt;&gt;"nvt",-INDEX(Parameters!$B:$B,MATCH(AL$3,Parameters!$A:$A,0))*(AJ160+AK160),0)</f>
        <v>0</v>
      </c>
      <c r="AM160" s="525"/>
      <c r="AN160" s="139">
        <f t="shared" si="97"/>
        <v>25</v>
      </c>
      <c r="AO160" s="205">
        <f>AN160/INDEX(Parameters!$B:$B,MATCH("AfschrijftermijnVVE"&amp;12*$C160,Parameters!$A:$A,0))</f>
        <v>0.69444444444444442</v>
      </c>
      <c r="AP160" s="139">
        <f t="shared" si="98"/>
        <v>40</v>
      </c>
      <c r="AQ160" s="526">
        <f>IF(AP160&lt;&gt;"nvt",INDEX('Tarieven W&amp;O'!$G:$G,$AP160),0)</f>
        <v>18.47</v>
      </c>
      <c r="AR160" s="251">
        <f>IF($S160,INDEX('Tarieven W&amp;O'!$G:$G,MATCH(N160&amp;R160,'Tarieven W&amp;O'!$B:$B,0)),0)</f>
        <v>0</v>
      </c>
      <c r="AS160" s="205">
        <f>-INDEX(Parameters!$B:$B,MATCH(AS$3,Parameters!$A:$A,0))*(AQ160+AR160)</f>
        <v>0</v>
      </c>
      <c r="AT160" s="205">
        <f>INDEX(hulpblad!$E:$E,MATCH(M160&amp;Q160,hulpblad!$B:$B,0))</f>
        <v>2</v>
      </c>
      <c r="AU160" s="150">
        <f t="shared" si="76"/>
        <v>20.47</v>
      </c>
      <c r="AV160" s="150">
        <f t="shared" si="77"/>
        <v>21.164444444444442</v>
      </c>
      <c r="AX160" s="526">
        <f>Parameters!$B$6*AV160</f>
        <v>0.21164444444444441</v>
      </c>
      <c r="AY160" s="150">
        <v>0</v>
      </c>
      <c r="AZ160" s="150"/>
      <c r="BA160" s="150">
        <f t="shared" si="99"/>
        <v>0.21164444444444441</v>
      </c>
      <c r="BB160" s="150"/>
      <c r="BC160" s="522">
        <f t="shared" si="100"/>
        <v>21.376088888888887</v>
      </c>
      <c r="BD160" s="175"/>
      <c r="BE160" s="527">
        <f t="shared" si="80"/>
        <v>1006.4016888888889</v>
      </c>
      <c r="BF160" s="181">
        <f t="shared" si="81"/>
        <v>0.97920164324324321</v>
      </c>
      <c r="BG160" s="520" t="b">
        <f t="shared" si="93"/>
        <v>0</v>
      </c>
      <c r="BI160" s="528" t="s">
        <v>2181</v>
      </c>
      <c r="BL160" s="151" t="str">
        <f t="shared" si="83"/>
        <v>EoKMetro - Nationaal</v>
      </c>
      <c r="BM160" s="529">
        <v>0</v>
      </c>
      <c r="BN160" s="180">
        <f>BM160/INDEX(Parameters!$B:$B,MATCH("AfschrijftermijnVVE"&amp;12*$C160,Parameters!$A:$A,0))</f>
        <v>0</v>
      </c>
      <c r="BO160" s="184">
        <f>INDEX('inkoop ULL tbv EVPN'!I:I,MATCH(BL160,'inkoop ULL tbv EVPN'!H:H,0))</f>
        <v>2</v>
      </c>
      <c r="BP160" s="184">
        <f t="shared" si="84"/>
        <v>2</v>
      </c>
      <c r="BR160" s="180">
        <f>Parameters!$B$12*AG160</f>
        <v>102.77777777777779</v>
      </c>
      <c r="BS160" s="180">
        <f>SUM(Distributievergoedingen!$F$12,Distributievergoedingen!$I$12,Distributievergoedingen!$L$12,Distributievergoedingen!$O$12)*AF160+SUM(Distributievergoedingen!$O$12*AA160+Distributievergoedingen!$R$12+Distributievergoedingen!$U$12+Distributievergoedingen!$X$12)/(MAX(36,12*C160))</f>
        <v>112.77777777777777</v>
      </c>
      <c r="BT160" s="150"/>
      <c r="BU160" s="150">
        <f t="shared" si="85"/>
        <v>215.55555555555554</v>
      </c>
      <c r="BW160" s="522">
        <f t="shared" si="86"/>
        <v>217.55555555555554</v>
      </c>
      <c r="BY160" s="527">
        <f t="shared" si="87"/>
        <v>810.22222222222229</v>
      </c>
      <c r="BZ160" s="181">
        <f t="shared" si="88"/>
        <v>0.78832432432432431</v>
      </c>
      <c r="CA160" s="520" t="b">
        <f t="shared" si="89"/>
        <v>0</v>
      </c>
    </row>
    <row r="161" spans="1:79" s="151" customFormat="1">
      <c r="A161" s="151" t="str">
        <f t="shared" si="68"/>
        <v>2EoKEntryNationaal6</v>
      </c>
      <c r="B161" s="520" t="str">
        <f t="shared" si="90"/>
        <v>2EoKEntryNationaal6</v>
      </c>
      <c r="C161" s="179">
        <v>2</v>
      </c>
      <c r="D161" s="179" t="s">
        <v>303</v>
      </c>
      <c r="E161" s="178" t="s">
        <v>45</v>
      </c>
      <c r="F161" s="178" t="s">
        <v>266</v>
      </c>
      <c r="G161" s="185" t="s">
        <v>410</v>
      </c>
      <c r="J161" s="520" t="str">
        <f t="shared" si="91"/>
        <v>EntryNationaal6</v>
      </c>
      <c r="L161" s="204">
        <f>INDEX(Mapping!$H:$H,MATCH(C$3&amp;C161,Mapping!$B:$B,0))</f>
        <v>1</v>
      </c>
      <c r="M161" s="204" t="str">
        <f>INDEX(Mapping!$H:$H,MATCH(D$3&amp;$D161,Mapping!$B:$B,0))</f>
        <v>EoK</v>
      </c>
      <c r="N161" s="204" t="str">
        <f>INDEX(Mapping!$H:$H,MATCH(E$3&amp;E161,Mapping!$B:$B,0))</f>
        <v>Lite</v>
      </c>
      <c r="O161" s="204" t="str">
        <f>INDEX(Mapping!$H:$H,MATCH(F$3&amp;F161,Mapping!$B:$B,0))</f>
        <v>Metro</v>
      </c>
      <c r="P161" s="204">
        <f>INDEX(Mapping!$H:$H,MATCH(G$3&amp;G161,Mapping!$B:$B,0))</f>
        <v>6</v>
      </c>
      <c r="Q161" s="204" t="str">
        <f>INDEX(Mapping!$H:$H,MATCH(Q$3&amp;$F161,Mapping!$B:$B,0))</f>
        <v>Metro - Nationaal</v>
      </c>
      <c r="R161" s="204" t="str">
        <f>INDEX(Mapping!$H:$H,MATCH("ZM VPN Service Level"&amp;E161,Mapping!$B:$B,0))</f>
        <v>Advanced</v>
      </c>
      <c r="S161" s="139" t="b">
        <f>IF($D161="EoK",INDEX(Mapping!$I:$I,MATCH($G$3&amp;$G161,Mapping!B:B,0)),FALSE)</f>
        <v>0</v>
      </c>
      <c r="T161" s="139"/>
      <c r="U161" s="520" t="str">
        <f t="shared" si="92"/>
        <v>LiteMetro6</v>
      </c>
      <c r="W161" s="521">
        <f>MATCH($J161,'Tarieven ZM'!$B:$B,0)</f>
        <v>51</v>
      </c>
      <c r="X161" s="204">
        <f>INDEX('Tarieven ZM'!$H:$H,$W161)</f>
        <v>1000</v>
      </c>
      <c r="Y161" s="198">
        <f>-INDEX(Parameters!$B:$B,MATCH(Y$3&amp;$C161,Parameters!$A:$A,0))*$X161</f>
        <v>0</v>
      </c>
      <c r="Z161" s="198">
        <f>-INDEX(Parameters!$B:$B,MATCH(Z$3&amp;$C161,Parameters!$A:$A,0))*$X161</f>
        <v>0</v>
      </c>
      <c r="AA161" s="139">
        <f t="shared" si="94"/>
        <v>1000</v>
      </c>
      <c r="AB161" s="205">
        <f>AA161/INDEX(Parameters!$B:$B,MATCH("AfschrijftermijnVVE"&amp;12*$C161,Parameters!$A:$A,0))</f>
        <v>27.777777777777779</v>
      </c>
      <c r="AC161" s="204">
        <f>INDEX('Tarieven ZM'!$G:$G,$W161)</f>
        <v>1000</v>
      </c>
      <c r="AD161" s="198">
        <f>-INDEX(Parameters!$B:$B,MATCH(AD$3&amp;$C161,Parameters!$A:$A,0))*$AC161</f>
        <v>0</v>
      </c>
      <c r="AE161" s="198">
        <f>-INDEX(Parameters!$B:$B,MATCH(AE$3,Parameters!$A:$A,0))*$AC161</f>
        <v>0</v>
      </c>
      <c r="AF161" s="139">
        <f t="shared" si="95"/>
        <v>1000</v>
      </c>
      <c r="AG161" s="522">
        <f t="shared" si="96"/>
        <v>1027.7777777777778</v>
      </c>
      <c r="AH161" s="175"/>
      <c r="AI161" s="523">
        <f>MATCH($U161,'Tarieven W&amp;O'!$B:$B,0)</f>
        <v>41</v>
      </c>
      <c r="AJ161" s="204">
        <f>IF(AI161&lt;&gt;"nvt",INDEX('Tarieven W&amp;O'!$H:$H,$AI161),0)</f>
        <v>0</v>
      </c>
      <c r="AK161" s="204">
        <f>IF(AI161&lt;&gt;"nvt",INDEX('Tarieven W&amp;O'!$I:$I,$AI161),0)</f>
        <v>25</v>
      </c>
      <c r="AL161" s="524">
        <f>IF(AI161&lt;&gt;"nvt",-INDEX(Parameters!$B:$B,MATCH(AL$3,Parameters!$A:$A,0))*(AJ161+AK161),0)</f>
        <v>0</v>
      </c>
      <c r="AM161" s="525"/>
      <c r="AN161" s="139">
        <f t="shared" si="97"/>
        <v>25</v>
      </c>
      <c r="AO161" s="205">
        <f>AN161/INDEX(Parameters!$B:$B,MATCH("AfschrijftermijnVVE"&amp;12*$C161,Parameters!$A:$A,0))</f>
        <v>0.69444444444444442</v>
      </c>
      <c r="AP161" s="139">
        <f t="shared" si="98"/>
        <v>41</v>
      </c>
      <c r="AQ161" s="526">
        <f>IF(AP161&lt;&gt;"nvt",INDEX('Tarieven W&amp;O'!$G:$G,$AP161),0)</f>
        <v>18.47</v>
      </c>
      <c r="AR161" s="251">
        <f>IF($S161,INDEX('Tarieven W&amp;O'!$G:$G,MATCH(N161&amp;R161,'Tarieven W&amp;O'!$B:$B,0)),0)</f>
        <v>0</v>
      </c>
      <c r="AS161" s="205">
        <f>-INDEX(Parameters!$B:$B,MATCH(AS$3,Parameters!$A:$A,0))*(AQ161+AR161)</f>
        <v>0</v>
      </c>
      <c r="AT161" s="205">
        <f>INDEX(hulpblad!$E:$E,MATCH(M161&amp;Q161,hulpblad!$B:$B,0))</f>
        <v>2</v>
      </c>
      <c r="AU161" s="150">
        <f t="shared" si="76"/>
        <v>20.47</v>
      </c>
      <c r="AV161" s="150">
        <f t="shared" si="77"/>
        <v>21.164444444444442</v>
      </c>
      <c r="AX161" s="526">
        <f>Parameters!$B$6*AV161</f>
        <v>0.21164444444444441</v>
      </c>
      <c r="AY161" s="150">
        <v>0</v>
      </c>
      <c r="AZ161" s="150"/>
      <c r="BA161" s="150">
        <f t="shared" si="99"/>
        <v>0.21164444444444441</v>
      </c>
      <c r="BB161" s="150"/>
      <c r="BC161" s="522">
        <f t="shared" si="100"/>
        <v>21.376088888888887</v>
      </c>
      <c r="BD161" s="175"/>
      <c r="BE161" s="527">
        <f t="shared" si="80"/>
        <v>1006.4016888888889</v>
      </c>
      <c r="BF161" s="181">
        <f t="shared" si="81"/>
        <v>0.97920164324324321</v>
      </c>
      <c r="BG161" s="520" t="b">
        <f t="shared" si="93"/>
        <v>0</v>
      </c>
      <c r="BI161" s="528" t="s">
        <v>2181</v>
      </c>
      <c r="BL161" s="151" t="str">
        <f t="shared" si="83"/>
        <v>EoKMetro - Nationaal</v>
      </c>
      <c r="BM161" s="529">
        <v>0</v>
      </c>
      <c r="BN161" s="180">
        <f>BM161/INDEX(Parameters!$B:$B,MATCH("AfschrijftermijnVVE"&amp;12*$C161,Parameters!$A:$A,0))</f>
        <v>0</v>
      </c>
      <c r="BO161" s="184">
        <f>INDEX('inkoop ULL tbv EVPN'!I:I,MATCH(BL161,'inkoop ULL tbv EVPN'!H:H,0))</f>
        <v>2</v>
      </c>
      <c r="BP161" s="184">
        <f t="shared" si="84"/>
        <v>2</v>
      </c>
      <c r="BR161" s="180">
        <f>Parameters!$B$12*AG161</f>
        <v>102.77777777777779</v>
      </c>
      <c r="BS161" s="180">
        <f>SUM(Distributievergoedingen!$F$12,Distributievergoedingen!$I$12,Distributievergoedingen!$L$12,Distributievergoedingen!$O$12)*AF161+SUM(Distributievergoedingen!$O$12*AA161+Distributievergoedingen!$R$12+Distributievergoedingen!$U$12+Distributievergoedingen!$X$12)/(MAX(36,12*C161))</f>
        <v>112.77777777777777</v>
      </c>
      <c r="BT161" s="150"/>
      <c r="BU161" s="150">
        <f t="shared" si="85"/>
        <v>215.55555555555554</v>
      </c>
      <c r="BW161" s="522">
        <f t="shared" si="86"/>
        <v>217.55555555555554</v>
      </c>
      <c r="BY161" s="527">
        <f t="shared" si="87"/>
        <v>810.22222222222229</v>
      </c>
      <c r="BZ161" s="181">
        <f t="shared" si="88"/>
        <v>0.78832432432432431</v>
      </c>
      <c r="CA161" s="520" t="b">
        <f t="shared" si="89"/>
        <v>0</v>
      </c>
    </row>
    <row r="162" spans="1:79" s="151" customFormat="1">
      <c r="A162" s="151" t="str">
        <f t="shared" si="68"/>
        <v>2EoKEntryNationaal8</v>
      </c>
      <c r="B162" s="520" t="str">
        <f t="shared" si="90"/>
        <v>2EoKEntryNationaal8</v>
      </c>
      <c r="C162" s="179">
        <v>2</v>
      </c>
      <c r="D162" s="179" t="s">
        <v>303</v>
      </c>
      <c r="E162" s="178" t="s">
        <v>45</v>
      </c>
      <c r="F162" s="178" t="s">
        <v>266</v>
      </c>
      <c r="G162" s="185" t="s">
        <v>411</v>
      </c>
      <c r="J162" s="520" t="str">
        <f t="shared" si="91"/>
        <v>EntryNationaal8</v>
      </c>
      <c r="L162" s="204">
        <f>INDEX(Mapping!$H:$H,MATCH(C$3&amp;C162,Mapping!$B:$B,0))</f>
        <v>1</v>
      </c>
      <c r="M162" s="204" t="str">
        <f>INDEX(Mapping!$H:$H,MATCH(D$3&amp;$D162,Mapping!$B:$B,0))</f>
        <v>EoK</v>
      </c>
      <c r="N162" s="204" t="str">
        <f>INDEX(Mapping!$H:$H,MATCH(E$3&amp;E162,Mapping!$B:$B,0))</f>
        <v>Lite</v>
      </c>
      <c r="O162" s="204" t="str">
        <f>INDEX(Mapping!$H:$H,MATCH(F$3&amp;F162,Mapping!$B:$B,0))</f>
        <v>Metro</v>
      </c>
      <c r="P162" s="204">
        <f>INDEX(Mapping!$H:$H,MATCH(G$3&amp;G162,Mapping!$B:$B,0))</f>
        <v>8</v>
      </c>
      <c r="Q162" s="204" t="str">
        <f>INDEX(Mapping!$H:$H,MATCH(Q$3&amp;$F162,Mapping!$B:$B,0))</f>
        <v>Metro - Nationaal</v>
      </c>
      <c r="R162" s="204" t="str">
        <f>INDEX(Mapping!$H:$H,MATCH("ZM VPN Service Level"&amp;E162,Mapping!$B:$B,0))</f>
        <v>Advanced</v>
      </c>
      <c r="S162" s="139" t="b">
        <f>IF($D162="EoK",INDEX(Mapping!$I:$I,MATCH($G$3&amp;$G162,Mapping!B:B,0)),FALSE)</f>
        <v>0</v>
      </c>
      <c r="T162" s="139"/>
      <c r="U162" s="520" t="str">
        <f t="shared" si="92"/>
        <v>LiteMetro8</v>
      </c>
      <c r="W162" s="521">
        <f>MATCH($J162,'Tarieven ZM'!$B:$B,0)</f>
        <v>52</v>
      </c>
      <c r="X162" s="204">
        <f>INDEX('Tarieven ZM'!$H:$H,$W162)</f>
        <v>1000</v>
      </c>
      <c r="Y162" s="198">
        <f>-INDEX(Parameters!$B:$B,MATCH(Y$3&amp;$C162,Parameters!$A:$A,0))*$X162</f>
        <v>0</v>
      </c>
      <c r="Z162" s="198">
        <f>-INDEX(Parameters!$B:$B,MATCH(Z$3&amp;$C162,Parameters!$A:$A,0))*$X162</f>
        <v>0</v>
      </c>
      <c r="AA162" s="139">
        <f t="shared" si="94"/>
        <v>1000</v>
      </c>
      <c r="AB162" s="205">
        <f>AA162/INDEX(Parameters!$B:$B,MATCH("AfschrijftermijnVVE"&amp;12*$C162,Parameters!$A:$A,0))</f>
        <v>27.777777777777779</v>
      </c>
      <c r="AC162" s="204">
        <f>INDEX('Tarieven ZM'!$G:$G,$W162)</f>
        <v>1000</v>
      </c>
      <c r="AD162" s="198">
        <f>-INDEX(Parameters!$B:$B,MATCH(AD$3&amp;$C162,Parameters!$A:$A,0))*$AC162</f>
        <v>0</v>
      </c>
      <c r="AE162" s="198">
        <f>-INDEX(Parameters!$B:$B,MATCH(AE$3,Parameters!$A:$A,0))*$AC162</f>
        <v>0</v>
      </c>
      <c r="AF162" s="139">
        <f t="shared" si="95"/>
        <v>1000</v>
      </c>
      <c r="AG162" s="522">
        <f t="shared" si="96"/>
        <v>1027.7777777777778</v>
      </c>
      <c r="AH162" s="175"/>
      <c r="AI162" s="523">
        <f>MATCH($U162,'Tarieven W&amp;O'!$B:$B,0)</f>
        <v>42</v>
      </c>
      <c r="AJ162" s="204">
        <f>IF(AI162&lt;&gt;"nvt",INDEX('Tarieven W&amp;O'!$H:$H,$AI162),0)</f>
        <v>0</v>
      </c>
      <c r="AK162" s="204">
        <f>IF(AI162&lt;&gt;"nvt",INDEX('Tarieven W&amp;O'!$I:$I,$AI162),0)</f>
        <v>25</v>
      </c>
      <c r="AL162" s="524">
        <f>IF(AI162&lt;&gt;"nvt",-INDEX(Parameters!$B:$B,MATCH(AL$3,Parameters!$A:$A,0))*(AJ162+AK162),0)</f>
        <v>0</v>
      </c>
      <c r="AM162" s="525"/>
      <c r="AN162" s="139">
        <f t="shared" si="97"/>
        <v>25</v>
      </c>
      <c r="AO162" s="205">
        <f>AN162/INDEX(Parameters!$B:$B,MATCH("AfschrijftermijnVVE"&amp;12*$C162,Parameters!$A:$A,0))</f>
        <v>0.69444444444444442</v>
      </c>
      <c r="AP162" s="139">
        <f t="shared" si="98"/>
        <v>42</v>
      </c>
      <c r="AQ162" s="526">
        <f>IF(AP162&lt;&gt;"nvt",INDEX('Tarieven W&amp;O'!$G:$G,$AP162),0)</f>
        <v>18.47</v>
      </c>
      <c r="AR162" s="251">
        <f>IF($S162,INDEX('Tarieven W&amp;O'!$G:$G,MATCH(N162&amp;R162,'Tarieven W&amp;O'!$B:$B,0)),0)</f>
        <v>0</v>
      </c>
      <c r="AS162" s="205">
        <f>-INDEX(Parameters!$B:$B,MATCH(AS$3,Parameters!$A:$A,0))*(AQ162+AR162)</f>
        <v>0</v>
      </c>
      <c r="AT162" s="205">
        <f>INDEX(hulpblad!$E:$E,MATCH(M162&amp;Q162,hulpblad!$B:$B,0))</f>
        <v>2</v>
      </c>
      <c r="AU162" s="150">
        <f t="shared" si="76"/>
        <v>20.47</v>
      </c>
      <c r="AV162" s="150">
        <f t="shared" si="77"/>
        <v>21.164444444444442</v>
      </c>
      <c r="AX162" s="526">
        <f>Parameters!$B$6*AV162</f>
        <v>0.21164444444444441</v>
      </c>
      <c r="AY162" s="150">
        <v>0</v>
      </c>
      <c r="AZ162" s="150"/>
      <c r="BA162" s="150">
        <f t="shared" si="99"/>
        <v>0.21164444444444441</v>
      </c>
      <c r="BB162" s="150"/>
      <c r="BC162" s="522">
        <f t="shared" si="100"/>
        <v>21.376088888888887</v>
      </c>
      <c r="BD162" s="175"/>
      <c r="BE162" s="527">
        <f t="shared" si="80"/>
        <v>1006.4016888888889</v>
      </c>
      <c r="BF162" s="181">
        <f t="shared" si="81"/>
        <v>0.97920164324324321</v>
      </c>
      <c r="BG162" s="520" t="b">
        <f t="shared" si="93"/>
        <v>0</v>
      </c>
      <c r="BI162" s="528" t="s">
        <v>2181</v>
      </c>
      <c r="BL162" s="151" t="str">
        <f t="shared" si="83"/>
        <v>EoKMetro - Nationaal</v>
      </c>
      <c r="BM162" s="529">
        <v>0</v>
      </c>
      <c r="BN162" s="180">
        <f>BM162/INDEX(Parameters!$B:$B,MATCH("AfschrijftermijnVVE"&amp;12*$C162,Parameters!$A:$A,0))</f>
        <v>0</v>
      </c>
      <c r="BO162" s="184">
        <f>INDEX('inkoop ULL tbv EVPN'!I:I,MATCH(BL162,'inkoop ULL tbv EVPN'!H:H,0))</f>
        <v>2</v>
      </c>
      <c r="BP162" s="184">
        <f t="shared" si="84"/>
        <v>2</v>
      </c>
      <c r="BR162" s="180">
        <f>Parameters!$B$12*AG162</f>
        <v>102.77777777777779</v>
      </c>
      <c r="BS162" s="180">
        <f>SUM(Distributievergoedingen!$F$12,Distributievergoedingen!$I$12,Distributievergoedingen!$L$12,Distributievergoedingen!$O$12)*AF162+SUM(Distributievergoedingen!$O$12*AA162+Distributievergoedingen!$R$12+Distributievergoedingen!$U$12+Distributievergoedingen!$X$12)/(MAX(36,12*C162))</f>
        <v>112.77777777777777</v>
      </c>
      <c r="BT162" s="150"/>
      <c r="BU162" s="150">
        <f t="shared" si="85"/>
        <v>215.55555555555554</v>
      </c>
      <c r="BW162" s="522">
        <f t="shared" si="86"/>
        <v>217.55555555555554</v>
      </c>
      <c r="BY162" s="527">
        <f t="shared" si="87"/>
        <v>810.22222222222229</v>
      </c>
      <c r="BZ162" s="181">
        <f t="shared" si="88"/>
        <v>0.78832432432432431</v>
      </c>
      <c r="CA162" s="520" t="b">
        <f t="shared" si="89"/>
        <v>0</v>
      </c>
    </row>
    <row r="163" spans="1:79" s="151" customFormat="1">
      <c r="A163" s="151" t="str">
        <f t="shared" si="68"/>
        <v>2EoKEntryNationaal10</v>
      </c>
      <c r="B163" s="520" t="str">
        <f t="shared" si="90"/>
        <v>2EoKEntryNationaal10</v>
      </c>
      <c r="C163" s="179">
        <v>2</v>
      </c>
      <c r="D163" s="179" t="s">
        <v>303</v>
      </c>
      <c r="E163" s="178" t="s">
        <v>45</v>
      </c>
      <c r="F163" s="178" t="s">
        <v>266</v>
      </c>
      <c r="G163" s="185" t="s">
        <v>412</v>
      </c>
      <c r="J163" s="520" t="str">
        <f t="shared" si="91"/>
        <v>EntryNationaal10</v>
      </c>
      <c r="L163" s="204">
        <f>INDEX(Mapping!$H:$H,MATCH(C$3&amp;C163,Mapping!$B:$B,0))</f>
        <v>1</v>
      </c>
      <c r="M163" s="204" t="str">
        <f>INDEX(Mapping!$H:$H,MATCH(D$3&amp;$D163,Mapping!$B:$B,0))</f>
        <v>EoK</v>
      </c>
      <c r="N163" s="204" t="str">
        <f>INDEX(Mapping!$H:$H,MATCH(E$3&amp;E163,Mapping!$B:$B,0))</f>
        <v>Lite</v>
      </c>
      <c r="O163" s="204" t="str">
        <f>INDEX(Mapping!$H:$H,MATCH(F$3&amp;F163,Mapping!$B:$B,0))</f>
        <v>Metro</v>
      </c>
      <c r="P163" s="204">
        <f>INDEX(Mapping!$H:$H,MATCH(G$3&amp;G163,Mapping!$B:$B,0))</f>
        <v>10</v>
      </c>
      <c r="Q163" s="204" t="str">
        <f>INDEX(Mapping!$H:$H,MATCH(Q$3&amp;$F163,Mapping!$B:$B,0))</f>
        <v>Metro - Nationaal</v>
      </c>
      <c r="R163" s="204" t="str">
        <f>INDEX(Mapping!$H:$H,MATCH("ZM VPN Service Level"&amp;E163,Mapping!$B:$B,0))</f>
        <v>Advanced</v>
      </c>
      <c r="S163" s="139" t="b">
        <f>IF($D163="EoK",INDEX(Mapping!$I:$I,MATCH($G$3&amp;$G163,Mapping!B:B,0)),FALSE)</f>
        <v>0</v>
      </c>
      <c r="T163" s="139"/>
      <c r="U163" s="520" t="str">
        <f t="shared" si="92"/>
        <v>LiteMetro10</v>
      </c>
      <c r="W163" s="521">
        <f>MATCH($J163,'Tarieven ZM'!$B:$B,0)</f>
        <v>53</v>
      </c>
      <c r="X163" s="204">
        <f>INDEX('Tarieven ZM'!$H:$H,$W163)</f>
        <v>1000</v>
      </c>
      <c r="Y163" s="198">
        <f>-INDEX(Parameters!$B:$B,MATCH(Y$3&amp;$C163,Parameters!$A:$A,0))*$X163</f>
        <v>0</v>
      </c>
      <c r="Z163" s="198">
        <f>-INDEX(Parameters!$B:$B,MATCH(Z$3&amp;$C163,Parameters!$A:$A,0))*$X163</f>
        <v>0</v>
      </c>
      <c r="AA163" s="139">
        <f t="shared" si="94"/>
        <v>1000</v>
      </c>
      <c r="AB163" s="205">
        <f>AA163/INDEX(Parameters!$B:$B,MATCH("AfschrijftermijnVVE"&amp;12*$C163,Parameters!$A:$A,0))</f>
        <v>27.777777777777779</v>
      </c>
      <c r="AC163" s="204">
        <f>INDEX('Tarieven ZM'!$G:$G,$W163)</f>
        <v>1000</v>
      </c>
      <c r="AD163" s="198">
        <f>-INDEX(Parameters!$B:$B,MATCH(AD$3&amp;$C163,Parameters!$A:$A,0))*$AC163</f>
        <v>0</v>
      </c>
      <c r="AE163" s="198">
        <f>-INDEX(Parameters!$B:$B,MATCH(AE$3,Parameters!$A:$A,0))*$AC163</f>
        <v>0</v>
      </c>
      <c r="AF163" s="139">
        <f t="shared" si="95"/>
        <v>1000</v>
      </c>
      <c r="AG163" s="522">
        <f t="shared" si="96"/>
        <v>1027.7777777777778</v>
      </c>
      <c r="AH163" s="175"/>
      <c r="AI163" s="523">
        <f>MATCH($U163,'Tarieven W&amp;O'!$B:$B,0)</f>
        <v>43</v>
      </c>
      <c r="AJ163" s="204">
        <f>IF(AI163&lt;&gt;"nvt",INDEX('Tarieven W&amp;O'!$H:$H,$AI163),0)</f>
        <v>0</v>
      </c>
      <c r="AK163" s="204">
        <f>IF(AI163&lt;&gt;"nvt",INDEX('Tarieven W&amp;O'!$I:$I,$AI163),0)</f>
        <v>25</v>
      </c>
      <c r="AL163" s="524">
        <f>IF(AI163&lt;&gt;"nvt",-INDEX(Parameters!$B:$B,MATCH(AL$3,Parameters!$A:$A,0))*(AJ163+AK163),0)</f>
        <v>0</v>
      </c>
      <c r="AM163" s="525"/>
      <c r="AN163" s="139">
        <f t="shared" si="97"/>
        <v>25</v>
      </c>
      <c r="AO163" s="205">
        <f>AN163/INDEX(Parameters!$B:$B,MATCH("AfschrijftermijnVVE"&amp;12*$C163,Parameters!$A:$A,0))</f>
        <v>0.69444444444444442</v>
      </c>
      <c r="AP163" s="139">
        <f t="shared" si="98"/>
        <v>43</v>
      </c>
      <c r="AQ163" s="526">
        <f>IF(AP163&lt;&gt;"nvt",INDEX('Tarieven W&amp;O'!$G:$G,$AP163),0)</f>
        <v>18.47</v>
      </c>
      <c r="AR163" s="251">
        <f>IF($S163,INDEX('Tarieven W&amp;O'!$G:$G,MATCH(N163&amp;R163,'Tarieven W&amp;O'!$B:$B,0)),0)</f>
        <v>0</v>
      </c>
      <c r="AS163" s="205">
        <f>-INDEX(Parameters!$B:$B,MATCH(AS$3,Parameters!$A:$A,0))*(AQ163+AR163)</f>
        <v>0</v>
      </c>
      <c r="AT163" s="205">
        <f>INDEX(hulpblad!$E:$E,MATCH(M163&amp;Q163,hulpblad!$B:$B,0))</f>
        <v>2</v>
      </c>
      <c r="AU163" s="150">
        <f t="shared" si="76"/>
        <v>20.47</v>
      </c>
      <c r="AV163" s="150">
        <f t="shared" si="77"/>
        <v>21.164444444444442</v>
      </c>
      <c r="AX163" s="526">
        <f>Parameters!$B$6*AV163</f>
        <v>0.21164444444444441</v>
      </c>
      <c r="AY163" s="150">
        <v>0</v>
      </c>
      <c r="AZ163" s="150"/>
      <c r="BA163" s="150">
        <f t="shared" si="99"/>
        <v>0.21164444444444441</v>
      </c>
      <c r="BB163" s="150"/>
      <c r="BC163" s="522">
        <f t="shared" si="100"/>
        <v>21.376088888888887</v>
      </c>
      <c r="BD163" s="175"/>
      <c r="BE163" s="527">
        <f t="shared" si="80"/>
        <v>1006.4016888888889</v>
      </c>
      <c r="BF163" s="181">
        <f t="shared" si="81"/>
        <v>0.97920164324324321</v>
      </c>
      <c r="BG163" s="520" t="b">
        <f t="shared" si="93"/>
        <v>0</v>
      </c>
      <c r="BI163" s="528" t="s">
        <v>2181</v>
      </c>
      <c r="BL163" s="151" t="str">
        <f t="shared" si="83"/>
        <v>EoKMetro - Nationaal</v>
      </c>
      <c r="BM163" s="529">
        <v>0</v>
      </c>
      <c r="BN163" s="180">
        <f>BM163/INDEX(Parameters!$B:$B,MATCH("AfschrijftermijnVVE"&amp;12*$C163,Parameters!$A:$A,0))</f>
        <v>0</v>
      </c>
      <c r="BO163" s="184">
        <f>INDEX('inkoop ULL tbv EVPN'!I:I,MATCH(BL163,'inkoop ULL tbv EVPN'!H:H,0))</f>
        <v>2</v>
      </c>
      <c r="BP163" s="184">
        <f t="shared" si="84"/>
        <v>2</v>
      </c>
      <c r="BR163" s="180">
        <f>Parameters!$B$12*AG163</f>
        <v>102.77777777777779</v>
      </c>
      <c r="BS163" s="180">
        <f>SUM(Distributievergoedingen!$F$12,Distributievergoedingen!$I$12,Distributievergoedingen!$L$12,Distributievergoedingen!$O$12)*AF163+SUM(Distributievergoedingen!$O$12*AA163+Distributievergoedingen!$R$12+Distributievergoedingen!$U$12+Distributievergoedingen!$X$12)/(MAX(36,12*C163))</f>
        <v>112.77777777777777</v>
      </c>
      <c r="BT163" s="150"/>
      <c r="BU163" s="150">
        <f t="shared" si="85"/>
        <v>215.55555555555554</v>
      </c>
      <c r="BW163" s="522">
        <f t="shared" si="86"/>
        <v>217.55555555555554</v>
      </c>
      <c r="BY163" s="527">
        <f t="shared" si="87"/>
        <v>810.22222222222229</v>
      </c>
      <c r="BZ163" s="181">
        <f t="shared" si="88"/>
        <v>0.78832432432432431</v>
      </c>
      <c r="CA163" s="520" t="b">
        <f t="shared" si="89"/>
        <v>0</v>
      </c>
    </row>
    <row r="164" spans="1:79" s="151" customFormat="1">
      <c r="A164" s="151" t="str">
        <f t="shared" si="68"/>
        <v>2EoKEntryNationaal15</v>
      </c>
      <c r="B164" s="520" t="str">
        <f t="shared" si="90"/>
        <v>2EoKEntryNationaal15</v>
      </c>
      <c r="C164" s="179">
        <v>2</v>
      </c>
      <c r="D164" s="179" t="s">
        <v>303</v>
      </c>
      <c r="E164" s="178" t="s">
        <v>45</v>
      </c>
      <c r="F164" s="178" t="s">
        <v>266</v>
      </c>
      <c r="G164" s="185" t="s">
        <v>413</v>
      </c>
      <c r="J164" s="520" t="str">
        <f t="shared" si="91"/>
        <v>EntryNationaal15</v>
      </c>
      <c r="L164" s="204">
        <f>INDEX(Mapping!$H:$H,MATCH(C$3&amp;C164,Mapping!$B:$B,0))</f>
        <v>1</v>
      </c>
      <c r="M164" s="204" t="str">
        <f>INDEX(Mapping!$H:$H,MATCH(D$3&amp;$D164,Mapping!$B:$B,0))</f>
        <v>EoK</v>
      </c>
      <c r="N164" s="204" t="str">
        <f>INDEX(Mapping!$H:$H,MATCH(E$3&amp;E164,Mapping!$B:$B,0))</f>
        <v>Lite</v>
      </c>
      <c r="O164" s="204" t="str">
        <f>INDEX(Mapping!$H:$H,MATCH(F$3&amp;F164,Mapping!$B:$B,0))</f>
        <v>Metro</v>
      </c>
      <c r="P164" s="204">
        <f>INDEX(Mapping!$H:$H,MATCH(G$3&amp;G164,Mapping!$B:$B,0))</f>
        <v>15</v>
      </c>
      <c r="Q164" s="204" t="str">
        <f>INDEX(Mapping!$H:$H,MATCH(Q$3&amp;$F164,Mapping!$B:$B,0))</f>
        <v>Metro - Nationaal</v>
      </c>
      <c r="R164" s="204" t="str">
        <f>INDEX(Mapping!$H:$H,MATCH("ZM VPN Service Level"&amp;E164,Mapping!$B:$B,0))</f>
        <v>Advanced</v>
      </c>
      <c r="S164" s="139" t="b">
        <f>IF($D164="EoK",INDEX(Mapping!$I:$I,MATCH($G$3&amp;$G164,Mapping!B:B,0)),FALSE)</f>
        <v>0</v>
      </c>
      <c r="T164" s="139"/>
      <c r="U164" s="520" t="str">
        <f t="shared" si="92"/>
        <v>LiteMetro15</v>
      </c>
      <c r="W164" s="521">
        <f>MATCH($J164,'Tarieven ZM'!$B:$B,0)</f>
        <v>54</v>
      </c>
      <c r="X164" s="204">
        <f>INDEX('Tarieven ZM'!$H:$H,$W164)</f>
        <v>1000</v>
      </c>
      <c r="Y164" s="198">
        <f>-INDEX(Parameters!$B:$B,MATCH(Y$3&amp;$C164,Parameters!$A:$A,0))*$X164</f>
        <v>0</v>
      </c>
      <c r="Z164" s="198">
        <f>-INDEX(Parameters!$B:$B,MATCH(Z$3&amp;$C164,Parameters!$A:$A,0))*$X164</f>
        <v>0</v>
      </c>
      <c r="AA164" s="139">
        <f t="shared" si="94"/>
        <v>1000</v>
      </c>
      <c r="AB164" s="205">
        <f>AA164/INDEX(Parameters!$B:$B,MATCH("AfschrijftermijnVVE"&amp;12*$C164,Parameters!$A:$A,0))</f>
        <v>27.777777777777779</v>
      </c>
      <c r="AC164" s="204">
        <f>INDEX('Tarieven ZM'!$G:$G,$W164)</f>
        <v>1000</v>
      </c>
      <c r="AD164" s="198">
        <f>-INDEX(Parameters!$B:$B,MATCH(AD$3&amp;$C164,Parameters!$A:$A,0))*$AC164</f>
        <v>0</v>
      </c>
      <c r="AE164" s="198">
        <f>-INDEX(Parameters!$B:$B,MATCH(AE$3,Parameters!$A:$A,0))*$AC164</f>
        <v>0</v>
      </c>
      <c r="AF164" s="139">
        <f t="shared" si="95"/>
        <v>1000</v>
      </c>
      <c r="AG164" s="522">
        <f t="shared" si="96"/>
        <v>1027.7777777777778</v>
      </c>
      <c r="AH164" s="175"/>
      <c r="AI164" s="523">
        <f>MATCH($U164,'Tarieven W&amp;O'!$B:$B,0)</f>
        <v>44</v>
      </c>
      <c r="AJ164" s="204">
        <f>IF(AI164&lt;&gt;"nvt",INDEX('Tarieven W&amp;O'!$H:$H,$AI164),0)</f>
        <v>0</v>
      </c>
      <c r="AK164" s="204">
        <f>IF(AI164&lt;&gt;"nvt",INDEX('Tarieven W&amp;O'!$I:$I,$AI164),0)</f>
        <v>25</v>
      </c>
      <c r="AL164" s="524">
        <f>IF(AI164&lt;&gt;"nvt",-INDEX(Parameters!$B:$B,MATCH(AL$3,Parameters!$A:$A,0))*(AJ164+AK164),0)</f>
        <v>0</v>
      </c>
      <c r="AM164" s="525"/>
      <c r="AN164" s="139">
        <f t="shared" si="97"/>
        <v>25</v>
      </c>
      <c r="AO164" s="205">
        <f>AN164/INDEX(Parameters!$B:$B,MATCH("AfschrijftermijnVVE"&amp;12*$C164,Parameters!$A:$A,0))</f>
        <v>0.69444444444444442</v>
      </c>
      <c r="AP164" s="139">
        <f t="shared" si="98"/>
        <v>44</v>
      </c>
      <c r="AQ164" s="526">
        <f>IF(AP164&lt;&gt;"nvt",INDEX('Tarieven W&amp;O'!$G:$G,$AP164),0)</f>
        <v>22.24</v>
      </c>
      <c r="AR164" s="251">
        <f>IF($S164,INDEX('Tarieven W&amp;O'!$G:$G,MATCH(N164&amp;R164,'Tarieven W&amp;O'!$B:$B,0)),0)</f>
        <v>0</v>
      </c>
      <c r="AS164" s="205">
        <f>-INDEX(Parameters!$B:$B,MATCH(AS$3,Parameters!$A:$A,0))*(AQ164+AR164)</f>
        <v>0</v>
      </c>
      <c r="AT164" s="205">
        <f>INDEX(hulpblad!$E:$E,MATCH(M164&amp;Q164,hulpblad!$B:$B,0))</f>
        <v>2</v>
      </c>
      <c r="AU164" s="150">
        <f t="shared" si="76"/>
        <v>24.24</v>
      </c>
      <c r="AV164" s="150">
        <f t="shared" si="77"/>
        <v>24.934444444444441</v>
      </c>
      <c r="AX164" s="526">
        <f>Parameters!$B$6*AV164</f>
        <v>0.24934444444444442</v>
      </c>
      <c r="AY164" s="150">
        <v>0</v>
      </c>
      <c r="AZ164" s="150"/>
      <c r="BA164" s="150">
        <f t="shared" si="99"/>
        <v>0.24934444444444442</v>
      </c>
      <c r="BB164" s="150"/>
      <c r="BC164" s="522">
        <f t="shared" si="100"/>
        <v>25.183788888888884</v>
      </c>
      <c r="BD164" s="175"/>
      <c r="BE164" s="527">
        <f t="shared" si="80"/>
        <v>1002.5939888888889</v>
      </c>
      <c r="BF164" s="181">
        <f t="shared" si="81"/>
        <v>0.97549685405405406</v>
      </c>
      <c r="BG164" s="520" t="b">
        <f t="shared" si="93"/>
        <v>0</v>
      </c>
      <c r="BI164" s="528" t="s">
        <v>2181</v>
      </c>
      <c r="BL164" s="151" t="str">
        <f t="shared" si="83"/>
        <v>EoKMetro - Nationaal</v>
      </c>
      <c r="BM164" s="529">
        <v>0</v>
      </c>
      <c r="BN164" s="180">
        <f>BM164/INDEX(Parameters!$B:$B,MATCH("AfschrijftermijnVVE"&amp;12*$C164,Parameters!$A:$A,0))</f>
        <v>0</v>
      </c>
      <c r="BO164" s="184">
        <f>INDEX('inkoop ULL tbv EVPN'!I:I,MATCH(BL164,'inkoop ULL tbv EVPN'!H:H,0))</f>
        <v>2</v>
      </c>
      <c r="BP164" s="184">
        <f t="shared" si="84"/>
        <v>2</v>
      </c>
      <c r="BR164" s="180">
        <f>Parameters!$B$12*AG164</f>
        <v>102.77777777777779</v>
      </c>
      <c r="BS164" s="180">
        <f>SUM(Distributievergoedingen!$F$12,Distributievergoedingen!$I$12,Distributievergoedingen!$L$12,Distributievergoedingen!$O$12)*AF164+SUM(Distributievergoedingen!$O$12*AA164+Distributievergoedingen!$R$12+Distributievergoedingen!$U$12+Distributievergoedingen!$X$12)/(MAX(36,12*C164))</f>
        <v>112.77777777777777</v>
      </c>
      <c r="BT164" s="150"/>
      <c r="BU164" s="150">
        <f t="shared" si="85"/>
        <v>215.55555555555554</v>
      </c>
      <c r="BW164" s="522">
        <f t="shared" si="86"/>
        <v>217.55555555555554</v>
      </c>
      <c r="BY164" s="527">
        <f t="shared" si="87"/>
        <v>810.22222222222229</v>
      </c>
      <c r="BZ164" s="181">
        <f t="shared" si="88"/>
        <v>0.78832432432432431</v>
      </c>
      <c r="CA164" s="520" t="b">
        <f t="shared" si="89"/>
        <v>0</v>
      </c>
    </row>
    <row r="165" spans="1:79" s="151" customFormat="1">
      <c r="A165" s="151" t="str">
        <f t="shared" si="68"/>
        <v>2EoKEntryNationaal20</v>
      </c>
      <c r="B165" s="520" t="str">
        <f t="shared" si="90"/>
        <v>2EoKEntryNationaal20</v>
      </c>
      <c r="C165" s="179">
        <v>2</v>
      </c>
      <c r="D165" s="179" t="s">
        <v>303</v>
      </c>
      <c r="E165" s="178" t="s">
        <v>45</v>
      </c>
      <c r="F165" s="178" t="s">
        <v>266</v>
      </c>
      <c r="G165" s="185" t="s">
        <v>414</v>
      </c>
      <c r="J165" s="520" t="str">
        <f t="shared" si="91"/>
        <v>EntryNationaal20</v>
      </c>
      <c r="L165" s="204">
        <f>INDEX(Mapping!$H:$H,MATCH(C$3&amp;C165,Mapping!$B:$B,0))</f>
        <v>1</v>
      </c>
      <c r="M165" s="204" t="str">
        <f>INDEX(Mapping!$H:$H,MATCH(D$3&amp;$D165,Mapping!$B:$B,0))</f>
        <v>EoK</v>
      </c>
      <c r="N165" s="204" t="str">
        <f>INDEX(Mapping!$H:$H,MATCH(E$3&amp;E165,Mapping!$B:$B,0))</f>
        <v>Lite</v>
      </c>
      <c r="O165" s="204" t="str">
        <f>INDEX(Mapping!$H:$H,MATCH(F$3&amp;F165,Mapping!$B:$B,0))</f>
        <v>Metro</v>
      </c>
      <c r="P165" s="204">
        <f>INDEX(Mapping!$H:$H,MATCH(G$3&amp;G165,Mapping!$B:$B,0))</f>
        <v>20</v>
      </c>
      <c r="Q165" s="204" t="str">
        <f>INDEX(Mapping!$H:$H,MATCH(Q$3&amp;$F165,Mapping!$B:$B,0))</f>
        <v>Metro - Nationaal</v>
      </c>
      <c r="R165" s="204" t="str">
        <f>INDEX(Mapping!$H:$H,MATCH("ZM VPN Service Level"&amp;E165,Mapping!$B:$B,0))</f>
        <v>Advanced</v>
      </c>
      <c r="S165" s="139" t="b">
        <f>IF($D165="EoK",INDEX(Mapping!$I:$I,MATCH($G$3&amp;$G165,Mapping!B:B,0)),FALSE)</f>
        <v>0</v>
      </c>
      <c r="T165" s="139"/>
      <c r="U165" s="520" t="str">
        <f t="shared" si="92"/>
        <v>LiteMetro20</v>
      </c>
      <c r="W165" s="521">
        <f>MATCH($J165,'Tarieven ZM'!$B:$B,0)</f>
        <v>55</v>
      </c>
      <c r="X165" s="204">
        <f>INDEX('Tarieven ZM'!$H:$H,$W165)</f>
        <v>1000</v>
      </c>
      <c r="Y165" s="198">
        <f>-INDEX(Parameters!$B:$B,MATCH(Y$3&amp;$C165,Parameters!$A:$A,0))*$X165</f>
        <v>0</v>
      </c>
      <c r="Z165" s="198">
        <f>-INDEX(Parameters!$B:$B,MATCH(Z$3&amp;$C165,Parameters!$A:$A,0))*$X165</f>
        <v>0</v>
      </c>
      <c r="AA165" s="139">
        <f t="shared" si="94"/>
        <v>1000</v>
      </c>
      <c r="AB165" s="205">
        <f>AA165/INDEX(Parameters!$B:$B,MATCH("AfschrijftermijnVVE"&amp;12*$C165,Parameters!$A:$A,0))</f>
        <v>27.777777777777779</v>
      </c>
      <c r="AC165" s="204">
        <f>INDEX('Tarieven ZM'!$G:$G,$W165)</f>
        <v>1000</v>
      </c>
      <c r="AD165" s="198">
        <f>-INDEX(Parameters!$B:$B,MATCH(AD$3&amp;$C165,Parameters!$A:$A,0))*$AC165</f>
        <v>0</v>
      </c>
      <c r="AE165" s="198">
        <f>-INDEX(Parameters!$B:$B,MATCH(AE$3,Parameters!$A:$A,0))*$AC165</f>
        <v>0</v>
      </c>
      <c r="AF165" s="139">
        <f t="shared" si="95"/>
        <v>1000</v>
      </c>
      <c r="AG165" s="522">
        <f t="shared" si="96"/>
        <v>1027.7777777777778</v>
      </c>
      <c r="AH165" s="175"/>
      <c r="AI165" s="523">
        <f>MATCH($U165,'Tarieven W&amp;O'!$B:$B,0)</f>
        <v>45</v>
      </c>
      <c r="AJ165" s="204">
        <f>IF(AI165&lt;&gt;"nvt",INDEX('Tarieven W&amp;O'!$H:$H,$AI165),0)</f>
        <v>0</v>
      </c>
      <c r="AK165" s="204">
        <f>IF(AI165&lt;&gt;"nvt",INDEX('Tarieven W&amp;O'!$I:$I,$AI165),0)</f>
        <v>25</v>
      </c>
      <c r="AL165" s="524">
        <f>IF(AI165&lt;&gt;"nvt",-INDEX(Parameters!$B:$B,MATCH(AL$3,Parameters!$A:$A,0))*(AJ165+AK165),0)</f>
        <v>0</v>
      </c>
      <c r="AM165" s="525"/>
      <c r="AN165" s="139">
        <f t="shared" si="97"/>
        <v>25</v>
      </c>
      <c r="AO165" s="205">
        <f>AN165/INDEX(Parameters!$B:$B,MATCH("AfschrijftermijnVVE"&amp;12*$C165,Parameters!$A:$A,0))</f>
        <v>0.69444444444444442</v>
      </c>
      <c r="AP165" s="139">
        <f t="shared" si="98"/>
        <v>45</v>
      </c>
      <c r="AQ165" s="526">
        <f>IF(AP165&lt;&gt;"nvt",INDEX('Tarieven W&amp;O'!$G:$G,$AP165),0)</f>
        <v>29.78</v>
      </c>
      <c r="AR165" s="251">
        <f>IF($S165,INDEX('Tarieven W&amp;O'!$G:$G,MATCH(N165&amp;R165,'Tarieven W&amp;O'!$B:$B,0)),0)</f>
        <v>0</v>
      </c>
      <c r="AS165" s="205">
        <f>-INDEX(Parameters!$B:$B,MATCH(AS$3,Parameters!$A:$A,0))*(AQ165+AR165)</f>
        <v>0</v>
      </c>
      <c r="AT165" s="205">
        <f>INDEX(hulpblad!$E:$E,MATCH(M165&amp;Q165,hulpblad!$B:$B,0))</f>
        <v>2</v>
      </c>
      <c r="AU165" s="150">
        <f t="shared" si="76"/>
        <v>31.78</v>
      </c>
      <c r="AV165" s="150">
        <f t="shared" si="77"/>
        <v>32.474444444444444</v>
      </c>
      <c r="AX165" s="526">
        <f>Parameters!$B$6*AV165</f>
        <v>0.32474444444444445</v>
      </c>
      <c r="AY165" s="150">
        <v>0</v>
      </c>
      <c r="AZ165" s="150"/>
      <c r="BA165" s="150">
        <f t="shared" si="99"/>
        <v>0.32474444444444445</v>
      </c>
      <c r="BB165" s="150"/>
      <c r="BC165" s="522">
        <f t="shared" si="100"/>
        <v>32.799188888888885</v>
      </c>
      <c r="BD165" s="175"/>
      <c r="BE165" s="527">
        <f t="shared" si="80"/>
        <v>994.97858888888891</v>
      </c>
      <c r="BF165" s="181">
        <f t="shared" si="81"/>
        <v>0.96808727567567565</v>
      </c>
      <c r="BG165" s="520" t="b">
        <f t="shared" si="93"/>
        <v>0</v>
      </c>
      <c r="BI165" s="528" t="s">
        <v>2181</v>
      </c>
      <c r="BL165" s="151" t="str">
        <f t="shared" si="83"/>
        <v>EoKMetro - Nationaal</v>
      </c>
      <c r="BM165" s="529">
        <v>0</v>
      </c>
      <c r="BN165" s="180">
        <f>BM165/INDEX(Parameters!$B:$B,MATCH("AfschrijftermijnVVE"&amp;12*$C165,Parameters!$A:$A,0))</f>
        <v>0</v>
      </c>
      <c r="BO165" s="184">
        <f>INDEX('inkoop ULL tbv EVPN'!I:I,MATCH(BL165,'inkoop ULL tbv EVPN'!H:H,0))</f>
        <v>2</v>
      </c>
      <c r="BP165" s="184">
        <f t="shared" si="84"/>
        <v>2</v>
      </c>
      <c r="BR165" s="180">
        <f>Parameters!$B$12*AG165</f>
        <v>102.77777777777779</v>
      </c>
      <c r="BS165" s="180">
        <f>SUM(Distributievergoedingen!$F$12,Distributievergoedingen!$I$12,Distributievergoedingen!$L$12,Distributievergoedingen!$O$12)*AF165+SUM(Distributievergoedingen!$O$12*AA165+Distributievergoedingen!$R$12+Distributievergoedingen!$U$12+Distributievergoedingen!$X$12)/(MAX(36,12*C165))</f>
        <v>112.77777777777777</v>
      </c>
      <c r="BT165" s="150"/>
      <c r="BU165" s="150">
        <f t="shared" si="85"/>
        <v>215.55555555555554</v>
      </c>
      <c r="BW165" s="522">
        <f t="shared" si="86"/>
        <v>217.55555555555554</v>
      </c>
      <c r="BY165" s="527">
        <f t="shared" si="87"/>
        <v>810.22222222222229</v>
      </c>
      <c r="BZ165" s="181">
        <f t="shared" si="88"/>
        <v>0.78832432432432431</v>
      </c>
      <c r="CA165" s="520" t="b">
        <f t="shared" si="89"/>
        <v>0</v>
      </c>
    </row>
    <row r="166" spans="1:79" s="151" customFormat="1">
      <c r="A166" s="151" t="str">
        <f t="shared" si="68"/>
        <v>2EoKEntryNationaal30</v>
      </c>
      <c r="B166" s="520" t="str">
        <f t="shared" si="90"/>
        <v>2EoKEntryNationaal30</v>
      </c>
      <c r="C166" s="179">
        <v>2</v>
      </c>
      <c r="D166" s="179" t="s">
        <v>303</v>
      </c>
      <c r="E166" s="178" t="s">
        <v>45</v>
      </c>
      <c r="F166" s="178" t="s">
        <v>266</v>
      </c>
      <c r="G166" s="185" t="s">
        <v>415</v>
      </c>
      <c r="J166" s="520" t="str">
        <f t="shared" si="91"/>
        <v>EntryNationaal30</v>
      </c>
      <c r="L166" s="204">
        <f>INDEX(Mapping!$H:$H,MATCH(C$3&amp;C166,Mapping!$B:$B,0))</f>
        <v>1</v>
      </c>
      <c r="M166" s="204" t="str">
        <f>INDEX(Mapping!$H:$H,MATCH(D$3&amp;$D166,Mapping!$B:$B,0))</f>
        <v>EoK</v>
      </c>
      <c r="N166" s="204" t="str">
        <f>INDEX(Mapping!$H:$H,MATCH(E$3&amp;E166,Mapping!$B:$B,0))</f>
        <v>Lite</v>
      </c>
      <c r="O166" s="204" t="str">
        <f>INDEX(Mapping!$H:$H,MATCH(F$3&amp;F166,Mapping!$B:$B,0))</f>
        <v>Metro</v>
      </c>
      <c r="P166" s="204">
        <f>INDEX(Mapping!$H:$H,MATCH(G$3&amp;G166,Mapping!$B:$B,0))</f>
        <v>30</v>
      </c>
      <c r="Q166" s="204" t="str">
        <f>INDEX(Mapping!$H:$H,MATCH(Q$3&amp;$F166,Mapping!$B:$B,0))</f>
        <v>Metro - Nationaal</v>
      </c>
      <c r="R166" s="204" t="str">
        <f>INDEX(Mapping!$H:$H,MATCH("ZM VPN Service Level"&amp;E166,Mapping!$B:$B,0))</f>
        <v>Advanced</v>
      </c>
      <c r="S166" s="139" t="b">
        <f>IF($D166="EoK",INDEX(Mapping!$I:$I,MATCH($G$3&amp;$G166,Mapping!B:B,0)),FALSE)</f>
        <v>0</v>
      </c>
      <c r="T166" s="139"/>
      <c r="U166" s="520" t="str">
        <f t="shared" si="92"/>
        <v>LiteMetro30</v>
      </c>
      <c r="W166" s="521">
        <f>MATCH($J166,'Tarieven ZM'!$B:$B,0)</f>
        <v>56</v>
      </c>
      <c r="X166" s="204">
        <f>INDEX('Tarieven ZM'!$H:$H,$W166)</f>
        <v>1000</v>
      </c>
      <c r="Y166" s="198">
        <f>-INDEX(Parameters!$B:$B,MATCH(Y$3&amp;$C166,Parameters!$A:$A,0))*$X166</f>
        <v>0</v>
      </c>
      <c r="Z166" s="198">
        <f>-INDEX(Parameters!$B:$B,MATCH(Z$3&amp;$C166,Parameters!$A:$A,0))*$X166</f>
        <v>0</v>
      </c>
      <c r="AA166" s="139">
        <f t="shared" si="94"/>
        <v>1000</v>
      </c>
      <c r="AB166" s="205">
        <f>AA166/INDEX(Parameters!$B:$B,MATCH("AfschrijftermijnVVE"&amp;12*$C166,Parameters!$A:$A,0))</f>
        <v>27.777777777777779</v>
      </c>
      <c r="AC166" s="204">
        <f>INDEX('Tarieven ZM'!$G:$G,$W166)</f>
        <v>1000</v>
      </c>
      <c r="AD166" s="198">
        <f>-INDEX(Parameters!$B:$B,MATCH(AD$3&amp;$C166,Parameters!$A:$A,0))*$AC166</f>
        <v>0</v>
      </c>
      <c r="AE166" s="198">
        <f>-INDEX(Parameters!$B:$B,MATCH(AE$3,Parameters!$A:$A,0))*$AC166</f>
        <v>0</v>
      </c>
      <c r="AF166" s="139">
        <f t="shared" si="95"/>
        <v>1000</v>
      </c>
      <c r="AG166" s="522">
        <f t="shared" si="96"/>
        <v>1027.7777777777778</v>
      </c>
      <c r="AH166" s="175"/>
      <c r="AI166" s="523">
        <f>MATCH($U166,'Tarieven W&amp;O'!$B:$B,0)</f>
        <v>46</v>
      </c>
      <c r="AJ166" s="204">
        <f>IF(AI166&lt;&gt;"nvt",INDEX('Tarieven W&amp;O'!$H:$H,$AI166),0)</f>
        <v>0</v>
      </c>
      <c r="AK166" s="204">
        <f>IF(AI166&lt;&gt;"nvt",INDEX('Tarieven W&amp;O'!$I:$I,$AI166),0)</f>
        <v>25</v>
      </c>
      <c r="AL166" s="524">
        <f>IF(AI166&lt;&gt;"nvt",-INDEX(Parameters!$B:$B,MATCH(AL$3,Parameters!$A:$A,0))*(AJ166+AK166),0)</f>
        <v>0</v>
      </c>
      <c r="AM166" s="525"/>
      <c r="AN166" s="139">
        <f t="shared" si="97"/>
        <v>25</v>
      </c>
      <c r="AO166" s="205">
        <f>AN166/INDEX(Parameters!$B:$B,MATCH("AfschrijftermijnVVE"&amp;12*$C166,Parameters!$A:$A,0))</f>
        <v>0.69444444444444442</v>
      </c>
      <c r="AP166" s="139">
        <f t="shared" si="98"/>
        <v>46</v>
      </c>
      <c r="AQ166" s="526">
        <f>IF(AP166&lt;&gt;"nvt",INDEX('Tarieven W&amp;O'!$G:$G,$AP166),0)</f>
        <v>33.54</v>
      </c>
      <c r="AR166" s="251">
        <f>IF($S166,INDEX('Tarieven W&amp;O'!$G:$G,MATCH(N166&amp;R166,'Tarieven W&amp;O'!$B:$B,0)),0)</f>
        <v>0</v>
      </c>
      <c r="AS166" s="205">
        <f>-INDEX(Parameters!$B:$B,MATCH(AS$3,Parameters!$A:$A,0))*(AQ166+AR166)</f>
        <v>0</v>
      </c>
      <c r="AT166" s="205">
        <f>INDEX(hulpblad!$E:$E,MATCH(M166&amp;Q166,hulpblad!$B:$B,0))</f>
        <v>2</v>
      </c>
      <c r="AU166" s="150">
        <f t="shared" si="76"/>
        <v>35.54</v>
      </c>
      <c r="AV166" s="150">
        <f t="shared" si="77"/>
        <v>36.234444444444442</v>
      </c>
      <c r="AX166" s="526">
        <f>Parameters!$B$6*AV166</f>
        <v>0.36234444444444441</v>
      </c>
      <c r="AY166" s="150">
        <v>0</v>
      </c>
      <c r="AZ166" s="150"/>
      <c r="BA166" s="150">
        <f t="shared" si="99"/>
        <v>0.36234444444444441</v>
      </c>
      <c r="BB166" s="150"/>
      <c r="BC166" s="522">
        <f t="shared" si="100"/>
        <v>36.596788888888888</v>
      </c>
      <c r="BD166" s="175"/>
      <c r="BE166" s="527">
        <f t="shared" si="80"/>
        <v>991.18098888888892</v>
      </c>
      <c r="BF166" s="181">
        <f t="shared" si="81"/>
        <v>0.96439231351351351</v>
      </c>
      <c r="BG166" s="520" t="b">
        <f t="shared" si="93"/>
        <v>0</v>
      </c>
      <c r="BI166" s="528" t="s">
        <v>2181</v>
      </c>
      <c r="BL166" s="151" t="str">
        <f t="shared" si="83"/>
        <v>EoKMetro - Nationaal</v>
      </c>
      <c r="BM166" s="529">
        <v>0</v>
      </c>
      <c r="BN166" s="180">
        <f>BM166/INDEX(Parameters!$B:$B,MATCH("AfschrijftermijnVVE"&amp;12*$C166,Parameters!$A:$A,0))</f>
        <v>0</v>
      </c>
      <c r="BO166" s="184">
        <f>INDEX('inkoop ULL tbv EVPN'!I:I,MATCH(BL166,'inkoop ULL tbv EVPN'!H:H,0))</f>
        <v>2</v>
      </c>
      <c r="BP166" s="184">
        <f t="shared" si="84"/>
        <v>2</v>
      </c>
      <c r="BR166" s="180">
        <f>Parameters!$B$12*AG166</f>
        <v>102.77777777777779</v>
      </c>
      <c r="BS166" s="180">
        <f>SUM(Distributievergoedingen!$F$12,Distributievergoedingen!$I$12,Distributievergoedingen!$L$12,Distributievergoedingen!$O$12)*AF166+SUM(Distributievergoedingen!$O$12*AA166+Distributievergoedingen!$R$12+Distributievergoedingen!$U$12+Distributievergoedingen!$X$12)/(MAX(36,12*C166))</f>
        <v>112.77777777777777</v>
      </c>
      <c r="BT166" s="150"/>
      <c r="BU166" s="150">
        <f t="shared" si="85"/>
        <v>215.55555555555554</v>
      </c>
      <c r="BW166" s="522">
        <f t="shared" si="86"/>
        <v>217.55555555555554</v>
      </c>
      <c r="BY166" s="527">
        <f t="shared" si="87"/>
        <v>810.22222222222229</v>
      </c>
      <c r="BZ166" s="181">
        <f t="shared" si="88"/>
        <v>0.78832432432432431</v>
      </c>
      <c r="CA166" s="520" t="b">
        <f t="shared" si="89"/>
        <v>0</v>
      </c>
    </row>
    <row r="167" spans="1:79" s="151" customFormat="1">
      <c r="A167" s="151" t="str">
        <f t="shared" si="68"/>
        <v>2EoKEntryNationaal50</v>
      </c>
      <c r="B167" s="520" t="str">
        <f t="shared" si="90"/>
        <v>2EoKEntryNationaal50</v>
      </c>
      <c r="C167" s="179">
        <v>2</v>
      </c>
      <c r="D167" s="179" t="s">
        <v>303</v>
      </c>
      <c r="E167" s="178" t="s">
        <v>45</v>
      </c>
      <c r="F167" s="178" t="s">
        <v>266</v>
      </c>
      <c r="G167" s="185" t="s">
        <v>416</v>
      </c>
      <c r="J167" s="520" t="str">
        <f t="shared" si="91"/>
        <v>EntryNationaal50</v>
      </c>
      <c r="L167" s="204">
        <f>INDEX(Mapping!$H:$H,MATCH(C$3&amp;C167,Mapping!$B:$B,0))</f>
        <v>1</v>
      </c>
      <c r="M167" s="204" t="str">
        <f>INDEX(Mapping!$H:$H,MATCH(D$3&amp;$D167,Mapping!$B:$B,0))</f>
        <v>EoK</v>
      </c>
      <c r="N167" s="204" t="str">
        <f>INDEX(Mapping!$H:$H,MATCH(E$3&amp;E167,Mapping!$B:$B,0))</f>
        <v>Lite</v>
      </c>
      <c r="O167" s="204" t="str">
        <f>INDEX(Mapping!$H:$H,MATCH(F$3&amp;F167,Mapping!$B:$B,0))</f>
        <v>Metro</v>
      </c>
      <c r="P167" s="204">
        <f>INDEX(Mapping!$H:$H,MATCH(G$3&amp;G167,Mapping!$B:$B,0))</f>
        <v>50</v>
      </c>
      <c r="Q167" s="204" t="str">
        <f>INDEX(Mapping!$H:$H,MATCH(Q$3&amp;$F167,Mapping!$B:$B,0))</f>
        <v>Metro - Nationaal</v>
      </c>
      <c r="R167" s="204" t="str">
        <f>INDEX(Mapping!$H:$H,MATCH("ZM VPN Service Level"&amp;E167,Mapping!$B:$B,0))</f>
        <v>Advanced</v>
      </c>
      <c r="S167" s="139" t="b">
        <f>IF($D167="EoK",INDEX(Mapping!$I:$I,MATCH($G$3&amp;$G167,Mapping!B:B,0)),FALSE)</f>
        <v>0</v>
      </c>
      <c r="T167" s="139"/>
      <c r="U167" s="520" t="str">
        <f t="shared" si="92"/>
        <v>LiteMetro50</v>
      </c>
      <c r="W167" s="521">
        <f>MATCH($J167,'Tarieven ZM'!$B:$B,0)</f>
        <v>57</v>
      </c>
      <c r="X167" s="204">
        <f>INDEX('Tarieven ZM'!$H:$H,$W167)</f>
        <v>1000</v>
      </c>
      <c r="Y167" s="198">
        <f>-INDEX(Parameters!$B:$B,MATCH(Y$3&amp;$C167,Parameters!$A:$A,0))*$X167</f>
        <v>0</v>
      </c>
      <c r="Z167" s="198">
        <f>-INDEX(Parameters!$B:$B,MATCH(Z$3&amp;$C167,Parameters!$A:$A,0))*$X167</f>
        <v>0</v>
      </c>
      <c r="AA167" s="139">
        <f t="shared" si="94"/>
        <v>1000</v>
      </c>
      <c r="AB167" s="205">
        <f>AA167/INDEX(Parameters!$B:$B,MATCH("AfschrijftermijnVVE"&amp;12*$C167,Parameters!$A:$A,0))</f>
        <v>27.777777777777779</v>
      </c>
      <c r="AC167" s="204">
        <f>INDEX('Tarieven ZM'!$G:$G,$W167)</f>
        <v>1000</v>
      </c>
      <c r="AD167" s="198">
        <f>-INDEX(Parameters!$B:$B,MATCH(AD$3&amp;$C167,Parameters!$A:$A,0))*$AC167</f>
        <v>0</v>
      </c>
      <c r="AE167" s="198">
        <f>-INDEX(Parameters!$B:$B,MATCH(AE$3,Parameters!$A:$A,0))*$AC167</f>
        <v>0</v>
      </c>
      <c r="AF167" s="139">
        <f t="shared" si="95"/>
        <v>1000</v>
      </c>
      <c r="AG167" s="522">
        <f t="shared" si="96"/>
        <v>1027.7777777777778</v>
      </c>
      <c r="AH167" s="175"/>
      <c r="AI167" s="523">
        <f>MATCH($U167,'Tarieven W&amp;O'!$B:$B,0)</f>
        <v>47</v>
      </c>
      <c r="AJ167" s="204">
        <f>IF(AI167&lt;&gt;"nvt",INDEX('Tarieven W&amp;O'!$H:$H,$AI167),0)</f>
        <v>0</v>
      </c>
      <c r="AK167" s="204">
        <f>IF(AI167&lt;&gt;"nvt",INDEX('Tarieven W&amp;O'!$I:$I,$AI167),0)</f>
        <v>25</v>
      </c>
      <c r="AL167" s="524">
        <f>IF(AI167&lt;&gt;"nvt",-INDEX(Parameters!$B:$B,MATCH(AL$3,Parameters!$A:$A,0))*(AJ167+AK167),0)</f>
        <v>0</v>
      </c>
      <c r="AM167" s="525"/>
      <c r="AN167" s="139">
        <f t="shared" si="97"/>
        <v>25</v>
      </c>
      <c r="AO167" s="205">
        <f>AN167/INDEX(Parameters!$B:$B,MATCH("AfschrijftermijnVVE"&amp;12*$C167,Parameters!$A:$A,0))</f>
        <v>0.69444444444444442</v>
      </c>
      <c r="AP167" s="139">
        <f t="shared" si="98"/>
        <v>47</v>
      </c>
      <c r="AQ167" s="526">
        <f>IF(AP167&lt;&gt;"nvt",INDEX('Tarieven W&amp;O'!$G:$G,$AP167),0)</f>
        <v>48.62</v>
      </c>
      <c r="AR167" s="251">
        <f>IF($S167,INDEX('Tarieven W&amp;O'!$G:$G,MATCH(N167&amp;R167,'Tarieven W&amp;O'!$B:$B,0)),0)</f>
        <v>0</v>
      </c>
      <c r="AS167" s="205">
        <f>-INDEX(Parameters!$B:$B,MATCH(AS$3,Parameters!$A:$A,0))*(AQ167+AR167)</f>
        <v>0</v>
      </c>
      <c r="AT167" s="205">
        <f>INDEX(hulpblad!$E:$E,MATCH(M167&amp;Q167,hulpblad!$B:$B,0))</f>
        <v>2</v>
      </c>
      <c r="AU167" s="150">
        <f t="shared" si="76"/>
        <v>50.62</v>
      </c>
      <c r="AV167" s="150">
        <f t="shared" si="77"/>
        <v>51.31444444444444</v>
      </c>
      <c r="AX167" s="526">
        <f>Parameters!$B$6*AV167</f>
        <v>0.5131444444444444</v>
      </c>
      <c r="AY167" s="150">
        <v>0</v>
      </c>
      <c r="AZ167" s="150"/>
      <c r="BA167" s="150">
        <f t="shared" si="99"/>
        <v>0.5131444444444444</v>
      </c>
      <c r="BB167" s="150"/>
      <c r="BC167" s="522">
        <f t="shared" si="100"/>
        <v>51.827588888888883</v>
      </c>
      <c r="BD167" s="175"/>
      <c r="BE167" s="527">
        <f t="shared" si="80"/>
        <v>975.95018888888899</v>
      </c>
      <c r="BF167" s="181">
        <f t="shared" si="81"/>
        <v>0.9495731567567568</v>
      </c>
      <c r="BG167" s="520" t="b">
        <f t="shared" si="93"/>
        <v>0</v>
      </c>
      <c r="BI167" s="528" t="s">
        <v>2181</v>
      </c>
      <c r="BL167" s="151" t="str">
        <f t="shared" si="83"/>
        <v>EoKMetro - Nationaal</v>
      </c>
      <c r="BM167" s="529">
        <v>0</v>
      </c>
      <c r="BN167" s="180">
        <f>BM167/INDEX(Parameters!$B:$B,MATCH("AfschrijftermijnVVE"&amp;12*$C167,Parameters!$A:$A,0))</f>
        <v>0</v>
      </c>
      <c r="BO167" s="184">
        <f>INDEX('inkoop ULL tbv EVPN'!I:I,MATCH(BL167,'inkoop ULL tbv EVPN'!H:H,0))</f>
        <v>2</v>
      </c>
      <c r="BP167" s="184">
        <f t="shared" si="84"/>
        <v>2</v>
      </c>
      <c r="BR167" s="180">
        <f>Parameters!$B$12*AG167</f>
        <v>102.77777777777779</v>
      </c>
      <c r="BS167" s="180">
        <f>SUM(Distributievergoedingen!$F$12,Distributievergoedingen!$I$12,Distributievergoedingen!$L$12,Distributievergoedingen!$O$12)*AF167+SUM(Distributievergoedingen!$O$12*AA167+Distributievergoedingen!$R$12+Distributievergoedingen!$U$12+Distributievergoedingen!$X$12)/(MAX(36,12*C167))</f>
        <v>112.77777777777777</v>
      </c>
      <c r="BT167" s="150"/>
      <c r="BU167" s="150">
        <f t="shared" si="85"/>
        <v>215.55555555555554</v>
      </c>
      <c r="BW167" s="522">
        <f t="shared" si="86"/>
        <v>217.55555555555554</v>
      </c>
      <c r="BY167" s="527">
        <f t="shared" si="87"/>
        <v>810.22222222222229</v>
      </c>
      <c r="BZ167" s="181">
        <f t="shared" si="88"/>
        <v>0.78832432432432431</v>
      </c>
      <c r="CA167" s="520" t="b">
        <f t="shared" si="89"/>
        <v>0</v>
      </c>
    </row>
    <row r="168" spans="1:79" s="151" customFormat="1">
      <c r="A168" s="151" t="str">
        <f t="shared" si="68"/>
        <v>2EoKEntryNationaal80</v>
      </c>
      <c r="B168" s="520" t="str">
        <f t="shared" si="90"/>
        <v>2EoKEntryNationaal80</v>
      </c>
      <c r="C168" s="179">
        <v>2</v>
      </c>
      <c r="D168" s="179" t="s">
        <v>303</v>
      </c>
      <c r="E168" s="178" t="s">
        <v>45</v>
      </c>
      <c r="F168" s="178" t="s">
        <v>266</v>
      </c>
      <c r="G168" s="185" t="s">
        <v>417</v>
      </c>
      <c r="J168" s="520" t="str">
        <f t="shared" si="91"/>
        <v>EntryNationaal80</v>
      </c>
      <c r="L168" s="204">
        <f>INDEX(Mapping!$H:$H,MATCH(C$3&amp;C168,Mapping!$B:$B,0))</f>
        <v>1</v>
      </c>
      <c r="M168" s="204" t="str">
        <f>INDEX(Mapping!$H:$H,MATCH(D$3&amp;$D168,Mapping!$B:$B,0))</f>
        <v>EoK</v>
      </c>
      <c r="N168" s="204" t="str">
        <f>INDEX(Mapping!$H:$H,MATCH(E$3&amp;E168,Mapping!$B:$B,0))</f>
        <v>Lite</v>
      </c>
      <c r="O168" s="204" t="str">
        <f>INDEX(Mapping!$H:$H,MATCH(F$3&amp;F168,Mapping!$B:$B,0))</f>
        <v>Metro</v>
      </c>
      <c r="P168" s="204">
        <f>INDEX(Mapping!$H:$H,MATCH(G$3&amp;G168,Mapping!$B:$B,0))</f>
        <v>80</v>
      </c>
      <c r="Q168" s="204" t="str">
        <f>INDEX(Mapping!$H:$H,MATCH(Q$3&amp;$F168,Mapping!$B:$B,0))</f>
        <v>Metro - Nationaal</v>
      </c>
      <c r="R168" s="204" t="str">
        <f>INDEX(Mapping!$H:$H,MATCH("ZM VPN Service Level"&amp;E168,Mapping!$B:$B,0))</f>
        <v>Advanced</v>
      </c>
      <c r="S168" s="139" t="b">
        <f>IF($D168="EoK",INDEX(Mapping!$I:$I,MATCH($G$3&amp;$G168,Mapping!B:B,0)),FALSE)</f>
        <v>0</v>
      </c>
      <c r="T168" s="139"/>
      <c r="U168" s="520" t="str">
        <f t="shared" si="92"/>
        <v>LiteMetro80</v>
      </c>
      <c r="W168" s="521">
        <f>MATCH($J168,'Tarieven ZM'!$B:$B,0)</f>
        <v>58</v>
      </c>
      <c r="X168" s="204">
        <f>INDEX('Tarieven ZM'!$H:$H,$W168)</f>
        <v>1000</v>
      </c>
      <c r="Y168" s="198">
        <f>-INDEX(Parameters!$B:$B,MATCH(Y$3&amp;$C168,Parameters!$A:$A,0))*$X168</f>
        <v>0</v>
      </c>
      <c r="Z168" s="198">
        <f>-INDEX(Parameters!$B:$B,MATCH(Z$3&amp;$C168,Parameters!$A:$A,0))*$X168</f>
        <v>0</v>
      </c>
      <c r="AA168" s="139">
        <f t="shared" si="94"/>
        <v>1000</v>
      </c>
      <c r="AB168" s="205">
        <f>AA168/INDEX(Parameters!$B:$B,MATCH("AfschrijftermijnVVE"&amp;12*$C168,Parameters!$A:$A,0))</f>
        <v>27.777777777777779</v>
      </c>
      <c r="AC168" s="204">
        <f>INDEX('Tarieven ZM'!$G:$G,$W168)</f>
        <v>1000</v>
      </c>
      <c r="AD168" s="198">
        <f>-INDEX(Parameters!$B:$B,MATCH(AD$3&amp;$C168,Parameters!$A:$A,0))*$AC168</f>
        <v>0</v>
      </c>
      <c r="AE168" s="198">
        <f>-INDEX(Parameters!$B:$B,MATCH(AE$3,Parameters!$A:$A,0))*$AC168</f>
        <v>0</v>
      </c>
      <c r="AF168" s="139">
        <f t="shared" si="95"/>
        <v>1000</v>
      </c>
      <c r="AG168" s="522">
        <f t="shared" si="96"/>
        <v>1027.7777777777778</v>
      </c>
      <c r="AH168" s="175"/>
      <c r="AI168" s="523">
        <f>MATCH($U168,'Tarieven W&amp;O'!$B:$B,0)</f>
        <v>48</v>
      </c>
      <c r="AJ168" s="204">
        <f>IF(AI168&lt;&gt;"nvt",INDEX('Tarieven W&amp;O'!$H:$H,$AI168),0)</f>
        <v>0</v>
      </c>
      <c r="AK168" s="204">
        <f>IF(AI168&lt;&gt;"nvt",INDEX('Tarieven W&amp;O'!$I:$I,$AI168),0)</f>
        <v>25</v>
      </c>
      <c r="AL168" s="524">
        <f>IF(AI168&lt;&gt;"nvt",-INDEX(Parameters!$B:$B,MATCH(AL$3,Parameters!$A:$A,0))*(AJ168+AK168),0)</f>
        <v>0</v>
      </c>
      <c r="AM168" s="525"/>
      <c r="AN168" s="139">
        <f t="shared" si="97"/>
        <v>25</v>
      </c>
      <c r="AO168" s="205">
        <f>AN168/INDEX(Parameters!$B:$B,MATCH("AfschrijftermijnVVE"&amp;12*$C168,Parameters!$A:$A,0))</f>
        <v>0.69444444444444442</v>
      </c>
      <c r="AP168" s="139">
        <f t="shared" si="98"/>
        <v>48</v>
      </c>
      <c r="AQ168" s="526">
        <f>IF(AP168&lt;&gt;"nvt",INDEX('Tarieven W&amp;O'!$G:$G,$AP168),0)</f>
        <v>63.7</v>
      </c>
      <c r="AR168" s="251">
        <f>IF($S168,INDEX('Tarieven W&amp;O'!$G:$G,MATCH(N168&amp;R168,'Tarieven W&amp;O'!$B:$B,0)),0)</f>
        <v>0</v>
      </c>
      <c r="AS168" s="205">
        <f>-INDEX(Parameters!$B:$B,MATCH(AS$3,Parameters!$A:$A,0))*(AQ168+AR168)</f>
        <v>0</v>
      </c>
      <c r="AT168" s="205">
        <f>INDEX(hulpblad!$E:$E,MATCH(M168&amp;Q168,hulpblad!$B:$B,0))</f>
        <v>2</v>
      </c>
      <c r="AU168" s="150">
        <f t="shared" si="76"/>
        <v>65.7</v>
      </c>
      <c r="AV168" s="150">
        <f t="shared" si="77"/>
        <v>66.394444444444446</v>
      </c>
      <c r="AX168" s="526">
        <f>Parameters!$B$6*AV168</f>
        <v>0.66394444444444445</v>
      </c>
      <c r="AY168" s="150">
        <v>0</v>
      </c>
      <c r="AZ168" s="150"/>
      <c r="BA168" s="150">
        <f t="shared" si="99"/>
        <v>0.66394444444444445</v>
      </c>
      <c r="BB168" s="150"/>
      <c r="BC168" s="522">
        <f t="shared" si="100"/>
        <v>67.058388888888885</v>
      </c>
      <c r="BD168" s="175"/>
      <c r="BE168" s="527">
        <f t="shared" si="80"/>
        <v>960.71938888888894</v>
      </c>
      <c r="BF168" s="181">
        <f t="shared" si="81"/>
        <v>0.93475399999999997</v>
      </c>
      <c r="BG168" s="520" t="b">
        <f t="shared" si="93"/>
        <v>0</v>
      </c>
      <c r="BI168" s="528" t="s">
        <v>2181</v>
      </c>
      <c r="BL168" s="151" t="str">
        <f t="shared" si="83"/>
        <v>EoKMetro - Nationaal</v>
      </c>
      <c r="BM168" s="529">
        <v>0</v>
      </c>
      <c r="BN168" s="180">
        <f>BM168/INDEX(Parameters!$B:$B,MATCH("AfschrijftermijnVVE"&amp;12*$C168,Parameters!$A:$A,0))</f>
        <v>0</v>
      </c>
      <c r="BO168" s="184">
        <f>INDEX('inkoop ULL tbv EVPN'!I:I,MATCH(BL168,'inkoop ULL tbv EVPN'!H:H,0))</f>
        <v>2</v>
      </c>
      <c r="BP168" s="184">
        <f t="shared" si="84"/>
        <v>2</v>
      </c>
      <c r="BR168" s="180">
        <f>Parameters!$B$12*AG168</f>
        <v>102.77777777777779</v>
      </c>
      <c r="BS168" s="180">
        <f>SUM(Distributievergoedingen!$F$12,Distributievergoedingen!$I$12,Distributievergoedingen!$L$12,Distributievergoedingen!$O$12)*AF168+SUM(Distributievergoedingen!$O$12*AA168+Distributievergoedingen!$R$12+Distributievergoedingen!$U$12+Distributievergoedingen!$X$12)/(MAX(36,12*C168))</f>
        <v>112.77777777777777</v>
      </c>
      <c r="BT168" s="150"/>
      <c r="BU168" s="150">
        <f t="shared" si="85"/>
        <v>215.55555555555554</v>
      </c>
      <c r="BW168" s="522">
        <f t="shared" si="86"/>
        <v>217.55555555555554</v>
      </c>
      <c r="BY168" s="527">
        <f t="shared" si="87"/>
        <v>810.22222222222229</v>
      </c>
      <c r="BZ168" s="181">
        <f t="shared" si="88"/>
        <v>0.78832432432432431</v>
      </c>
      <c r="CA168" s="520" t="b">
        <f t="shared" si="89"/>
        <v>0</v>
      </c>
    </row>
    <row r="169" spans="1:79" s="151" customFormat="1">
      <c r="A169" s="151" t="str">
        <f t="shared" si="68"/>
        <v>2EoKEntryNationaal100</v>
      </c>
      <c r="B169" s="520" t="str">
        <f t="shared" si="90"/>
        <v>2EoKEntryNationaal100</v>
      </c>
      <c r="C169" s="179">
        <v>2</v>
      </c>
      <c r="D169" s="179" t="s">
        <v>303</v>
      </c>
      <c r="E169" s="178" t="s">
        <v>45</v>
      </c>
      <c r="F169" s="178" t="s">
        <v>266</v>
      </c>
      <c r="G169" s="185" t="s">
        <v>418</v>
      </c>
      <c r="J169" s="520" t="str">
        <f t="shared" si="91"/>
        <v>EntryNationaal100</v>
      </c>
      <c r="L169" s="204">
        <f>INDEX(Mapping!$H:$H,MATCH(C$3&amp;C169,Mapping!$B:$B,0))</f>
        <v>1</v>
      </c>
      <c r="M169" s="204" t="str">
        <f>INDEX(Mapping!$H:$H,MATCH(D$3&amp;$D169,Mapping!$B:$B,0))</f>
        <v>EoK</v>
      </c>
      <c r="N169" s="204" t="str">
        <f>INDEX(Mapping!$H:$H,MATCH(E$3&amp;E169,Mapping!$B:$B,0))</f>
        <v>Lite</v>
      </c>
      <c r="O169" s="204" t="str">
        <f>INDEX(Mapping!$H:$H,MATCH(F$3&amp;F169,Mapping!$B:$B,0))</f>
        <v>Metro</v>
      </c>
      <c r="P169" s="204">
        <f>INDEX(Mapping!$H:$H,MATCH(G$3&amp;G169,Mapping!$B:$B,0))</f>
        <v>100</v>
      </c>
      <c r="Q169" s="204" t="str">
        <f>INDEX(Mapping!$H:$H,MATCH(Q$3&amp;$F169,Mapping!$B:$B,0))</f>
        <v>Metro - Nationaal</v>
      </c>
      <c r="R169" s="204" t="str">
        <f>INDEX(Mapping!$H:$H,MATCH("ZM VPN Service Level"&amp;E169,Mapping!$B:$B,0))</f>
        <v>Advanced</v>
      </c>
      <c r="S169" s="139" t="b">
        <f>IF($D169="EoK",INDEX(Mapping!$I:$I,MATCH($G$3&amp;$G169,Mapping!B:B,0)),FALSE)</f>
        <v>0</v>
      </c>
      <c r="T169" s="139"/>
      <c r="U169" s="520" t="str">
        <f t="shared" si="92"/>
        <v>LiteMetro100</v>
      </c>
      <c r="W169" s="521">
        <f>MATCH($J169,'Tarieven ZM'!$B:$B,0)</f>
        <v>59</v>
      </c>
      <c r="X169" s="204">
        <f>INDEX('Tarieven ZM'!$H:$H,$W169)</f>
        <v>1000</v>
      </c>
      <c r="Y169" s="198">
        <f>-INDEX(Parameters!$B:$B,MATCH(Y$3&amp;$C169,Parameters!$A:$A,0))*$X169</f>
        <v>0</v>
      </c>
      <c r="Z169" s="198">
        <f>-INDEX(Parameters!$B:$B,MATCH(Z$3&amp;$C169,Parameters!$A:$A,0))*$X169</f>
        <v>0</v>
      </c>
      <c r="AA169" s="139">
        <f t="shared" si="94"/>
        <v>1000</v>
      </c>
      <c r="AB169" s="205">
        <f>AA169/INDEX(Parameters!$B:$B,MATCH("AfschrijftermijnVVE"&amp;12*$C169,Parameters!$A:$A,0))</f>
        <v>27.777777777777779</v>
      </c>
      <c r="AC169" s="204">
        <f>INDEX('Tarieven ZM'!$G:$G,$W169)</f>
        <v>1000</v>
      </c>
      <c r="AD169" s="198">
        <f>-INDEX(Parameters!$B:$B,MATCH(AD$3&amp;$C169,Parameters!$A:$A,0))*$AC169</f>
        <v>0</v>
      </c>
      <c r="AE169" s="198">
        <f>-INDEX(Parameters!$B:$B,MATCH(AE$3,Parameters!$A:$A,0))*$AC169</f>
        <v>0</v>
      </c>
      <c r="AF169" s="139">
        <f t="shared" si="95"/>
        <v>1000</v>
      </c>
      <c r="AG169" s="522">
        <f t="shared" si="96"/>
        <v>1027.7777777777778</v>
      </c>
      <c r="AH169" s="175"/>
      <c r="AI169" s="523">
        <f>MATCH($U169,'Tarieven W&amp;O'!$B:$B,0)</f>
        <v>49</v>
      </c>
      <c r="AJ169" s="204">
        <f>IF(AI169&lt;&gt;"nvt",INDEX('Tarieven W&amp;O'!$H:$H,$AI169),0)</f>
        <v>0</v>
      </c>
      <c r="AK169" s="204">
        <f>IF(AI169&lt;&gt;"nvt",INDEX('Tarieven W&amp;O'!$I:$I,$AI169),0)</f>
        <v>25</v>
      </c>
      <c r="AL169" s="524">
        <f>IF(AI169&lt;&gt;"nvt",-INDEX(Parameters!$B:$B,MATCH(AL$3,Parameters!$A:$A,0))*(AJ169+AK169),0)</f>
        <v>0</v>
      </c>
      <c r="AM169" s="525"/>
      <c r="AN169" s="139">
        <f t="shared" si="97"/>
        <v>25</v>
      </c>
      <c r="AO169" s="205">
        <f>AN169/INDEX(Parameters!$B:$B,MATCH("AfschrijftermijnVVE"&amp;12*$C169,Parameters!$A:$A,0))</f>
        <v>0.69444444444444442</v>
      </c>
      <c r="AP169" s="139">
        <f t="shared" si="98"/>
        <v>49</v>
      </c>
      <c r="AQ169" s="526">
        <f>IF(AP169&lt;&gt;"nvt",INDEX('Tarieven W&amp;O'!$G:$G,$AP169),0)</f>
        <v>71.239999999999995</v>
      </c>
      <c r="AR169" s="251">
        <f>IF($S169,INDEX('Tarieven W&amp;O'!$G:$G,MATCH(N169&amp;R169,'Tarieven W&amp;O'!$B:$B,0)),0)</f>
        <v>0</v>
      </c>
      <c r="AS169" s="205">
        <f>-INDEX(Parameters!$B:$B,MATCH(AS$3,Parameters!$A:$A,0))*(AQ169+AR169)</f>
        <v>0</v>
      </c>
      <c r="AT169" s="205">
        <f>INDEX(hulpblad!$E:$E,MATCH(M169&amp;Q169,hulpblad!$B:$B,0))</f>
        <v>2</v>
      </c>
      <c r="AU169" s="150">
        <f t="shared" si="76"/>
        <v>73.239999999999995</v>
      </c>
      <c r="AV169" s="150">
        <f t="shared" si="77"/>
        <v>73.934444444444438</v>
      </c>
      <c r="AX169" s="526">
        <f>Parameters!$B$6*AV169</f>
        <v>0.73934444444444436</v>
      </c>
      <c r="AY169" s="150">
        <v>0</v>
      </c>
      <c r="AZ169" s="150"/>
      <c r="BA169" s="150">
        <f t="shared" si="99"/>
        <v>0.73934444444444436</v>
      </c>
      <c r="BB169" s="150"/>
      <c r="BC169" s="522">
        <f t="shared" si="100"/>
        <v>74.673788888888879</v>
      </c>
      <c r="BD169" s="175"/>
      <c r="BE169" s="527">
        <f t="shared" si="80"/>
        <v>953.10398888888892</v>
      </c>
      <c r="BF169" s="181">
        <f t="shared" si="81"/>
        <v>0.92734442162162156</v>
      </c>
      <c r="BG169" s="520" t="b">
        <f t="shared" si="93"/>
        <v>0</v>
      </c>
      <c r="BI169" s="528" t="s">
        <v>2181</v>
      </c>
      <c r="BL169" s="151" t="str">
        <f t="shared" si="83"/>
        <v>EoKMetro - Nationaal</v>
      </c>
      <c r="BM169" s="529">
        <v>0</v>
      </c>
      <c r="BN169" s="180">
        <f>BM169/INDEX(Parameters!$B:$B,MATCH("AfschrijftermijnVVE"&amp;12*$C169,Parameters!$A:$A,0))</f>
        <v>0</v>
      </c>
      <c r="BO169" s="184">
        <f>INDEX('inkoop ULL tbv EVPN'!I:I,MATCH(BL169,'inkoop ULL tbv EVPN'!H:H,0))</f>
        <v>2</v>
      </c>
      <c r="BP169" s="184">
        <f t="shared" si="84"/>
        <v>2</v>
      </c>
      <c r="BR169" s="180">
        <f>Parameters!$B$12*AG169</f>
        <v>102.77777777777779</v>
      </c>
      <c r="BS169" s="180">
        <f>SUM(Distributievergoedingen!$F$12,Distributievergoedingen!$I$12,Distributievergoedingen!$L$12,Distributievergoedingen!$O$12)*AF169+SUM(Distributievergoedingen!$O$12*AA169+Distributievergoedingen!$R$12+Distributievergoedingen!$U$12+Distributievergoedingen!$X$12)/(MAX(36,12*C169))</f>
        <v>112.77777777777777</v>
      </c>
      <c r="BT169" s="150"/>
      <c r="BU169" s="150">
        <f t="shared" si="85"/>
        <v>215.55555555555554</v>
      </c>
      <c r="BW169" s="522">
        <f t="shared" si="86"/>
        <v>217.55555555555554</v>
      </c>
      <c r="BY169" s="527">
        <f t="shared" si="87"/>
        <v>810.22222222222229</v>
      </c>
      <c r="BZ169" s="181">
        <f t="shared" si="88"/>
        <v>0.78832432432432431</v>
      </c>
      <c r="CA169" s="520" t="b">
        <f t="shared" si="89"/>
        <v>0</v>
      </c>
    </row>
    <row r="170" spans="1:79" s="151" customFormat="1">
      <c r="A170" s="151" t="str">
        <f t="shared" si="68"/>
        <v>2EoKEntryNationaal200</v>
      </c>
      <c r="B170" s="520" t="str">
        <f t="shared" si="90"/>
        <v>2EoKEntryNationaal200</v>
      </c>
      <c r="C170" s="179">
        <v>2</v>
      </c>
      <c r="D170" s="179" t="s">
        <v>303</v>
      </c>
      <c r="E170" s="178" t="s">
        <v>45</v>
      </c>
      <c r="F170" s="178" t="s">
        <v>266</v>
      </c>
      <c r="G170" s="185" t="s">
        <v>419</v>
      </c>
      <c r="J170" s="520" t="str">
        <f t="shared" si="91"/>
        <v>EntryNationaal200</v>
      </c>
      <c r="L170" s="204">
        <f>INDEX(Mapping!$H:$H,MATCH(C$3&amp;C170,Mapping!$B:$B,0))</f>
        <v>1</v>
      </c>
      <c r="M170" s="204" t="str">
        <f>INDEX(Mapping!$H:$H,MATCH(D$3&amp;$D170,Mapping!$B:$B,0))</f>
        <v>EoK</v>
      </c>
      <c r="N170" s="204" t="str">
        <f>INDEX(Mapping!$H:$H,MATCH(E$3&amp;E170,Mapping!$B:$B,0))</f>
        <v>Lite</v>
      </c>
      <c r="O170" s="204" t="str">
        <f>INDEX(Mapping!$H:$H,MATCH(F$3&amp;F170,Mapping!$B:$B,0))</f>
        <v>Metro</v>
      </c>
      <c r="P170" s="204">
        <f>INDEX(Mapping!$H:$H,MATCH(G$3&amp;G170,Mapping!$B:$B,0))</f>
        <v>200</v>
      </c>
      <c r="Q170" s="204" t="str">
        <f>INDEX(Mapping!$H:$H,MATCH(Q$3&amp;$F170,Mapping!$B:$B,0))</f>
        <v>Metro - Nationaal</v>
      </c>
      <c r="R170" s="204" t="str">
        <f>INDEX(Mapping!$H:$H,MATCH("ZM VPN Service Level"&amp;E170,Mapping!$B:$B,0))</f>
        <v>Advanced</v>
      </c>
      <c r="S170" s="139" t="b">
        <f>IF($D170="EoK",INDEX(Mapping!$I:$I,MATCH($G$3&amp;$G170,Mapping!B:B,0)),FALSE)</f>
        <v>0</v>
      </c>
      <c r="T170" s="139"/>
      <c r="U170" s="520" t="str">
        <f t="shared" si="92"/>
        <v>LiteMetro200</v>
      </c>
      <c r="W170" s="521">
        <f>MATCH($J170,'Tarieven ZM'!$B:$B,0)</f>
        <v>60</v>
      </c>
      <c r="X170" s="204">
        <f>INDEX('Tarieven ZM'!$H:$H,$W170)</f>
        <v>1000</v>
      </c>
      <c r="Y170" s="198">
        <f>-INDEX(Parameters!$B:$B,MATCH(Y$3&amp;$C170,Parameters!$A:$A,0))*$X170</f>
        <v>0</v>
      </c>
      <c r="Z170" s="198">
        <f>-INDEX(Parameters!$B:$B,MATCH(Z$3&amp;$C170,Parameters!$A:$A,0))*$X170</f>
        <v>0</v>
      </c>
      <c r="AA170" s="139">
        <f t="shared" si="94"/>
        <v>1000</v>
      </c>
      <c r="AB170" s="205">
        <f>AA170/INDEX(Parameters!$B:$B,MATCH("AfschrijftermijnVVE"&amp;12*$C170,Parameters!$A:$A,0))</f>
        <v>27.777777777777779</v>
      </c>
      <c r="AC170" s="204">
        <f>INDEX('Tarieven ZM'!$G:$G,$W170)</f>
        <v>1000</v>
      </c>
      <c r="AD170" s="198">
        <f>-INDEX(Parameters!$B:$B,MATCH(AD$3&amp;$C170,Parameters!$A:$A,0))*$AC170</f>
        <v>0</v>
      </c>
      <c r="AE170" s="198">
        <f>-INDEX(Parameters!$B:$B,MATCH(AE$3,Parameters!$A:$A,0))*$AC170</f>
        <v>0</v>
      </c>
      <c r="AF170" s="139">
        <f t="shared" si="95"/>
        <v>1000</v>
      </c>
      <c r="AG170" s="522">
        <f t="shared" si="96"/>
        <v>1027.7777777777778</v>
      </c>
      <c r="AH170" s="175"/>
      <c r="AI170" s="523">
        <f>MATCH($U170,'Tarieven W&amp;O'!$B:$B,0)</f>
        <v>50</v>
      </c>
      <c r="AJ170" s="204">
        <f>IF(AI170&lt;&gt;"nvt",INDEX('Tarieven W&amp;O'!$H:$H,$AI170),0)</f>
        <v>0</v>
      </c>
      <c r="AK170" s="204">
        <f>IF(AI170&lt;&gt;"nvt",INDEX('Tarieven W&amp;O'!$I:$I,$AI170),0)</f>
        <v>25</v>
      </c>
      <c r="AL170" s="524">
        <f>IF(AI170&lt;&gt;"nvt",-INDEX(Parameters!$B:$B,MATCH(AL$3,Parameters!$A:$A,0))*(AJ170+AK170),0)</f>
        <v>0</v>
      </c>
      <c r="AM170" s="525"/>
      <c r="AN170" s="139">
        <f t="shared" si="97"/>
        <v>25</v>
      </c>
      <c r="AO170" s="205">
        <f>AN170/INDEX(Parameters!$B:$B,MATCH("AfschrijftermijnVVE"&amp;12*$C170,Parameters!$A:$A,0))</f>
        <v>0.69444444444444442</v>
      </c>
      <c r="AP170" s="139">
        <f t="shared" si="98"/>
        <v>50</v>
      </c>
      <c r="AQ170" s="526">
        <f>IF(AP170&lt;&gt;"nvt",INDEX('Tarieven W&amp;O'!$G:$G,$AP170),0)</f>
        <v>108.93</v>
      </c>
      <c r="AR170" s="251">
        <f>IF($S170,INDEX('Tarieven W&amp;O'!$G:$G,MATCH(N170&amp;R170,'Tarieven W&amp;O'!$B:$B,0)),0)</f>
        <v>0</v>
      </c>
      <c r="AS170" s="205">
        <f>-INDEX(Parameters!$B:$B,MATCH(AS$3,Parameters!$A:$A,0))*(AQ170+AR170)</f>
        <v>0</v>
      </c>
      <c r="AT170" s="205">
        <f>INDEX(hulpblad!$E:$E,MATCH(M170&amp;Q170,hulpblad!$B:$B,0))</f>
        <v>2</v>
      </c>
      <c r="AU170" s="150">
        <f t="shared" si="76"/>
        <v>110.93</v>
      </c>
      <c r="AV170" s="150">
        <f t="shared" si="77"/>
        <v>111.62444444444445</v>
      </c>
      <c r="AX170" s="526">
        <f>Parameters!$B$6*AV170</f>
        <v>1.1162444444444446</v>
      </c>
      <c r="AY170" s="150">
        <v>0</v>
      </c>
      <c r="AZ170" s="150"/>
      <c r="BA170" s="150">
        <f t="shared" si="99"/>
        <v>1.1162444444444446</v>
      </c>
      <c r="BB170" s="150"/>
      <c r="BC170" s="522">
        <f t="shared" si="100"/>
        <v>112.7406888888889</v>
      </c>
      <c r="BD170" s="175"/>
      <c r="BE170" s="527">
        <f t="shared" si="80"/>
        <v>915.03708888888889</v>
      </c>
      <c r="BF170" s="181">
        <f t="shared" si="81"/>
        <v>0.89030635675675673</v>
      </c>
      <c r="BG170" s="520" t="b">
        <f t="shared" si="93"/>
        <v>0</v>
      </c>
      <c r="BI170" s="528" t="s">
        <v>2181</v>
      </c>
      <c r="BL170" s="151" t="str">
        <f t="shared" si="83"/>
        <v>EoKMetro - Nationaal</v>
      </c>
      <c r="BM170" s="529">
        <v>0</v>
      </c>
      <c r="BN170" s="180">
        <f>BM170/INDEX(Parameters!$B:$B,MATCH("AfschrijftermijnVVE"&amp;12*$C170,Parameters!$A:$A,0))</f>
        <v>0</v>
      </c>
      <c r="BO170" s="184">
        <f>INDEX('inkoop ULL tbv EVPN'!I:I,MATCH(BL170,'inkoop ULL tbv EVPN'!H:H,0))</f>
        <v>2</v>
      </c>
      <c r="BP170" s="184">
        <f t="shared" si="84"/>
        <v>2</v>
      </c>
      <c r="BR170" s="180">
        <f>Parameters!$B$12*AG170</f>
        <v>102.77777777777779</v>
      </c>
      <c r="BS170" s="180">
        <f>SUM(Distributievergoedingen!$F$12,Distributievergoedingen!$I$12,Distributievergoedingen!$L$12,Distributievergoedingen!$O$12)*AF170+SUM(Distributievergoedingen!$O$12*AA170+Distributievergoedingen!$R$12+Distributievergoedingen!$U$12+Distributievergoedingen!$X$12)/(MAX(36,12*C170))</f>
        <v>112.77777777777777</v>
      </c>
      <c r="BT170" s="150"/>
      <c r="BU170" s="150">
        <f t="shared" si="85"/>
        <v>215.55555555555554</v>
      </c>
      <c r="BW170" s="522">
        <f t="shared" si="86"/>
        <v>217.55555555555554</v>
      </c>
      <c r="BY170" s="527">
        <f t="shared" si="87"/>
        <v>810.22222222222229</v>
      </c>
      <c r="BZ170" s="181">
        <f t="shared" si="88"/>
        <v>0.78832432432432431</v>
      </c>
      <c r="CA170" s="520" t="b">
        <f t="shared" si="89"/>
        <v>0</v>
      </c>
    </row>
    <row r="171" spans="1:79" s="151" customFormat="1">
      <c r="A171" s="151" t="str">
        <f t="shared" si="68"/>
        <v>2EoKEntryNationaal300</v>
      </c>
      <c r="B171" s="520" t="str">
        <f t="shared" si="90"/>
        <v>2EoKEntryNationaal300</v>
      </c>
      <c r="C171" s="179">
        <v>2</v>
      </c>
      <c r="D171" s="179" t="s">
        <v>303</v>
      </c>
      <c r="E171" s="178" t="s">
        <v>45</v>
      </c>
      <c r="F171" s="178" t="s">
        <v>266</v>
      </c>
      <c r="G171" s="185" t="s">
        <v>420</v>
      </c>
      <c r="J171" s="520" t="str">
        <f t="shared" si="91"/>
        <v>EntryNationaal300</v>
      </c>
      <c r="L171" s="204">
        <f>INDEX(Mapping!$H:$H,MATCH(C$3&amp;C171,Mapping!$B:$B,0))</f>
        <v>1</v>
      </c>
      <c r="M171" s="204" t="str">
        <f>INDEX(Mapping!$H:$H,MATCH(D$3&amp;$D171,Mapping!$B:$B,0))</f>
        <v>EoK</v>
      </c>
      <c r="N171" s="204" t="str">
        <f>INDEX(Mapping!$H:$H,MATCH(E$3&amp;E171,Mapping!$B:$B,0))</f>
        <v>Lite</v>
      </c>
      <c r="O171" s="204" t="str">
        <f>INDEX(Mapping!$H:$H,MATCH(F$3&amp;F171,Mapping!$B:$B,0))</f>
        <v>Metro</v>
      </c>
      <c r="P171" s="204">
        <f>INDEX(Mapping!$H:$H,MATCH(G$3&amp;G171,Mapping!$B:$B,0))</f>
        <v>300</v>
      </c>
      <c r="Q171" s="204" t="str">
        <f>INDEX(Mapping!$H:$H,MATCH(Q$3&amp;$F171,Mapping!$B:$B,0))</f>
        <v>Metro - Nationaal</v>
      </c>
      <c r="R171" s="204" t="str">
        <f>INDEX(Mapping!$H:$H,MATCH("ZM VPN Service Level"&amp;E171,Mapping!$B:$B,0))</f>
        <v>Advanced</v>
      </c>
      <c r="S171" s="139" t="b">
        <f>IF($D171="EoK",INDEX(Mapping!$I:$I,MATCH($G$3&amp;$G171,Mapping!B:B,0)),FALSE)</f>
        <v>0</v>
      </c>
      <c r="T171" s="139"/>
      <c r="U171" s="520" t="str">
        <f t="shared" si="92"/>
        <v>LiteMetro300</v>
      </c>
      <c r="W171" s="521">
        <f>MATCH($J171,'Tarieven ZM'!$B:$B,0)</f>
        <v>61</v>
      </c>
      <c r="X171" s="204">
        <f>INDEX('Tarieven ZM'!$H:$H,$W171)</f>
        <v>1000</v>
      </c>
      <c r="Y171" s="198">
        <f>-INDEX(Parameters!$B:$B,MATCH(Y$3&amp;$C171,Parameters!$A:$A,0))*$X171</f>
        <v>0</v>
      </c>
      <c r="Z171" s="198">
        <f>-INDEX(Parameters!$B:$B,MATCH(Z$3&amp;$C171,Parameters!$A:$A,0))*$X171</f>
        <v>0</v>
      </c>
      <c r="AA171" s="139">
        <f t="shared" si="94"/>
        <v>1000</v>
      </c>
      <c r="AB171" s="205">
        <f>AA171/INDEX(Parameters!$B:$B,MATCH("AfschrijftermijnVVE"&amp;12*$C171,Parameters!$A:$A,0))</f>
        <v>27.777777777777779</v>
      </c>
      <c r="AC171" s="204">
        <f>INDEX('Tarieven ZM'!$G:$G,$W171)</f>
        <v>1000</v>
      </c>
      <c r="AD171" s="198">
        <f>-INDEX(Parameters!$B:$B,MATCH(AD$3&amp;$C171,Parameters!$A:$A,0))*$AC171</f>
        <v>0</v>
      </c>
      <c r="AE171" s="198">
        <f>-INDEX(Parameters!$B:$B,MATCH(AE$3,Parameters!$A:$A,0))*$AC171</f>
        <v>0</v>
      </c>
      <c r="AF171" s="139">
        <f t="shared" si="95"/>
        <v>1000</v>
      </c>
      <c r="AG171" s="522">
        <f t="shared" si="96"/>
        <v>1027.7777777777778</v>
      </c>
      <c r="AH171" s="175"/>
      <c r="AI171" s="523">
        <f>MATCH($U171,'Tarieven W&amp;O'!$B:$B,0)</f>
        <v>51</v>
      </c>
      <c r="AJ171" s="204">
        <f>IF(AI171&lt;&gt;"nvt",INDEX('Tarieven W&amp;O'!$H:$H,$AI171),0)</f>
        <v>0</v>
      </c>
      <c r="AK171" s="204">
        <f>IF(AI171&lt;&gt;"nvt",INDEX('Tarieven W&amp;O'!$I:$I,$AI171),0)</f>
        <v>25</v>
      </c>
      <c r="AL171" s="524">
        <f>IF(AI171&lt;&gt;"nvt",-INDEX(Parameters!$B:$B,MATCH(AL$3,Parameters!$A:$A,0))*(AJ171+AK171),0)</f>
        <v>0</v>
      </c>
      <c r="AM171" s="525"/>
      <c r="AN171" s="139">
        <f t="shared" si="97"/>
        <v>25</v>
      </c>
      <c r="AO171" s="205">
        <f>AN171/INDEX(Parameters!$B:$B,MATCH("AfschrijftermijnVVE"&amp;12*$C171,Parameters!$A:$A,0))</f>
        <v>0.69444444444444442</v>
      </c>
      <c r="AP171" s="139">
        <f t="shared" si="98"/>
        <v>51</v>
      </c>
      <c r="AQ171" s="526">
        <f>IF(AP171&lt;&gt;"nvt",INDEX('Tarieven W&amp;O'!$G:$G,$AP171),0)</f>
        <v>127.77</v>
      </c>
      <c r="AR171" s="251">
        <f>IF($S171,INDEX('Tarieven W&amp;O'!$G:$G,MATCH(N171&amp;R171,'Tarieven W&amp;O'!$B:$B,0)),0)</f>
        <v>0</v>
      </c>
      <c r="AS171" s="205">
        <f>-INDEX(Parameters!$B:$B,MATCH(AS$3,Parameters!$A:$A,0))*(AQ171+AR171)</f>
        <v>0</v>
      </c>
      <c r="AT171" s="205">
        <f>INDEX(hulpblad!$E:$E,MATCH(M171&amp;Q171,hulpblad!$B:$B,0))</f>
        <v>2</v>
      </c>
      <c r="AU171" s="150">
        <f t="shared" si="76"/>
        <v>129.76999999999998</v>
      </c>
      <c r="AV171" s="150">
        <f t="shared" si="77"/>
        <v>130.46444444444444</v>
      </c>
      <c r="AX171" s="526">
        <f>Parameters!$B$6*AV171</f>
        <v>1.3046444444444445</v>
      </c>
      <c r="AY171" s="150">
        <v>0</v>
      </c>
      <c r="AZ171" s="150"/>
      <c r="BA171" s="150">
        <f t="shared" si="99"/>
        <v>1.3046444444444445</v>
      </c>
      <c r="BB171" s="150"/>
      <c r="BC171" s="522">
        <f t="shared" si="100"/>
        <v>131.76908888888889</v>
      </c>
      <c r="BD171" s="175"/>
      <c r="BE171" s="527">
        <f t="shared" si="80"/>
        <v>896.00868888888897</v>
      </c>
      <c r="BF171" s="181">
        <f t="shared" si="81"/>
        <v>0.87179223783783788</v>
      </c>
      <c r="BG171" s="520" t="b">
        <f t="shared" si="93"/>
        <v>0</v>
      </c>
      <c r="BI171" s="528" t="s">
        <v>2181</v>
      </c>
      <c r="BL171" s="151" t="str">
        <f t="shared" si="83"/>
        <v>EoKMetro - Nationaal</v>
      </c>
      <c r="BM171" s="529">
        <v>0</v>
      </c>
      <c r="BN171" s="180">
        <f>BM171/INDEX(Parameters!$B:$B,MATCH("AfschrijftermijnVVE"&amp;12*$C171,Parameters!$A:$A,0))</f>
        <v>0</v>
      </c>
      <c r="BO171" s="184">
        <f>INDEX('inkoop ULL tbv EVPN'!I:I,MATCH(BL171,'inkoop ULL tbv EVPN'!H:H,0))</f>
        <v>2</v>
      </c>
      <c r="BP171" s="184">
        <f t="shared" si="84"/>
        <v>2</v>
      </c>
      <c r="BR171" s="180">
        <f>Parameters!$B$12*AG171</f>
        <v>102.77777777777779</v>
      </c>
      <c r="BS171" s="180">
        <f>SUM(Distributievergoedingen!$F$12,Distributievergoedingen!$I$12,Distributievergoedingen!$L$12,Distributievergoedingen!$O$12)*AF171+SUM(Distributievergoedingen!$O$12*AA171+Distributievergoedingen!$R$12+Distributievergoedingen!$U$12+Distributievergoedingen!$X$12)/(MAX(36,12*C171))</f>
        <v>112.77777777777777</v>
      </c>
      <c r="BT171" s="150"/>
      <c r="BU171" s="150">
        <f t="shared" si="85"/>
        <v>215.55555555555554</v>
      </c>
      <c r="BW171" s="522">
        <f t="shared" si="86"/>
        <v>217.55555555555554</v>
      </c>
      <c r="BY171" s="527">
        <f t="shared" si="87"/>
        <v>810.22222222222229</v>
      </c>
      <c r="BZ171" s="181">
        <f t="shared" si="88"/>
        <v>0.78832432432432431</v>
      </c>
      <c r="CA171" s="520" t="b">
        <f t="shared" si="89"/>
        <v>0</v>
      </c>
    </row>
    <row r="172" spans="1:79" s="151" customFormat="1">
      <c r="A172" s="151" t="str">
        <f t="shared" si="68"/>
        <v>2EoKEntryNationaal500</v>
      </c>
      <c r="B172" s="520" t="str">
        <f t="shared" si="90"/>
        <v>2EoKEntryNationaal500</v>
      </c>
      <c r="C172" s="179">
        <v>2</v>
      </c>
      <c r="D172" s="179" t="s">
        <v>303</v>
      </c>
      <c r="E172" s="178" t="s">
        <v>45</v>
      </c>
      <c r="F172" s="178" t="s">
        <v>266</v>
      </c>
      <c r="G172" s="185" t="s">
        <v>421</v>
      </c>
      <c r="J172" s="520" t="str">
        <f t="shared" si="91"/>
        <v>EntryNationaal500</v>
      </c>
      <c r="L172" s="204">
        <f>INDEX(Mapping!$H:$H,MATCH(C$3&amp;C172,Mapping!$B:$B,0))</f>
        <v>1</v>
      </c>
      <c r="M172" s="204" t="str">
        <f>INDEX(Mapping!$H:$H,MATCH(D$3&amp;$D172,Mapping!$B:$B,0))</f>
        <v>EoK</v>
      </c>
      <c r="N172" s="204" t="str">
        <f>INDEX(Mapping!$H:$H,MATCH(E$3&amp;E172,Mapping!$B:$B,0))</f>
        <v>Lite</v>
      </c>
      <c r="O172" s="204" t="str">
        <f>INDEX(Mapping!$H:$H,MATCH(F$3&amp;F172,Mapping!$B:$B,0))</f>
        <v>Metro</v>
      </c>
      <c r="P172" s="204">
        <f>INDEX(Mapping!$H:$H,MATCH(G$3&amp;G172,Mapping!$B:$B,0))</f>
        <v>500</v>
      </c>
      <c r="Q172" s="204" t="str">
        <f>INDEX(Mapping!$H:$H,MATCH(Q$3&amp;$F172,Mapping!$B:$B,0))</f>
        <v>Metro - Nationaal</v>
      </c>
      <c r="R172" s="204" t="str">
        <f>INDEX(Mapping!$H:$H,MATCH("ZM VPN Service Level"&amp;E172,Mapping!$B:$B,0))</f>
        <v>Advanced</v>
      </c>
      <c r="S172" s="139" t="b">
        <f>IF($D172="EoK",INDEX(Mapping!$I:$I,MATCH($G$3&amp;$G172,Mapping!B:B,0)),FALSE)</f>
        <v>0</v>
      </c>
      <c r="T172" s="139"/>
      <c r="U172" s="520" t="str">
        <f t="shared" si="92"/>
        <v>LiteMetro500</v>
      </c>
      <c r="W172" s="521">
        <f>MATCH($J172,'Tarieven ZM'!$B:$B,0)</f>
        <v>62</v>
      </c>
      <c r="X172" s="204">
        <f>INDEX('Tarieven ZM'!$H:$H,$W172)</f>
        <v>1000</v>
      </c>
      <c r="Y172" s="198">
        <f>-INDEX(Parameters!$B:$B,MATCH(Y$3&amp;$C172,Parameters!$A:$A,0))*$X172</f>
        <v>0</v>
      </c>
      <c r="Z172" s="198">
        <f>-INDEX(Parameters!$B:$B,MATCH(Z$3&amp;$C172,Parameters!$A:$A,0))*$X172</f>
        <v>0</v>
      </c>
      <c r="AA172" s="139">
        <f t="shared" si="94"/>
        <v>1000</v>
      </c>
      <c r="AB172" s="205">
        <f>AA172/INDEX(Parameters!$B:$B,MATCH("AfschrijftermijnVVE"&amp;12*$C172,Parameters!$A:$A,0))</f>
        <v>27.777777777777779</v>
      </c>
      <c r="AC172" s="204">
        <f>INDEX('Tarieven ZM'!$G:$G,$W172)</f>
        <v>1000</v>
      </c>
      <c r="AD172" s="198">
        <f>-INDEX(Parameters!$B:$B,MATCH(AD$3&amp;$C172,Parameters!$A:$A,0))*$AC172</f>
        <v>0</v>
      </c>
      <c r="AE172" s="198">
        <f>-INDEX(Parameters!$B:$B,MATCH(AE$3,Parameters!$A:$A,0))*$AC172</f>
        <v>0</v>
      </c>
      <c r="AF172" s="139">
        <f t="shared" si="95"/>
        <v>1000</v>
      </c>
      <c r="AG172" s="522">
        <f t="shared" si="96"/>
        <v>1027.7777777777778</v>
      </c>
      <c r="AH172" s="175"/>
      <c r="AI172" s="523">
        <f>MATCH($U172,'Tarieven W&amp;O'!$B:$B,0)</f>
        <v>52</v>
      </c>
      <c r="AJ172" s="204">
        <f>IF(AI172&lt;&gt;"nvt",INDEX('Tarieven W&amp;O'!$H:$H,$AI172),0)</f>
        <v>0</v>
      </c>
      <c r="AK172" s="204">
        <f>IF(AI172&lt;&gt;"nvt",INDEX('Tarieven W&amp;O'!$I:$I,$AI172),0)</f>
        <v>25</v>
      </c>
      <c r="AL172" s="524">
        <f>IF(AI172&lt;&gt;"nvt",-INDEX(Parameters!$B:$B,MATCH(AL$3,Parameters!$A:$A,0))*(AJ172+AK172),0)</f>
        <v>0</v>
      </c>
      <c r="AM172" s="525"/>
      <c r="AN172" s="139">
        <f t="shared" si="97"/>
        <v>25</v>
      </c>
      <c r="AO172" s="205">
        <f>AN172/INDEX(Parameters!$B:$B,MATCH("AfschrijftermijnVVE"&amp;12*$C172,Parameters!$A:$A,0))</f>
        <v>0.69444444444444442</v>
      </c>
      <c r="AP172" s="139">
        <f t="shared" si="98"/>
        <v>52</v>
      </c>
      <c r="AQ172" s="526">
        <f>IF(AP172&lt;&gt;"nvt",INDEX('Tarieven W&amp;O'!$G:$G,$AP172),0)</f>
        <v>161.69</v>
      </c>
      <c r="AR172" s="251">
        <f>IF($S172,INDEX('Tarieven W&amp;O'!$G:$G,MATCH(N172&amp;R172,'Tarieven W&amp;O'!$B:$B,0)),0)</f>
        <v>0</v>
      </c>
      <c r="AS172" s="205">
        <f>-INDEX(Parameters!$B:$B,MATCH(AS$3,Parameters!$A:$A,0))*(AQ172+AR172)</f>
        <v>0</v>
      </c>
      <c r="AT172" s="205">
        <f>INDEX(hulpblad!$E:$E,MATCH(M172&amp;Q172,hulpblad!$B:$B,0))</f>
        <v>2</v>
      </c>
      <c r="AU172" s="150">
        <f t="shared" si="76"/>
        <v>163.69</v>
      </c>
      <c r="AV172" s="150">
        <f t="shared" si="77"/>
        <v>164.38444444444445</v>
      </c>
      <c r="AX172" s="526">
        <f>Parameters!$B$6*AV172</f>
        <v>1.6438444444444447</v>
      </c>
      <c r="AY172" s="150">
        <v>0</v>
      </c>
      <c r="AZ172" s="150"/>
      <c r="BA172" s="150">
        <f t="shared" si="99"/>
        <v>1.6438444444444447</v>
      </c>
      <c r="BB172" s="150"/>
      <c r="BC172" s="522">
        <f t="shared" si="100"/>
        <v>166.02828888888891</v>
      </c>
      <c r="BD172" s="175"/>
      <c r="BE172" s="527">
        <f t="shared" si="80"/>
        <v>861.74948888888889</v>
      </c>
      <c r="BF172" s="181">
        <f t="shared" si="81"/>
        <v>0.83845896216216209</v>
      </c>
      <c r="BG172" s="520" t="b">
        <f t="shared" si="93"/>
        <v>0</v>
      </c>
      <c r="BI172" s="528" t="s">
        <v>2181</v>
      </c>
      <c r="BL172" s="151" t="str">
        <f t="shared" si="83"/>
        <v>EoKMetro - Nationaal</v>
      </c>
      <c r="BM172" s="529">
        <v>0</v>
      </c>
      <c r="BN172" s="180">
        <f>BM172/INDEX(Parameters!$B:$B,MATCH("AfschrijftermijnVVE"&amp;12*$C172,Parameters!$A:$A,0))</f>
        <v>0</v>
      </c>
      <c r="BO172" s="184">
        <f>INDEX('inkoop ULL tbv EVPN'!I:I,MATCH(BL172,'inkoop ULL tbv EVPN'!H:H,0))</f>
        <v>2</v>
      </c>
      <c r="BP172" s="184">
        <f t="shared" si="84"/>
        <v>2</v>
      </c>
      <c r="BR172" s="180">
        <f>Parameters!$B$12*AG172</f>
        <v>102.77777777777779</v>
      </c>
      <c r="BS172" s="180">
        <f>SUM(Distributievergoedingen!$F$12,Distributievergoedingen!$I$12,Distributievergoedingen!$L$12,Distributievergoedingen!$O$12)*AF172+SUM(Distributievergoedingen!$O$12*AA172+Distributievergoedingen!$R$12+Distributievergoedingen!$U$12+Distributievergoedingen!$X$12)/(MAX(36,12*C172))</f>
        <v>112.77777777777777</v>
      </c>
      <c r="BT172" s="150"/>
      <c r="BU172" s="150">
        <f t="shared" si="85"/>
        <v>215.55555555555554</v>
      </c>
      <c r="BW172" s="522">
        <f t="shared" si="86"/>
        <v>217.55555555555554</v>
      </c>
      <c r="BY172" s="527">
        <f t="shared" si="87"/>
        <v>810.22222222222229</v>
      </c>
      <c r="BZ172" s="181">
        <f t="shared" si="88"/>
        <v>0.78832432432432431</v>
      </c>
      <c r="CA172" s="520" t="b">
        <f t="shared" si="89"/>
        <v>0</v>
      </c>
    </row>
    <row r="173" spans="1:79" s="151" customFormat="1">
      <c r="A173" s="151" t="str">
        <f t="shared" si="68"/>
        <v>2EoKEntryNationaal800</v>
      </c>
      <c r="B173" s="520" t="str">
        <f t="shared" si="90"/>
        <v>2EoKEntryNationaal800</v>
      </c>
      <c r="C173" s="179">
        <v>2</v>
      </c>
      <c r="D173" s="179" t="s">
        <v>303</v>
      </c>
      <c r="E173" s="178" t="s">
        <v>45</v>
      </c>
      <c r="F173" s="178" t="s">
        <v>266</v>
      </c>
      <c r="G173" s="185" t="s">
        <v>422</v>
      </c>
      <c r="J173" s="520" t="str">
        <f t="shared" si="91"/>
        <v>EntryNationaal800</v>
      </c>
      <c r="L173" s="204">
        <f>INDEX(Mapping!$H:$H,MATCH(C$3&amp;C173,Mapping!$B:$B,0))</f>
        <v>1</v>
      </c>
      <c r="M173" s="204" t="str">
        <f>INDEX(Mapping!$H:$H,MATCH(D$3&amp;$D173,Mapping!$B:$B,0))</f>
        <v>EoK</v>
      </c>
      <c r="N173" s="204" t="str">
        <f>INDEX(Mapping!$H:$H,MATCH(E$3&amp;E173,Mapping!$B:$B,0))</f>
        <v>Lite</v>
      </c>
      <c r="O173" s="204" t="str">
        <f>INDEX(Mapping!$H:$H,MATCH(F$3&amp;F173,Mapping!$B:$B,0))</f>
        <v>Metro</v>
      </c>
      <c r="P173" s="204">
        <f>INDEX(Mapping!$H:$H,MATCH(G$3&amp;G173,Mapping!$B:$B,0))</f>
        <v>800</v>
      </c>
      <c r="Q173" s="204" t="str">
        <f>INDEX(Mapping!$H:$H,MATCH(Q$3&amp;$F173,Mapping!$B:$B,0))</f>
        <v>Metro - Nationaal</v>
      </c>
      <c r="R173" s="204" t="str">
        <f>INDEX(Mapping!$H:$H,MATCH("ZM VPN Service Level"&amp;E173,Mapping!$B:$B,0))</f>
        <v>Advanced</v>
      </c>
      <c r="S173" s="139" t="b">
        <f>IF($D173="EoK",INDEX(Mapping!$I:$I,MATCH($G$3&amp;$G173,Mapping!B:B,0)),FALSE)</f>
        <v>0</v>
      </c>
      <c r="T173" s="139"/>
      <c r="U173" s="520" t="str">
        <f t="shared" si="92"/>
        <v>LiteMetro800</v>
      </c>
      <c r="W173" s="521">
        <f>MATCH($J173,'Tarieven ZM'!$B:$B,0)</f>
        <v>63</v>
      </c>
      <c r="X173" s="204">
        <f>INDEX('Tarieven ZM'!$H:$H,$W173)</f>
        <v>1000</v>
      </c>
      <c r="Y173" s="198">
        <f>-INDEX(Parameters!$B:$B,MATCH(Y$3&amp;$C173,Parameters!$A:$A,0))*$X173</f>
        <v>0</v>
      </c>
      <c r="Z173" s="198">
        <f>-INDEX(Parameters!$B:$B,MATCH(Z$3&amp;$C173,Parameters!$A:$A,0))*$X173</f>
        <v>0</v>
      </c>
      <c r="AA173" s="139">
        <f t="shared" si="94"/>
        <v>1000</v>
      </c>
      <c r="AB173" s="205">
        <f>AA173/INDEX(Parameters!$B:$B,MATCH("AfschrijftermijnVVE"&amp;12*$C173,Parameters!$A:$A,0))</f>
        <v>27.777777777777779</v>
      </c>
      <c r="AC173" s="204">
        <f>INDEX('Tarieven ZM'!$G:$G,$W173)</f>
        <v>1000</v>
      </c>
      <c r="AD173" s="198">
        <f>-INDEX(Parameters!$B:$B,MATCH(AD$3&amp;$C173,Parameters!$A:$A,0))*$AC173</f>
        <v>0</v>
      </c>
      <c r="AE173" s="198">
        <f>-INDEX(Parameters!$B:$B,MATCH(AE$3,Parameters!$A:$A,0))*$AC173</f>
        <v>0</v>
      </c>
      <c r="AF173" s="139">
        <f t="shared" si="95"/>
        <v>1000</v>
      </c>
      <c r="AG173" s="522">
        <f t="shared" si="96"/>
        <v>1027.7777777777778</v>
      </c>
      <c r="AH173" s="175"/>
      <c r="AI173" s="523">
        <f>MATCH($U173,'Tarieven W&amp;O'!$B:$B,0)</f>
        <v>53</v>
      </c>
      <c r="AJ173" s="204">
        <f>IF(AI173&lt;&gt;"nvt",INDEX('Tarieven W&amp;O'!$H:$H,$AI173),0)</f>
        <v>0</v>
      </c>
      <c r="AK173" s="204">
        <f>IF(AI173&lt;&gt;"nvt",INDEX('Tarieven W&amp;O'!$I:$I,$AI173),0)</f>
        <v>25</v>
      </c>
      <c r="AL173" s="524">
        <f>IF(AI173&lt;&gt;"nvt",-INDEX(Parameters!$B:$B,MATCH(AL$3,Parameters!$A:$A,0))*(AJ173+AK173),0)</f>
        <v>0</v>
      </c>
      <c r="AM173" s="525"/>
      <c r="AN173" s="139">
        <f t="shared" si="97"/>
        <v>25</v>
      </c>
      <c r="AO173" s="205">
        <f>AN173/INDEX(Parameters!$B:$B,MATCH("AfschrijftermijnVVE"&amp;12*$C173,Parameters!$A:$A,0))</f>
        <v>0.69444444444444442</v>
      </c>
      <c r="AP173" s="139">
        <f t="shared" si="98"/>
        <v>53</v>
      </c>
      <c r="AQ173" s="526">
        <f>IF(AP173&lt;&gt;"nvt",INDEX('Tarieven W&amp;O'!$G:$G,$AP173),0)</f>
        <v>184.31</v>
      </c>
      <c r="AR173" s="251">
        <f>IF($S173,INDEX('Tarieven W&amp;O'!$G:$G,MATCH(N173&amp;R173,'Tarieven W&amp;O'!$B:$B,0)),0)</f>
        <v>0</v>
      </c>
      <c r="AS173" s="205">
        <f>-INDEX(Parameters!$B:$B,MATCH(AS$3,Parameters!$A:$A,0))*(AQ173+AR173)</f>
        <v>0</v>
      </c>
      <c r="AT173" s="205">
        <f>INDEX(hulpblad!$E:$E,MATCH(M173&amp;Q173,hulpblad!$B:$B,0))</f>
        <v>2</v>
      </c>
      <c r="AU173" s="150">
        <f t="shared" si="76"/>
        <v>186.31</v>
      </c>
      <c r="AV173" s="150">
        <f t="shared" si="77"/>
        <v>187.00444444444446</v>
      </c>
      <c r="AX173" s="526">
        <f>Parameters!$B$6*AV173</f>
        <v>1.8700444444444446</v>
      </c>
      <c r="AY173" s="150">
        <v>0</v>
      </c>
      <c r="AZ173" s="150"/>
      <c r="BA173" s="150">
        <f t="shared" si="99"/>
        <v>1.8700444444444446</v>
      </c>
      <c r="BB173" s="150"/>
      <c r="BC173" s="522">
        <f t="shared" si="100"/>
        <v>188.87448888888889</v>
      </c>
      <c r="BD173" s="175"/>
      <c r="BE173" s="527">
        <f t="shared" si="80"/>
        <v>838.90328888888894</v>
      </c>
      <c r="BF173" s="181">
        <f t="shared" si="81"/>
        <v>0.81623022702702708</v>
      </c>
      <c r="BG173" s="520" t="b">
        <f t="shared" si="93"/>
        <v>0</v>
      </c>
      <c r="BI173" s="528" t="s">
        <v>2181</v>
      </c>
      <c r="BL173" s="151" t="str">
        <f t="shared" si="83"/>
        <v>EoKMetro - Nationaal</v>
      </c>
      <c r="BM173" s="529">
        <v>0</v>
      </c>
      <c r="BN173" s="180">
        <f>BM173/INDEX(Parameters!$B:$B,MATCH("AfschrijftermijnVVE"&amp;12*$C173,Parameters!$A:$A,0))</f>
        <v>0</v>
      </c>
      <c r="BO173" s="184">
        <f>INDEX('inkoop ULL tbv EVPN'!I:I,MATCH(BL173,'inkoop ULL tbv EVPN'!H:H,0))</f>
        <v>2</v>
      </c>
      <c r="BP173" s="184">
        <f t="shared" si="84"/>
        <v>2</v>
      </c>
      <c r="BR173" s="180">
        <f>Parameters!$B$12*AG173</f>
        <v>102.77777777777779</v>
      </c>
      <c r="BS173" s="180">
        <f>SUM(Distributievergoedingen!$F$12,Distributievergoedingen!$I$12,Distributievergoedingen!$L$12,Distributievergoedingen!$O$12)*AF173+SUM(Distributievergoedingen!$O$12*AA173+Distributievergoedingen!$R$12+Distributievergoedingen!$U$12+Distributievergoedingen!$X$12)/(MAX(36,12*C173))</f>
        <v>112.77777777777777</v>
      </c>
      <c r="BT173" s="150"/>
      <c r="BU173" s="150">
        <f t="shared" si="85"/>
        <v>215.55555555555554</v>
      </c>
      <c r="BW173" s="522">
        <f t="shared" si="86"/>
        <v>217.55555555555554</v>
      </c>
      <c r="BY173" s="527">
        <f t="shared" si="87"/>
        <v>810.22222222222229</v>
      </c>
      <c r="BZ173" s="181">
        <f t="shared" si="88"/>
        <v>0.78832432432432431</v>
      </c>
      <c r="CA173" s="520" t="b">
        <f t="shared" si="89"/>
        <v>0</v>
      </c>
    </row>
    <row r="174" spans="1:79" s="151" customFormat="1">
      <c r="A174" s="151" t="str">
        <f t="shared" si="68"/>
        <v>2EoKEntryNationaal1000</v>
      </c>
      <c r="B174" s="520" t="str">
        <f t="shared" si="90"/>
        <v>2EoKEntryNationaal1000</v>
      </c>
      <c r="C174" s="179">
        <v>2</v>
      </c>
      <c r="D174" s="179" t="s">
        <v>303</v>
      </c>
      <c r="E174" s="178" t="s">
        <v>45</v>
      </c>
      <c r="F174" s="178" t="s">
        <v>266</v>
      </c>
      <c r="G174" s="185" t="s">
        <v>423</v>
      </c>
      <c r="J174" s="520" t="str">
        <f t="shared" si="91"/>
        <v>EntryNationaal1000</v>
      </c>
      <c r="L174" s="204">
        <f>INDEX(Mapping!$H:$H,MATCH(C$3&amp;C174,Mapping!$B:$B,0))</f>
        <v>1</v>
      </c>
      <c r="M174" s="204" t="str">
        <f>INDEX(Mapping!$H:$H,MATCH(D$3&amp;$D174,Mapping!$B:$B,0))</f>
        <v>EoK</v>
      </c>
      <c r="N174" s="204" t="str">
        <f>INDEX(Mapping!$H:$H,MATCH(E$3&amp;E174,Mapping!$B:$B,0))</f>
        <v>Lite</v>
      </c>
      <c r="O174" s="204" t="str">
        <f>INDEX(Mapping!$H:$H,MATCH(F$3&amp;F174,Mapping!$B:$B,0))</f>
        <v>Metro</v>
      </c>
      <c r="P174" s="204">
        <f>INDEX(Mapping!$H:$H,MATCH(G$3&amp;G174,Mapping!$B:$B,0))</f>
        <v>1000</v>
      </c>
      <c r="Q174" s="204" t="str">
        <f>INDEX(Mapping!$H:$H,MATCH(Q$3&amp;$F174,Mapping!$B:$B,0))</f>
        <v>Metro - Nationaal</v>
      </c>
      <c r="R174" s="204" t="str">
        <f>INDEX(Mapping!$H:$H,MATCH("ZM VPN Service Level"&amp;E174,Mapping!$B:$B,0))</f>
        <v>Advanced</v>
      </c>
      <c r="S174" s="139" t="b">
        <f>IF($D174="EoK",INDEX(Mapping!$I:$I,MATCH($G$3&amp;$G174,Mapping!B:B,0)),FALSE)</f>
        <v>0</v>
      </c>
      <c r="T174" s="139"/>
      <c r="U174" s="520" t="str">
        <f t="shared" si="92"/>
        <v>LiteMetro1000</v>
      </c>
      <c r="W174" s="521">
        <f>MATCH($J174,'Tarieven ZM'!$B:$B,0)</f>
        <v>64</v>
      </c>
      <c r="X174" s="204">
        <f>INDEX('Tarieven ZM'!$H:$H,$W174)</f>
        <v>1000</v>
      </c>
      <c r="Y174" s="198">
        <f>-INDEX(Parameters!$B:$B,MATCH(Y$3&amp;$C174,Parameters!$A:$A,0))*$X174</f>
        <v>0</v>
      </c>
      <c r="Z174" s="198">
        <f>-INDEX(Parameters!$B:$B,MATCH(Z$3&amp;$C174,Parameters!$A:$A,0))*$X174</f>
        <v>0</v>
      </c>
      <c r="AA174" s="139">
        <f t="shared" si="94"/>
        <v>1000</v>
      </c>
      <c r="AB174" s="205">
        <f>AA174/INDEX(Parameters!$B:$B,MATCH("AfschrijftermijnVVE"&amp;12*$C174,Parameters!$A:$A,0))</f>
        <v>27.777777777777779</v>
      </c>
      <c r="AC174" s="204">
        <f>INDEX('Tarieven ZM'!$G:$G,$W174)</f>
        <v>1000</v>
      </c>
      <c r="AD174" s="198">
        <f>-INDEX(Parameters!$B:$B,MATCH(AD$3&amp;$C174,Parameters!$A:$A,0))*$AC174</f>
        <v>0</v>
      </c>
      <c r="AE174" s="198">
        <f>-INDEX(Parameters!$B:$B,MATCH(AE$3,Parameters!$A:$A,0))*$AC174</f>
        <v>0</v>
      </c>
      <c r="AF174" s="139">
        <f t="shared" si="95"/>
        <v>1000</v>
      </c>
      <c r="AG174" s="522">
        <f t="shared" si="96"/>
        <v>1027.7777777777778</v>
      </c>
      <c r="AH174" s="175"/>
      <c r="AI174" s="523">
        <f>MATCH($U174,'Tarieven W&amp;O'!$B:$B,0)</f>
        <v>54</v>
      </c>
      <c r="AJ174" s="204">
        <f>IF(AI174&lt;&gt;"nvt",INDEX('Tarieven W&amp;O'!$H:$H,$AI174),0)</f>
        <v>0</v>
      </c>
      <c r="AK174" s="204">
        <f>IF(AI174&lt;&gt;"nvt",INDEX('Tarieven W&amp;O'!$I:$I,$AI174),0)</f>
        <v>25</v>
      </c>
      <c r="AL174" s="524">
        <f>IF(AI174&lt;&gt;"nvt",-INDEX(Parameters!$B:$B,MATCH(AL$3,Parameters!$A:$A,0))*(AJ174+AK174),0)</f>
        <v>0</v>
      </c>
      <c r="AM174" s="525"/>
      <c r="AN174" s="139">
        <f t="shared" si="97"/>
        <v>25</v>
      </c>
      <c r="AO174" s="205">
        <f>AN174/INDEX(Parameters!$B:$B,MATCH("AfschrijftermijnVVE"&amp;12*$C174,Parameters!$A:$A,0))</f>
        <v>0.69444444444444442</v>
      </c>
      <c r="AP174" s="139">
        <f t="shared" si="98"/>
        <v>54</v>
      </c>
      <c r="AQ174" s="526">
        <f>IF(AP174&lt;&gt;"nvt",INDEX('Tarieven W&amp;O'!$G:$G,$AP174),0)</f>
        <v>203.15</v>
      </c>
      <c r="AR174" s="251">
        <f>IF($S174,INDEX('Tarieven W&amp;O'!$G:$G,MATCH(N174&amp;R174,'Tarieven W&amp;O'!$B:$B,0)),0)</f>
        <v>0</v>
      </c>
      <c r="AS174" s="205">
        <f>-INDEX(Parameters!$B:$B,MATCH(AS$3,Parameters!$A:$A,0))*(AQ174+AR174)</f>
        <v>0</v>
      </c>
      <c r="AT174" s="205">
        <f>INDEX(hulpblad!$E:$E,MATCH(M174&amp;Q174,hulpblad!$B:$B,0))</f>
        <v>2</v>
      </c>
      <c r="AU174" s="150">
        <f t="shared" ref="AU174:AU231" si="101">SUM(AQ174:AT174)</f>
        <v>205.15</v>
      </c>
      <c r="AV174" s="150">
        <f t="shared" ref="AV174:AV231" si="102">SUM(AO174,AU174)</f>
        <v>205.84444444444446</v>
      </c>
      <c r="AX174" s="526">
        <f>Parameters!$B$6*AV174</f>
        <v>2.0584444444444445</v>
      </c>
      <c r="AY174" s="150">
        <v>0</v>
      </c>
      <c r="AZ174" s="150"/>
      <c r="BA174" s="150">
        <f t="shared" si="99"/>
        <v>2.0584444444444445</v>
      </c>
      <c r="BB174" s="150"/>
      <c r="BC174" s="522">
        <f t="shared" si="100"/>
        <v>207.9028888888889</v>
      </c>
      <c r="BD174" s="175"/>
      <c r="BE174" s="527">
        <f t="shared" ref="BE174:BE231" si="103">AG174-BC174</f>
        <v>819.8748888888889</v>
      </c>
      <c r="BF174" s="181">
        <f t="shared" ref="BF174:BF231" si="104">IF(AG174=0,-999%,BE174/AG174)</f>
        <v>0.79771610810810811</v>
      </c>
      <c r="BG174" s="520" t="b">
        <f t="shared" si="93"/>
        <v>0</v>
      </c>
      <c r="BI174" s="528" t="s">
        <v>2181</v>
      </c>
      <c r="BL174" s="151" t="str">
        <f t="shared" si="83"/>
        <v>EoKMetro - Nationaal</v>
      </c>
      <c r="BM174" s="529">
        <v>0</v>
      </c>
      <c r="BN174" s="180">
        <f>BM174/INDEX(Parameters!$B:$B,MATCH("AfschrijftermijnVVE"&amp;12*$C174,Parameters!$A:$A,0))</f>
        <v>0</v>
      </c>
      <c r="BO174" s="184">
        <f>INDEX('inkoop ULL tbv EVPN'!I:I,MATCH(BL174,'inkoop ULL tbv EVPN'!H:H,0))</f>
        <v>2</v>
      </c>
      <c r="BP174" s="184">
        <f t="shared" si="84"/>
        <v>2</v>
      </c>
      <c r="BR174" s="180">
        <f>Parameters!$B$12*AG174</f>
        <v>102.77777777777779</v>
      </c>
      <c r="BS174" s="180">
        <f>SUM(Distributievergoedingen!$F$12,Distributievergoedingen!$I$12,Distributievergoedingen!$L$12,Distributievergoedingen!$O$12)*AF174+SUM(Distributievergoedingen!$O$12*AA174+Distributievergoedingen!$R$12+Distributievergoedingen!$U$12+Distributievergoedingen!$X$12)/(MAX(36,12*C174))</f>
        <v>112.77777777777777</v>
      </c>
      <c r="BT174" s="150"/>
      <c r="BU174" s="150">
        <f t="shared" si="85"/>
        <v>215.55555555555554</v>
      </c>
      <c r="BW174" s="522">
        <f t="shared" si="86"/>
        <v>217.55555555555554</v>
      </c>
      <c r="BY174" s="527">
        <f t="shared" si="87"/>
        <v>810.22222222222229</v>
      </c>
      <c r="BZ174" s="181">
        <f t="shared" si="88"/>
        <v>0.78832432432432431</v>
      </c>
      <c r="CA174" s="520" t="b">
        <f t="shared" si="89"/>
        <v>0</v>
      </c>
    </row>
    <row r="175" spans="1:79" s="151" customFormat="1">
      <c r="A175" s="151" t="str">
        <f t="shared" ref="A175:A231" si="105">C175&amp;D175&amp;E175&amp;F175&amp;G175&amp;H175</f>
        <v>2EoKPremiumCity1</v>
      </c>
      <c r="B175" s="520" t="str">
        <f t="shared" si="90"/>
        <v>2EoKPremiumCity1</v>
      </c>
      <c r="C175" s="179">
        <v>2</v>
      </c>
      <c r="D175" s="179" t="s">
        <v>303</v>
      </c>
      <c r="E175" s="178" t="s">
        <v>267</v>
      </c>
      <c r="F175" s="178" t="s">
        <v>262</v>
      </c>
      <c r="G175" s="185" t="s">
        <v>362</v>
      </c>
      <c r="J175" s="520" t="str">
        <f t="shared" si="91"/>
        <v>PremiumCity1</v>
      </c>
      <c r="L175" s="204">
        <f>INDEX(Mapping!$H:$H,MATCH(C$3&amp;C175,Mapping!$B:$B,0))</f>
        <v>1</v>
      </c>
      <c r="M175" s="204" t="str">
        <f>INDEX(Mapping!$H:$H,MATCH(D$3&amp;$D175,Mapping!$B:$B,0))</f>
        <v>EoK</v>
      </c>
      <c r="N175" s="204" t="str">
        <f>INDEX(Mapping!$H:$H,MATCH(E$3&amp;E175,Mapping!$B:$B,0))</f>
        <v>Premium</v>
      </c>
      <c r="O175" s="204" t="str">
        <f>INDEX(Mapping!$H:$H,MATCH(F$3&amp;F175,Mapping!$B:$B,0))</f>
        <v>Metro</v>
      </c>
      <c r="P175" s="204">
        <f>INDEX(Mapping!$H:$H,MATCH(G$3&amp;G175,Mapping!$B:$B,0))</f>
        <v>1</v>
      </c>
      <c r="Q175" s="204" t="str">
        <f>INDEX(Mapping!$H:$H,MATCH(Q$3&amp;$F175,Mapping!$B:$B,0))</f>
        <v>Metro - Regionaal</v>
      </c>
      <c r="R175" s="204" t="str">
        <f>INDEX(Mapping!$H:$H,MATCH("ZM VPN Service Level"&amp;E175,Mapping!$B:$B,0))</f>
        <v>Advanced</v>
      </c>
      <c r="S175" s="139" t="b">
        <f>IF($D175="EoK",INDEX(Mapping!$I:$I,MATCH($G$3&amp;$G175,Mapping!B:B,0)),FALSE)</f>
        <v>1</v>
      </c>
      <c r="T175" s="139"/>
      <c r="U175" s="520" t="str">
        <f t="shared" si="92"/>
        <v>PremiumMetro1</v>
      </c>
      <c r="W175" s="521">
        <f>MATCH($J175,'Tarieven ZM'!$B:$B,0)</f>
        <v>65</v>
      </c>
      <c r="X175" s="204">
        <f>INDEX('Tarieven ZM'!$H:$H,$W175)</f>
        <v>1000</v>
      </c>
      <c r="Y175" s="198">
        <f>-INDEX(Parameters!$B:$B,MATCH(Y$3&amp;$C175,Parameters!$A:$A,0))*$X175</f>
        <v>0</v>
      </c>
      <c r="Z175" s="198">
        <f>-INDEX(Parameters!$B:$B,MATCH(Z$3&amp;$C175,Parameters!$A:$A,0))*$X175</f>
        <v>0</v>
      </c>
      <c r="AA175" s="139">
        <f t="shared" si="94"/>
        <v>1000</v>
      </c>
      <c r="AB175" s="205">
        <f>AA175/INDEX(Parameters!$B:$B,MATCH("AfschrijftermijnVVE"&amp;12*$C175,Parameters!$A:$A,0))</f>
        <v>27.777777777777779</v>
      </c>
      <c r="AC175" s="204">
        <f>INDEX('Tarieven ZM'!$G:$G,$W175)</f>
        <v>1000</v>
      </c>
      <c r="AD175" s="198">
        <f>-INDEX(Parameters!$B:$B,MATCH(AD$3&amp;$C175,Parameters!$A:$A,0))*$AC175</f>
        <v>0</v>
      </c>
      <c r="AE175" s="198">
        <f>-INDEX(Parameters!$B:$B,MATCH(AE$3,Parameters!$A:$A,0))*$AC175</f>
        <v>0</v>
      </c>
      <c r="AF175" s="139">
        <f t="shared" si="95"/>
        <v>1000</v>
      </c>
      <c r="AG175" s="522">
        <f t="shared" si="96"/>
        <v>1027.7777777777778</v>
      </c>
      <c r="AH175" s="175"/>
      <c r="AI175" s="523">
        <f>MATCH($U175,'Tarieven W&amp;O'!$B:$B,0)</f>
        <v>57</v>
      </c>
      <c r="AJ175" s="204">
        <f>IF(AI175&lt;&gt;"nvt",INDEX('Tarieven W&amp;O'!$H:$H,$AI175),0)</f>
        <v>0</v>
      </c>
      <c r="AK175" s="204">
        <f>IF(AI175&lt;&gt;"nvt",INDEX('Tarieven W&amp;O'!$I:$I,$AI175),0)</f>
        <v>25</v>
      </c>
      <c r="AL175" s="524">
        <f>IF(AI175&lt;&gt;"nvt",-INDEX(Parameters!$B:$B,MATCH(AL$3,Parameters!$A:$A,0))*(AJ175+AK175),0)</f>
        <v>0</v>
      </c>
      <c r="AM175" s="525"/>
      <c r="AN175" s="139">
        <f t="shared" si="97"/>
        <v>25</v>
      </c>
      <c r="AO175" s="205">
        <f>AN175/INDEX(Parameters!$B:$B,MATCH("AfschrijftermijnVVE"&amp;12*$C175,Parameters!$A:$A,0))</f>
        <v>0.69444444444444442</v>
      </c>
      <c r="AP175" s="139">
        <f t="shared" si="98"/>
        <v>57</v>
      </c>
      <c r="AQ175" s="526">
        <f>IF(AP175&lt;&gt;"nvt",INDEX('Tarieven W&amp;O'!$G:$G,$AP175),0)</f>
        <v>14.29</v>
      </c>
      <c r="AR175" s="251">
        <f>IF($S175,INDEX('Tarieven W&amp;O'!$G:$G,MATCH(N175&amp;R175,'Tarieven W&amp;O'!$B:$B,0)),0)</f>
        <v>0</v>
      </c>
      <c r="AS175" s="205">
        <f>-INDEX(Parameters!$B:$B,MATCH(AS$3,Parameters!$A:$A,0))*(AQ175+AR175)</f>
        <v>0</v>
      </c>
      <c r="AT175" s="205">
        <f>INDEX(hulpblad!$E:$E,MATCH(M175&amp;Q175,hulpblad!$B:$B,0))</f>
        <v>1</v>
      </c>
      <c r="AU175" s="150">
        <f t="shared" si="101"/>
        <v>15.29</v>
      </c>
      <c r="AV175" s="150">
        <f t="shared" si="102"/>
        <v>15.984444444444444</v>
      </c>
      <c r="AX175" s="526">
        <f>Parameters!$B$6*AV175</f>
        <v>0.15984444444444443</v>
      </c>
      <c r="AY175" s="150">
        <v>0</v>
      </c>
      <c r="AZ175" s="150"/>
      <c r="BA175" s="150">
        <f t="shared" si="99"/>
        <v>0.15984444444444443</v>
      </c>
      <c r="BB175" s="150"/>
      <c r="BC175" s="522">
        <f t="shared" si="100"/>
        <v>16.144288888888887</v>
      </c>
      <c r="BD175" s="175"/>
      <c r="BE175" s="527">
        <f t="shared" si="103"/>
        <v>1011.6334888888889</v>
      </c>
      <c r="BF175" s="181">
        <f t="shared" si="104"/>
        <v>0.98429204324324326</v>
      </c>
      <c r="BG175" s="520" t="b">
        <f t="shared" si="93"/>
        <v>0</v>
      </c>
      <c r="BI175" s="528" t="s">
        <v>2181</v>
      </c>
      <c r="BL175" s="151" t="str">
        <f t="shared" ref="BL175:BL231" si="106">M175&amp;Q175</f>
        <v>EoKMetro - Regionaal</v>
      </c>
      <c r="BM175" s="529">
        <v>0</v>
      </c>
      <c r="BN175" s="180">
        <f>BM175/INDEX(Parameters!$B:$B,MATCH("AfschrijftermijnVVE"&amp;12*$C175,Parameters!$A:$A,0))</f>
        <v>0</v>
      </c>
      <c r="BO175" s="184">
        <f>INDEX('inkoop ULL tbv EVPN'!I:I,MATCH(BL175,'inkoop ULL tbv EVPN'!H:H,0))</f>
        <v>2</v>
      </c>
      <c r="BP175" s="184">
        <f t="shared" ref="BP175:BP231" si="107">BN175+BO175</f>
        <v>2</v>
      </c>
      <c r="BR175" s="180">
        <f>Parameters!$B$12*AG175</f>
        <v>102.77777777777779</v>
      </c>
      <c r="BS175" s="180">
        <f>SUM(Distributievergoedingen!$F$12,Distributievergoedingen!$I$12,Distributievergoedingen!$L$12,Distributievergoedingen!$O$12)*AF175+SUM(Distributievergoedingen!$O$12*AA175+Distributievergoedingen!$R$12+Distributievergoedingen!$U$12+Distributievergoedingen!$X$12)/(MAX(36,12*C175))</f>
        <v>112.77777777777777</v>
      </c>
      <c r="BT175" s="150"/>
      <c r="BU175" s="150">
        <f t="shared" ref="BU175:BU231" si="108">SUM(BR175:BT175)</f>
        <v>215.55555555555554</v>
      </c>
      <c r="BW175" s="522">
        <f t="shared" ref="BW175:BW231" si="109">SUM(BP175,BU175)</f>
        <v>217.55555555555554</v>
      </c>
      <c r="BY175" s="527">
        <f t="shared" ref="BY175:BY231" si="110">AG175-BW175</f>
        <v>810.22222222222229</v>
      </c>
      <c r="BZ175" s="181">
        <f t="shared" ref="BZ175:BZ231" si="111">IF(AG175=0,-999%,BY175/AG175)</f>
        <v>0.78832432432432431</v>
      </c>
      <c r="CA175" s="520" t="b">
        <f t="shared" ref="CA175:CA231" si="112">BZ175&lt;0</f>
        <v>0</v>
      </c>
    </row>
    <row r="176" spans="1:79" s="151" customFormat="1">
      <c r="A176" s="151" t="str">
        <f t="shared" si="105"/>
        <v>2EoKPremiumCity2</v>
      </c>
      <c r="B176" s="520" t="str">
        <f t="shared" si="90"/>
        <v>2EoKPremiumCity2</v>
      </c>
      <c r="C176" s="179">
        <v>2</v>
      </c>
      <c r="D176" s="179" t="s">
        <v>303</v>
      </c>
      <c r="E176" s="178" t="s">
        <v>267</v>
      </c>
      <c r="F176" s="178" t="s">
        <v>262</v>
      </c>
      <c r="G176" s="185" t="s">
        <v>363</v>
      </c>
      <c r="J176" s="520" t="str">
        <f t="shared" si="91"/>
        <v>PremiumCity2</v>
      </c>
      <c r="L176" s="204">
        <f>INDEX(Mapping!$H:$H,MATCH(C$3&amp;C176,Mapping!$B:$B,0))</f>
        <v>1</v>
      </c>
      <c r="M176" s="204" t="str">
        <f>INDEX(Mapping!$H:$H,MATCH(D$3&amp;$D176,Mapping!$B:$B,0))</f>
        <v>EoK</v>
      </c>
      <c r="N176" s="204" t="str">
        <f>INDEX(Mapping!$H:$H,MATCH(E$3&amp;E176,Mapping!$B:$B,0))</f>
        <v>Premium</v>
      </c>
      <c r="O176" s="204" t="str">
        <f>INDEX(Mapping!$H:$H,MATCH(F$3&amp;F176,Mapping!$B:$B,0))</f>
        <v>Metro</v>
      </c>
      <c r="P176" s="204">
        <f>INDEX(Mapping!$H:$H,MATCH(G$3&amp;G176,Mapping!$B:$B,0))</f>
        <v>2</v>
      </c>
      <c r="Q176" s="204" t="str">
        <f>INDEX(Mapping!$H:$H,MATCH(Q$3&amp;$F176,Mapping!$B:$B,0))</f>
        <v>Metro - Regionaal</v>
      </c>
      <c r="R176" s="204" t="str">
        <f>INDEX(Mapping!$H:$H,MATCH("ZM VPN Service Level"&amp;E176,Mapping!$B:$B,0))</f>
        <v>Advanced</v>
      </c>
      <c r="S176" s="139" t="b">
        <f>IF($D176="EoK",INDEX(Mapping!$I:$I,MATCH($G$3&amp;$G176,Mapping!B:B,0)),FALSE)</f>
        <v>1</v>
      </c>
      <c r="T176" s="139"/>
      <c r="U176" s="520" t="str">
        <f t="shared" si="92"/>
        <v>PremiumMetro2</v>
      </c>
      <c r="W176" s="521">
        <f>MATCH($J176,'Tarieven ZM'!$B:$B,0)</f>
        <v>66</v>
      </c>
      <c r="X176" s="204">
        <f>INDEX('Tarieven ZM'!$H:$H,$W176)</f>
        <v>1000</v>
      </c>
      <c r="Y176" s="198">
        <f>-INDEX(Parameters!$B:$B,MATCH(Y$3&amp;$C176,Parameters!$A:$A,0))*$X176</f>
        <v>0</v>
      </c>
      <c r="Z176" s="198">
        <f>-INDEX(Parameters!$B:$B,MATCH(Z$3&amp;$C176,Parameters!$A:$A,0))*$X176</f>
        <v>0</v>
      </c>
      <c r="AA176" s="139">
        <f t="shared" si="94"/>
        <v>1000</v>
      </c>
      <c r="AB176" s="205">
        <f>AA176/INDEX(Parameters!$B:$B,MATCH("AfschrijftermijnVVE"&amp;12*$C176,Parameters!$A:$A,0))</f>
        <v>27.777777777777779</v>
      </c>
      <c r="AC176" s="204">
        <f>INDEX('Tarieven ZM'!$G:$G,$W176)</f>
        <v>1000</v>
      </c>
      <c r="AD176" s="198">
        <f>-INDEX(Parameters!$B:$B,MATCH(AD$3&amp;$C176,Parameters!$A:$A,0))*$AC176</f>
        <v>0</v>
      </c>
      <c r="AE176" s="198">
        <f>-INDEX(Parameters!$B:$B,MATCH(AE$3,Parameters!$A:$A,0))*$AC176</f>
        <v>0</v>
      </c>
      <c r="AF176" s="139">
        <f t="shared" si="95"/>
        <v>1000</v>
      </c>
      <c r="AG176" s="522">
        <f t="shared" si="96"/>
        <v>1027.7777777777778</v>
      </c>
      <c r="AH176" s="175"/>
      <c r="AI176" s="523">
        <f>MATCH($U176,'Tarieven W&amp;O'!$B:$B,0)</f>
        <v>58</v>
      </c>
      <c r="AJ176" s="204">
        <f>IF(AI176&lt;&gt;"nvt",INDEX('Tarieven W&amp;O'!$H:$H,$AI176),0)</f>
        <v>0</v>
      </c>
      <c r="AK176" s="204">
        <f>IF(AI176&lt;&gt;"nvt",INDEX('Tarieven W&amp;O'!$I:$I,$AI176),0)</f>
        <v>25</v>
      </c>
      <c r="AL176" s="524">
        <f>IF(AI176&lt;&gt;"nvt",-INDEX(Parameters!$B:$B,MATCH(AL$3,Parameters!$A:$A,0))*(AJ176+AK176),0)</f>
        <v>0</v>
      </c>
      <c r="AM176" s="525"/>
      <c r="AN176" s="139">
        <f t="shared" si="97"/>
        <v>25</v>
      </c>
      <c r="AO176" s="205">
        <f>AN176/INDEX(Parameters!$B:$B,MATCH("AfschrijftermijnVVE"&amp;12*$C176,Parameters!$A:$A,0))</f>
        <v>0.69444444444444442</v>
      </c>
      <c r="AP176" s="139">
        <f t="shared" si="98"/>
        <v>58</v>
      </c>
      <c r="AQ176" s="526">
        <f>IF(AP176&lt;&gt;"nvt",INDEX('Tarieven W&amp;O'!$G:$G,$AP176),0)</f>
        <v>16.55</v>
      </c>
      <c r="AR176" s="251">
        <f>IF($S176,INDEX('Tarieven W&amp;O'!$G:$G,MATCH(N176&amp;R176,'Tarieven W&amp;O'!$B:$B,0)),0)</f>
        <v>0</v>
      </c>
      <c r="AS176" s="205">
        <f>-INDEX(Parameters!$B:$B,MATCH(AS$3,Parameters!$A:$A,0))*(AQ176+AR176)</f>
        <v>0</v>
      </c>
      <c r="AT176" s="205">
        <f>INDEX(hulpblad!$E:$E,MATCH(M176&amp;Q176,hulpblad!$B:$B,0))</f>
        <v>1</v>
      </c>
      <c r="AU176" s="150">
        <f t="shared" si="101"/>
        <v>17.55</v>
      </c>
      <c r="AV176" s="150">
        <f t="shared" si="102"/>
        <v>18.244444444444444</v>
      </c>
      <c r="AX176" s="526">
        <f>Parameters!$B$6*AV176</f>
        <v>0.18244444444444444</v>
      </c>
      <c r="AY176" s="150">
        <v>0</v>
      </c>
      <c r="AZ176" s="150"/>
      <c r="BA176" s="150">
        <f t="shared" si="99"/>
        <v>0.18244444444444444</v>
      </c>
      <c r="BB176" s="150"/>
      <c r="BC176" s="522">
        <f t="shared" si="100"/>
        <v>18.42688888888889</v>
      </c>
      <c r="BD176" s="175"/>
      <c r="BE176" s="527">
        <f t="shared" si="103"/>
        <v>1009.3508888888889</v>
      </c>
      <c r="BF176" s="181">
        <f t="shared" si="104"/>
        <v>0.98207113513513511</v>
      </c>
      <c r="BG176" s="520" t="b">
        <f t="shared" si="93"/>
        <v>0</v>
      </c>
      <c r="BI176" s="528" t="s">
        <v>2181</v>
      </c>
      <c r="BL176" s="151" t="str">
        <f t="shared" si="106"/>
        <v>EoKMetro - Regionaal</v>
      </c>
      <c r="BM176" s="529">
        <v>0</v>
      </c>
      <c r="BN176" s="180">
        <f>BM176/INDEX(Parameters!$B:$B,MATCH("AfschrijftermijnVVE"&amp;12*$C176,Parameters!$A:$A,0))</f>
        <v>0</v>
      </c>
      <c r="BO176" s="184">
        <f>INDEX('inkoop ULL tbv EVPN'!I:I,MATCH(BL176,'inkoop ULL tbv EVPN'!H:H,0))</f>
        <v>2</v>
      </c>
      <c r="BP176" s="184">
        <f t="shared" si="107"/>
        <v>2</v>
      </c>
      <c r="BR176" s="180">
        <f>Parameters!$B$12*AG176</f>
        <v>102.77777777777779</v>
      </c>
      <c r="BS176" s="180">
        <f>SUM(Distributievergoedingen!$F$12,Distributievergoedingen!$I$12,Distributievergoedingen!$L$12,Distributievergoedingen!$O$12)*AF176+SUM(Distributievergoedingen!$O$12*AA176+Distributievergoedingen!$R$12+Distributievergoedingen!$U$12+Distributievergoedingen!$X$12)/(MAX(36,12*C176))</f>
        <v>112.77777777777777</v>
      </c>
      <c r="BT176" s="150"/>
      <c r="BU176" s="150">
        <f t="shared" si="108"/>
        <v>215.55555555555554</v>
      </c>
      <c r="BW176" s="522">
        <f t="shared" si="109"/>
        <v>217.55555555555554</v>
      </c>
      <c r="BY176" s="527">
        <f t="shared" si="110"/>
        <v>810.22222222222229</v>
      </c>
      <c r="BZ176" s="181">
        <f t="shared" si="111"/>
        <v>0.78832432432432431</v>
      </c>
      <c r="CA176" s="520" t="b">
        <f t="shared" si="112"/>
        <v>0</v>
      </c>
    </row>
    <row r="177" spans="1:79" s="151" customFormat="1">
      <c r="A177" s="151" t="str">
        <f t="shared" si="105"/>
        <v>2EoKPremiumCity3</v>
      </c>
      <c r="B177" s="520" t="str">
        <f t="shared" si="90"/>
        <v>2EoKPremiumCity3</v>
      </c>
      <c r="C177" s="179">
        <v>2</v>
      </c>
      <c r="D177" s="179" t="s">
        <v>303</v>
      </c>
      <c r="E177" s="178" t="s">
        <v>267</v>
      </c>
      <c r="F177" s="178" t="s">
        <v>262</v>
      </c>
      <c r="G177" s="185" t="s">
        <v>407</v>
      </c>
      <c r="J177" s="520" t="str">
        <f t="shared" si="91"/>
        <v>PremiumCity3</v>
      </c>
      <c r="L177" s="204">
        <f>INDEX(Mapping!$H:$H,MATCH(C$3&amp;C177,Mapping!$B:$B,0))</f>
        <v>1</v>
      </c>
      <c r="M177" s="204" t="str">
        <f>INDEX(Mapping!$H:$H,MATCH(D$3&amp;$D177,Mapping!$B:$B,0))</f>
        <v>EoK</v>
      </c>
      <c r="N177" s="204" t="str">
        <f>INDEX(Mapping!$H:$H,MATCH(E$3&amp;E177,Mapping!$B:$B,0))</f>
        <v>Premium</v>
      </c>
      <c r="O177" s="204" t="str">
        <f>INDEX(Mapping!$H:$H,MATCH(F$3&amp;F177,Mapping!$B:$B,0))</f>
        <v>Metro</v>
      </c>
      <c r="P177" s="204">
        <f>INDEX(Mapping!$H:$H,MATCH(G$3&amp;G177,Mapping!$B:$B,0))</f>
        <v>3</v>
      </c>
      <c r="Q177" s="204" t="str">
        <f>INDEX(Mapping!$H:$H,MATCH(Q$3&amp;$F177,Mapping!$B:$B,0))</f>
        <v>Metro - Regionaal</v>
      </c>
      <c r="R177" s="204" t="str">
        <f>INDEX(Mapping!$H:$H,MATCH("ZM VPN Service Level"&amp;E177,Mapping!$B:$B,0))</f>
        <v>Advanced</v>
      </c>
      <c r="S177" s="139" t="b">
        <f>IF($D177="EoK",INDEX(Mapping!$I:$I,MATCH($G$3&amp;$G177,Mapping!B:B,0)),FALSE)</f>
        <v>0</v>
      </c>
      <c r="T177" s="139"/>
      <c r="U177" s="520" t="str">
        <f t="shared" si="92"/>
        <v>PremiumMetro3</v>
      </c>
      <c r="W177" s="521">
        <f>MATCH($J177,'Tarieven ZM'!$B:$B,0)</f>
        <v>67</v>
      </c>
      <c r="X177" s="204">
        <f>INDEX('Tarieven ZM'!$H:$H,$W177)</f>
        <v>1000</v>
      </c>
      <c r="Y177" s="198">
        <f>-INDEX(Parameters!$B:$B,MATCH(Y$3&amp;$C177,Parameters!$A:$A,0))*$X177</f>
        <v>0</v>
      </c>
      <c r="Z177" s="198">
        <f>-INDEX(Parameters!$B:$B,MATCH(Z$3&amp;$C177,Parameters!$A:$A,0))*$X177</f>
        <v>0</v>
      </c>
      <c r="AA177" s="139">
        <f t="shared" si="94"/>
        <v>1000</v>
      </c>
      <c r="AB177" s="205">
        <f>AA177/INDEX(Parameters!$B:$B,MATCH("AfschrijftermijnVVE"&amp;12*$C177,Parameters!$A:$A,0))</f>
        <v>27.777777777777779</v>
      </c>
      <c r="AC177" s="204">
        <f>INDEX('Tarieven ZM'!$G:$G,$W177)</f>
        <v>1000</v>
      </c>
      <c r="AD177" s="198">
        <f>-INDEX(Parameters!$B:$B,MATCH(AD$3&amp;$C177,Parameters!$A:$A,0))*$AC177</f>
        <v>0</v>
      </c>
      <c r="AE177" s="198">
        <f>-INDEX(Parameters!$B:$B,MATCH(AE$3,Parameters!$A:$A,0))*$AC177</f>
        <v>0</v>
      </c>
      <c r="AF177" s="139">
        <f t="shared" si="95"/>
        <v>1000</v>
      </c>
      <c r="AG177" s="522">
        <f t="shared" si="96"/>
        <v>1027.7777777777778</v>
      </c>
      <c r="AH177" s="175"/>
      <c r="AI177" s="523">
        <f>MATCH($U177,'Tarieven W&amp;O'!$B:$B,0)</f>
        <v>59</v>
      </c>
      <c r="AJ177" s="204">
        <f>IF(AI177&lt;&gt;"nvt",INDEX('Tarieven W&amp;O'!$H:$H,$AI177),0)</f>
        <v>0</v>
      </c>
      <c r="AK177" s="204">
        <f>IF(AI177&lt;&gt;"nvt",INDEX('Tarieven W&amp;O'!$I:$I,$AI177),0)</f>
        <v>25</v>
      </c>
      <c r="AL177" s="524">
        <f>IF(AI177&lt;&gt;"nvt",-INDEX(Parameters!$B:$B,MATCH(AL$3,Parameters!$A:$A,0))*(AJ177+AK177),0)</f>
        <v>0</v>
      </c>
      <c r="AM177" s="525"/>
      <c r="AN177" s="139">
        <f t="shared" si="97"/>
        <v>25</v>
      </c>
      <c r="AO177" s="205">
        <f>AN177/INDEX(Parameters!$B:$B,MATCH("AfschrijftermijnVVE"&amp;12*$C177,Parameters!$A:$A,0))</f>
        <v>0.69444444444444442</v>
      </c>
      <c r="AP177" s="139">
        <f t="shared" si="98"/>
        <v>59</v>
      </c>
      <c r="AQ177" s="526">
        <f>IF(AP177&lt;&gt;"nvt",INDEX('Tarieven W&amp;O'!$G:$G,$AP177),0)</f>
        <v>27.86</v>
      </c>
      <c r="AR177" s="251">
        <f>IF($S177,INDEX('Tarieven W&amp;O'!$G:$G,MATCH(N177&amp;R177,'Tarieven W&amp;O'!$B:$B,0)),0)</f>
        <v>0</v>
      </c>
      <c r="AS177" s="205">
        <f>-INDEX(Parameters!$B:$B,MATCH(AS$3,Parameters!$A:$A,0))*(AQ177+AR177)</f>
        <v>0</v>
      </c>
      <c r="AT177" s="205">
        <f>INDEX(hulpblad!$E:$E,MATCH(M177&amp;Q177,hulpblad!$B:$B,0))</f>
        <v>1</v>
      </c>
      <c r="AU177" s="150">
        <f t="shared" si="101"/>
        <v>28.86</v>
      </c>
      <c r="AV177" s="150">
        <f t="shared" si="102"/>
        <v>29.554444444444442</v>
      </c>
      <c r="AX177" s="526">
        <f>Parameters!$B$6*AV177</f>
        <v>0.29554444444444444</v>
      </c>
      <c r="AY177" s="150">
        <v>0</v>
      </c>
      <c r="AZ177" s="150"/>
      <c r="BA177" s="150">
        <f t="shared" si="99"/>
        <v>0.29554444444444444</v>
      </c>
      <c r="BB177" s="150"/>
      <c r="BC177" s="522">
        <f t="shared" si="100"/>
        <v>29.849988888888888</v>
      </c>
      <c r="BD177" s="175"/>
      <c r="BE177" s="527">
        <f t="shared" si="103"/>
        <v>997.92778888888893</v>
      </c>
      <c r="BF177" s="181">
        <f t="shared" si="104"/>
        <v>0.97095676756756755</v>
      </c>
      <c r="BG177" s="520" t="b">
        <f t="shared" si="93"/>
        <v>0</v>
      </c>
      <c r="BI177" s="528" t="s">
        <v>2181</v>
      </c>
      <c r="BL177" s="151" t="str">
        <f t="shared" si="106"/>
        <v>EoKMetro - Regionaal</v>
      </c>
      <c r="BM177" s="529">
        <v>0</v>
      </c>
      <c r="BN177" s="180">
        <f>BM177/INDEX(Parameters!$B:$B,MATCH("AfschrijftermijnVVE"&amp;12*$C177,Parameters!$A:$A,0))</f>
        <v>0</v>
      </c>
      <c r="BO177" s="184">
        <f>INDEX('inkoop ULL tbv EVPN'!I:I,MATCH(BL177,'inkoop ULL tbv EVPN'!H:H,0))</f>
        <v>2</v>
      </c>
      <c r="BP177" s="184">
        <f t="shared" si="107"/>
        <v>2</v>
      </c>
      <c r="BR177" s="180">
        <f>Parameters!$B$12*AG177</f>
        <v>102.77777777777779</v>
      </c>
      <c r="BS177" s="180">
        <f>SUM(Distributievergoedingen!$F$12,Distributievergoedingen!$I$12,Distributievergoedingen!$L$12,Distributievergoedingen!$O$12)*AF177+SUM(Distributievergoedingen!$O$12*AA177+Distributievergoedingen!$R$12+Distributievergoedingen!$U$12+Distributievergoedingen!$X$12)/(MAX(36,12*C177))</f>
        <v>112.77777777777777</v>
      </c>
      <c r="BT177" s="150"/>
      <c r="BU177" s="150">
        <f t="shared" si="108"/>
        <v>215.55555555555554</v>
      </c>
      <c r="BW177" s="522">
        <f t="shared" si="109"/>
        <v>217.55555555555554</v>
      </c>
      <c r="BY177" s="527">
        <f t="shared" si="110"/>
        <v>810.22222222222229</v>
      </c>
      <c r="BZ177" s="181">
        <f t="shared" si="111"/>
        <v>0.78832432432432431</v>
      </c>
      <c r="CA177" s="520" t="b">
        <f t="shared" si="112"/>
        <v>0</v>
      </c>
    </row>
    <row r="178" spans="1:79" s="151" customFormat="1">
      <c r="A178" s="151" t="str">
        <f t="shared" si="105"/>
        <v>2EoKPremiumCity4</v>
      </c>
      <c r="B178" s="520" t="str">
        <f t="shared" si="90"/>
        <v>2EoKPremiumCity4</v>
      </c>
      <c r="C178" s="179">
        <v>2</v>
      </c>
      <c r="D178" s="179" t="s">
        <v>303</v>
      </c>
      <c r="E178" s="178" t="s">
        <v>267</v>
      </c>
      <c r="F178" s="178" t="s">
        <v>262</v>
      </c>
      <c r="G178" s="185" t="s">
        <v>408</v>
      </c>
      <c r="J178" s="520" t="str">
        <f t="shared" si="91"/>
        <v>PremiumCity4</v>
      </c>
      <c r="L178" s="204">
        <f>INDEX(Mapping!$H:$H,MATCH(C$3&amp;C178,Mapping!$B:$B,0))</f>
        <v>1</v>
      </c>
      <c r="M178" s="204" t="str">
        <f>INDEX(Mapping!$H:$H,MATCH(D$3&amp;$D178,Mapping!$B:$B,0))</f>
        <v>EoK</v>
      </c>
      <c r="N178" s="204" t="str">
        <f>INDEX(Mapping!$H:$H,MATCH(E$3&amp;E178,Mapping!$B:$B,0))</f>
        <v>Premium</v>
      </c>
      <c r="O178" s="204" t="str">
        <f>INDEX(Mapping!$H:$H,MATCH(F$3&amp;F178,Mapping!$B:$B,0))</f>
        <v>Metro</v>
      </c>
      <c r="P178" s="204">
        <f>INDEX(Mapping!$H:$H,MATCH(G$3&amp;G178,Mapping!$B:$B,0))</f>
        <v>4</v>
      </c>
      <c r="Q178" s="204" t="str">
        <f>INDEX(Mapping!$H:$H,MATCH(Q$3&amp;$F178,Mapping!$B:$B,0))</f>
        <v>Metro - Regionaal</v>
      </c>
      <c r="R178" s="204" t="str">
        <f>INDEX(Mapping!$H:$H,MATCH("ZM VPN Service Level"&amp;E178,Mapping!$B:$B,0))</f>
        <v>Advanced</v>
      </c>
      <c r="S178" s="139" t="b">
        <f>IF($D178="EoK",INDEX(Mapping!$I:$I,MATCH($G$3&amp;$G178,Mapping!B:B,0)),FALSE)</f>
        <v>0</v>
      </c>
      <c r="T178" s="139"/>
      <c r="U178" s="520" t="str">
        <f t="shared" si="92"/>
        <v>PremiumMetro4</v>
      </c>
      <c r="W178" s="521">
        <f>MATCH($J178,'Tarieven ZM'!$B:$B,0)</f>
        <v>68</v>
      </c>
      <c r="X178" s="204">
        <f>INDEX('Tarieven ZM'!$H:$H,$W178)</f>
        <v>1000</v>
      </c>
      <c r="Y178" s="198">
        <f>-INDEX(Parameters!$B:$B,MATCH(Y$3&amp;$C178,Parameters!$A:$A,0))*$X178</f>
        <v>0</v>
      </c>
      <c r="Z178" s="198">
        <f>-INDEX(Parameters!$B:$B,MATCH(Z$3&amp;$C178,Parameters!$A:$A,0))*$X178</f>
        <v>0</v>
      </c>
      <c r="AA178" s="139">
        <f t="shared" si="94"/>
        <v>1000</v>
      </c>
      <c r="AB178" s="205">
        <f>AA178/INDEX(Parameters!$B:$B,MATCH("AfschrijftermijnVVE"&amp;12*$C178,Parameters!$A:$A,0))</f>
        <v>27.777777777777779</v>
      </c>
      <c r="AC178" s="204">
        <f>INDEX('Tarieven ZM'!$G:$G,$W178)</f>
        <v>1000</v>
      </c>
      <c r="AD178" s="198">
        <f>-INDEX(Parameters!$B:$B,MATCH(AD$3&amp;$C178,Parameters!$A:$A,0))*$AC178</f>
        <v>0</v>
      </c>
      <c r="AE178" s="198">
        <f>-INDEX(Parameters!$B:$B,MATCH(AE$3,Parameters!$A:$A,0))*$AC178</f>
        <v>0</v>
      </c>
      <c r="AF178" s="139">
        <f t="shared" si="95"/>
        <v>1000</v>
      </c>
      <c r="AG178" s="522">
        <f t="shared" si="96"/>
        <v>1027.7777777777778</v>
      </c>
      <c r="AH178" s="175"/>
      <c r="AI178" s="523">
        <f>MATCH($U178,'Tarieven W&amp;O'!$B:$B,0)</f>
        <v>60</v>
      </c>
      <c r="AJ178" s="204">
        <f>IF(AI178&lt;&gt;"nvt",INDEX('Tarieven W&amp;O'!$H:$H,$AI178),0)</f>
        <v>0</v>
      </c>
      <c r="AK178" s="204">
        <f>IF(AI178&lt;&gt;"nvt",INDEX('Tarieven W&amp;O'!$I:$I,$AI178),0)</f>
        <v>25</v>
      </c>
      <c r="AL178" s="524">
        <f>IF(AI178&lt;&gt;"nvt",-INDEX(Parameters!$B:$B,MATCH(AL$3,Parameters!$A:$A,0))*(AJ178+AK178),0)</f>
        <v>0</v>
      </c>
      <c r="AM178" s="525"/>
      <c r="AN178" s="139">
        <f t="shared" si="97"/>
        <v>25</v>
      </c>
      <c r="AO178" s="205">
        <f>AN178/INDEX(Parameters!$B:$B,MATCH("AfschrijftermijnVVE"&amp;12*$C178,Parameters!$A:$A,0))</f>
        <v>0.69444444444444442</v>
      </c>
      <c r="AP178" s="139">
        <f t="shared" si="98"/>
        <v>60</v>
      </c>
      <c r="AQ178" s="526">
        <f>IF(AP178&lt;&gt;"nvt",INDEX('Tarieven W&amp;O'!$G:$G,$AP178),0)</f>
        <v>42.94</v>
      </c>
      <c r="AR178" s="251">
        <f>IF($S178,INDEX('Tarieven W&amp;O'!$G:$G,MATCH(N178&amp;R178,'Tarieven W&amp;O'!$B:$B,0)),0)</f>
        <v>0</v>
      </c>
      <c r="AS178" s="205">
        <f>-INDEX(Parameters!$B:$B,MATCH(AS$3,Parameters!$A:$A,0))*(AQ178+AR178)</f>
        <v>0</v>
      </c>
      <c r="AT178" s="205">
        <f>INDEX(hulpblad!$E:$E,MATCH(M178&amp;Q178,hulpblad!$B:$B,0))</f>
        <v>1</v>
      </c>
      <c r="AU178" s="150">
        <f t="shared" si="101"/>
        <v>43.94</v>
      </c>
      <c r="AV178" s="150">
        <f t="shared" si="102"/>
        <v>44.634444444444441</v>
      </c>
      <c r="AX178" s="526">
        <f>Parameters!$B$6*AV178</f>
        <v>0.44634444444444443</v>
      </c>
      <c r="AY178" s="150">
        <v>0</v>
      </c>
      <c r="AZ178" s="150"/>
      <c r="BA178" s="150">
        <f t="shared" si="99"/>
        <v>0.44634444444444443</v>
      </c>
      <c r="BB178" s="150"/>
      <c r="BC178" s="522">
        <f t="shared" si="100"/>
        <v>45.080788888888883</v>
      </c>
      <c r="BD178" s="175"/>
      <c r="BE178" s="527">
        <f t="shared" si="103"/>
        <v>982.696988888889</v>
      </c>
      <c r="BF178" s="181">
        <f t="shared" si="104"/>
        <v>0.95613761081081083</v>
      </c>
      <c r="BG178" s="520" t="b">
        <f t="shared" si="93"/>
        <v>0</v>
      </c>
      <c r="BI178" s="528" t="s">
        <v>2181</v>
      </c>
      <c r="BL178" s="151" t="str">
        <f t="shared" si="106"/>
        <v>EoKMetro - Regionaal</v>
      </c>
      <c r="BM178" s="529">
        <v>0</v>
      </c>
      <c r="BN178" s="180">
        <f>BM178/INDEX(Parameters!$B:$B,MATCH("AfschrijftermijnVVE"&amp;12*$C178,Parameters!$A:$A,0))</f>
        <v>0</v>
      </c>
      <c r="BO178" s="184">
        <f>INDEX('inkoop ULL tbv EVPN'!I:I,MATCH(BL178,'inkoop ULL tbv EVPN'!H:H,0))</f>
        <v>2</v>
      </c>
      <c r="BP178" s="184">
        <f t="shared" si="107"/>
        <v>2</v>
      </c>
      <c r="BR178" s="180">
        <f>Parameters!$B$12*AG178</f>
        <v>102.77777777777779</v>
      </c>
      <c r="BS178" s="180">
        <f>SUM(Distributievergoedingen!$F$12,Distributievergoedingen!$I$12,Distributievergoedingen!$L$12,Distributievergoedingen!$O$12)*AF178+SUM(Distributievergoedingen!$O$12*AA178+Distributievergoedingen!$R$12+Distributievergoedingen!$U$12+Distributievergoedingen!$X$12)/(MAX(36,12*C178))</f>
        <v>112.77777777777777</v>
      </c>
      <c r="BT178" s="150"/>
      <c r="BU178" s="150">
        <f t="shared" si="108"/>
        <v>215.55555555555554</v>
      </c>
      <c r="BW178" s="522">
        <f t="shared" si="109"/>
        <v>217.55555555555554</v>
      </c>
      <c r="BY178" s="527">
        <f t="shared" si="110"/>
        <v>810.22222222222229</v>
      </c>
      <c r="BZ178" s="181">
        <f t="shared" si="111"/>
        <v>0.78832432432432431</v>
      </c>
      <c r="CA178" s="520" t="b">
        <f t="shared" si="112"/>
        <v>0</v>
      </c>
    </row>
    <row r="179" spans="1:79" s="151" customFormat="1">
      <c r="A179" s="151" t="str">
        <f t="shared" si="105"/>
        <v>2EoKPremiumCity5</v>
      </c>
      <c r="B179" s="520" t="str">
        <f t="shared" si="90"/>
        <v>2EoKPremiumCity5</v>
      </c>
      <c r="C179" s="179">
        <v>2</v>
      </c>
      <c r="D179" s="179" t="s">
        <v>303</v>
      </c>
      <c r="E179" s="178" t="s">
        <v>267</v>
      </c>
      <c r="F179" s="178" t="s">
        <v>262</v>
      </c>
      <c r="G179" s="185" t="s">
        <v>409</v>
      </c>
      <c r="J179" s="520" t="str">
        <f t="shared" si="91"/>
        <v>PremiumCity5</v>
      </c>
      <c r="L179" s="204">
        <f>INDEX(Mapping!$H:$H,MATCH(C$3&amp;C179,Mapping!$B:$B,0))</f>
        <v>1</v>
      </c>
      <c r="M179" s="204" t="str">
        <f>INDEX(Mapping!$H:$H,MATCH(D$3&amp;$D179,Mapping!$B:$B,0))</f>
        <v>EoK</v>
      </c>
      <c r="N179" s="204" t="str">
        <f>INDEX(Mapping!$H:$H,MATCH(E$3&amp;E179,Mapping!$B:$B,0))</f>
        <v>Premium</v>
      </c>
      <c r="O179" s="204" t="str">
        <f>INDEX(Mapping!$H:$H,MATCH(F$3&amp;F179,Mapping!$B:$B,0))</f>
        <v>Metro</v>
      </c>
      <c r="P179" s="204">
        <f>INDEX(Mapping!$H:$H,MATCH(G$3&amp;G179,Mapping!$B:$B,0))</f>
        <v>5</v>
      </c>
      <c r="Q179" s="204" t="str">
        <f>INDEX(Mapping!$H:$H,MATCH(Q$3&amp;$F179,Mapping!$B:$B,0))</f>
        <v>Metro - Regionaal</v>
      </c>
      <c r="R179" s="204" t="str">
        <f>INDEX(Mapping!$H:$H,MATCH("ZM VPN Service Level"&amp;E179,Mapping!$B:$B,0))</f>
        <v>Advanced</v>
      </c>
      <c r="S179" s="139" t="b">
        <f>IF($D179="EoK",INDEX(Mapping!$I:$I,MATCH($G$3&amp;$G179,Mapping!B:B,0)),FALSE)</f>
        <v>0</v>
      </c>
      <c r="T179" s="139"/>
      <c r="U179" s="520" t="str">
        <f t="shared" si="92"/>
        <v>PremiumMetro5</v>
      </c>
      <c r="W179" s="521">
        <f>MATCH($J179,'Tarieven ZM'!$B:$B,0)</f>
        <v>69</v>
      </c>
      <c r="X179" s="204">
        <f>INDEX('Tarieven ZM'!$H:$H,$W179)</f>
        <v>1000</v>
      </c>
      <c r="Y179" s="198">
        <f>-INDEX(Parameters!$B:$B,MATCH(Y$3&amp;$C179,Parameters!$A:$A,0))*$X179</f>
        <v>0</v>
      </c>
      <c r="Z179" s="198">
        <f>-INDEX(Parameters!$B:$B,MATCH(Z$3&amp;$C179,Parameters!$A:$A,0))*$X179</f>
        <v>0</v>
      </c>
      <c r="AA179" s="139">
        <f t="shared" si="94"/>
        <v>1000</v>
      </c>
      <c r="AB179" s="205">
        <f>AA179/INDEX(Parameters!$B:$B,MATCH("AfschrijftermijnVVE"&amp;12*$C179,Parameters!$A:$A,0))</f>
        <v>27.777777777777779</v>
      </c>
      <c r="AC179" s="204">
        <f>INDEX('Tarieven ZM'!$G:$G,$W179)</f>
        <v>1000</v>
      </c>
      <c r="AD179" s="198">
        <f>-INDEX(Parameters!$B:$B,MATCH(AD$3&amp;$C179,Parameters!$A:$A,0))*$AC179</f>
        <v>0</v>
      </c>
      <c r="AE179" s="198">
        <f>-INDEX(Parameters!$B:$B,MATCH(AE$3,Parameters!$A:$A,0))*$AC179</f>
        <v>0</v>
      </c>
      <c r="AF179" s="139">
        <f t="shared" si="95"/>
        <v>1000</v>
      </c>
      <c r="AG179" s="522">
        <f t="shared" si="96"/>
        <v>1027.7777777777778</v>
      </c>
      <c r="AH179" s="175"/>
      <c r="AI179" s="523">
        <f>MATCH($U179,'Tarieven W&amp;O'!$B:$B,0)</f>
        <v>61</v>
      </c>
      <c r="AJ179" s="204">
        <f>IF(AI179&lt;&gt;"nvt",INDEX('Tarieven W&amp;O'!$H:$H,$AI179),0)</f>
        <v>0</v>
      </c>
      <c r="AK179" s="204">
        <f>IF(AI179&lt;&gt;"nvt",INDEX('Tarieven W&amp;O'!$I:$I,$AI179),0)</f>
        <v>25</v>
      </c>
      <c r="AL179" s="524">
        <f>IF(AI179&lt;&gt;"nvt",-INDEX(Parameters!$B:$B,MATCH(AL$3,Parameters!$A:$A,0))*(AJ179+AK179),0)</f>
        <v>0</v>
      </c>
      <c r="AM179" s="525"/>
      <c r="AN179" s="139">
        <f t="shared" si="97"/>
        <v>25</v>
      </c>
      <c r="AO179" s="205">
        <f>AN179/INDEX(Parameters!$B:$B,MATCH("AfschrijftermijnVVE"&amp;12*$C179,Parameters!$A:$A,0))</f>
        <v>0.69444444444444442</v>
      </c>
      <c r="AP179" s="139">
        <f t="shared" si="98"/>
        <v>61</v>
      </c>
      <c r="AQ179" s="526">
        <f>IF(AP179&lt;&gt;"nvt",INDEX('Tarieven W&amp;O'!$G:$G,$AP179),0)</f>
        <v>46.71</v>
      </c>
      <c r="AR179" s="251">
        <f>IF($S179,INDEX('Tarieven W&amp;O'!$G:$G,MATCH(N179&amp;R179,'Tarieven W&amp;O'!$B:$B,0)),0)</f>
        <v>0</v>
      </c>
      <c r="AS179" s="205">
        <f>-INDEX(Parameters!$B:$B,MATCH(AS$3,Parameters!$A:$A,0))*(AQ179+AR179)</f>
        <v>0</v>
      </c>
      <c r="AT179" s="205">
        <f>INDEX(hulpblad!$E:$E,MATCH(M179&amp;Q179,hulpblad!$B:$B,0))</f>
        <v>1</v>
      </c>
      <c r="AU179" s="150">
        <f t="shared" si="101"/>
        <v>47.71</v>
      </c>
      <c r="AV179" s="150">
        <f t="shared" si="102"/>
        <v>48.404444444444444</v>
      </c>
      <c r="AX179" s="526">
        <f>Parameters!$B$6*AV179</f>
        <v>0.48404444444444444</v>
      </c>
      <c r="AY179" s="150">
        <v>0</v>
      </c>
      <c r="AZ179" s="150"/>
      <c r="BA179" s="150">
        <f t="shared" si="99"/>
        <v>0.48404444444444444</v>
      </c>
      <c r="BB179" s="150"/>
      <c r="BC179" s="522">
        <f t="shared" si="100"/>
        <v>48.888488888888887</v>
      </c>
      <c r="BD179" s="175"/>
      <c r="BE179" s="527">
        <f t="shared" si="103"/>
        <v>978.88928888888893</v>
      </c>
      <c r="BF179" s="181">
        <f t="shared" si="104"/>
        <v>0.95243282162162157</v>
      </c>
      <c r="BG179" s="520" t="b">
        <f t="shared" si="93"/>
        <v>0</v>
      </c>
      <c r="BI179" s="528" t="s">
        <v>2181</v>
      </c>
      <c r="BL179" s="151" t="str">
        <f t="shared" si="106"/>
        <v>EoKMetro - Regionaal</v>
      </c>
      <c r="BM179" s="529">
        <v>0</v>
      </c>
      <c r="BN179" s="180">
        <f>BM179/INDEX(Parameters!$B:$B,MATCH("AfschrijftermijnVVE"&amp;12*$C179,Parameters!$A:$A,0))</f>
        <v>0</v>
      </c>
      <c r="BO179" s="184">
        <f>INDEX('inkoop ULL tbv EVPN'!I:I,MATCH(BL179,'inkoop ULL tbv EVPN'!H:H,0))</f>
        <v>2</v>
      </c>
      <c r="BP179" s="184">
        <f t="shared" si="107"/>
        <v>2</v>
      </c>
      <c r="BR179" s="180">
        <f>Parameters!$B$12*AG179</f>
        <v>102.77777777777779</v>
      </c>
      <c r="BS179" s="180">
        <f>SUM(Distributievergoedingen!$F$12,Distributievergoedingen!$I$12,Distributievergoedingen!$L$12,Distributievergoedingen!$O$12)*AF179+SUM(Distributievergoedingen!$O$12*AA179+Distributievergoedingen!$R$12+Distributievergoedingen!$U$12+Distributievergoedingen!$X$12)/(MAX(36,12*C179))</f>
        <v>112.77777777777777</v>
      </c>
      <c r="BT179" s="150"/>
      <c r="BU179" s="150">
        <f t="shared" si="108"/>
        <v>215.55555555555554</v>
      </c>
      <c r="BW179" s="522">
        <f t="shared" si="109"/>
        <v>217.55555555555554</v>
      </c>
      <c r="BY179" s="527">
        <f t="shared" si="110"/>
        <v>810.22222222222229</v>
      </c>
      <c r="BZ179" s="181">
        <f t="shared" si="111"/>
        <v>0.78832432432432431</v>
      </c>
      <c r="CA179" s="520" t="b">
        <f t="shared" si="112"/>
        <v>0</v>
      </c>
    </row>
    <row r="180" spans="1:79" s="151" customFormat="1">
      <c r="A180" s="151" t="str">
        <f t="shared" si="105"/>
        <v>2EoKPremiumCity6</v>
      </c>
      <c r="B180" s="520" t="str">
        <f t="shared" si="90"/>
        <v>2EoKPremiumCity6</v>
      </c>
      <c r="C180" s="179">
        <v>2</v>
      </c>
      <c r="D180" s="179" t="s">
        <v>303</v>
      </c>
      <c r="E180" s="178" t="s">
        <v>267</v>
      </c>
      <c r="F180" s="178" t="s">
        <v>262</v>
      </c>
      <c r="G180" s="185" t="s">
        <v>410</v>
      </c>
      <c r="J180" s="520" t="str">
        <f t="shared" si="91"/>
        <v>PremiumCity6</v>
      </c>
      <c r="L180" s="204">
        <f>INDEX(Mapping!$H:$H,MATCH(C$3&amp;C180,Mapping!$B:$B,0))</f>
        <v>1</v>
      </c>
      <c r="M180" s="204" t="str">
        <f>INDEX(Mapping!$H:$H,MATCH(D$3&amp;$D180,Mapping!$B:$B,0))</f>
        <v>EoK</v>
      </c>
      <c r="N180" s="204" t="str">
        <f>INDEX(Mapping!$H:$H,MATCH(E$3&amp;E180,Mapping!$B:$B,0))</f>
        <v>Premium</v>
      </c>
      <c r="O180" s="204" t="str">
        <f>INDEX(Mapping!$H:$H,MATCH(F$3&amp;F180,Mapping!$B:$B,0))</f>
        <v>Metro</v>
      </c>
      <c r="P180" s="204">
        <f>INDEX(Mapping!$H:$H,MATCH(G$3&amp;G180,Mapping!$B:$B,0))</f>
        <v>6</v>
      </c>
      <c r="Q180" s="204" t="str">
        <f>INDEX(Mapping!$H:$H,MATCH(Q$3&amp;$F180,Mapping!$B:$B,0))</f>
        <v>Metro - Regionaal</v>
      </c>
      <c r="R180" s="204" t="str">
        <f>INDEX(Mapping!$H:$H,MATCH("ZM VPN Service Level"&amp;E180,Mapping!$B:$B,0))</f>
        <v>Advanced</v>
      </c>
      <c r="S180" s="139" t="b">
        <f>IF($D180="EoK",INDEX(Mapping!$I:$I,MATCH($G$3&amp;$G180,Mapping!B:B,0)),FALSE)</f>
        <v>0</v>
      </c>
      <c r="T180" s="139"/>
      <c r="U180" s="520" t="str">
        <f t="shared" si="92"/>
        <v>PremiumMetro6</v>
      </c>
      <c r="W180" s="521">
        <f>MATCH($J180,'Tarieven ZM'!$B:$B,0)</f>
        <v>70</v>
      </c>
      <c r="X180" s="204">
        <f>INDEX('Tarieven ZM'!$H:$H,$W180)</f>
        <v>1000</v>
      </c>
      <c r="Y180" s="198">
        <f>-INDEX(Parameters!$B:$B,MATCH(Y$3&amp;$C180,Parameters!$A:$A,0))*$X180</f>
        <v>0</v>
      </c>
      <c r="Z180" s="198">
        <f>-INDEX(Parameters!$B:$B,MATCH(Z$3&amp;$C180,Parameters!$A:$A,0))*$X180</f>
        <v>0</v>
      </c>
      <c r="AA180" s="139">
        <f t="shared" si="94"/>
        <v>1000</v>
      </c>
      <c r="AB180" s="205">
        <f>AA180/INDEX(Parameters!$B:$B,MATCH("AfschrijftermijnVVE"&amp;12*$C180,Parameters!$A:$A,0))</f>
        <v>27.777777777777779</v>
      </c>
      <c r="AC180" s="204">
        <f>INDEX('Tarieven ZM'!$G:$G,$W180)</f>
        <v>1000</v>
      </c>
      <c r="AD180" s="198">
        <f>-INDEX(Parameters!$B:$B,MATCH(AD$3&amp;$C180,Parameters!$A:$A,0))*$AC180</f>
        <v>0</v>
      </c>
      <c r="AE180" s="198">
        <f>-INDEX(Parameters!$B:$B,MATCH(AE$3,Parameters!$A:$A,0))*$AC180</f>
        <v>0</v>
      </c>
      <c r="AF180" s="139">
        <f t="shared" si="95"/>
        <v>1000</v>
      </c>
      <c r="AG180" s="522">
        <f t="shared" si="96"/>
        <v>1027.7777777777778</v>
      </c>
      <c r="AH180" s="175"/>
      <c r="AI180" s="523">
        <f>MATCH($U180,'Tarieven W&amp;O'!$B:$B,0)</f>
        <v>62</v>
      </c>
      <c r="AJ180" s="204">
        <f>IF(AI180&lt;&gt;"nvt",INDEX('Tarieven W&amp;O'!$H:$H,$AI180),0)</f>
        <v>0</v>
      </c>
      <c r="AK180" s="204">
        <f>IF(AI180&lt;&gt;"nvt",INDEX('Tarieven W&amp;O'!$I:$I,$AI180),0)</f>
        <v>25</v>
      </c>
      <c r="AL180" s="524">
        <f>IF(AI180&lt;&gt;"nvt",-INDEX(Parameters!$B:$B,MATCH(AL$3,Parameters!$A:$A,0))*(AJ180+AK180),0)</f>
        <v>0</v>
      </c>
      <c r="AM180" s="525"/>
      <c r="AN180" s="139">
        <f t="shared" si="97"/>
        <v>25</v>
      </c>
      <c r="AO180" s="205">
        <f>AN180/INDEX(Parameters!$B:$B,MATCH("AfschrijftermijnVVE"&amp;12*$C180,Parameters!$A:$A,0))</f>
        <v>0.69444444444444442</v>
      </c>
      <c r="AP180" s="139">
        <f t="shared" si="98"/>
        <v>62</v>
      </c>
      <c r="AQ180" s="526">
        <f>IF(AP180&lt;&gt;"nvt",INDEX('Tarieven W&amp;O'!$G:$G,$AP180),0)</f>
        <v>50.48</v>
      </c>
      <c r="AR180" s="251">
        <f>IF($S180,INDEX('Tarieven W&amp;O'!$G:$G,MATCH(N180&amp;R180,'Tarieven W&amp;O'!$B:$B,0)),0)</f>
        <v>0</v>
      </c>
      <c r="AS180" s="205">
        <f>-INDEX(Parameters!$B:$B,MATCH(AS$3,Parameters!$A:$A,0))*(AQ180+AR180)</f>
        <v>0</v>
      </c>
      <c r="AT180" s="205">
        <f>INDEX(hulpblad!$E:$E,MATCH(M180&amp;Q180,hulpblad!$B:$B,0))</f>
        <v>1</v>
      </c>
      <c r="AU180" s="150">
        <f t="shared" si="101"/>
        <v>51.48</v>
      </c>
      <c r="AV180" s="150">
        <f t="shared" si="102"/>
        <v>52.17444444444444</v>
      </c>
      <c r="AX180" s="526">
        <f>Parameters!$B$6*AV180</f>
        <v>0.52174444444444446</v>
      </c>
      <c r="AY180" s="150">
        <v>0</v>
      </c>
      <c r="AZ180" s="150"/>
      <c r="BA180" s="150">
        <f t="shared" si="99"/>
        <v>0.52174444444444446</v>
      </c>
      <c r="BB180" s="150"/>
      <c r="BC180" s="522">
        <f t="shared" si="100"/>
        <v>52.696188888888884</v>
      </c>
      <c r="BD180" s="175"/>
      <c r="BE180" s="527">
        <f t="shared" si="103"/>
        <v>975.08158888888897</v>
      </c>
      <c r="BF180" s="181">
        <f t="shared" si="104"/>
        <v>0.94872803243243242</v>
      </c>
      <c r="BG180" s="520" t="b">
        <f t="shared" si="93"/>
        <v>0</v>
      </c>
      <c r="BI180" s="528" t="s">
        <v>2181</v>
      </c>
      <c r="BL180" s="151" t="str">
        <f t="shared" si="106"/>
        <v>EoKMetro - Regionaal</v>
      </c>
      <c r="BM180" s="529">
        <v>0</v>
      </c>
      <c r="BN180" s="180">
        <f>BM180/INDEX(Parameters!$B:$B,MATCH("AfschrijftermijnVVE"&amp;12*$C180,Parameters!$A:$A,0))</f>
        <v>0</v>
      </c>
      <c r="BO180" s="184">
        <f>INDEX('inkoop ULL tbv EVPN'!I:I,MATCH(BL180,'inkoop ULL tbv EVPN'!H:H,0))</f>
        <v>2</v>
      </c>
      <c r="BP180" s="184">
        <f t="shared" si="107"/>
        <v>2</v>
      </c>
      <c r="BR180" s="180">
        <f>Parameters!$B$12*AG180</f>
        <v>102.77777777777779</v>
      </c>
      <c r="BS180" s="180">
        <f>SUM(Distributievergoedingen!$F$12,Distributievergoedingen!$I$12,Distributievergoedingen!$L$12,Distributievergoedingen!$O$12)*AF180+SUM(Distributievergoedingen!$O$12*AA180+Distributievergoedingen!$R$12+Distributievergoedingen!$U$12+Distributievergoedingen!$X$12)/(MAX(36,12*C180))</f>
        <v>112.77777777777777</v>
      </c>
      <c r="BT180" s="150"/>
      <c r="BU180" s="150">
        <f t="shared" si="108"/>
        <v>215.55555555555554</v>
      </c>
      <c r="BW180" s="522">
        <f t="shared" si="109"/>
        <v>217.55555555555554</v>
      </c>
      <c r="BY180" s="527">
        <f t="shared" si="110"/>
        <v>810.22222222222229</v>
      </c>
      <c r="BZ180" s="181">
        <f t="shared" si="111"/>
        <v>0.78832432432432431</v>
      </c>
      <c r="CA180" s="520" t="b">
        <f t="shared" si="112"/>
        <v>0</v>
      </c>
    </row>
    <row r="181" spans="1:79" s="151" customFormat="1">
      <c r="A181" s="151" t="str">
        <f t="shared" si="105"/>
        <v>2EoKPremiumCity8</v>
      </c>
      <c r="B181" s="520" t="str">
        <f t="shared" si="90"/>
        <v>2EoKPremiumCity8</v>
      </c>
      <c r="C181" s="179">
        <v>2</v>
      </c>
      <c r="D181" s="179" t="s">
        <v>303</v>
      </c>
      <c r="E181" s="178" t="s">
        <v>267</v>
      </c>
      <c r="F181" s="178" t="s">
        <v>262</v>
      </c>
      <c r="G181" s="185" t="s">
        <v>411</v>
      </c>
      <c r="J181" s="520" t="str">
        <f t="shared" si="91"/>
        <v>PremiumCity8</v>
      </c>
      <c r="L181" s="204">
        <f>INDEX(Mapping!$H:$H,MATCH(C$3&amp;C181,Mapping!$B:$B,0))</f>
        <v>1</v>
      </c>
      <c r="M181" s="204" t="str">
        <f>INDEX(Mapping!$H:$H,MATCH(D$3&amp;$D181,Mapping!$B:$B,0))</f>
        <v>EoK</v>
      </c>
      <c r="N181" s="204" t="str">
        <f>INDEX(Mapping!$H:$H,MATCH(E$3&amp;E181,Mapping!$B:$B,0))</f>
        <v>Premium</v>
      </c>
      <c r="O181" s="204" t="str">
        <f>INDEX(Mapping!$H:$H,MATCH(F$3&amp;F181,Mapping!$B:$B,0))</f>
        <v>Metro</v>
      </c>
      <c r="P181" s="204">
        <f>INDEX(Mapping!$H:$H,MATCH(G$3&amp;G181,Mapping!$B:$B,0))</f>
        <v>8</v>
      </c>
      <c r="Q181" s="204" t="str">
        <f>INDEX(Mapping!$H:$H,MATCH(Q$3&amp;$F181,Mapping!$B:$B,0))</f>
        <v>Metro - Regionaal</v>
      </c>
      <c r="R181" s="204" t="str">
        <f>INDEX(Mapping!$H:$H,MATCH("ZM VPN Service Level"&amp;E181,Mapping!$B:$B,0))</f>
        <v>Advanced</v>
      </c>
      <c r="S181" s="139" t="b">
        <f>IF($D181="EoK",INDEX(Mapping!$I:$I,MATCH($G$3&amp;$G181,Mapping!B:B,0)),FALSE)</f>
        <v>0</v>
      </c>
      <c r="T181" s="139"/>
      <c r="U181" s="520" t="str">
        <f t="shared" si="92"/>
        <v>PremiumMetro8</v>
      </c>
      <c r="W181" s="521">
        <f>MATCH($J181,'Tarieven ZM'!$B:$B,0)</f>
        <v>71</v>
      </c>
      <c r="X181" s="204">
        <f>INDEX('Tarieven ZM'!$H:$H,$W181)</f>
        <v>1000</v>
      </c>
      <c r="Y181" s="198">
        <f>-INDEX(Parameters!$B:$B,MATCH(Y$3&amp;$C181,Parameters!$A:$A,0))*$X181</f>
        <v>0</v>
      </c>
      <c r="Z181" s="198">
        <f>-INDEX(Parameters!$B:$B,MATCH(Z$3&amp;$C181,Parameters!$A:$A,0))*$X181</f>
        <v>0</v>
      </c>
      <c r="AA181" s="139">
        <f t="shared" si="94"/>
        <v>1000</v>
      </c>
      <c r="AB181" s="205">
        <f>AA181/INDEX(Parameters!$B:$B,MATCH("AfschrijftermijnVVE"&amp;12*$C181,Parameters!$A:$A,0))</f>
        <v>27.777777777777779</v>
      </c>
      <c r="AC181" s="204">
        <f>INDEX('Tarieven ZM'!$G:$G,$W181)</f>
        <v>1000</v>
      </c>
      <c r="AD181" s="198">
        <f>-INDEX(Parameters!$B:$B,MATCH(AD$3&amp;$C181,Parameters!$A:$A,0))*$AC181</f>
        <v>0</v>
      </c>
      <c r="AE181" s="198">
        <f>-INDEX(Parameters!$B:$B,MATCH(AE$3,Parameters!$A:$A,0))*$AC181</f>
        <v>0</v>
      </c>
      <c r="AF181" s="139">
        <f t="shared" si="95"/>
        <v>1000</v>
      </c>
      <c r="AG181" s="522">
        <f t="shared" si="96"/>
        <v>1027.7777777777778</v>
      </c>
      <c r="AH181" s="175"/>
      <c r="AI181" s="523">
        <f>MATCH($U181,'Tarieven W&amp;O'!$B:$B,0)</f>
        <v>63</v>
      </c>
      <c r="AJ181" s="204">
        <f>IF(AI181&lt;&gt;"nvt",INDEX('Tarieven W&amp;O'!$H:$H,$AI181),0)</f>
        <v>0</v>
      </c>
      <c r="AK181" s="204">
        <f>IF(AI181&lt;&gt;"nvt",INDEX('Tarieven W&amp;O'!$I:$I,$AI181),0)</f>
        <v>25</v>
      </c>
      <c r="AL181" s="524">
        <f>IF(AI181&lt;&gt;"nvt",-INDEX(Parameters!$B:$B,MATCH(AL$3,Parameters!$A:$A,0))*(AJ181+AK181),0)</f>
        <v>0</v>
      </c>
      <c r="AM181" s="525"/>
      <c r="AN181" s="139">
        <f t="shared" si="97"/>
        <v>25</v>
      </c>
      <c r="AO181" s="205">
        <f>AN181/INDEX(Parameters!$B:$B,MATCH("AfschrijftermijnVVE"&amp;12*$C181,Parameters!$A:$A,0))</f>
        <v>0.69444444444444442</v>
      </c>
      <c r="AP181" s="139">
        <f t="shared" si="98"/>
        <v>63</v>
      </c>
      <c r="AQ181" s="526">
        <f>IF(AP181&lt;&gt;"nvt",INDEX('Tarieven W&amp;O'!$G:$G,$AP181),0)</f>
        <v>54.24</v>
      </c>
      <c r="AR181" s="251">
        <f>IF($S181,INDEX('Tarieven W&amp;O'!$G:$G,MATCH(N181&amp;R181,'Tarieven W&amp;O'!$B:$B,0)),0)</f>
        <v>0</v>
      </c>
      <c r="AS181" s="205">
        <f>-INDEX(Parameters!$B:$B,MATCH(AS$3,Parameters!$A:$A,0))*(AQ181+AR181)</f>
        <v>0</v>
      </c>
      <c r="AT181" s="205">
        <f>INDEX(hulpblad!$E:$E,MATCH(M181&amp;Q181,hulpblad!$B:$B,0))</f>
        <v>1</v>
      </c>
      <c r="AU181" s="150">
        <f t="shared" si="101"/>
        <v>55.24</v>
      </c>
      <c r="AV181" s="150">
        <f t="shared" si="102"/>
        <v>55.934444444444445</v>
      </c>
      <c r="AX181" s="526">
        <f>Parameters!$B$6*AV181</f>
        <v>0.55934444444444442</v>
      </c>
      <c r="AY181" s="150">
        <v>0</v>
      </c>
      <c r="AZ181" s="150"/>
      <c r="BA181" s="150">
        <f t="shared" si="99"/>
        <v>0.55934444444444442</v>
      </c>
      <c r="BB181" s="150"/>
      <c r="BC181" s="522">
        <f t="shared" si="100"/>
        <v>56.493788888888886</v>
      </c>
      <c r="BD181" s="175"/>
      <c r="BE181" s="527">
        <f t="shared" si="103"/>
        <v>971.28398888888898</v>
      </c>
      <c r="BF181" s="181">
        <f t="shared" si="104"/>
        <v>0.94503307027027028</v>
      </c>
      <c r="BG181" s="520" t="b">
        <f t="shared" si="93"/>
        <v>0</v>
      </c>
      <c r="BI181" s="528" t="s">
        <v>2181</v>
      </c>
      <c r="BL181" s="151" t="str">
        <f t="shared" si="106"/>
        <v>EoKMetro - Regionaal</v>
      </c>
      <c r="BM181" s="529">
        <v>0</v>
      </c>
      <c r="BN181" s="180">
        <f>BM181/INDEX(Parameters!$B:$B,MATCH("AfschrijftermijnVVE"&amp;12*$C181,Parameters!$A:$A,0))</f>
        <v>0</v>
      </c>
      <c r="BO181" s="184">
        <f>INDEX('inkoop ULL tbv EVPN'!I:I,MATCH(BL181,'inkoop ULL tbv EVPN'!H:H,0))</f>
        <v>2</v>
      </c>
      <c r="BP181" s="184">
        <f t="shared" si="107"/>
        <v>2</v>
      </c>
      <c r="BR181" s="180">
        <f>Parameters!$B$12*AG181</f>
        <v>102.77777777777779</v>
      </c>
      <c r="BS181" s="180">
        <f>SUM(Distributievergoedingen!$F$12,Distributievergoedingen!$I$12,Distributievergoedingen!$L$12,Distributievergoedingen!$O$12)*AF181+SUM(Distributievergoedingen!$O$12*AA181+Distributievergoedingen!$R$12+Distributievergoedingen!$U$12+Distributievergoedingen!$X$12)/(MAX(36,12*C181))</f>
        <v>112.77777777777777</v>
      </c>
      <c r="BT181" s="150"/>
      <c r="BU181" s="150">
        <f t="shared" si="108"/>
        <v>215.55555555555554</v>
      </c>
      <c r="BW181" s="522">
        <f t="shared" si="109"/>
        <v>217.55555555555554</v>
      </c>
      <c r="BY181" s="527">
        <f t="shared" si="110"/>
        <v>810.22222222222229</v>
      </c>
      <c r="BZ181" s="181">
        <f t="shared" si="111"/>
        <v>0.78832432432432431</v>
      </c>
      <c r="CA181" s="520" t="b">
        <f t="shared" si="112"/>
        <v>0</v>
      </c>
    </row>
    <row r="182" spans="1:79" s="151" customFormat="1">
      <c r="A182" s="151" t="str">
        <f t="shared" si="105"/>
        <v>2EoKPremiumCity10</v>
      </c>
      <c r="B182" s="520" t="str">
        <f t="shared" si="90"/>
        <v>2EoKPremiumCity10</v>
      </c>
      <c r="C182" s="179">
        <v>2</v>
      </c>
      <c r="D182" s="179" t="s">
        <v>303</v>
      </c>
      <c r="E182" s="178" t="s">
        <v>267</v>
      </c>
      <c r="F182" s="178" t="s">
        <v>262</v>
      </c>
      <c r="G182" s="185" t="s">
        <v>412</v>
      </c>
      <c r="J182" s="520" t="str">
        <f t="shared" si="91"/>
        <v>PremiumCity10</v>
      </c>
      <c r="L182" s="204">
        <f>INDEX(Mapping!$H:$H,MATCH(C$3&amp;C182,Mapping!$B:$B,0))</f>
        <v>1</v>
      </c>
      <c r="M182" s="204" t="str">
        <f>INDEX(Mapping!$H:$H,MATCH(D$3&amp;$D182,Mapping!$B:$B,0))</f>
        <v>EoK</v>
      </c>
      <c r="N182" s="204" t="str">
        <f>INDEX(Mapping!$H:$H,MATCH(E$3&amp;E182,Mapping!$B:$B,0))</f>
        <v>Premium</v>
      </c>
      <c r="O182" s="204" t="str">
        <f>INDEX(Mapping!$H:$H,MATCH(F$3&amp;F182,Mapping!$B:$B,0))</f>
        <v>Metro</v>
      </c>
      <c r="P182" s="204">
        <f>INDEX(Mapping!$H:$H,MATCH(G$3&amp;G182,Mapping!$B:$B,0))</f>
        <v>10</v>
      </c>
      <c r="Q182" s="204" t="str">
        <f>INDEX(Mapping!$H:$H,MATCH(Q$3&amp;$F182,Mapping!$B:$B,0))</f>
        <v>Metro - Regionaal</v>
      </c>
      <c r="R182" s="204" t="str">
        <f>INDEX(Mapping!$H:$H,MATCH("ZM VPN Service Level"&amp;E182,Mapping!$B:$B,0))</f>
        <v>Advanced</v>
      </c>
      <c r="S182" s="139" t="b">
        <f>IF($D182="EoK",INDEX(Mapping!$I:$I,MATCH($G$3&amp;$G182,Mapping!B:B,0)),FALSE)</f>
        <v>0</v>
      </c>
      <c r="T182" s="139"/>
      <c r="U182" s="520" t="str">
        <f t="shared" si="92"/>
        <v>PremiumMetro10</v>
      </c>
      <c r="W182" s="521">
        <f>MATCH($J182,'Tarieven ZM'!$B:$B,0)</f>
        <v>72</v>
      </c>
      <c r="X182" s="204">
        <f>INDEX('Tarieven ZM'!$H:$H,$W182)</f>
        <v>1000</v>
      </c>
      <c r="Y182" s="198">
        <f>-INDEX(Parameters!$B:$B,MATCH(Y$3&amp;$C182,Parameters!$A:$A,0))*$X182</f>
        <v>0</v>
      </c>
      <c r="Z182" s="198">
        <f>-INDEX(Parameters!$B:$B,MATCH(Z$3&amp;$C182,Parameters!$A:$A,0))*$X182</f>
        <v>0</v>
      </c>
      <c r="AA182" s="139">
        <f t="shared" si="94"/>
        <v>1000</v>
      </c>
      <c r="AB182" s="205">
        <f>AA182/INDEX(Parameters!$B:$B,MATCH("AfschrijftermijnVVE"&amp;12*$C182,Parameters!$A:$A,0))</f>
        <v>27.777777777777779</v>
      </c>
      <c r="AC182" s="204">
        <f>INDEX('Tarieven ZM'!$G:$G,$W182)</f>
        <v>1000</v>
      </c>
      <c r="AD182" s="198">
        <f>-INDEX(Parameters!$B:$B,MATCH(AD$3&amp;$C182,Parameters!$A:$A,0))*$AC182</f>
        <v>0</v>
      </c>
      <c r="AE182" s="198">
        <f>-INDEX(Parameters!$B:$B,MATCH(AE$3,Parameters!$A:$A,0))*$AC182</f>
        <v>0</v>
      </c>
      <c r="AF182" s="139">
        <f t="shared" si="95"/>
        <v>1000</v>
      </c>
      <c r="AG182" s="522">
        <f t="shared" si="96"/>
        <v>1027.7777777777778</v>
      </c>
      <c r="AH182" s="175"/>
      <c r="AI182" s="523">
        <f>MATCH($U182,'Tarieven W&amp;O'!$B:$B,0)</f>
        <v>64</v>
      </c>
      <c r="AJ182" s="204">
        <f>IF(AI182&lt;&gt;"nvt",INDEX('Tarieven W&amp;O'!$H:$H,$AI182),0)</f>
        <v>0</v>
      </c>
      <c r="AK182" s="204">
        <f>IF(AI182&lt;&gt;"nvt",INDEX('Tarieven W&amp;O'!$I:$I,$AI182),0)</f>
        <v>25</v>
      </c>
      <c r="AL182" s="524">
        <f>IF(AI182&lt;&gt;"nvt",-INDEX(Parameters!$B:$B,MATCH(AL$3,Parameters!$A:$A,0))*(AJ182+AK182),0)</f>
        <v>0</v>
      </c>
      <c r="AM182" s="525"/>
      <c r="AN182" s="139">
        <f t="shared" si="97"/>
        <v>25</v>
      </c>
      <c r="AO182" s="205">
        <f>AN182/INDEX(Parameters!$B:$B,MATCH("AfschrijftermijnVVE"&amp;12*$C182,Parameters!$A:$A,0))</f>
        <v>0.69444444444444442</v>
      </c>
      <c r="AP182" s="139">
        <f t="shared" si="98"/>
        <v>64</v>
      </c>
      <c r="AQ182" s="526">
        <f>IF(AP182&lt;&gt;"nvt",INDEX('Tarieven W&amp;O'!$G:$G,$AP182),0)</f>
        <v>58.01</v>
      </c>
      <c r="AR182" s="251">
        <f>IF($S182,INDEX('Tarieven W&amp;O'!$G:$G,MATCH(N182&amp;R182,'Tarieven W&amp;O'!$B:$B,0)),0)</f>
        <v>0</v>
      </c>
      <c r="AS182" s="205">
        <f>-INDEX(Parameters!$B:$B,MATCH(AS$3,Parameters!$A:$A,0))*(AQ182+AR182)</f>
        <v>0</v>
      </c>
      <c r="AT182" s="205">
        <f>INDEX(hulpblad!$E:$E,MATCH(M182&amp;Q182,hulpblad!$B:$B,0))</f>
        <v>1</v>
      </c>
      <c r="AU182" s="150">
        <f t="shared" si="101"/>
        <v>59.01</v>
      </c>
      <c r="AV182" s="150">
        <f t="shared" si="102"/>
        <v>59.704444444444441</v>
      </c>
      <c r="AX182" s="526">
        <f>Parameters!$B$6*AV182</f>
        <v>0.59704444444444438</v>
      </c>
      <c r="AY182" s="150">
        <v>0</v>
      </c>
      <c r="AZ182" s="150"/>
      <c r="BA182" s="150">
        <f t="shared" si="99"/>
        <v>0.59704444444444438</v>
      </c>
      <c r="BB182" s="150"/>
      <c r="BC182" s="522">
        <f t="shared" si="100"/>
        <v>60.301488888888883</v>
      </c>
      <c r="BD182" s="175"/>
      <c r="BE182" s="527">
        <f t="shared" si="103"/>
        <v>967.47628888888892</v>
      </c>
      <c r="BF182" s="181">
        <f t="shared" si="104"/>
        <v>0.94132828108108102</v>
      </c>
      <c r="BG182" s="520" t="b">
        <f t="shared" si="93"/>
        <v>0</v>
      </c>
      <c r="BI182" s="528" t="s">
        <v>2181</v>
      </c>
      <c r="BL182" s="151" t="str">
        <f t="shared" si="106"/>
        <v>EoKMetro - Regionaal</v>
      </c>
      <c r="BM182" s="529">
        <v>0</v>
      </c>
      <c r="BN182" s="180">
        <f>BM182/INDEX(Parameters!$B:$B,MATCH("AfschrijftermijnVVE"&amp;12*$C182,Parameters!$A:$A,0))</f>
        <v>0</v>
      </c>
      <c r="BO182" s="184">
        <f>INDEX('inkoop ULL tbv EVPN'!I:I,MATCH(BL182,'inkoop ULL tbv EVPN'!H:H,0))</f>
        <v>2</v>
      </c>
      <c r="BP182" s="184">
        <f t="shared" si="107"/>
        <v>2</v>
      </c>
      <c r="BR182" s="180">
        <f>Parameters!$B$12*AG182</f>
        <v>102.77777777777779</v>
      </c>
      <c r="BS182" s="180">
        <f>SUM(Distributievergoedingen!$F$12,Distributievergoedingen!$I$12,Distributievergoedingen!$L$12,Distributievergoedingen!$O$12)*AF182+SUM(Distributievergoedingen!$O$12*AA182+Distributievergoedingen!$R$12+Distributievergoedingen!$U$12+Distributievergoedingen!$X$12)/(MAX(36,12*C182))</f>
        <v>112.77777777777777</v>
      </c>
      <c r="BT182" s="150"/>
      <c r="BU182" s="150">
        <f t="shared" si="108"/>
        <v>215.55555555555554</v>
      </c>
      <c r="BW182" s="522">
        <f t="shared" si="109"/>
        <v>217.55555555555554</v>
      </c>
      <c r="BY182" s="527">
        <f t="shared" si="110"/>
        <v>810.22222222222229</v>
      </c>
      <c r="BZ182" s="181">
        <f t="shared" si="111"/>
        <v>0.78832432432432431</v>
      </c>
      <c r="CA182" s="520" t="b">
        <f t="shared" si="112"/>
        <v>0</v>
      </c>
    </row>
    <row r="183" spans="1:79" s="151" customFormat="1">
      <c r="A183" s="151" t="str">
        <f t="shared" si="105"/>
        <v>2EoKPremiumCity15</v>
      </c>
      <c r="B183" s="520" t="str">
        <f t="shared" si="90"/>
        <v>2EoKPremiumCity15</v>
      </c>
      <c r="C183" s="179">
        <v>2</v>
      </c>
      <c r="D183" s="179" t="s">
        <v>303</v>
      </c>
      <c r="E183" s="178" t="s">
        <v>267</v>
      </c>
      <c r="F183" s="178" t="s">
        <v>262</v>
      </c>
      <c r="G183" s="185" t="s">
        <v>413</v>
      </c>
      <c r="J183" s="520" t="str">
        <f t="shared" si="91"/>
        <v>PremiumCity15</v>
      </c>
      <c r="L183" s="204">
        <f>INDEX(Mapping!$H:$H,MATCH(C$3&amp;C183,Mapping!$B:$B,0))</f>
        <v>1</v>
      </c>
      <c r="M183" s="204" t="str">
        <f>INDEX(Mapping!$H:$H,MATCH(D$3&amp;$D183,Mapping!$B:$B,0))</f>
        <v>EoK</v>
      </c>
      <c r="N183" s="204" t="str">
        <f>INDEX(Mapping!$H:$H,MATCH(E$3&amp;E183,Mapping!$B:$B,0))</f>
        <v>Premium</v>
      </c>
      <c r="O183" s="204" t="str">
        <f>INDEX(Mapping!$H:$H,MATCH(F$3&amp;F183,Mapping!$B:$B,0))</f>
        <v>Metro</v>
      </c>
      <c r="P183" s="204">
        <f>INDEX(Mapping!$H:$H,MATCH(G$3&amp;G183,Mapping!$B:$B,0))</f>
        <v>15</v>
      </c>
      <c r="Q183" s="204" t="str">
        <f>INDEX(Mapping!$H:$H,MATCH(Q$3&amp;$F183,Mapping!$B:$B,0))</f>
        <v>Metro - Regionaal</v>
      </c>
      <c r="R183" s="204" t="str">
        <f>INDEX(Mapping!$H:$H,MATCH("ZM VPN Service Level"&amp;E183,Mapping!$B:$B,0))</f>
        <v>Advanced</v>
      </c>
      <c r="S183" s="139" t="b">
        <f>IF($D183="EoK",INDEX(Mapping!$I:$I,MATCH($G$3&amp;$G183,Mapping!B:B,0)),FALSE)</f>
        <v>0</v>
      </c>
      <c r="T183" s="139"/>
      <c r="U183" s="520" t="str">
        <f t="shared" si="92"/>
        <v>PremiumMetro15</v>
      </c>
      <c r="W183" s="521">
        <f>MATCH($J183,'Tarieven ZM'!$B:$B,0)</f>
        <v>73</v>
      </c>
      <c r="X183" s="204">
        <f>INDEX('Tarieven ZM'!$H:$H,$W183)</f>
        <v>1000</v>
      </c>
      <c r="Y183" s="198">
        <f>-INDEX(Parameters!$B:$B,MATCH(Y$3&amp;$C183,Parameters!$A:$A,0))*$X183</f>
        <v>0</v>
      </c>
      <c r="Z183" s="198">
        <f>-INDEX(Parameters!$B:$B,MATCH(Z$3&amp;$C183,Parameters!$A:$A,0))*$X183</f>
        <v>0</v>
      </c>
      <c r="AA183" s="139">
        <f t="shared" si="94"/>
        <v>1000</v>
      </c>
      <c r="AB183" s="205">
        <f>AA183/INDEX(Parameters!$B:$B,MATCH("AfschrijftermijnVVE"&amp;12*$C183,Parameters!$A:$A,0))</f>
        <v>27.777777777777779</v>
      </c>
      <c r="AC183" s="204">
        <f>INDEX('Tarieven ZM'!$G:$G,$W183)</f>
        <v>1000</v>
      </c>
      <c r="AD183" s="198">
        <f>-INDEX(Parameters!$B:$B,MATCH(AD$3&amp;$C183,Parameters!$A:$A,0))*$AC183</f>
        <v>0</v>
      </c>
      <c r="AE183" s="198">
        <f>-INDEX(Parameters!$B:$B,MATCH(AE$3,Parameters!$A:$A,0))*$AC183</f>
        <v>0</v>
      </c>
      <c r="AF183" s="139">
        <f t="shared" si="95"/>
        <v>1000</v>
      </c>
      <c r="AG183" s="522">
        <f t="shared" si="96"/>
        <v>1027.7777777777778</v>
      </c>
      <c r="AH183" s="175"/>
      <c r="AI183" s="523">
        <f>MATCH($U183,'Tarieven W&amp;O'!$B:$B,0)</f>
        <v>65</v>
      </c>
      <c r="AJ183" s="204">
        <f>IF(AI183&lt;&gt;"nvt",INDEX('Tarieven W&amp;O'!$H:$H,$AI183),0)</f>
        <v>0</v>
      </c>
      <c r="AK183" s="204">
        <f>IF(AI183&lt;&gt;"nvt",INDEX('Tarieven W&amp;O'!$I:$I,$AI183),0)</f>
        <v>25</v>
      </c>
      <c r="AL183" s="524">
        <f>IF(AI183&lt;&gt;"nvt",-INDEX(Parameters!$B:$B,MATCH(AL$3,Parameters!$A:$A,0))*(AJ183+AK183),0)</f>
        <v>0</v>
      </c>
      <c r="AM183" s="525"/>
      <c r="AN183" s="139">
        <f t="shared" si="97"/>
        <v>25</v>
      </c>
      <c r="AO183" s="205">
        <f>AN183/INDEX(Parameters!$B:$B,MATCH("AfschrijftermijnVVE"&amp;12*$C183,Parameters!$A:$A,0))</f>
        <v>0.69444444444444442</v>
      </c>
      <c r="AP183" s="139">
        <f t="shared" si="98"/>
        <v>65</v>
      </c>
      <c r="AQ183" s="526">
        <f>IF(AP183&lt;&gt;"nvt",INDEX('Tarieven W&amp;O'!$G:$G,$AP183),0)</f>
        <v>80.63</v>
      </c>
      <c r="AR183" s="251">
        <f>IF($S183,INDEX('Tarieven W&amp;O'!$G:$G,MATCH(N183&amp;R183,'Tarieven W&amp;O'!$B:$B,0)),0)</f>
        <v>0</v>
      </c>
      <c r="AS183" s="205">
        <f>-INDEX(Parameters!$B:$B,MATCH(AS$3,Parameters!$A:$A,0))*(AQ183+AR183)</f>
        <v>0</v>
      </c>
      <c r="AT183" s="205">
        <f>INDEX(hulpblad!$E:$E,MATCH(M183&amp;Q183,hulpblad!$B:$B,0))</f>
        <v>1</v>
      </c>
      <c r="AU183" s="150">
        <f t="shared" si="101"/>
        <v>81.63</v>
      </c>
      <c r="AV183" s="150">
        <f t="shared" si="102"/>
        <v>82.324444444444438</v>
      </c>
      <c r="AX183" s="526">
        <f>Parameters!$B$6*AV183</f>
        <v>0.82324444444444445</v>
      </c>
      <c r="AY183" s="150">
        <v>0</v>
      </c>
      <c r="AZ183" s="150"/>
      <c r="BA183" s="150">
        <f t="shared" si="99"/>
        <v>0.82324444444444445</v>
      </c>
      <c r="BB183" s="150"/>
      <c r="BC183" s="522">
        <f t="shared" si="100"/>
        <v>83.147688888888879</v>
      </c>
      <c r="BD183" s="175"/>
      <c r="BE183" s="527">
        <f t="shared" si="103"/>
        <v>944.63008888888896</v>
      </c>
      <c r="BF183" s="181">
        <f t="shared" si="104"/>
        <v>0.91909954594594601</v>
      </c>
      <c r="BG183" s="520" t="b">
        <f t="shared" si="93"/>
        <v>0</v>
      </c>
      <c r="BI183" s="528" t="s">
        <v>2181</v>
      </c>
      <c r="BL183" s="151" t="str">
        <f t="shared" si="106"/>
        <v>EoKMetro - Regionaal</v>
      </c>
      <c r="BM183" s="529">
        <v>0</v>
      </c>
      <c r="BN183" s="180">
        <f>BM183/INDEX(Parameters!$B:$B,MATCH("AfschrijftermijnVVE"&amp;12*$C183,Parameters!$A:$A,0))</f>
        <v>0</v>
      </c>
      <c r="BO183" s="184">
        <f>INDEX('inkoop ULL tbv EVPN'!I:I,MATCH(BL183,'inkoop ULL tbv EVPN'!H:H,0))</f>
        <v>2</v>
      </c>
      <c r="BP183" s="184">
        <f t="shared" si="107"/>
        <v>2</v>
      </c>
      <c r="BR183" s="180">
        <f>Parameters!$B$12*AG183</f>
        <v>102.77777777777779</v>
      </c>
      <c r="BS183" s="180">
        <f>SUM(Distributievergoedingen!$F$12,Distributievergoedingen!$I$12,Distributievergoedingen!$L$12,Distributievergoedingen!$O$12)*AF183+SUM(Distributievergoedingen!$O$12*AA183+Distributievergoedingen!$R$12+Distributievergoedingen!$U$12+Distributievergoedingen!$X$12)/(MAX(36,12*C183))</f>
        <v>112.77777777777777</v>
      </c>
      <c r="BT183" s="150"/>
      <c r="BU183" s="150">
        <f t="shared" si="108"/>
        <v>215.55555555555554</v>
      </c>
      <c r="BW183" s="522">
        <f t="shared" si="109"/>
        <v>217.55555555555554</v>
      </c>
      <c r="BY183" s="527">
        <f t="shared" si="110"/>
        <v>810.22222222222229</v>
      </c>
      <c r="BZ183" s="181">
        <f t="shared" si="111"/>
        <v>0.78832432432432431</v>
      </c>
      <c r="CA183" s="520" t="b">
        <f t="shared" si="112"/>
        <v>0</v>
      </c>
    </row>
    <row r="184" spans="1:79" s="151" customFormat="1">
      <c r="A184" s="151" t="str">
        <f t="shared" si="105"/>
        <v>2EoKPremiumCity20</v>
      </c>
      <c r="B184" s="520" t="str">
        <f t="shared" ref="B184:B231" si="113">A184</f>
        <v>2EoKPremiumCity20</v>
      </c>
      <c r="C184" s="179">
        <v>2</v>
      </c>
      <c r="D184" s="179" t="s">
        <v>303</v>
      </c>
      <c r="E184" s="178" t="s">
        <v>267</v>
      </c>
      <c r="F184" s="178" t="s">
        <v>262</v>
      </c>
      <c r="G184" s="185" t="s">
        <v>414</v>
      </c>
      <c r="J184" s="520" t="str">
        <f t="shared" si="91"/>
        <v>PremiumCity20</v>
      </c>
      <c r="L184" s="204">
        <f>INDEX(Mapping!$H:$H,MATCH(C$3&amp;C184,Mapping!$B:$B,0))</f>
        <v>1</v>
      </c>
      <c r="M184" s="204" t="str">
        <f>INDEX(Mapping!$H:$H,MATCH(D$3&amp;$D184,Mapping!$B:$B,0))</f>
        <v>EoK</v>
      </c>
      <c r="N184" s="204" t="str">
        <f>INDEX(Mapping!$H:$H,MATCH(E$3&amp;E184,Mapping!$B:$B,0))</f>
        <v>Premium</v>
      </c>
      <c r="O184" s="204" t="str">
        <f>INDEX(Mapping!$H:$H,MATCH(F$3&amp;F184,Mapping!$B:$B,0))</f>
        <v>Metro</v>
      </c>
      <c r="P184" s="204">
        <f>INDEX(Mapping!$H:$H,MATCH(G$3&amp;G184,Mapping!$B:$B,0))</f>
        <v>20</v>
      </c>
      <c r="Q184" s="204" t="str">
        <f>INDEX(Mapping!$H:$H,MATCH(Q$3&amp;$F184,Mapping!$B:$B,0))</f>
        <v>Metro - Regionaal</v>
      </c>
      <c r="R184" s="204" t="str">
        <f>INDEX(Mapping!$H:$H,MATCH("ZM VPN Service Level"&amp;E184,Mapping!$B:$B,0))</f>
        <v>Advanced</v>
      </c>
      <c r="S184" s="139" t="b">
        <f>IF($D184="EoK",INDEX(Mapping!$I:$I,MATCH($G$3&amp;$G184,Mapping!B:B,0)),FALSE)</f>
        <v>0</v>
      </c>
      <c r="T184" s="139"/>
      <c r="U184" s="520" t="str">
        <f t="shared" si="92"/>
        <v>PremiumMetro20</v>
      </c>
      <c r="W184" s="521">
        <f>MATCH($J184,'Tarieven ZM'!$B:$B,0)</f>
        <v>74</v>
      </c>
      <c r="X184" s="204">
        <f>INDEX('Tarieven ZM'!$H:$H,$W184)</f>
        <v>1000</v>
      </c>
      <c r="Y184" s="198">
        <f>-INDEX(Parameters!$B:$B,MATCH(Y$3&amp;$C184,Parameters!$A:$A,0))*$X184</f>
        <v>0</v>
      </c>
      <c r="Z184" s="198">
        <f>-INDEX(Parameters!$B:$B,MATCH(Z$3&amp;$C184,Parameters!$A:$A,0))*$X184</f>
        <v>0</v>
      </c>
      <c r="AA184" s="139">
        <f t="shared" si="94"/>
        <v>1000</v>
      </c>
      <c r="AB184" s="205">
        <f>AA184/INDEX(Parameters!$B:$B,MATCH("AfschrijftermijnVVE"&amp;12*$C184,Parameters!$A:$A,0))</f>
        <v>27.777777777777779</v>
      </c>
      <c r="AC184" s="204">
        <f>INDEX('Tarieven ZM'!$G:$G,$W184)</f>
        <v>1000</v>
      </c>
      <c r="AD184" s="198">
        <f>-INDEX(Parameters!$B:$B,MATCH(AD$3&amp;$C184,Parameters!$A:$A,0))*$AC184</f>
        <v>0</v>
      </c>
      <c r="AE184" s="198">
        <f>-INDEX(Parameters!$B:$B,MATCH(AE$3,Parameters!$A:$A,0))*$AC184</f>
        <v>0</v>
      </c>
      <c r="AF184" s="139">
        <f t="shared" si="95"/>
        <v>1000</v>
      </c>
      <c r="AG184" s="522">
        <f t="shared" si="96"/>
        <v>1027.7777777777778</v>
      </c>
      <c r="AH184" s="175"/>
      <c r="AI184" s="523">
        <f>MATCH($U184,'Tarieven W&amp;O'!$B:$B,0)</f>
        <v>66</v>
      </c>
      <c r="AJ184" s="204">
        <f>IF(AI184&lt;&gt;"nvt",INDEX('Tarieven W&amp;O'!$H:$H,$AI184),0)</f>
        <v>0</v>
      </c>
      <c r="AK184" s="204">
        <f>IF(AI184&lt;&gt;"nvt",INDEX('Tarieven W&amp;O'!$I:$I,$AI184),0)</f>
        <v>25</v>
      </c>
      <c r="AL184" s="524">
        <f>IF(AI184&lt;&gt;"nvt",-INDEX(Parameters!$B:$B,MATCH(AL$3,Parameters!$A:$A,0))*(AJ184+AK184),0)</f>
        <v>0</v>
      </c>
      <c r="AM184" s="525"/>
      <c r="AN184" s="139">
        <f t="shared" si="97"/>
        <v>25</v>
      </c>
      <c r="AO184" s="205">
        <f>AN184/INDEX(Parameters!$B:$B,MATCH("AfschrijftermijnVVE"&amp;12*$C184,Parameters!$A:$A,0))</f>
        <v>0.69444444444444442</v>
      </c>
      <c r="AP184" s="139">
        <f t="shared" si="98"/>
        <v>66</v>
      </c>
      <c r="AQ184" s="526">
        <f>IF(AP184&lt;&gt;"nvt",INDEX('Tarieven W&amp;O'!$G:$G,$AP184),0)</f>
        <v>88.17</v>
      </c>
      <c r="AR184" s="251">
        <f>IF($S184,INDEX('Tarieven W&amp;O'!$G:$G,MATCH(N184&amp;R184,'Tarieven W&amp;O'!$B:$B,0)),0)</f>
        <v>0</v>
      </c>
      <c r="AS184" s="205">
        <f>-INDEX(Parameters!$B:$B,MATCH(AS$3,Parameters!$A:$A,0))*(AQ184+AR184)</f>
        <v>0</v>
      </c>
      <c r="AT184" s="205">
        <f>INDEX(hulpblad!$E:$E,MATCH(M184&amp;Q184,hulpblad!$B:$B,0))</f>
        <v>1</v>
      </c>
      <c r="AU184" s="150">
        <f t="shared" si="101"/>
        <v>89.17</v>
      </c>
      <c r="AV184" s="150">
        <f t="shared" si="102"/>
        <v>89.864444444444445</v>
      </c>
      <c r="AX184" s="526">
        <f>Parameters!$B$6*AV184</f>
        <v>0.89864444444444447</v>
      </c>
      <c r="AY184" s="150">
        <v>0</v>
      </c>
      <c r="AZ184" s="150"/>
      <c r="BA184" s="150">
        <f t="shared" si="99"/>
        <v>0.89864444444444447</v>
      </c>
      <c r="BB184" s="150"/>
      <c r="BC184" s="522">
        <f t="shared" si="100"/>
        <v>90.763088888888888</v>
      </c>
      <c r="BD184" s="175"/>
      <c r="BE184" s="527">
        <f t="shared" si="103"/>
        <v>937.01468888888894</v>
      </c>
      <c r="BF184" s="181">
        <f t="shared" si="104"/>
        <v>0.91168996756756759</v>
      </c>
      <c r="BG184" s="520" t="b">
        <f t="shared" si="93"/>
        <v>0</v>
      </c>
      <c r="BI184" s="528" t="s">
        <v>2181</v>
      </c>
      <c r="BL184" s="151" t="str">
        <f t="shared" si="106"/>
        <v>EoKMetro - Regionaal</v>
      </c>
      <c r="BM184" s="529">
        <v>0</v>
      </c>
      <c r="BN184" s="180">
        <f>BM184/INDEX(Parameters!$B:$B,MATCH("AfschrijftermijnVVE"&amp;12*$C184,Parameters!$A:$A,0))</f>
        <v>0</v>
      </c>
      <c r="BO184" s="184">
        <f>INDEX('inkoop ULL tbv EVPN'!I:I,MATCH(BL184,'inkoop ULL tbv EVPN'!H:H,0))</f>
        <v>2</v>
      </c>
      <c r="BP184" s="184">
        <f t="shared" si="107"/>
        <v>2</v>
      </c>
      <c r="BR184" s="180">
        <f>Parameters!$B$12*AG184</f>
        <v>102.77777777777779</v>
      </c>
      <c r="BS184" s="180">
        <f>SUM(Distributievergoedingen!$F$12,Distributievergoedingen!$I$12,Distributievergoedingen!$L$12,Distributievergoedingen!$O$12)*AF184+SUM(Distributievergoedingen!$O$12*AA184+Distributievergoedingen!$R$12+Distributievergoedingen!$U$12+Distributievergoedingen!$X$12)/(MAX(36,12*C184))</f>
        <v>112.77777777777777</v>
      </c>
      <c r="BT184" s="150"/>
      <c r="BU184" s="150">
        <f t="shared" si="108"/>
        <v>215.55555555555554</v>
      </c>
      <c r="BW184" s="522">
        <f t="shared" si="109"/>
        <v>217.55555555555554</v>
      </c>
      <c r="BY184" s="527">
        <f t="shared" si="110"/>
        <v>810.22222222222229</v>
      </c>
      <c r="BZ184" s="181">
        <f t="shared" si="111"/>
        <v>0.78832432432432431</v>
      </c>
      <c r="CA184" s="520" t="b">
        <f t="shared" si="112"/>
        <v>0</v>
      </c>
    </row>
    <row r="185" spans="1:79" s="151" customFormat="1">
      <c r="A185" s="151" t="str">
        <f t="shared" si="105"/>
        <v>2EoKPremiumCity30</v>
      </c>
      <c r="B185" s="520" t="str">
        <f t="shared" si="113"/>
        <v>2EoKPremiumCity30</v>
      </c>
      <c r="C185" s="179">
        <v>2</v>
      </c>
      <c r="D185" s="179" t="s">
        <v>303</v>
      </c>
      <c r="E185" s="178" t="s">
        <v>267</v>
      </c>
      <c r="F185" s="178" t="s">
        <v>262</v>
      </c>
      <c r="G185" s="185" t="s">
        <v>415</v>
      </c>
      <c r="J185" s="520" t="str">
        <f t="shared" si="91"/>
        <v>PremiumCity30</v>
      </c>
      <c r="L185" s="204">
        <f>INDEX(Mapping!$H:$H,MATCH(C$3&amp;C185,Mapping!$B:$B,0))</f>
        <v>1</v>
      </c>
      <c r="M185" s="204" t="str">
        <f>INDEX(Mapping!$H:$H,MATCH(D$3&amp;$D185,Mapping!$B:$B,0))</f>
        <v>EoK</v>
      </c>
      <c r="N185" s="204" t="str">
        <f>INDEX(Mapping!$H:$H,MATCH(E$3&amp;E185,Mapping!$B:$B,0))</f>
        <v>Premium</v>
      </c>
      <c r="O185" s="204" t="str">
        <f>INDEX(Mapping!$H:$H,MATCH(F$3&amp;F185,Mapping!$B:$B,0))</f>
        <v>Metro</v>
      </c>
      <c r="P185" s="204">
        <f>INDEX(Mapping!$H:$H,MATCH(G$3&amp;G185,Mapping!$B:$B,0))</f>
        <v>30</v>
      </c>
      <c r="Q185" s="204" t="str">
        <f>INDEX(Mapping!$H:$H,MATCH(Q$3&amp;$F185,Mapping!$B:$B,0))</f>
        <v>Metro - Regionaal</v>
      </c>
      <c r="R185" s="204" t="str">
        <f>INDEX(Mapping!$H:$H,MATCH("ZM VPN Service Level"&amp;E185,Mapping!$B:$B,0))</f>
        <v>Advanced</v>
      </c>
      <c r="S185" s="139" t="b">
        <f>IF($D185="EoK",INDEX(Mapping!$I:$I,MATCH($G$3&amp;$G185,Mapping!B:B,0)),FALSE)</f>
        <v>0</v>
      </c>
      <c r="T185" s="139"/>
      <c r="U185" s="520" t="str">
        <f t="shared" si="92"/>
        <v>PremiumMetro30</v>
      </c>
      <c r="W185" s="521">
        <f>MATCH($J185,'Tarieven ZM'!$B:$B,0)</f>
        <v>75</v>
      </c>
      <c r="X185" s="204">
        <f>INDEX('Tarieven ZM'!$H:$H,$W185)</f>
        <v>1000</v>
      </c>
      <c r="Y185" s="198">
        <f>-INDEX(Parameters!$B:$B,MATCH(Y$3&amp;$C185,Parameters!$A:$A,0))*$X185</f>
        <v>0</v>
      </c>
      <c r="Z185" s="198">
        <f>-INDEX(Parameters!$B:$B,MATCH(Z$3&amp;$C185,Parameters!$A:$A,0))*$X185</f>
        <v>0</v>
      </c>
      <c r="AA185" s="139">
        <f t="shared" si="94"/>
        <v>1000</v>
      </c>
      <c r="AB185" s="205">
        <f>AA185/INDEX(Parameters!$B:$B,MATCH("AfschrijftermijnVVE"&amp;12*$C185,Parameters!$A:$A,0))</f>
        <v>27.777777777777779</v>
      </c>
      <c r="AC185" s="204">
        <f>INDEX('Tarieven ZM'!$G:$G,$W185)</f>
        <v>1000</v>
      </c>
      <c r="AD185" s="198">
        <f>-INDEX(Parameters!$B:$B,MATCH(AD$3&amp;$C185,Parameters!$A:$A,0))*$AC185</f>
        <v>0</v>
      </c>
      <c r="AE185" s="198">
        <f>-INDEX(Parameters!$B:$B,MATCH(AE$3,Parameters!$A:$A,0))*$AC185</f>
        <v>0</v>
      </c>
      <c r="AF185" s="139">
        <f t="shared" si="95"/>
        <v>1000</v>
      </c>
      <c r="AG185" s="522">
        <f t="shared" si="96"/>
        <v>1027.7777777777778</v>
      </c>
      <c r="AH185" s="175"/>
      <c r="AI185" s="523">
        <f>MATCH($U185,'Tarieven W&amp;O'!$B:$B,0)</f>
        <v>67</v>
      </c>
      <c r="AJ185" s="204">
        <f>IF(AI185&lt;&gt;"nvt",INDEX('Tarieven W&amp;O'!$H:$H,$AI185),0)</f>
        <v>0</v>
      </c>
      <c r="AK185" s="204">
        <f>IF(AI185&lt;&gt;"nvt",INDEX('Tarieven W&amp;O'!$I:$I,$AI185),0)</f>
        <v>25</v>
      </c>
      <c r="AL185" s="524">
        <f>IF(AI185&lt;&gt;"nvt",-INDEX(Parameters!$B:$B,MATCH(AL$3,Parameters!$A:$A,0))*(AJ185+AK185),0)</f>
        <v>0</v>
      </c>
      <c r="AM185" s="525"/>
      <c r="AN185" s="139">
        <f t="shared" si="97"/>
        <v>25</v>
      </c>
      <c r="AO185" s="205">
        <f>AN185/INDEX(Parameters!$B:$B,MATCH("AfschrijftermijnVVE"&amp;12*$C185,Parameters!$A:$A,0))</f>
        <v>0.69444444444444442</v>
      </c>
      <c r="AP185" s="139">
        <f t="shared" si="98"/>
        <v>67</v>
      </c>
      <c r="AQ185" s="526">
        <f>IF(AP185&lt;&gt;"nvt",INDEX('Tarieven W&amp;O'!$G:$G,$AP185),0)</f>
        <v>110.78</v>
      </c>
      <c r="AR185" s="251">
        <f>IF($S185,INDEX('Tarieven W&amp;O'!$G:$G,MATCH(N185&amp;R185,'Tarieven W&amp;O'!$B:$B,0)),0)</f>
        <v>0</v>
      </c>
      <c r="AS185" s="205">
        <f>-INDEX(Parameters!$B:$B,MATCH(AS$3,Parameters!$A:$A,0))*(AQ185+AR185)</f>
        <v>0</v>
      </c>
      <c r="AT185" s="205">
        <f>INDEX(hulpblad!$E:$E,MATCH(M185&amp;Q185,hulpblad!$B:$B,0))</f>
        <v>1</v>
      </c>
      <c r="AU185" s="150">
        <f t="shared" si="101"/>
        <v>111.78</v>
      </c>
      <c r="AV185" s="150">
        <f t="shared" si="102"/>
        <v>112.47444444444444</v>
      </c>
      <c r="AX185" s="526">
        <f>Parameters!$B$6*AV185</f>
        <v>1.1247444444444445</v>
      </c>
      <c r="AY185" s="150">
        <v>0</v>
      </c>
      <c r="AZ185" s="150"/>
      <c r="BA185" s="150">
        <f t="shared" si="99"/>
        <v>1.1247444444444445</v>
      </c>
      <c r="BB185" s="150"/>
      <c r="BC185" s="522">
        <f t="shared" si="100"/>
        <v>113.59918888888889</v>
      </c>
      <c r="BD185" s="175"/>
      <c r="BE185" s="527">
        <f t="shared" si="103"/>
        <v>914.17858888888895</v>
      </c>
      <c r="BF185" s="181">
        <f t="shared" si="104"/>
        <v>0.88947105945945948</v>
      </c>
      <c r="BG185" s="520" t="b">
        <f t="shared" si="93"/>
        <v>0</v>
      </c>
      <c r="BI185" s="528" t="s">
        <v>2181</v>
      </c>
      <c r="BL185" s="151" t="str">
        <f t="shared" si="106"/>
        <v>EoKMetro - Regionaal</v>
      </c>
      <c r="BM185" s="529">
        <v>0</v>
      </c>
      <c r="BN185" s="180">
        <f>BM185/INDEX(Parameters!$B:$B,MATCH("AfschrijftermijnVVE"&amp;12*$C185,Parameters!$A:$A,0))</f>
        <v>0</v>
      </c>
      <c r="BO185" s="184">
        <f>INDEX('inkoop ULL tbv EVPN'!I:I,MATCH(BL185,'inkoop ULL tbv EVPN'!H:H,0))</f>
        <v>2</v>
      </c>
      <c r="BP185" s="184">
        <f t="shared" si="107"/>
        <v>2</v>
      </c>
      <c r="BR185" s="180">
        <f>Parameters!$B$12*AG185</f>
        <v>102.77777777777779</v>
      </c>
      <c r="BS185" s="180">
        <f>SUM(Distributievergoedingen!$F$12,Distributievergoedingen!$I$12,Distributievergoedingen!$L$12,Distributievergoedingen!$O$12)*AF185+SUM(Distributievergoedingen!$O$12*AA185+Distributievergoedingen!$R$12+Distributievergoedingen!$U$12+Distributievergoedingen!$X$12)/(MAX(36,12*C185))</f>
        <v>112.77777777777777</v>
      </c>
      <c r="BT185" s="150"/>
      <c r="BU185" s="150">
        <f t="shared" si="108"/>
        <v>215.55555555555554</v>
      </c>
      <c r="BW185" s="522">
        <f t="shared" si="109"/>
        <v>217.55555555555554</v>
      </c>
      <c r="BY185" s="527">
        <f t="shared" si="110"/>
        <v>810.22222222222229</v>
      </c>
      <c r="BZ185" s="181">
        <f t="shared" si="111"/>
        <v>0.78832432432432431</v>
      </c>
      <c r="CA185" s="520" t="b">
        <f t="shared" si="112"/>
        <v>0</v>
      </c>
    </row>
    <row r="186" spans="1:79" s="151" customFormat="1">
      <c r="A186" s="151" t="str">
        <f t="shared" si="105"/>
        <v>2EoKPremiumCity50</v>
      </c>
      <c r="B186" s="520" t="str">
        <f t="shared" si="113"/>
        <v>2EoKPremiumCity50</v>
      </c>
      <c r="C186" s="179">
        <v>2</v>
      </c>
      <c r="D186" s="179" t="s">
        <v>303</v>
      </c>
      <c r="E186" s="178" t="s">
        <v>267</v>
      </c>
      <c r="F186" s="178" t="s">
        <v>262</v>
      </c>
      <c r="G186" s="185" t="s">
        <v>416</v>
      </c>
      <c r="J186" s="520" t="str">
        <f t="shared" si="91"/>
        <v>PremiumCity50</v>
      </c>
      <c r="L186" s="204">
        <f>INDEX(Mapping!$H:$H,MATCH(C$3&amp;C186,Mapping!$B:$B,0))</f>
        <v>1</v>
      </c>
      <c r="M186" s="204" t="str">
        <f>INDEX(Mapping!$H:$H,MATCH(D$3&amp;$D186,Mapping!$B:$B,0))</f>
        <v>EoK</v>
      </c>
      <c r="N186" s="204" t="str">
        <f>INDEX(Mapping!$H:$H,MATCH(E$3&amp;E186,Mapping!$B:$B,0))</f>
        <v>Premium</v>
      </c>
      <c r="O186" s="204" t="str">
        <f>INDEX(Mapping!$H:$H,MATCH(F$3&amp;F186,Mapping!$B:$B,0))</f>
        <v>Metro</v>
      </c>
      <c r="P186" s="204">
        <f>INDEX(Mapping!$H:$H,MATCH(G$3&amp;G186,Mapping!$B:$B,0))</f>
        <v>50</v>
      </c>
      <c r="Q186" s="204" t="str">
        <f>INDEX(Mapping!$H:$H,MATCH(Q$3&amp;$F186,Mapping!$B:$B,0))</f>
        <v>Metro - Regionaal</v>
      </c>
      <c r="R186" s="204" t="str">
        <f>INDEX(Mapping!$H:$H,MATCH("ZM VPN Service Level"&amp;E186,Mapping!$B:$B,0))</f>
        <v>Advanced</v>
      </c>
      <c r="S186" s="139" t="b">
        <f>IF($D186="EoK",INDEX(Mapping!$I:$I,MATCH($G$3&amp;$G186,Mapping!B:B,0)),FALSE)</f>
        <v>0</v>
      </c>
      <c r="T186" s="139"/>
      <c r="U186" s="520" t="str">
        <f t="shared" si="92"/>
        <v>PremiumMetro50</v>
      </c>
      <c r="W186" s="521">
        <f>MATCH($J186,'Tarieven ZM'!$B:$B,0)</f>
        <v>76</v>
      </c>
      <c r="X186" s="204">
        <f>INDEX('Tarieven ZM'!$H:$H,$W186)</f>
        <v>1000</v>
      </c>
      <c r="Y186" s="198">
        <f>-INDEX(Parameters!$B:$B,MATCH(Y$3&amp;$C186,Parameters!$A:$A,0))*$X186</f>
        <v>0</v>
      </c>
      <c r="Z186" s="198">
        <f>-INDEX(Parameters!$B:$B,MATCH(Z$3&amp;$C186,Parameters!$A:$A,0))*$X186</f>
        <v>0</v>
      </c>
      <c r="AA186" s="139">
        <f t="shared" si="94"/>
        <v>1000</v>
      </c>
      <c r="AB186" s="205">
        <f>AA186/INDEX(Parameters!$B:$B,MATCH("AfschrijftermijnVVE"&amp;12*$C186,Parameters!$A:$A,0))</f>
        <v>27.777777777777779</v>
      </c>
      <c r="AC186" s="204">
        <f>INDEX('Tarieven ZM'!$G:$G,$W186)</f>
        <v>1000</v>
      </c>
      <c r="AD186" s="198">
        <f>-INDEX(Parameters!$B:$B,MATCH(AD$3&amp;$C186,Parameters!$A:$A,0))*$AC186</f>
        <v>0</v>
      </c>
      <c r="AE186" s="198">
        <f>-INDEX(Parameters!$B:$B,MATCH(AE$3,Parameters!$A:$A,0))*$AC186</f>
        <v>0</v>
      </c>
      <c r="AF186" s="139">
        <f t="shared" si="95"/>
        <v>1000</v>
      </c>
      <c r="AG186" s="522">
        <f t="shared" si="96"/>
        <v>1027.7777777777778</v>
      </c>
      <c r="AH186" s="175"/>
      <c r="AI186" s="523">
        <f>MATCH($U186,'Tarieven W&amp;O'!$B:$B,0)</f>
        <v>68</v>
      </c>
      <c r="AJ186" s="204">
        <f>IF(AI186&lt;&gt;"nvt",INDEX('Tarieven W&amp;O'!$H:$H,$AI186),0)</f>
        <v>0</v>
      </c>
      <c r="AK186" s="204">
        <f>IF(AI186&lt;&gt;"nvt",INDEX('Tarieven W&amp;O'!$I:$I,$AI186),0)</f>
        <v>25</v>
      </c>
      <c r="AL186" s="524">
        <f>IF(AI186&lt;&gt;"nvt",-INDEX(Parameters!$B:$B,MATCH(AL$3,Parameters!$A:$A,0))*(AJ186+AK186),0)</f>
        <v>0</v>
      </c>
      <c r="AM186" s="525"/>
      <c r="AN186" s="139">
        <f t="shared" si="97"/>
        <v>25</v>
      </c>
      <c r="AO186" s="205">
        <f>AN186/INDEX(Parameters!$B:$B,MATCH("AfschrijftermijnVVE"&amp;12*$C186,Parameters!$A:$A,0))</f>
        <v>0.69444444444444442</v>
      </c>
      <c r="AP186" s="139">
        <f t="shared" si="98"/>
        <v>68</v>
      </c>
      <c r="AQ186" s="526">
        <f>IF(AP186&lt;&gt;"nvt",INDEX('Tarieven W&amp;O'!$G:$G,$AP186),0)</f>
        <v>133.4</v>
      </c>
      <c r="AR186" s="251">
        <f>IF($S186,INDEX('Tarieven W&amp;O'!$G:$G,MATCH(N186&amp;R186,'Tarieven W&amp;O'!$B:$B,0)),0)</f>
        <v>0</v>
      </c>
      <c r="AS186" s="205">
        <f>-INDEX(Parameters!$B:$B,MATCH(AS$3,Parameters!$A:$A,0))*(AQ186+AR186)</f>
        <v>0</v>
      </c>
      <c r="AT186" s="205">
        <f>INDEX(hulpblad!$E:$E,MATCH(M186&amp;Q186,hulpblad!$B:$B,0))</f>
        <v>1</v>
      </c>
      <c r="AU186" s="150">
        <f t="shared" si="101"/>
        <v>134.4</v>
      </c>
      <c r="AV186" s="150">
        <f t="shared" si="102"/>
        <v>135.09444444444446</v>
      </c>
      <c r="AX186" s="526">
        <f>Parameters!$B$6*AV186</f>
        <v>1.3509444444444447</v>
      </c>
      <c r="AY186" s="150">
        <v>0</v>
      </c>
      <c r="AZ186" s="150"/>
      <c r="BA186" s="150">
        <f t="shared" si="99"/>
        <v>1.3509444444444447</v>
      </c>
      <c r="BB186" s="150"/>
      <c r="BC186" s="522">
        <f t="shared" si="100"/>
        <v>136.44538888888891</v>
      </c>
      <c r="BD186" s="175"/>
      <c r="BE186" s="527">
        <f t="shared" si="103"/>
        <v>891.33238888888889</v>
      </c>
      <c r="BF186" s="181">
        <f t="shared" si="104"/>
        <v>0.86724232432432424</v>
      </c>
      <c r="BG186" s="520" t="b">
        <f t="shared" si="93"/>
        <v>0</v>
      </c>
      <c r="BI186" s="528" t="s">
        <v>2181</v>
      </c>
      <c r="BL186" s="151" t="str">
        <f t="shared" si="106"/>
        <v>EoKMetro - Regionaal</v>
      </c>
      <c r="BM186" s="529">
        <v>0</v>
      </c>
      <c r="BN186" s="180">
        <f>BM186/INDEX(Parameters!$B:$B,MATCH("AfschrijftermijnVVE"&amp;12*$C186,Parameters!$A:$A,0))</f>
        <v>0</v>
      </c>
      <c r="BO186" s="184">
        <f>INDEX('inkoop ULL tbv EVPN'!I:I,MATCH(BL186,'inkoop ULL tbv EVPN'!H:H,0))</f>
        <v>2</v>
      </c>
      <c r="BP186" s="184">
        <f t="shared" si="107"/>
        <v>2</v>
      </c>
      <c r="BR186" s="180">
        <f>Parameters!$B$12*AG186</f>
        <v>102.77777777777779</v>
      </c>
      <c r="BS186" s="180">
        <f>SUM(Distributievergoedingen!$F$12,Distributievergoedingen!$I$12,Distributievergoedingen!$L$12,Distributievergoedingen!$O$12)*AF186+SUM(Distributievergoedingen!$O$12*AA186+Distributievergoedingen!$R$12+Distributievergoedingen!$U$12+Distributievergoedingen!$X$12)/(MAX(36,12*C186))</f>
        <v>112.77777777777777</v>
      </c>
      <c r="BT186" s="150"/>
      <c r="BU186" s="150">
        <f t="shared" si="108"/>
        <v>215.55555555555554</v>
      </c>
      <c r="BW186" s="522">
        <f t="shared" si="109"/>
        <v>217.55555555555554</v>
      </c>
      <c r="BY186" s="527">
        <f t="shared" si="110"/>
        <v>810.22222222222229</v>
      </c>
      <c r="BZ186" s="181">
        <f t="shared" si="111"/>
        <v>0.78832432432432431</v>
      </c>
      <c r="CA186" s="520" t="b">
        <f t="shared" si="112"/>
        <v>0</v>
      </c>
    </row>
    <row r="187" spans="1:79" s="151" customFormat="1">
      <c r="A187" s="151" t="str">
        <f t="shared" si="105"/>
        <v>2EoKPremiumCity80</v>
      </c>
      <c r="B187" s="520" t="str">
        <f t="shared" si="113"/>
        <v>2EoKPremiumCity80</v>
      </c>
      <c r="C187" s="179">
        <v>2</v>
      </c>
      <c r="D187" s="179" t="s">
        <v>303</v>
      </c>
      <c r="E187" s="178" t="s">
        <v>267</v>
      </c>
      <c r="F187" s="178" t="s">
        <v>262</v>
      </c>
      <c r="G187" s="185" t="s">
        <v>417</v>
      </c>
      <c r="J187" s="520" t="str">
        <f t="shared" si="91"/>
        <v>PremiumCity80</v>
      </c>
      <c r="L187" s="204">
        <f>INDEX(Mapping!$H:$H,MATCH(C$3&amp;C187,Mapping!$B:$B,0))</f>
        <v>1</v>
      </c>
      <c r="M187" s="204" t="str">
        <f>INDEX(Mapping!$H:$H,MATCH(D$3&amp;$D187,Mapping!$B:$B,0))</f>
        <v>EoK</v>
      </c>
      <c r="N187" s="204" t="str">
        <f>INDEX(Mapping!$H:$H,MATCH(E$3&amp;E187,Mapping!$B:$B,0))</f>
        <v>Premium</v>
      </c>
      <c r="O187" s="204" t="str">
        <f>INDEX(Mapping!$H:$H,MATCH(F$3&amp;F187,Mapping!$B:$B,0))</f>
        <v>Metro</v>
      </c>
      <c r="P187" s="204">
        <f>INDEX(Mapping!$H:$H,MATCH(G$3&amp;G187,Mapping!$B:$B,0))</f>
        <v>80</v>
      </c>
      <c r="Q187" s="204" t="str">
        <f>INDEX(Mapping!$H:$H,MATCH(Q$3&amp;$F187,Mapping!$B:$B,0))</f>
        <v>Metro - Regionaal</v>
      </c>
      <c r="R187" s="204" t="str">
        <f>INDEX(Mapping!$H:$H,MATCH("ZM VPN Service Level"&amp;E187,Mapping!$B:$B,0))</f>
        <v>Advanced</v>
      </c>
      <c r="S187" s="139" t="b">
        <f>IF($D187="EoK",INDEX(Mapping!$I:$I,MATCH($G$3&amp;$G187,Mapping!B:B,0)),FALSE)</f>
        <v>0</v>
      </c>
      <c r="T187" s="139"/>
      <c r="U187" s="520" t="str">
        <f t="shared" si="92"/>
        <v>PremiumMetro80</v>
      </c>
      <c r="W187" s="521">
        <f>MATCH($J187,'Tarieven ZM'!$B:$B,0)</f>
        <v>77</v>
      </c>
      <c r="X187" s="204">
        <f>INDEX('Tarieven ZM'!$H:$H,$W187)</f>
        <v>1000</v>
      </c>
      <c r="Y187" s="198">
        <f>-INDEX(Parameters!$B:$B,MATCH(Y$3&amp;$C187,Parameters!$A:$A,0))*$X187</f>
        <v>0</v>
      </c>
      <c r="Z187" s="198">
        <f>-INDEX(Parameters!$B:$B,MATCH(Z$3&amp;$C187,Parameters!$A:$A,0))*$X187</f>
        <v>0</v>
      </c>
      <c r="AA187" s="139">
        <f t="shared" si="94"/>
        <v>1000</v>
      </c>
      <c r="AB187" s="205">
        <f>AA187/INDEX(Parameters!$B:$B,MATCH("AfschrijftermijnVVE"&amp;12*$C187,Parameters!$A:$A,0))</f>
        <v>27.777777777777779</v>
      </c>
      <c r="AC187" s="204">
        <f>INDEX('Tarieven ZM'!$G:$G,$W187)</f>
        <v>1000</v>
      </c>
      <c r="AD187" s="198">
        <f>-INDEX(Parameters!$B:$B,MATCH(AD$3&amp;$C187,Parameters!$A:$A,0))*$AC187</f>
        <v>0</v>
      </c>
      <c r="AE187" s="198">
        <f>-INDEX(Parameters!$B:$B,MATCH(AE$3,Parameters!$A:$A,0))*$AC187</f>
        <v>0</v>
      </c>
      <c r="AF187" s="139">
        <f t="shared" si="95"/>
        <v>1000</v>
      </c>
      <c r="AG187" s="522">
        <f t="shared" si="96"/>
        <v>1027.7777777777778</v>
      </c>
      <c r="AH187" s="175"/>
      <c r="AI187" s="523">
        <f>MATCH($U187,'Tarieven W&amp;O'!$B:$B,0)</f>
        <v>69</v>
      </c>
      <c r="AJ187" s="204">
        <f>IF(AI187&lt;&gt;"nvt",INDEX('Tarieven W&amp;O'!$H:$H,$AI187),0)</f>
        <v>0</v>
      </c>
      <c r="AK187" s="204">
        <f>IF(AI187&lt;&gt;"nvt",INDEX('Tarieven W&amp;O'!$I:$I,$AI187),0)</f>
        <v>25</v>
      </c>
      <c r="AL187" s="524">
        <f>IF(AI187&lt;&gt;"nvt",-INDEX(Parameters!$B:$B,MATCH(AL$3,Parameters!$A:$A,0))*(AJ187+AK187),0)</f>
        <v>0</v>
      </c>
      <c r="AM187" s="525"/>
      <c r="AN187" s="139">
        <f t="shared" si="97"/>
        <v>25</v>
      </c>
      <c r="AO187" s="205">
        <f>AN187/INDEX(Parameters!$B:$B,MATCH("AfschrijftermijnVVE"&amp;12*$C187,Parameters!$A:$A,0))</f>
        <v>0.69444444444444442</v>
      </c>
      <c r="AP187" s="139">
        <f t="shared" si="98"/>
        <v>69</v>
      </c>
      <c r="AQ187" s="526">
        <f>IF(AP187&lt;&gt;"nvt",INDEX('Tarieven W&amp;O'!$G:$G,$AP187),0)</f>
        <v>159.78</v>
      </c>
      <c r="AR187" s="251">
        <f>IF($S187,INDEX('Tarieven W&amp;O'!$G:$G,MATCH(N187&amp;R187,'Tarieven W&amp;O'!$B:$B,0)),0)</f>
        <v>0</v>
      </c>
      <c r="AS187" s="205">
        <f>-INDEX(Parameters!$B:$B,MATCH(AS$3,Parameters!$A:$A,0))*(AQ187+AR187)</f>
        <v>0</v>
      </c>
      <c r="AT187" s="205">
        <f>INDEX(hulpblad!$E:$E,MATCH(M187&amp;Q187,hulpblad!$B:$B,0))</f>
        <v>1</v>
      </c>
      <c r="AU187" s="150">
        <f t="shared" si="101"/>
        <v>160.78</v>
      </c>
      <c r="AV187" s="150">
        <f t="shared" si="102"/>
        <v>161.47444444444446</v>
      </c>
      <c r="AX187" s="526">
        <f>Parameters!$B$6*AV187</f>
        <v>1.6147444444444445</v>
      </c>
      <c r="AY187" s="150">
        <v>0</v>
      </c>
      <c r="AZ187" s="150"/>
      <c r="BA187" s="150">
        <f t="shared" si="99"/>
        <v>1.6147444444444445</v>
      </c>
      <c r="BB187" s="150"/>
      <c r="BC187" s="522">
        <f t="shared" si="100"/>
        <v>163.08918888888891</v>
      </c>
      <c r="BD187" s="175"/>
      <c r="BE187" s="527">
        <f t="shared" si="103"/>
        <v>864.68858888888894</v>
      </c>
      <c r="BF187" s="181">
        <f t="shared" si="104"/>
        <v>0.84131862702702709</v>
      </c>
      <c r="BG187" s="520" t="b">
        <f t="shared" si="93"/>
        <v>0</v>
      </c>
      <c r="BI187" s="528" t="s">
        <v>2181</v>
      </c>
      <c r="BL187" s="151" t="str">
        <f t="shared" si="106"/>
        <v>EoKMetro - Regionaal</v>
      </c>
      <c r="BM187" s="529">
        <v>0</v>
      </c>
      <c r="BN187" s="180">
        <f>BM187/INDEX(Parameters!$B:$B,MATCH("AfschrijftermijnVVE"&amp;12*$C187,Parameters!$A:$A,0))</f>
        <v>0</v>
      </c>
      <c r="BO187" s="184">
        <f>INDEX('inkoop ULL tbv EVPN'!I:I,MATCH(BL187,'inkoop ULL tbv EVPN'!H:H,0))</f>
        <v>2</v>
      </c>
      <c r="BP187" s="184">
        <f t="shared" si="107"/>
        <v>2</v>
      </c>
      <c r="BR187" s="180">
        <f>Parameters!$B$12*AG187</f>
        <v>102.77777777777779</v>
      </c>
      <c r="BS187" s="180">
        <f>SUM(Distributievergoedingen!$F$12,Distributievergoedingen!$I$12,Distributievergoedingen!$L$12,Distributievergoedingen!$O$12)*AF187+SUM(Distributievergoedingen!$O$12*AA187+Distributievergoedingen!$R$12+Distributievergoedingen!$U$12+Distributievergoedingen!$X$12)/(MAX(36,12*C187))</f>
        <v>112.77777777777777</v>
      </c>
      <c r="BT187" s="150"/>
      <c r="BU187" s="150">
        <f t="shared" si="108"/>
        <v>215.55555555555554</v>
      </c>
      <c r="BW187" s="522">
        <f t="shared" si="109"/>
        <v>217.55555555555554</v>
      </c>
      <c r="BY187" s="527">
        <f t="shared" si="110"/>
        <v>810.22222222222229</v>
      </c>
      <c r="BZ187" s="181">
        <f t="shared" si="111"/>
        <v>0.78832432432432431</v>
      </c>
      <c r="CA187" s="520" t="b">
        <f t="shared" si="112"/>
        <v>0</v>
      </c>
    </row>
    <row r="188" spans="1:79" s="151" customFormat="1">
      <c r="A188" s="151" t="str">
        <f t="shared" si="105"/>
        <v>2EoKPremiumCity100</v>
      </c>
      <c r="B188" s="520" t="str">
        <f t="shared" si="113"/>
        <v>2EoKPremiumCity100</v>
      </c>
      <c r="C188" s="179">
        <v>2</v>
      </c>
      <c r="D188" s="179" t="s">
        <v>303</v>
      </c>
      <c r="E188" s="178" t="s">
        <v>267</v>
      </c>
      <c r="F188" s="178" t="s">
        <v>262</v>
      </c>
      <c r="G188" s="185" t="s">
        <v>418</v>
      </c>
      <c r="J188" s="520" t="str">
        <f t="shared" si="91"/>
        <v>PremiumCity100</v>
      </c>
      <c r="L188" s="204">
        <f>INDEX(Mapping!$H:$H,MATCH(C$3&amp;C188,Mapping!$B:$B,0))</f>
        <v>1</v>
      </c>
      <c r="M188" s="204" t="str">
        <f>INDEX(Mapping!$H:$H,MATCH(D$3&amp;$D188,Mapping!$B:$B,0))</f>
        <v>EoK</v>
      </c>
      <c r="N188" s="204" t="str">
        <f>INDEX(Mapping!$H:$H,MATCH(E$3&amp;E188,Mapping!$B:$B,0))</f>
        <v>Premium</v>
      </c>
      <c r="O188" s="204" t="str">
        <f>INDEX(Mapping!$H:$H,MATCH(F$3&amp;F188,Mapping!$B:$B,0))</f>
        <v>Metro</v>
      </c>
      <c r="P188" s="204">
        <f>INDEX(Mapping!$H:$H,MATCH(G$3&amp;G188,Mapping!$B:$B,0))</f>
        <v>100</v>
      </c>
      <c r="Q188" s="204" t="str">
        <f>INDEX(Mapping!$H:$H,MATCH(Q$3&amp;$F188,Mapping!$B:$B,0))</f>
        <v>Metro - Regionaal</v>
      </c>
      <c r="R188" s="204" t="str">
        <f>INDEX(Mapping!$H:$H,MATCH("ZM VPN Service Level"&amp;E188,Mapping!$B:$B,0))</f>
        <v>Advanced</v>
      </c>
      <c r="S188" s="139" t="b">
        <f>IF($D188="EoK",INDEX(Mapping!$I:$I,MATCH($G$3&amp;$G188,Mapping!B:B,0)),FALSE)</f>
        <v>0</v>
      </c>
      <c r="T188" s="139"/>
      <c r="U188" s="520" t="str">
        <f t="shared" si="92"/>
        <v>PremiumMetro100</v>
      </c>
      <c r="W188" s="521">
        <f>MATCH($J188,'Tarieven ZM'!$B:$B,0)</f>
        <v>78</v>
      </c>
      <c r="X188" s="204">
        <f>INDEX('Tarieven ZM'!$H:$H,$W188)</f>
        <v>1000</v>
      </c>
      <c r="Y188" s="198">
        <f>-INDEX(Parameters!$B:$B,MATCH(Y$3&amp;$C188,Parameters!$A:$A,0))*$X188</f>
        <v>0</v>
      </c>
      <c r="Z188" s="198">
        <f>-INDEX(Parameters!$B:$B,MATCH(Z$3&amp;$C188,Parameters!$A:$A,0))*$X188</f>
        <v>0</v>
      </c>
      <c r="AA188" s="139">
        <f t="shared" si="94"/>
        <v>1000</v>
      </c>
      <c r="AB188" s="205">
        <f>AA188/INDEX(Parameters!$B:$B,MATCH("AfschrijftermijnVVE"&amp;12*$C188,Parameters!$A:$A,0))</f>
        <v>27.777777777777779</v>
      </c>
      <c r="AC188" s="204">
        <f>INDEX('Tarieven ZM'!$G:$G,$W188)</f>
        <v>1000</v>
      </c>
      <c r="AD188" s="198">
        <f>-INDEX(Parameters!$B:$B,MATCH(AD$3&amp;$C188,Parameters!$A:$A,0))*$AC188</f>
        <v>0</v>
      </c>
      <c r="AE188" s="198">
        <f>-INDEX(Parameters!$B:$B,MATCH(AE$3,Parameters!$A:$A,0))*$AC188</f>
        <v>0</v>
      </c>
      <c r="AF188" s="139">
        <f t="shared" si="95"/>
        <v>1000</v>
      </c>
      <c r="AG188" s="522">
        <f t="shared" si="96"/>
        <v>1027.7777777777778</v>
      </c>
      <c r="AH188" s="175"/>
      <c r="AI188" s="523">
        <f>MATCH($U188,'Tarieven W&amp;O'!$B:$B,0)</f>
        <v>70</v>
      </c>
      <c r="AJ188" s="204">
        <f>IF(AI188&lt;&gt;"nvt",INDEX('Tarieven W&amp;O'!$H:$H,$AI188),0)</f>
        <v>0</v>
      </c>
      <c r="AK188" s="204">
        <f>IF(AI188&lt;&gt;"nvt",INDEX('Tarieven W&amp;O'!$I:$I,$AI188),0)</f>
        <v>25</v>
      </c>
      <c r="AL188" s="524">
        <f>IF(AI188&lt;&gt;"nvt",-INDEX(Parameters!$B:$B,MATCH(AL$3,Parameters!$A:$A,0))*(AJ188+AK188),0)</f>
        <v>0</v>
      </c>
      <c r="AM188" s="525"/>
      <c r="AN188" s="139">
        <f t="shared" si="97"/>
        <v>25</v>
      </c>
      <c r="AO188" s="205">
        <f>AN188/INDEX(Parameters!$B:$B,MATCH("AfschrijftermijnVVE"&amp;12*$C188,Parameters!$A:$A,0))</f>
        <v>0.69444444444444442</v>
      </c>
      <c r="AP188" s="139">
        <f t="shared" si="98"/>
        <v>70</v>
      </c>
      <c r="AQ188" s="526">
        <f>IF(AP188&lt;&gt;"nvt",INDEX('Tarieven W&amp;O'!$G:$G,$AP188),0)</f>
        <v>178.63</v>
      </c>
      <c r="AR188" s="251">
        <f>IF($S188,INDEX('Tarieven W&amp;O'!$G:$G,MATCH(N188&amp;R188,'Tarieven W&amp;O'!$B:$B,0)),0)</f>
        <v>0</v>
      </c>
      <c r="AS188" s="205">
        <f>-INDEX(Parameters!$B:$B,MATCH(AS$3,Parameters!$A:$A,0))*(AQ188+AR188)</f>
        <v>0</v>
      </c>
      <c r="AT188" s="205">
        <f>INDEX(hulpblad!$E:$E,MATCH(M188&amp;Q188,hulpblad!$B:$B,0))</f>
        <v>1</v>
      </c>
      <c r="AU188" s="150">
        <f t="shared" si="101"/>
        <v>179.63</v>
      </c>
      <c r="AV188" s="150">
        <f t="shared" si="102"/>
        <v>180.32444444444445</v>
      </c>
      <c r="AX188" s="526">
        <f>Parameters!$B$6*AV188</f>
        <v>1.8032444444444446</v>
      </c>
      <c r="AY188" s="150">
        <v>0</v>
      </c>
      <c r="AZ188" s="150"/>
      <c r="BA188" s="150">
        <f t="shared" si="99"/>
        <v>1.8032444444444446</v>
      </c>
      <c r="BB188" s="150"/>
      <c r="BC188" s="522">
        <f t="shared" si="100"/>
        <v>182.12768888888888</v>
      </c>
      <c r="BD188" s="175"/>
      <c r="BE188" s="527">
        <f t="shared" si="103"/>
        <v>845.65008888888894</v>
      </c>
      <c r="BF188" s="181">
        <f t="shared" si="104"/>
        <v>0.82279468108108111</v>
      </c>
      <c r="BG188" s="520" t="b">
        <f t="shared" si="93"/>
        <v>0</v>
      </c>
      <c r="BI188" s="528" t="s">
        <v>2181</v>
      </c>
      <c r="BL188" s="151" t="str">
        <f t="shared" si="106"/>
        <v>EoKMetro - Regionaal</v>
      </c>
      <c r="BM188" s="529">
        <v>0</v>
      </c>
      <c r="BN188" s="180">
        <f>BM188/INDEX(Parameters!$B:$B,MATCH("AfschrijftermijnVVE"&amp;12*$C188,Parameters!$A:$A,0))</f>
        <v>0</v>
      </c>
      <c r="BO188" s="184">
        <f>INDEX('inkoop ULL tbv EVPN'!I:I,MATCH(BL188,'inkoop ULL tbv EVPN'!H:H,0))</f>
        <v>2</v>
      </c>
      <c r="BP188" s="184">
        <f t="shared" si="107"/>
        <v>2</v>
      </c>
      <c r="BR188" s="180">
        <f>Parameters!$B$12*AG188</f>
        <v>102.77777777777779</v>
      </c>
      <c r="BS188" s="180">
        <f>SUM(Distributievergoedingen!$F$12,Distributievergoedingen!$I$12,Distributievergoedingen!$L$12,Distributievergoedingen!$O$12)*AF188+SUM(Distributievergoedingen!$O$12*AA188+Distributievergoedingen!$R$12+Distributievergoedingen!$U$12+Distributievergoedingen!$X$12)/(MAX(36,12*C188))</f>
        <v>112.77777777777777</v>
      </c>
      <c r="BT188" s="150"/>
      <c r="BU188" s="150">
        <f t="shared" si="108"/>
        <v>215.55555555555554</v>
      </c>
      <c r="BW188" s="522">
        <f t="shared" si="109"/>
        <v>217.55555555555554</v>
      </c>
      <c r="BY188" s="527">
        <f t="shared" si="110"/>
        <v>810.22222222222229</v>
      </c>
      <c r="BZ188" s="181">
        <f t="shared" si="111"/>
        <v>0.78832432432432431</v>
      </c>
      <c r="CA188" s="520" t="b">
        <f t="shared" si="112"/>
        <v>0</v>
      </c>
    </row>
    <row r="189" spans="1:79" s="151" customFormat="1">
      <c r="A189" s="151" t="str">
        <f t="shared" si="105"/>
        <v>2EoKPremiumCity200</v>
      </c>
      <c r="B189" s="520" t="str">
        <f t="shared" si="113"/>
        <v>2EoKPremiumCity200</v>
      </c>
      <c r="C189" s="179">
        <v>2</v>
      </c>
      <c r="D189" s="179" t="s">
        <v>303</v>
      </c>
      <c r="E189" s="178" t="s">
        <v>267</v>
      </c>
      <c r="F189" s="178" t="s">
        <v>262</v>
      </c>
      <c r="G189" s="185" t="s">
        <v>419</v>
      </c>
      <c r="J189" s="520" t="str">
        <f t="shared" si="91"/>
        <v>PremiumCity200</v>
      </c>
      <c r="L189" s="204">
        <f>INDEX(Mapping!$H:$H,MATCH(C$3&amp;C189,Mapping!$B:$B,0))</f>
        <v>1</v>
      </c>
      <c r="M189" s="204" t="str">
        <f>INDEX(Mapping!$H:$H,MATCH(D$3&amp;$D189,Mapping!$B:$B,0))</f>
        <v>EoK</v>
      </c>
      <c r="N189" s="204" t="str">
        <f>INDEX(Mapping!$H:$H,MATCH(E$3&amp;E189,Mapping!$B:$B,0))</f>
        <v>Premium</v>
      </c>
      <c r="O189" s="204" t="str">
        <f>INDEX(Mapping!$H:$H,MATCH(F$3&amp;F189,Mapping!$B:$B,0))</f>
        <v>Metro</v>
      </c>
      <c r="P189" s="204">
        <f>INDEX(Mapping!$H:$H,MATCH(G$3&amp;G189,Mapping!$B:$B,0))</f>
        <v>200</v>
      </c>
      <c r="Q189" s="204" t="str">
        <f>INDEX(Mapping!$H:$H,MATCH(Q$3&amp;$F189,Mapping!$B:$B,0))</f>
        <v>Metro - Regionaal</v>
      </c>
      <c r="R189" s="204" t="str">
        <f>INDEX(Mapping!$H:$H,MATCH("ZM VPN Service Level"&amp;E189,Mapping!$B:$B,0))</f>
        <v>Advanced</v>
      </c>
      <c r="S189" s="139" t="b">
        <f>IF($D189="EoK",INDEX(Mapping!$I:$I,MATCH($G$3&amp;$G189,Mapping!B:B,0)),FALSE)</f>
        <v>0</v>
      </c>
      <c r="T189" s="139"/>
      <c r="U189" s="520" t="str">
        <f t="shared" si="92"/>
        <v>PremiumMetro200</v>
      </c>
      <c r="W189" s="521">
        <f>MATCH($J189,'Tarieven ZM'!$B:$B,0)</f>
        <v>79</v>
      </c>
      <c r="X189" s="204">
        <f>INDEX('Tarieven ZM'!$H:$H,$W189)</f>
        <v>1000</v>
      </c>
      <c r="Y189" s="198">
        <f>-INDEX(Parameters!$B:$B,MATCH(Y$3&amp;$C189,Parameters!$A:$A,0))*$X189</f>
        <v>0</v>
      </c>
      <c r="Z189" s="198">
        <f>-INDEX(Parameters!$B:$B,MATCH(Z$3&amp;$C189,Parameters!$A:$A,0))*$X189</f>
        <v>0</v>
      </c>
      <c r="AA189" s="139">
        <f t="shared" si="94"/>
        <v>1000</v>
      </c>
      <c r="AB189" s="205">
        <f>AA189/INDEX(Parameters!$B:$B,MATCH("AfschrijftermijnVVE"&amp;12*$C189,Parameters!$A:$A,0))</f>
        <v>27.777777777777779</v>
      </c>
      <c r="AC189" s="204">
        <f>INDEX('Tarieven ZM'!$G:$G,$W189)</f>
        <v>1000</v>
      </c>
      <c r="AD189" s="198">
        <f>-INDEX(Parameters!$B:$B,MATCH(AD$3&amp;$C189,Parameters!$A:$A,0))*$AC189</f>
        <v>0</v>
      </c>
      <c r="AE189" s="198">
        <f>-INDEX(Parameters!$B:$B,MATCH(AE$3,Parameters!$A:$A,0))*$AC189</f>
        <v>0</v>
      </c>
      <c r="AF189" s="139">
        <f t="shared" si="95"/>
        <v>1000</v>
      </c>
      <c r="AG189" s="522">
        <f t="shared" si="96"/>
        <v>1027.7777777777778</v>
      </c>
      <c r="AH189" s="175"/>
      <c r="AI189" s="523">
        <f>MATCH($U189,'Tarieven W&amp;O'!$B:$B,0)</f>
        <v>71</v>
      </c>
      <c r="AJ189" s="204">
        <f>IF(AI189&lt;&gt;"nvt",INDEX('Tarieven W&amp;O'!$H:$H,$AI189),0)</f>
        <v>0</v>
      </c>
      <c r="AK189" s="204">
        <f>IF(AI189&lt;&gt;"nvt",INDEX('Tarieven W&amp;O'!$I:$I,$AI189),0)</f>
        <v>25</v>
      </c>
      <c r="AL189" s="524">
        <f>IF(AI189&lt;&gt;"nvt",-INDEX(Parameters!$B:$B,MATCH(AL$3,Parameters!$A:$A,0))*(AJ189+AK189),0)</f>
        <v>0</v>
      </c>
      <c r="AM189" s="525"/>
      <c r="AN189" s="139">
        <f t="shared" si="97"/>
        <v>25</v>
      </c>
      <c r="AO189" s="205">
        <f>AN189/INDEX(Parameters!$B:$B,MATCH("AfschrijftermijnVVE"&amp;12*$C189,Parameters!$A:$A,0))</f>
        <v>0.69444444444444442</v>
      </c>
      <c r="AP189" s="139">
        <f t="shared" si="98"/>
        <v>71</v>
      </c>
      <c r="AQ189" s="526">
        <f>IF(AP189&lt;&gt;"nvt",INDEX('Tarieven W&amp;O'!$G:$G,$AP189),0)</f>
        <v>216.32</v>
      </c>
      <c r="AR189" s="251">
        <f>IF($S189,INDEX('Tarieven W&amp;O'!$G:$G,MATCH(N189&amp;R189,'Tarieven W&amp;O'!$B:$B,0)),0)</f>
        <v>0</v>
      </c>
      <c r="AS189" s="205">
        <f>-INDEX(Parameters!$B:$B,MATCH(AS$3,Parameters!$A:$A,0))*(AQ189+AR189)</f>
        <v>0</v>
      </c>
      <c r="AT189" s="205">
        <f>INDEX(hulpblad!$E:$E,MATCH(M189&amp;Q189,hulpblad!$B:$B,0))</f>
        <v>1</v>
      </c>
      <c r="AU189" s="150">
        <f t="shared" si="101"/>
        <v>217.32</v>
      </c>
      <c r="AV189" s="150">
        <f t="shared" si="102"/>
        <v>218.01444444444445</v>
      </c>
      <c r="AX189" s="526">
        <f>Parameters!$B$6*AV189</f>
        <v>2.1801444444444447</v>
      </c>
      <c r="AY189" s="150">
        <v>0</v>
      </c>
      <c r="AZ189" s="150"/>
      <c r="BA189" s="150">
        <f t="shared" si="99"/>
        <v>2.1801444444444447</v>
      </c>
      <c r="BB189" s="150"/>
      <c r="BC189" s="522">
        <f t="shared" si="100"/>
        <v>220.19458888888889</v>
      </c>
      <c r="BD189" s="175"/>
      <c r="BE189" s="527">
        <f t="shared" si="103"/>
        <v>807.58318888888891</v>
      </c>
      <c r="BF189" s="181">
        <f t="shared" si="104"/>
        <v>0.78575661621621617</v>
      </c>
      <c r="BG189" s="520" t="b">
        <f t="shared" si="93"/>
        <v>0</v>
      </c>
      <c r="BI189" s="528" t="s">
        <v>2181</v>
      </c>
      <c r="BL189" s="151" t="str">
        <f t="shared" si="106"/>
        <v>EoKMetro - Regionaal</v>
      </c>
      <c r="BM189" s="529">
        <v>0</v>
      </c>
      <c r="BN189" s="180">
        <f>BM189/INDEX(Parameters!$B:$B,MATCH("AfschrijftermijnVVE"&amp;12*$C189,Parameters!$A:$A,0))</f>
        <v>0</v>
      </c>
      <c r="BO189" s="184">
        <f>INDEX('inkoop ULL tbv EVPN'!I:I,MATCH(BL189,'inkoop ULL tbv EVPN'!H:H,0))</f>
        <v>2</v>
      </c>
      <c r="BP189" s="184">
        <f t="shared" si="107"/>
        <v>2</v>
      </c>
      <c r="BR189" s="180">
        <f>Parameters!$B$12*AG189</f>
        <v>102.77777777777779</v>
      </c>
      <c r="BS189" s="180">
        <f>SUM(Distributievergoedingen!$F$12,Distributievergoedingen!$I$12,Distributievergoedingen!$L$12,Distributievergoedingen!$O$12)*AF189+SUM(Distributievergoedingen!$O$12*AA189+Distributievergoedingen!$R$12+Distributievergoedingen!$U$12+Distributievergoedingen!$X$12)/(MAX(36,12*C189))</f>
        <v>112.77777777777777</v>
      </c>
      <c r="BT189" s="150"/>
      <c r="BU189" s="150">
        <f t="shared" si="108"/>
        <v>215.55555555555554</v>
      </c>
      <c r="BW189" s="522">
        <f t="shared" si="109"/>
        <v>217.55555555555554</v>
      </c>
      <c r="BY189" s="527">
        <f t="shared" si="110"/>
        <v>810.22222222222229</v>
      </c>
      <c r="BZ189" s="181">
        <f t="shared" si="111"/>
        <v>0.78832432432432431</v>
      </c>
      <c r="CA189" s="520" t="b">
        <f t="shared" si="112"/>
        <v>0</v>
      </c>
    </row>
    <row r="190" spans="1:79" s="151" customFormat="1">
      <c r="A190" s="151" t="str">
        <f t="shared" si="105"/>
        <v>2EoKPremiumCity300</v>
      </c>
      <c r="B190" s="520" t="str">
        <f t="shared" si="113"/>
        <v>2EoKPremiumCity300</v>
      </c>
      <c r="C190" s="179">
        <v>2</v>
      </c>
      <c r="D190" s="179" t="s">
        <v>303</v>
      </c>
      <c r="E190" s="178" t="s">
        <v>267</v>
      </c>
      <c r="F190" s="178" t="s">
        <v>262</v>
      </c>
      <c r="G190" s="185" t="s">
        <v>420</v>
      </c>
      <c r="J190" s="520" t="str">
        <f t="shared" si="91"/>
        <v>PremiumCity300</v>
      </c>
      <c r="L190" s="204">
        <f>INDEX(Mapping!$H:$H,MATCH(C$3&amp;C190,Mapping!$B:$B,0))</f>
        <v>1</v>
      </c>
      <c r="M190" s="204" t="str">
        <f>INDEX(Mapping!$H:$H,MATCH(D$3&amp;$D190,Mapping!$B:$B,0))</f>
        <v>EoK</v>
      </c>
      <c r="N190" s="204" t="str">
        <f>INDEX(Mapping!$H:$H,MATCH(E$3&amp;E190,Mapping!$B:$B,0))</f>
        <v>Premium</v>
      </c>
      <c r="O190" s="204" t="str">
        <f>INDEX(Mapping!$H:$H,MATCH(F$3&amp;F190,Mapping!$B:$B,0))</f>
        <v>Metro</v>
      </c>
      <c r="P190" s="204">
        <f>INDEX(Mapping!$H:$H,MATCH(G$3&amp;G190,Mapping!$B:$B,0))</f>
        <v>300</v>
      </c>
      <c r="Q190" s="204" t="str">
        <f>INDEX(Mapping!$H:$H,MATCH(Q$3&amp;$F190,Mapping!$B:$B,0))</f>
        <v>Metro - Regionaal</v>
      </c>
      <c r="R190" s="204" t="str">
        <f>INDEX(Mapping!$H:$H,MATCH("ZM VPN Service Level"&amp;E190,Mapping!$B:$B,0))</f>
        <v>Advanced</v>
      </c>
      <c r="S190" s="139" t="b">
        <f>IF($D190="EoK",INDEX(Mapping!$I:$I,MATCH($G$3&amp;$G190,Mapping!B:B,0)),FALSE)</f>
        <v>0</v>
      </c>
      <c r="T190" s="139"/>
      <c r="U190" s="520" t="str">
        <f t="shared" si="92"/>
        <v>PremiumMetro300</v>
      </c>
      <c r="W190" s="521">
        <f>MATCH($J190,'Tarieven ZM'!$B:$B,0)</f>
        <v>80</v>
      </c>
      <c r="X190" s="204">
        <f>INDEX('Tarieven ZM'!$H:$H,$W190)</f>
        <v>1000</v>
      </c>
      <c r="Y190" s="198">
        <f>-INDEX(Parameters!$B:$B,MATCH(Y$3&amp;$C190,Parameters!$A:$A,0))*$X190</f>
        <v>0</v>
      </c>
      <c r="Z190" s="198">
        <f>-INDEX(Parameters!$B:$B,MATCH(Z$3&amp;$C190,Parameters!$A:$A,0))*$X190</f>
        <v>0</v>
      </c>
      <c r="AA190" s="139">
        <f t="shared" si="94"/>
        <v>1000</v>
      </c>
      <c r="AB190" s="205">
        <f>AA190/INDEX(Parameters!$B:$B,MATCH("AfschrijftermijnVVE"&amp;12*$C190,Parameters!$A:$A,0))</f>
        <v>27.777777777777779</v>
      </c>
      <c r="AC190" s="204">
        <f>INDEX('Tarieven ZM'!$G:$G,$W190)</f>
        <v>1000</v>
      </c>
      <c r="AD190" s="198">
        <f>-INDEX(Parameters!$B:$B,MATCH(AD$3&amp;$C190,Parameters!$A:$A,0))*$AC190</f>
        <v>0</v>
      </c>
      <c r="AE190" s="198">
        <f>-INDEX(Parameters!$B:$B,MATCH(AE$3,Parameters!$A:$A,0))*$AC190</f>
        <v>0</v>
      </c>
      <c r="AF190" s="139">
        <f t="shared" si="95"/>
        <v>1000</v>
      </c>
      <c r="AG190" s="522">
        <f t="shared" si="96"/>
        <v>1027.7777777777778</v>
      </c>
      <c r="AH190" s="175"/>
      <c r="AI190" s="523">
        <f>MATCH($U190,'Tarieven W&amp;O'!$B:$B,0)</f>
        <v>72</v>
      </c>
      <c r="AJ190" s="204">
        <f>IF(AI190&lt;&gt;"nvt",INDEX('Tarieven W&amp;O'!$H:$H,$AI190),0)</f>
        <v>0</v>
      </c>
      <c r="AK190" s="204">
        <f>IF(AI190&lt;&gt;"nvt",INDEX('Tarieven W&amp;O'!$I:$I,$AI190),0)</f>
        <v>25</v>
      </c>
      <c r="AL190" s="524">
        <f>IF(AI190&lt;&gt;"nvt",-INDEX(Parameters!$B:$B,MATCH(AL$3,Parameters!$A:$A,0))*(AJ190+AK190),0)</f>
        <v>0</v>
      </c>
      <c r="AM190" s="525"/>
      <c r="AN190" s="139">
        <f t="shared" si="97"/>
        <v>25</v>
      </c>
      <c r="AO190" s="205">
        <f>AN190/INDEX(Parameters!$B:$B,MATCH("AfschrijftermijnVVE"&amp;12*$C190,Parameters!$A:$A,0))</f>
        <v>0.69444444444444442</v>
      </c>
      <c r="AP190" s="139">
        <f t="shared" si="98"/>
        <v>72</v>
      </c>
      <c r="AQ190" s="526">
        <f>IF(AP190&lt;&gt;"nvt",INDEX('Tarieven W&amp;O'!$G:$G,$AP190),0)</f>
        <v>254.01</v>
      </c>
      <c r="AR190" s="251">
        <f>IF($S190,INDEX('Tarieven W&amp;O'!$G:$G,MATCH(N190&amp;R190,'Tarieven W&amp;O'!$B:$B,0)),0)</f>
        <v>0</v>
      </c>
      <c r="AS190" s="205">
        <f>-INDEX(Parameters!$B:$B,MATCH(AS$3,Parameters!$A:$A,0))*(AQ190+AR190)</f>
        <v>0</v>
      </c>
      <c r="AT190" s="205">
        <f>INDEX(hulpblad!$E:$E,MATCH(M190&amp;Q190,hulpblad!$B:$B,0))</f>
        <v>1</v>
      </c>
      <c r="AU190" s="150">
        <f t="shared" si="101"/>
        <v>255.01</v>
      </c>
      <c r="AV190" s="150">
        <f t="shared" si="102"/>
        <v>255.70444444444445</v>
      </c>
      <c r="AX190" s="526">
        <f>Parameters!$B$6*AV190</f>
        <v>2.5570444444444447</v>
      </c>
      <c r="AY190" s="150">
        <v>0</v>
      </c>
      <c r="AZ190" s="150"/>
      <c r="BA190" s="150">
        <f t="shared" si="99"/>
        <v>2.5570444444444447</v>
      </c>
      <c r="BB190" s="150"/>
      <c r="BC190" s="522">
        <f t="shared" si="100"/>
        <v>258.26148888888889</v>
      </c>
      <c r="BD190" s="175"/>
      <c r="BE190" s="527">
        <f t="shared" si="103"/>
        <v>769.51628888888899</v>
      </c>
      <c r="BF190" s="181">
        <f t="shared" si="104"/>
        <v>0.74871855135135146</v>
      </c>
      <c r="BG190" s="520" t="b">
        <f t="shared" si="93"/>
        <v>0</v>
      </c>
      <c r="BI190" s="528" t="s">
        <v>2181</v>
      </c>
      <c r="BL190" s="151" t="str">
        <f t="shared" si="106"/>
        <v>EoKMetro - Regionaal</v>
      </c>
      <c r="BM190" s="529">
        <v>0</v>
      </c>
      <c r="BN190" s="180">
        <f>BM190/INDEX(Parameters!$B:$B,MATCH("AfschrijftermijnVVE"&amp;12*$C190,Parameters!$A:$A,0))</f>
        <v>0</v>
      </c>
      <c r="BO190" s="184">
        <f>INDEX('inkoop ULL tbv EVPN'!I:I,MATCH(BL190,'inkoop ULL tbv EVPN'!H:H,0))</f>
        <v>2</v>
      </c>
      <c r="BP190" s="184">
        <f t="shared" si="107"/>
        <v>2</v>
      </c>
      <c r="BR190" s="180">
        <f>Parameters!$B$12*AG190</f>
        <v>102.77777777777779</v>
      </c>
      <c r="BS190" s="180">
        <f>SUM(Distributievergoedingen!$F$12,Distributievergoedingen!$I$12,Distributievergoedingen!$L$12,Distributievergoedingen!$O$12)*AF190+SUM(Distributievergoedingen!$O$12*AA190+Distributievergoedingen!$R$12+Distributievergoedingen!$U$12+Distributievergoedingen!$X$12)/(MAX(36,12*C190))</f>
        <v>112.77777777777777</v>
      </c>
      <c r="BT190" s="150"/>
      <c r="BU190" s="150">
        <f t="shared" si="108"/>
        <v>215.55555555555554</v>
      </c>
      <c r="BW190" s="522">
        <f t="shared" si="109"/>
        <v>217.55555555555554</v>
      </c>
      <c r="BY190" s="527">
        <f t="shared" si="110"/>
        <v>810.22222222222229</v>
      </c>
      <c r="BZ190" s="181">
        <f t="shared" si="111"/>
        <v>0.78832432432432431</v>
      </c>
      <c r="CA190" s="520" t="b">
        <f t="shared" si="112"/>
        <v>0</v>
      </c>
    </row>
    <row r="191" spans="1:79" s="151" customFormat="1">
      <c r="A191" s="151" t="str">
        <f t="shared" si="105"/>
        <v>2EoKPremiumCity500</v>
      </c>
      <c r="B191" s="520" t="str">
        <f t="shared" si="113"/>
        <v>2EoKPremiumCity500</v>
      </c>
      <c r="C191" s="179">
        <v>2</v>
      </c>
      <c r="D191" s="179" t="s">
        <v>303</v>
      </c>
      <c r="E191" s="178" t="s">
        <v>267</v>
      </c>
      <c r="F191" s="178" t="s">
        <v>262</v>
      </c>
      <c r="G191" s="185" t="s">
        <v>421</v>
      </c>
      <c r="J191" s="520" t="str">
        <f t="shared" si="91"/>
        <v>PremiumCity500</v>
      </c>
      <c r="L191" s="204">
        <f>INDEX(Mapping!$H:$H,MATCH(C$3&amp;C191,Mapping!$B:$B,0))</f>
        <v>1</v>
      </c>
      <c r="M191" s="204" t="str">
        <f>INDEX(Mapping!$H:$H,MATCH(D$3&amp;$D191,Mapping!$B:$B,0))</f>
        <v>EoK</v>
      </c>
      <c r="N191" s="204" t="str">
        <f>INDEX(Mapping!$H:$H,MATCH(E$3&amp;E191,Mapping!$B:$B,0))</f>
        <v>Premium</v>
      </c>
      <c r="O191" s="204" t="str">
        <f>INDEX(Mapping!$H:$H,MATCH(F$3&amp;F191,Mapping!$B:$B,0))</f>
        <v>Metro</v>
      </c>
      <c r="P191" s="204">
        <f>INDEX(Mapping!$H:$H,MATCH(G$3&amp;G191,Mapping!$B:$B,0))</f>
        <v>500</v>
      </c>
      <c r="Q191" s="204" t="str">
        <f>INDEX(Mapping!$H:$H,MATCH(Q$3&amp;$F191,Mapping!$B:$B,0))</f>
        <v>Metro - Regionaal</v>
      </c>
      <c r="R191" s="204" t="str">
        <f>INDEX(Mapping!$H:$H,MATCH("ZM VPN Service Level"&amp;E191,Mapping!$B:$B,0))</f>
        <v>Advanced</v>
      </c>
      <c r="S191" s="139" t="b">
        <f>IF($D191="EoK",INDEX(Mapping!$I:$I,MATCH($G$3&amp;$G191,Mapping!B:B,0)),FALSE)</f>
        <v>0</v>
      </c>
      <c r="T191" s="139"/>
      <c r="U191" s="520" t="str">
        <f t="shared" si="92"/>
        <v>PremiumMetro500</v>
      </c>
      <c r="W191" s="521">
        <f>MATCH($J191,'Tarieven ZM'!$B:$B,0)</f>
        <v>81</v>
      </c>
      <c r="X191" s="204">
        <f>INDEX('Tarieven ZM'!$H:$H,$W191)</f>
        <v>1000</v>
      </c>
      <c r="Y191" s="198">
        <f>-INDEX(Parameters!$B:$B,MATCH(Y$3&amp;$C191,Parameters!$A:$A,0))*$X191</f>
        <v>0</v>
      </c>
      <c r="Z191" s="198">
        <f>-INDEX(Parameters!$B:$B,MATCH(Z$3&amp;$C191,Parameters!$A:$A,0))*$X191</f>
        <v>0</v>
      </c>
      <c r="AA191" s="139">
        <f t="shared" si="94"/>
        <v>1000</v>
      </c>
      <c r="AB191" s="205">
        <f>AA191/INDEX(Parameters!$B:$B,MATCH("AfschrijftermijnVVE"&amp;12*$C191,Parameters!$A:$A,0))</f>
        <v>27.777777777777779</v>
      </c>
      <c r="AC191" s="204">
        <f>INDEX('Tarieven ZM'!$G:$G,$W191)</f>
        <v>1000</v>
      </c>
      <c r="AD191" s="198">
        <f>-INDEX(Parameters!$B:$B,MATCH(AD$3&amp;$C191,Parameters!$A:$A,0))*$AC191</f>
        <v>0</v>
      </c>
      <c r="AE191" s="198">
        <f>-INDEX(Parameters!$B:$B,MATCH(AE$3,Parameters!$A:$A,0))*$AC191</f>
        <v>0</v>
      </c>
      <c r="AF191" s="139">
        <f t="shared" si="95"/>
        <v>1000</v>
      </c>
      <c r="AG191" s="522">
        <f t="shared" si="96"/>
        <v>1027.7777777777778</v>
      </c>
      <c r="AH191" s="175"/>
      <c r="AI191" s="523">
        <f>MATCH($U191,'Tarieven W&amp;O'!$B:$B,0)</f>
        <v>73</v>
      </c>
      <c r="AJ191" s="204">
        <f>IF(AI191&lt;&gt;"nvt",INDEX('Tarieven W&amp;O'!$H:$H,$AI191),0)</f>
        <v>0</v>
      </c>
      <c r="AK191" s="204">
        <f>IF(AI191&lt;&gt;"nvt",INDEX('Tarieven W&amp;O'!$I:$I,$AI191),0)</f>
        <v>25</v>
      </c>
      <c r="AL191" s="524">
        <f>IF(AI191&lt;&gt;"nvt",-INDEX(Parameters!$B:$B,MATCH(AL$3,Parameters!$A:$A,0))*(AJ191+AK191),0)</f>
        <v>0</v>
      </c>
      <c r="AM191" s="525"/>
      <c r="AN191" s="139">
        <f t="shared" si="97"/>
        <v>25</v>
      </c>
      <c r="AO191" s="205">
        <f>AN191/INDEX(Parameters!$B:$B,MATCH("AfschrijftermijnVVE"&amp;12*$C191,Parameters!$A:$A,0))</f>
        <v>0.69444444444444442</v>
      </c>
      <c r="AP191" s="139">
        <f t="shared" si="98"/>
        <v>73</v>
      </c>
      <c r="AQ191" s="526">
        <f>IF(AP191&lt;&gt;"nvt",INDEX('Tarieven W&amp;O'!$G:$G,$AP191),0)</f>
        <v>310.54000000000002</v>
      </c>
      <c r="AR191" s="251">
        <f>IF($S191,INDEX('Tarieven W&amp;O'!$G:$G,MATCH(N191&amp;R191,'Tarieven W&amp;O'!$B:$B,0)),0)</f>
        <v>0</v>
      </c>
      <c r="AS191" s="205">
        <f>-INDEX(Parameters!$B:$B,MATCH(AS$3,Parameters!$A:$A,0))*(AQ191+AR191)</f>
        <v>0</v>
      </c>
      <c r="AT191" s="205">
        <f>INDEX(hulpblad!$E:$E,MATCH(M191&amp;Q191,hulpblad!$B:$B,0))</f>
        <v>1</v>
      </c>
      <c r="AU191" s="150">
        <f t="shared" si="101"/>
        <v>311.54000000000002</v>
      </c>
      <c r="AV191" s="150">
        <f t="shared" si="102"/>
        <v>312.23444444444448</v>
      </c>
      <c r="AX191" s="526">
        <f>Parameters!$B$6*AV191</f>
        <v>3.1223444444444448</v>
      </c>
      <c r="AY191" s="150">
        <v>0</v>
      </c>
      <c r="AZ191" s="150"/>
      <c r="BA191" s="150">
        <f t="shared" si="99"/>
        <v>3.1223444444444448</v>
      </c>
      <c r="BB191" s="150"/>
      <c r="BC191" s="522">
        <f t="shared" si="100"/>
        <v>315.3567888888889</v>
      </c>
      <c r="BD191" s="175"/>
      <c r="BE191" s="527">
        <f t="shared" si="103"/>
        <v>712.42098888888893</v>
      </c>
      <c r="BF191" s="181">
        <f t="shared" si="104"/>
        <v>0.69316636756756755</v>
      </c>
      <c r="BG191" s="520" t="b">
        <f t="shared" si="93"/>
        <v>0</v>
      </c>
      <c r="BI191" s="528" t="s">
        <v>2181</v>
      </c>
      <c r="BL191" s="151" t="str">
        <f t="shared" si="106"/>
        <v>EoKMetro - Regionaal</v>
      </c>
      <c r="BM191" s="529">
        <v>0</v>
      </c>
      <c r="BN191" s="180">
        <f>BM191/INDEX(Parameters!$B:$B,MATCH("AfschrijftermijnVVE"&amp;12*$C191,Parameters!$A:$A,0))</f>
        <v>0</v>
      </c>
      <c r="BO191" s="184">
        <f>INDEX('inkoop ULL tbv EVPN'!I:I,MATCH(BL191,'inkoop ULL tbv EVPN'!H:H,0))</f>
        <v>2</v>
      </c>
      <c r="BP191" s="184">
        <f t="shared" si="107"/>
        <v>2</v>
      </c>
      <c r="BR191" s="180">
        <f>Parameters!$B$12*AG191</f>
        <v>102.77777777777779</v>
      </c>
      <c r="BS191" s="180">
        <f>SUM(Distributievergoedingen!$F$12,Distributievergoedingen!$I$12,Distributievergoedingen!$L$12,Distributievergoedingen!$O$12)*AF191+SUM(Distributievergoedingen!$O$12*AA191+Distributievergoedingen!$R$12+Distributievergoedingen!$U$12+Distributievergoedingen!$X$12)/(MAX(36,12*C191))</f>
        <v>112.77777777777777</v>
      </c>
      <c r="BT191" s="150"/>
      <c r="BU191" s="150">
        <f t="shared" si="108"/>
        <v>215.55555555555554</v>
      </c>
      <c r="BW191" s="522">
        <f t="shared" si="109"/>
        <v>217.55555555555554</v>
      </c>
      <c r="BY191" s="527">
        <f t="shared" si="110"/>
        <v>810.22222222222229</v>
      </c>
      <c r="BZ191" s="181">
        <f t="shared" si="111"/>
        <v>0.78832432432432431</v>
      </c>
      <c r="CA191" s="520" t="b">
        <f t="shared" si="112"/>
        <v>0</v>
      </c>
    </row>
    <row r="192" spans="1:79" s="151" customFormat="1">
      <c r="A192" s="151" t="str">
        <f t="shared" si="105"/>
        <v>2EoKPremiumCity800</v>
      </c>
      <c r="B192" s="520" t="str">
        <f t="shared" si="113"/>
        <v>2EoKPremiumCity800</v>
      </c>
      <c r="C192" s="179">
        <v>2</v>
      </c>
      <c r="D192" s="179" t="s">
        <v>303</v>
      </c>
      <c r="E192" s="178" t="s">
        <v>267</v>
      </c>
      <c r="F192" s="178" t="s">
        <v>262</v>
      </c>
      <c r="G192" s="185" t="s">
        <v>422</v>
      </c>
      <c r="J192" s="520" t="str">
        <f t="shared" si="91"/>
        <v>PremiumCity800</v>
      </c>
      <c r="L192" s="204">
        <f>INDEX(Mapping!$H:$H,MATCH(C$3&amp;C192,Mapping!$B:$B,0))</f>
        <v>1</v>
      </c>
      <c r="M192" s="204" t="str">
        <f>INDEX(Mapping!$H:$H,MATCH(D$3&amp;$D192,Mapping!$B:$B,0))</f>
        <v>EoK</v>
      </c>
      <c r="N192" s="204" t="str">
        <f>INDEX(Mapping!$H:$H,MATCH(E$3&amp;E192,Mapping!$B:$B,0))</f>
        <v>Premium</v>
      </c>
      <c r="O192" s="204" t="str">
        <f>INDEX(Mapping!$H:$H,MATCH(F$3&amp;F192,Mapping!$B:$B,0))</f>
        <v>Metro</v>
      </c>
      <c r="P192" s="204">
        <f>INDEX(Mapping!$H:$H,MATCH(G$3&amp;G192,Mapping!$B:$B,0))</f>
        <v>800</v>
      </c>
      <c r="Q192" s="204" t="str">
        <f>INDEX(Mapping!$H:$H,MATCH(Q$3&amp;$F192,Mapping!$B:$B,0))</f>
        <v>Metro - Regionaal</v>
      </c>
      <c r="R192" s="204" t="str">
        <f>INDEX(Mapping!$H:$H,MATCH("ZM VPN Service Level"&amp;E192,Mapping!$B:$B,0))</f>
        <v>Advanced</v>
      </c>
      <c r="S192" s="139" t="b">
        <f>IF($D192="EoK",INDEX(Mapping!$I:$I,MATCH($G$3&amp;$G192,Mapping!B:B,0)),FALSE)</f>
        <v>0</v>
      </c>
      <c r="T192" s="139"/>
      <c r="U192" s="520" t="str">
        <f t="shared" si="92"/>
        <v>PremiumMetro800</v>
      </c>
      <c r="W192" s="521">
        <f>MATCH($J192,'Tarieven ZM'!$B:$B,0)</f>
        <v>82</v>
      </c>
      <c r="X192" s="204">
        <f>INDEX('Tarieven ZM'!$H:$H,$W192)</f>
        <v>1000</v>
      </c>
      <c r="Y192" s="198">
        <f>-INDEX(Parameters!$B:$B,MATCH(Y$3&amp;$C192,Parameters!$A:$A,0))*$X192</f>
        <v>0</v>
      </c>
      <c r="Z192" s="198">
        <f>-INDEX(Parameters!$B:$B,MATCH(Z$3&amp;$C192,Parameters!$A:$A,0))*$X192</f>
        <v>0</v>
      </c>
      <c r="AA192" s="139">
        <f t="shared" si="94"/>
        <v>1000</v>
      </c>
      <c r="AB192" s="205">
        <f>AA192/INDEX(Parameters!$B:$B,MATCH("AfschrijftermijnVVE"&amp;12*$C192,Parameters!$A:$A,0))</f>
        <v>27.777777777777779</v>
      </c>
      <c r="AC192" s="204">
        <f>INDEX('Tarieven ZM'!$G:$G,$W192)</f>
        <v>1000</v>
      </c>
      <c r="AD192" s="198">
        <f>-INDEX(Parameters!$B:$B,MATCH(AD$3&amp;$C192,Parameters!$A:$A,0))*$AC192</f>
        <v>0</v>
      </c>
      <c r="AE192" s="198">
        <f>-INDEX(Parameters!$B:$B,MATCH(AE$3,Parameters!$A:$A,0))*$AC192</f>
        <v>0</v>
      </c>
      <c r="AF192" s="139">
        <f t="shared" si="95"/>
        <v>1000</v>
      </c>
      <c r="AG192" s="522">
        <f t="shared" si="96"/>
        <v>1027.7777777777778</v>
      </c>
      <c r="AH192" s="175"/>
      <c r="AI192" s="523">
        <f>MATCH($U192,'Tarieven W&amp;O'!$B:$B,0)</f>
        <v>74</v>
      </c>
      <c r="AJ192" s="204">
        <f>IF(AI192&lt;&gt;"nvt",INDEX('Tarieven W&amp;O'!$H:$H,$AI192),0)</f>
        <v>0</v>
      </c>
      <c r="AK192" s="204">
        <f>IF(AI192&lt;&gt;"nvt",INDEX('Tarieven W&amp;O'!$I:$I,$AI192),0)</f>
        <v>25</v>
      </c>
      <c r="AL192" s="524">
        <f>IF(AI192&lt;&gt;"nvt",-INDEX(Parameters!$B:$B,MATCH(AL$3,Parameters!$A:$A,0))*(AJ192+AK192),0)</f>
        <v>0</v>
      </c>
      <c r="AM192" s="525"/>
      <c r="AN192" s="139">
        <f t="shared" si="97"/>
        <v>25</v>
      </c>
      <c r="AO192" s="205">
        <f>AN192/INDEX(Parameters!$B:$B,MATCH("AfschrijftermijnVVE"&amp;12*$C192,Parameters!$A:$A,0))</f>
        <v>0.69444444444444442</v>
      </c>
      <c r="AP192" s="139">
        <f t="shared" si="98"/>
        <v>74</v>
      </c>
      <c r="AQ192" s="526">
        <f>IF(AP192&lt;&gt;"nvt",INDEX('Tarieven W&amp;O'!$G:$G,$AP192),0)</f>
        <v>348.23</v>
      </c>
      <c r="AR192" s="251">
        <f>IF($S192,INDEX('Tarieven W&amp;O'!$G:$G,MATCH(N192&amp;R192,'Tarieven W&amp;O'!$B:$B,0)),0)</f>
        <v>0</v>
      </c>
      <c r="AS192" s="205">
        <f>-INDEX(Parameters!$B:$B,MATCH(AS$3,Parameters!$A:$A,0))*(AQ192+AR192)</f>
        <v>0</v>
      </c>
      <c r="AT192" s="205">
        <f>INDEX(hulpblad!$E:$E,MATCH(M192&amp;Q192,hulpblad!$B:$B,0))</f>
        <v>1</v>
      </c>
      <c r="AU192" s="150">
        <f t="shared" si="101"/>
        <v>349.23</v>
      </c>
      <c r="AV192" s="150">
        <f t="shared" si="102"/>
        <v>349.92444444444448</v>
      </c>
      <c r="AX192" s="526">
        <f>Parameters!$B$6*AV192</f>
        <v>3.4992444444444448</v>
      </c>
      <c r="AY192" s="150">
        <v>0</v>
      </c>
      <c r="AZ192" s="150"/>
      <c r="BA192" s="150">
        <f t="shared" si="99"/>
        <v>3.4992444444444448</v>
      </c>
      <c r="BB192" s="150"/>
      <c r="BC192" s="522">
        <f t="shared" si="100"/>
        <v>353.42368888888893</v>
      </c>
      <c r="BD192" s="175"/>
      <c r="BE192" s="527">
        <f t="shared" si="103"/>
        <v>674.3540888888889</v>
      </c>
      <c r="BF192" s="181">
        <f t="shared" si="104"/>
        <v>0.65612830270270273</v>
      </c>
      <c r="BG192" s="520" t="b">
        <f t="shared" si="93"/>
        <v>0</v>
      </c>
      <c r="BI192" s="528" t="s">
        <v>2181</v>
      </c>
      <c r="BL192" s="151" t="str">
        <f t="shared" si="106"/>
        <v>EoKMetro - Regionaal</v>
      </c>
      <c r="BM192" s="529">
        <v>0</v>
      </c>
      <c r="BN192" s="180">
        <f>BM192/INDEX(Parameters!$B:$B,MATCH("AfschrijftermijnVVE"&amp;12*$C192,Parameters!$A:$A,0))</f>
        <v>0</v>
      </c>
      <c r="BO192" s="184">
        <f>INDEX('inkoop ULL tbv EVPN'!I:I,MATCH(BL192,'inkoop ULL tbv EVPN'!H:H,0))</f>
        <v>2</v>
      </c>
      <c r="BP192" s="184">
        <f t="shared" si="107"/>
        <v>2</v>
      </c>
      <c r="BR192" s="180">
        <f>Parameters!$B$12*AG192</f>
        <v>102.77777777777779</v>
      </c>
      <c r="BS192" s="180">
        <f>SUM(Distributievergoedingen!$F$12,Distributievergoedingen!$I$12,Distributievergoedingen!$L$12,Distributievergoedingen!$O$12)*AF192+SUM(Distributievergoedingen!$O$12*AA192+Distributievergoedingen!$R$12+Distributievergoedingen!$U$12+Distributievergoedingen!$X$12)/(MAX(36,12*C192))</f>
        <v>112.77777777777777</v>
      </c>
      <c r="BT192" s="150"/>
      <c r="BU192" s="150">
        <f t="shared" si="108"/>
        <v>215.55555555555554</v>
      </c>
      <c r="BW192" s="522">
        <f t="shared" si="109"/>
        <v>217.55555555555554</v>
      </c>
      <c r="BY192" s="527">
        <f t="shared" si="110"/>
        <v>810.22222222222229</v>
      </c>
      <c r="BZ192" s="181">
        <f t="shared" si="111"/>
        <v>0.78832432432432431</v>
      </c>
      <c r="CA192" s="520" t="b">
        <f t="shared" si="112"/>
        <v>0</v>
      </c>
    </row>
    <row r="193" spans="1:79" s="151" customFormat="1">
      <c r="A193" s="151" t="str">
        <f t="shared" si="105"/>
        <v>2EoKPremiumCity1000</v>
      </c>
      <c r="B193" s="520" t="str">
        <f t="shared" si="113"/>
        <v>2EoKPremiumCity1000</v>
      </c>
      <c r="C193" s="179">
        <v>2</v>
      </c>
      <c r="D193" s="179" t="s">
        <v>303</v>
      </c>
      <c r="E193" s="178" t="s">
        <v>267</v>
      </c>
      <c r="F193" s="178" t="s">
        <v>262</v>
      </c>
      <c r="G193" s="185" t="s">
        <v>423</v>
      </c>
      <c r="J193" s="520" t="str">
        <f t="shared" si="91"/>
        <v>PremiumCity1000</v>
      </c>
      <c r="L193" s="204">
        <f>INDEX(Mapping!$H:$H,MATCH(C$3&amp;C193,Mapping!$B:$B,0))</f>
        <v>1</v>
      </c>
      <c r="M193" s="204" t="str">
        <f>INDEX(Mapping!$H:$H,MATCH(D$3&amp;$D193,Mapping!$B:$B,0))</f>
        <v>EoK</v>
      </c>
      <c r="N193" s="204" t="str">
        <f>INDEX(Mapping!$H:$H,MATCH(E$3&amp;E193,Mapping!$B:$B,0))</f>
        <v>Premium</v>
      </c>
      <c r="O193" s="204" t="str">
        <f>INDEX(Mapping!$H:$H,MATCH(F$3&amp;F193,Mapping!$B:$B,0))</f>
        <v>Metro</v>
      </c>
      <c r="P193" s="204">
        <f>INDEX(Mapping!$H:$H,MATCH(G$3&amp;G193,Mapping!$B:$B,0))</f>
        <v>1000</v>
      </c>
      <c r="Q193" s="204" t="str">
        <f>INDEX(Mapping!$H:$H,MATCH(Q$3&amp;$F193,Mapping!$B:$B,0))</f>
        <v>Metro - Regionaal</v>
      </c>
      <c r="R193" s="204" t="str">
        <f>INDEX(Mapping!$H:$H,MATCH("ZM VPN Service Level"&amp;E193,Mapping!$B:$B,0))</f>
        <v>Advanced</v>
      </c>
      <c r="S193" s="139" t="b">
        <f>IF($D193="EoK",INDEX(Mapping!$I:$I,MATCH($G$3&amp;$G193,Mapping!B:B,0)),FALSE)</f>
        <v>0</v>
      </c>
      <c r="T193" s="139"/>
      <c r="U193" s="520" t="str">
        <f t="shared" si="92"/>
        <v>PremiumMetro1000</v>
      </c>
      <c r="W193" s="521">
        <f>MATCH($J193,'Tarieven ZM'!$B:$B,0)</f>
        <v>83</v>
      </c>
      <c r="X193" s="204">
        <f>INDEX('Tarieven ZM'!$H:$H,$W193)</f>
        <v>1000</v>
      </c>
      <c r="Y193" s="198">
        <f>-INDEX(Parameters!$B:$B,MATCH(Y$3&amp;$C193,Parameters!$A:$A,0))*$X193</f>
        <v>0</v>
      </c>
      <c r="Z193" s="198">
        <f>-INDEX(Parameters!$B:$B,MATCH(Z$3&amp;$C193,Parameters!$A:$A,0))*$X193</f>
        <v>0</v>
      </c>
      <c r="AA193" s="139">
        <f t="shared" si="94"/>
        <v>1000</v>
      </c>
      <c r="AB193" s="205">
        <f>AA193/INDEX(Parameters!$B:$B,MATCH("AfschrijftermijnVVE"&amp;12*$C193,Parameters!$A:$A,0))</f>
        <v>27.777777777777779</v>
      </c>
      <c r="AC193" s="204">
        <f>INDEX('Tarieven ZM'!$G:$G,$W193)</f>
        <v>1000</v>
      </c>
      <c r="AD193" s="198">
        <f>-INDEX(Parameters!$B:$B,MATCH(AD$3&amp;$C193,Parameters!$A:$A,0))*$AC193</f>
        <v>0</v>
      </c>
      <c r="AE193" s="198">
        <f>-INDEX(Parameters!$B:$B,MATCH(AE$3,Parameters!$A:$A,0))*$AC193</f>
        <v>0</v>
      </c>
      <c r="AF193" s="139">
        <f t="shared" si="95"/>
        <v>1000</v>
      </c>
      <c r="AG193" s="522">
        <f t="shared" si="96"/>
        <v>1027.7777777777778</v>
      </c>
      <c r="AH193" s="175"/>
      <c r="AI193" s="523">
        <f>MATCH($U193,'Tarieven W&amp;O'!$B:$B,0)</f>
        <v>75</v>
      </c>
      <c r="AJ193" s="204">
        <f>IF(AI193&lt;&gt;"nvt",INDEX('Tarieven W&amp;O'!$H:$H,$AI193),0)</f>
        <v>0</v>
      </c>
      <c r="AK193" s="204">
        <f>IF(AI193&lt;&gt;"nvt",INDEX('Tarieven W&amp;O'!$I:$I,$AI193),0)</f>
        <v>25</v>
      </c>
      <c r="AL193" s="524">
        <f>IF(AI193&lt;&gt;"nvt",-INDEX(Parameters!$B:$B,MATCH(AL$3,Parameters!$A:$A,0))*(AJ193+AK193),0)</f>
        <v>0</v>
      </c>
      <c r="AM193" s="525"/>
      <c r="AN193" s="139">
        <f t="shared" si="97"/>
        <v>25</v>
      </c>
      <c r="AO193" s="205">
        <f>AN193/INDEX(Parameters!$B:$B,MATCH("AfschrijftermijnVVE"&amp;12*$C193,Parameters!$A:$A,0))</f>
        <v>0.69444444444444442</v>
      </c>
      <c r="AP193" s="139">
        <f t="shared" si="98"/>
        <v>75</v>
      </c>
      <c r="AQ193" s="526">
        <f>IF(AP193&lt;&gt;"nvt",INDEX('Tarieven W&amp;O'!$G:$G,$AP193),0)</f>
        <v>385.93</v>
      </c>
      <c r="AR193" s="251">
        <f>IF($S193,INDEX('Tarieven W&amp;O'!$G:$G,MATCH(N193&amp;R193,'Tarieven W&amp;O'!$B:$B,0)),0)</f>
        <v>0</v>
      </c>
      <c r="AS193" s="205">
        <f>-INDEX(Parameters!$B:$B,MATCH(AS$3,Parameters!$A:$A,0))*(AQ193+AR193)</f>
        <v>0</v>
      </c>
      <c r="AT193" s="205">
        <f>INDEX(hulpblad!$E:$E,MATCH(M193&amp;Q193,hulpblad!$B:$B,0))</f>
        <v>1</v>
      </c>
      <c r="AU193" s="150">
        <f t="shared" si="101"/>
        <v>386.93</v>
      </c>
      <c r="AV193" s="150">
        <f t="shared" si="102"/>
        <v>387.62444444444446</v>
      </c>
      <c r="AX193" s="526">
        <f>Parameters!$B$6*AV193</f>
        <v>3.8762444444444446</v>
      </c>
      <c r="AY193" s="150">
        <v>0</v>
      </c>
      <c r="AZ193" s="150"/>
      <c r="BA193" s="150">
        <f t="shared" si="99"/>
        <v>3.8762444444444446</v>
      </c>
      <c r="BB193" s="150"/>
      <c r="BC193" s="522">
        <f t="shared" si="100"/>
        <v>391.50068888888893</v>
      </c>
      <c r="BD193" s="175"/>
      <c r="BE193" s="527">
        <f t="shared" si="103"/>
        <v>636.2770888888889</v>
      </c>
      <c r="BF193" s="181">
        <f t="shared" si="104"/>
        <v>0.61908041081081078</v>
      </c>
      <c r="BG193" s="520" t="b">
        <f t="shared" si="93"/>
        <v>0</v>
      </c>
      <c r="BI193" s="528" t="s">
        <v>2181</v>
      </c>
      <c r="BL193" s="151" t="str">
        <f t="shared" si="106"/>
        <v>EoKMetro - Regionaal</v>
      </c>
      <c r="BM193" s="529">
        <v>0</v>
      </c>
      <c r="BN193" s="180">
        <f>BM193/INDEX(Parameters!$B:$B,MATCH("AfschrijftermijnVVE"&amp;12*$C193,Parameters!$A:$A,0))</f>
        <v>0</v>
      </c>
      <c r="BO193" s="184">
        <f>INDEX('inkoop ULL tbv EVPN'!I:I,MATCH(BL193,'inkoop ULL tbv EVPN'!H:H,0))</f>
        <v>2</v>
      </c>
      <c r="BP193" s="184">
        <f t="shared" si="107"/>
        <v>2</v>
      </c>
      <c r="BR193" s="180">
        <f>Parameters!$B$12*AG193</f>
        <v>102.77777777777779</v>
      </c>
      <c r="BS193" s="180">
        <f>SUM(Distributievergoedingen!$F$12,Distributievergoedingen!$I$12,Distributievergoedingen!$L$12,Distributievergoedingen!$O$12)*AF193+SUM(Distributievergoedingen!$O$12*AA193+Distributievergoedingen!$R$12+Distributievergoedingen!$U$12+Distributievergoedingen!$X$12)/(MAX(36,12*C193))</f>
        <v>112.77777777777777</v>
      </c>
      <c r="BT193" s="150"/>
      <c r="BU193" s="150">
        <f t="shared" si="108"/>
        <v>215.55555555555554</v>
      </c>
      <c r="BW193" s="522">
        <f t="shared" si="109"/>
        <v>217.55555555555554</v>
      </c>
      <c r="BY193" s="527">
        <f t="shared" si="110"/>
        <v>810.22222222222229</v>
      </c>
      <c r="BZ193" s="181">
        <f t="shared" si="111"/>
        <v>0.78832432432432431</v>
      </c>
      <c r="CA193" s="520" t="b">
        <f t="shared" si="112"/>
        <v>0</v>
      </c>
    </row>
    <row r="194" spans="1:79" s="151" customFormat="1">
      <c r="A194" s="151" t="str">
        <f t="shared" si="105"/>
        <v>2EoKPremiumRegionaal1</v>
      </c>
      <c r="B194" s="520" t="str">
        <f t="shared" si="113"/>
        <v>2EoKPremiumRegionaal1</v>
      </c>
      <c r="C194" s="179">
        <v>2</v>
      </c>
      <c r="D194" s="179" t="s">
        <v>303</v>
      </c>
      <c r="E194" s="178" t="s">
        <v>267</v>
      </c>
      <c r="F194" s="178" t="s">
        <v>265</v>
      </c>
      <c r="G194" s="185" t="s">
        <v>362</v>
      </c>
      <c r="J194" s="520" t="str">
        <f t="shared" si="91"/>
        <v>PremiumRegionaal1</v>
      </c>
      <c r="L194" s="204">
        <f>INDEX(Mapping!$H:$H,MATCH(C$3&amp;C194,Mapping!$B:$B,0))</f>
        <v>1</v>
      </c>
      <c r="M194" s="204" t="str">
        <f>INDEX(Mapping!$H:$H,MATCH(D$3&amp;$D194,Mapping!$B:$B,0))</f>
        <v>EoK</v>
      </c>
      <c r="N194" s="204" t="str">
        <f>INDEX(Mapping!$H:$H,MATCH(E$3&amp;E194,Mapping!$B:$B,0))</f>
        <v>Premium</v>
      </c>
      <c r="O194" s="204" t="str">
        <f>INDEX(Mapping!$H:$H,MATCH(F$3&amp;F194,Mapping!$B:$B,0))</f>
        <v>Metro</v>
      </c>
      <c r="P194" s="204">
        <f>INDEX(Mapping!$H:$H,MATCH(G$3&amp;G194,Mapping!$B:$B,0))</f>
        <v>1</v>
      </c>
      <c r="Q194" s="204" t="str">
        <f>INDEX(Mapping!$H:$H,MATCH(Q$3&amp;$F194,Mapping!$B:$B,0))</f>
        <v>Metro - Nationaal</v>
      </c>
      <c r="R194" s="204" t="str">
        <f>INDEX(Mapping!$H:$H,MATCH("ZM VPN Service Level"&amp;E194,Mapping!$B:$B,0))</f>
        <v>Advanced</v>
      </c>
      <c r="S194" s="139" t="b">
        <f>IF($D194="EoK",INDEX(Mapping!$I:$I,MATCH($G$3&amp;$G194,Mapping!B:B,0)),FALSE)</f>
        <v>1</v>
      </c>
      <c r="T194" s="139"/>
      <c r="U194" s="520" t="str">
        <f t="shared" si="92"/>
        <v>PremiumMetro1</v>
      </c>
      <c r="W194" s="521">
        <f>MATCH($J194,'Tarieven ZM'!$B:$B,0)</f>
        <v>84</v>
      </c>
      <c r="X194" s="204">
        <f>INDEX('Tarieven ZM'!$H:$H,$W194)</f>
        <v>1000</v>
      </c>
      <c r="Y194" s="198">
        <f>-INDEX(Parameters!$B:$B,MATCH(Y$3&amp;$C194,Parameters!$A:$A,0))*$X194</f>
        <v>0</v>
      </c>
      <c r="Z194" s="198">
        <f>-INDEX(Parameters!$B:$B,MATCH(Z$3&amp;$C194,Parameters!$A:$A,0))*$X194</f>
        <v>0</v>
      </c>
      <c r="AA194" s="139">
        <f t="shared" si="94"/>
        <v>1000</v>
      </c>
      <c r="AB194" s="205">
        <f>AA194/INDEX(Parameters!$B:$B,MATCH("AfschrijftermijnVVE"&amp;12*$C194,Parameters!$A:$A,0))</f>
        <v>27.777777777777779</v>
      </c>
      <c r="AC194" s="204">
        <f>INDEX('Tarieven ZM'!$G:$G,$W194)</f>
        <v>1000</v>
      </c>
      <c r="AD194" s="198">
        <f>-INDEX(Parameters!$B:$B,MATCH(AD$3&amp;$C194,Parameters!$A:$A,0))*$AC194</f>
        <v>0</v>
      </c>
      <c r="AE194" s="198">
        <f>-INDEX(Parameters!$B:$B,MATCH(AE$3,Parameters!$A:$A,0))*$AC194</f>
        <v>0</v>
      </c>
      <c r="AF194" s="139">
        <f t="shared" si="95"/>
        <v>1000</v>
      </c>
      <c r="AG194" s="522">
        <f t="shared" si="96"/>
        <v>1027.7777777777778</v>
      </c>
      <c r="AH194" s="175"/>
      <c r="AI194" s="523">
        <f>MATCH($U194,'Tarieven W&amp;O'!$B:$B,0)</f>
        <v>57</v>
      </c>
      <c r="AJ194" s="204">
        <f>IF(AI194&lt;&gt;"nvt",INDEX('Tarieven W&amp;O'!$H:$H,$AI194),0)</f>
        <v>0</v>
      </c>
      <c r="AK194" s="204">
        <f>IF(AI194&lt;&gt;"nvt",INDEX('Tarieven W&amp;O'!$I:$I,$AI194),0)</f>
        <v>25</v>
      </c>
      <c r="AL194" s="524">
        <f>IF(AI194&lt;&gt;"nvt",-INDEX(Parameters!$B:$B,MATCH(AL$3,Parameters!$A:$A,0))*(AJ194+AK194),0)</f>
        <v>0</v>
      </c>
      <c r="AM194" s="525"/>
      <c r="AN194" s="139">
        <f t="shared" si="97"/>
        <v>25</v>
      </c>
      <c r="AO194" s="205">
        <f>AN194/INDEX(Parameters!$B:$B,MATCH("AfschrijftermijnVVE"&amp;12*$C194,Parameters!$A:$A,0))</f>
        <v>0.69444444444444442</v>
      </c>
      <c r="AP194" s="139">
        <f t="shared" si="98"/>
        <v>57</v>
      </c>
      <c r="AQ194" s="526">
        <f>IF(AP194&lt;&gt;"nvt",INDEX('Tarieven W&amp;O'!$G:$G,$AP194),0)</f>
        <v>14.29</v>
      </c>
      <c r="AR194" s="251">
        <f>IF($S194,INDEX('Tarieven W&amp;O'!$G:$G,MATCH(N194&amp;R194,'Tarieven W&amp;O'!$B:$B,0)),0)</f>
        <v>0</v>
      </c>
      <c r="AS194" s="205">
        <f>-INDEX(Parameters!$B:$B,MATCH(AS$3,Parameters!$A:$A,0))*(AQ194+AR194)</f>
        <v>0</v>
      </c>
      <c r="AT194" s="205">
        <f>INDEX(hulpblad!$E:$E,MATCH(M194&amp;Q194,hulpblad!$B:$B,0))</f>
        <v>2</v>
      </c>
      <c r="AU194" s="150">
        <f t="shared" si="101"/>
        <v>16.29</v>
      </c>
      <c r="AV194" s="150">
        <f t="shared" si="102"/>
        <v>16.984444444444442</v>
      </c>
      <c r="AX194" s="526">
        <f>Parameters!$B$6*AV194</f>
        <v>0.16984444444444444</v>
      </c>
      <c r="AY194" s="150">
        <v>0</v>
      </c>
      <c r="AZ194" s="150"/>
      <c r="BA194" s="150">
        <f t="shared" si="99"/>
        <v>0.16984444444444444</v>
      </c>
      <c r="BB194" s="150"/>
      <c r="BC194" s="522">
        <f t="shared" si="100"/>
        <v>17.154288888888885</v>
      </c>
      <c r="BD194" s="175"/>
      <c r="BE194" s="527">
        <f t="shared" si="103"/>
        <v>1010.6234888888889</v>
      </c>
      <c r="BF194" s="181">
        <f t="shared" si="104"/>
        <v>0.98330934054054053</v>
      </c>
      <c r="BG194" s="520" t="b">
        <f t="shared" si="93"/>
        <v>0</v>
      </c>
      <c r="BI194" s="528" t="s">
        <v>2181</v>
      </c>
      <c r="BL194" s="151" t="str">
        <f t="shared" si="106"/>
        <v>EoKMetro - Nationaal</v>
      </c>
      <c r="BM194" s="529">
        <v>0</v>
      </c>
      <c r="BN194" s="180">
        <f>BM194/INDEX(Parameters!$B:$B,MATCH("AfschrijftermijnVVE"&amp;12*$C194,Parameters!$A:$A,0))</f>
        <v>0</v>
      </c>
      <c r="BO194" s="184">
        <f>INDEX('inkoop ULL tbv EVPN'!I:I,MATCH(BL194,'inkoop ULL tbv EVPN'!H:H,0))</f>
        <v>2</v>
      </c>
      <c r="BP194" s="184">
        <f t="shared" si="107"/>
        <v>2</v>
      </c>
      <c r="BR194" s="180">
        <f>Parameters!$B$12*AG194</f>
        <v>102.77777777777779</v>
      </c>
      <c r="BS194" s="180">
        <f>SUM(Distributievergoedingen!$F$12,Distributievergoedingen!$I$12,Distributievergoedingen!$L$12,Distributievergoedingen!$O$12)*AF194+SUM(Distributievergoedingen!$O$12*AA194+Distributievergoedingen!$R$12+Distributievergoedingen!$U$12+Distributievergoedingen!$X$12)/(MAX(36,12*C194))</f>
        <v>112.77777777777777</v>
      </c>
      <c r="BT194" s="150"/>
      <c r="BU194" s="150">
        <f t="shared" si="108"/>
        <v>215.55555555555554</v>
      </c>
      <c r="BW194" s="522">
        <f t="shared" si="109"/>
        <v>217.55555555555554</v>
      </c>
      <c r="BY194" s="527">
        <f t="shared" si="110"/>
        <v>810.22222222222229</v>
      </c>
      <c r="BZ194" s="181">
        <f t="shared" si="111"/>
        <v>0.78832432432432431</v>
      </c>
      <c r="CA194" s="520" t="b">
        <f t="shared" si="112"/>
        <v>0</v>
      </c>
    </row>
    <row r="195" spans="1:79" s="151" customFormat="1">
      <c r="A195" s="151" t="str">
        <f t="shared" si="105"/>
        <v>2EoKPremiumRegionaal2</v>
      </c>
      <c r="B195" s="520" t="str">
        <f t="shared" si="113"/>
        <v>2EoKPremiumRegionaal2</v>
      </c>
      <c r="C195" s="179">
        <v>2</v>
      </c>
      <c r="D195" s="179" t="s">
        <v>303</v>
      </c>
      <c r="E195" s="178" t="s">
        <v>267</v>
      </c>
      <c r="F195" s="178" t="s">
        <v>265</v>
      </c>
      <c r="G195" s="185" t="s">
        <v>363</v>
      </c>
      <c r="J195" s="520" t="str">
        <f t="shared" si="91"/>
        <v>PremiumRegionaal2</v>
      </c>
      <c r="L195" s="204">
        <f>INDEX(Mapping!$H:$H,MATCH(C$3&amp;C195,Mapping!$B:$B,0))</f>
        <v>1</v>
      </c>
      <c r="M195" s="204" t="str">
        <f>INDEX(Mapping!$H:$H,MATCH(D$3&amp;$D195,Mapping!$B:$B,0))</f>
        <v>EoK</v>
      </c>
      <c r="N195" s="204" t="str">
        <f>INDEX(Mapping!$H:$H,MATCH(E$3&amp;E195,Mapping!$B:$B,0))</f>
        <v>Premium</v>
      </c>
      <c r="O195" s="204" t="str">
        <f>INDEX(Mapping!$H:$H,MATCH(F$3&amp;F195,Mapping!$B:$B,0))</f>
        <v>Metro</v>
      </c>
      <c r="P195" s="204">
        <f>INDEX(Mapping!$H:$H,MATCH(G$3&amp;G195,Mapping!$B:$B,0))</f>
        <v>2</v>
      </c>
      <c r="Q195" s="204" t="str">
        <f>INDEX(Mapping!$H:$H,MATCH(Q$3&amp;$F195,Mapping!$B:$B,0))</f>
        <v>Metro - Nationaal</v>
      </c>
      <c r="R195" s="204" t="str">
        <f>INDEX(Mapping!$H:$H,MATCH("ZM VPN Service Level"&amp;E195,Mapping!$B:$B,0))</f>
        <v>Advanced</v>
      </c>
      <c r="S195" s="139" t="b">
        <f>IF($D195="EoK",INDEX(Mapping!$I:$I,MATCH($G$3&amp;$G195,Mapping!B:B,0)),FALSE)</f>
        <v>1</v>
      </c>
      <c r="T195" s="139"/>
      <c r="U195" s="520" t="str">
        <f t="shared" si="92"/>
        <v>PremiumMetro2</v>
      </c>
      <c r="W195" s="521">
        <f>MATCH($J195,'Tarieven ZM'!$B:$B,0)</f>
        <v>85</v>
      </c>
      <c r="X195" s="204">
        <f>INDEX('Tarieven ZM'!$H:$H,$W195)</f>
        <v>1000</v>
      </c>
      <c r="Y195" s="198">
        <f>-INDEX(Parameters!$B:$B,MATCH(Y$3&amp;$C195,Parameters!$A:$A,0))*$X195</f>
        <v>0</v>
      </c>
      <c r="Z195" s="198">
        <f>-INDEX(Parameters!$B:$B,MATCH(Z$3&amp;$C195,Parameters!$A:$A,0))*$X195</f>
        <v>0</v>
      </c>
      <c r="AA195" s="139">
        <f t="shared" si="94"/>
        <v>1000</v>
      </c>
      <c r="AB195" s="205">
        <f>AA195/INDEX(Parameters!$B:$B,MATCH("AfschrijftermijnVVE"&amp;12*$C195,Parameters!$A:$A,0))</f>
        <v>27.777777777777779</v>
      </c>
      <c r="AC195" s="204">
        <f>INDEX('Tarieven ZM'!$G:$G,$W195)</f>
        <v>1000</v>
      </c>
      <c r="AD195" s="198">
        <f>-INDEX(Parameters!$B:$B,MATCH(AD$3&amp;$C195,Parameters!$A:$A,0))*$AC195</f>
        <v>0</v>
      </c>
      <c r="AE195" s="198">
        <f>-INDEX(Parameters!$B:$B,MATCH(AE$3,Parameters!$A:$A,0))*$AC195</f>
        <v>0</v>
      </c>
      <c r="AF195" s="139">
        <f t="shared" si="95"/>
        <v>1000</v>
      </c>
      <c r="AG195" s="522">
        <f t="shared" si="96"/>
        <v>1027.7777777777778</v>
      </c>
      <c r="AH195" s="175"/>
      <c r="AI195" s="523">
        <f>MATCH($U195,'Tarieven W&amp;O'!$B:$B,0)</f>
        <v>58</v>
      </c>
      <c r="AJ195" s="204">
        <f>IF(AI195&lt;&gt;"nvt",INDEX('Tarieven W&amp;O'!$H:$H,$AI195),0)</f>
        <v>0</v>
      </c>
      <c r="AK195" s="204">
        <f>IF(AI195&lt;&gt;"nvt",INDEX('Tarieven W&amp;O'!$I:$I,$AI195),0)</f>
        <v>25</v>
      </c>
      <c r="AL195" s="524">
        <f>IF(AI195&lt;&gt;"nvt",-INDEX(Parameters!$B:$B,MATCH(AL$3,Parameters!$A:$A,0))*(AJ195+AK195),0)</f>
        <v>0</v>
      </c>
      <c r="AM195" s="525"/>
      <c r="AN195" s="139">
        <f t="shared" si="97"/>
        <v>25</v>
      </c>
      <c r="AO195" s="205">
        <f>AN195/INDEX(Parameters!$B:$B,MATCH("AfschrijftermijnVVE"&amp;12*$C195,Parameters!$A:$A,0))</f>
        <v>0.69444444444444442</v>
      </c>
      <c r="AP195" s="139">
        <f t="shared" si="98"/>
        <v>58</v>
      </c>
      <c r="AQ195" s="526">
        <f>IF(AP195&lt;&gt;"nvt",INDEX('Tarieven W&amp;O'!$G:$G,$AP195),0)</f>
        <v>16.55</v>
      </c>
      <c r="AR195" s="251">
        <f>IF($S195,INDEX('Tarieven W&amp;O'!$G:$G,MATCH(N195&amp;R195,'Tarieven W&amp;O'!$B:$B,0)),0)</f>
        <v>0</v>
      </c>
      <c r="AS195" s="205">
        <f>-INDEX(Parameters!$B:$B,MATCH(AS$3,Parameters!$A:$A,0))*(AQ195+AR195)</f>
        <v>0</v>
      </c>
      <c r="AT195" s="205">
        <f>INDEX(hulpblad!$E:$E,MATCH(M195&amp;Q195,hulpblad!$B:$B,0))</f>
        <v>2</v>
      </c>
      <c r="AU195" s="150">
        <f t="shared" si="101"/>
        <v>18.55</v>
      </c>
      <c r="AV195" s="150">
        <f t="shared" si="102"/>
        <v>19.244444444444444</v>
      </c>
      <c r="AX195" s="526">
        <f>Parameters!$B$6*AV195</f>
        <v>0.19244444444444445</v>
      </c>
      <c r="AY195" s="150">
        <v>0</v>
      </c>
      <c r="AZ195" s="150"/>
      <c r="BA195" s="150">
        <f t="shared" si="99"/>
        <v>0.19244444444444445</v>
      </c>
      <c r="BB195" s="150"/>
      <c r="BC195" s="522">
        <f t="shared" si="100"/>
        <v>19.436888888888888</v>
      </c>
      <c r="BD195" s="175"/>
      <c r="BE195" s="527">
        <f t="shared" si="103"/>
        <v>1008.3408888888889</v>
      </c>
      <c r="BF195" s="181">
        <f t="shared" si="104"/>
        <v>0.98108843243243238</v>
      </c>
      <c r="BG195" s="520" t="b">
        <f t="shared" si="93"/>
        <v>0</v>
      </c>
      <c r="BI195" s="528" t="s">
        <v>2181</v>
      </c>
      <c r="BL195" s="151" t="str">
        <f t="shared" si="106"/>
        <v>EoKMetro - Nationaal</v>
      </c>
      <c r="BM195" s="529">
        <v>0</v>
      </c>
      <c r="BN195" s="180">
        <f>BM195/INDEX(Parameters!$B:$B,MATCH("AfschrijftermijnVVE"&amp;12*$C195,Parameters!$A:$A,0))</f>
        <v>0</v>
      </c>
      <c r="BO195" s="184">
        <f>INDEX('inkoop ULL tbv EVPN'!I:I,MATCH(BL195,'inkoop ULL tbv EVPN'!H:H,0))</f>
        <v>2</v>
      </c>
      <c r="BP195" s="184">
        <f t="shared" si="107"/>
        <v>2</v>
      </c>
      <c r="BR195" s="180">
        <f>Parameters!$B$12*AG195</f>
        <v>102.77777777777779</v>
      </c>
      <c r="BS195" s="180">
        <f>SUM(Distributievergoedingen!$F$12,Distributievergoedingen!$I$12,Distributievergoedingen!$L$12,Distributievergoedingen!$O$12)*AF195+SUM(Distributievergoedingen!$O$12*AA195+Distributievergoedingen!$R$12+Distributievergoedingen!$U$12+Distributievergoedingen!$X$12)/(MAX(36,12*C195))</f>
        <v>112.77777777777777</v>
      </c>
      <c r="BT195" s="150"/>
      <c r="BU195" s="150">
        <f t="shared" si="108"/>
        <v>215.55555555555554</v>
      </c>
      <c r="BW195" s="522">
        <f t="shared" si="109"/>
        <v>217.55555555555554</v>
      </c>
      <c r="BY195" s="527">
        <f t="shared" si="110"/>
        <v>810.22222222222229</v>
      </c>
      <c r="BZ195" s="181">
        <f t="shared" si="111"/>
        <v>0.78832432432432431</v>
      </c>
      <c r="CA195" s="520" t="b">
        <f t="shared" si="112"/>
        <v>0</v>
      </c>
    </row>
    <row r="196" spans="1:79" s="151" customFormat="1">
      <c r="A196" s="151" t="str">
        <f t="shared" si="105"/>
        <v>2EoKPremiumRegionaal3</v>
      </c>
      <c r="B196" s="520" t="str">
        <f t="shared" si="113"/>
        <v>2EoKPremiumRegionaal3</v>
      </c>
      <c r="C196" s="179">
        <v>2</v>
      </c>
      <c r="D196" s="179" t="s">
        <v>303</v>
      </c>
      <c r="E196" s="178" t="s">
        <v>267</v>
      </c>
      <c r="F196" s="178" t="s">
        <v>265</v>
      </c>
      <c r="G196" s="185" t="s">
        <v>407</v>
      </c>
      <c r="J196" s="520" t="str">
        <f t="shared" si="91"/>
        <v>PremiumRegionaal3</v>
      </c>
      <c r="L196" s="204">
        <f>INDEX(Mapping!$H:$H,MATCH(C$3&amp;C196,Mapping!$B:$B,0))</f>
        <v>1</v>
      </c>
      <c r="M196" s="204" t="str">
        <f>INDEX(Mapping!$H:$H,MATCH(D$3&amp;$D196,Mapping!$B:$B,0))</f>
        <v>EoK</v>
      </c>
      <c r="N196" s="204" t="str">
        <f>INDEX(Mapping!$H:$H,MATCH(E$3&amp;E196,Mapping!$B:$B,0))</f>
        <v>Premium</v>
      </c>
      <c r="O196" s="204" t="str">
        <f>INDEX(Mapping!$H:$H,MATCH(F$3&amp;F196,Mapping!$B:$B,0))</f>
        <v>Metro</v>
      </c>
      <c r="P196" s="204">
        <f>INDEX(Mapping!$H:$H,MATCH(G$3&amp;G196,Mapping!$B:$B,0))</f>
        <v>3</v>
      </c>
      <c r="Q196" s="204" t="str">
        <f>INDEX(Mapping!$H:$H,MATCH(Q$3&amp;$F196,Mapping!$B:$B,0))</f>
        <v>Metro - Nationaal</v>
      </c>
      <c r="R196" s="204" t="str">
        <f>INDEX(Mapping!$H:$H,MATCH("ZM VPN Service Level"&amp;E196,Mapping!$B:$B,0))</f>
        <v>Advanced</v>
      </c>
      <c r="S196" s="139" t="b">
        <f>IF($D196="EoK",INDEX(Mapping!$I:$I,MATCH($G$3&amp;$G196,Mapping!B:B,0)),FALSE)</f>
        <v>0</v>
      </c>
      <c r="T196" s="139"/>
      <c r="U196" s="520" t="str">
        <f t="shared" si="92"/>
        <v>PremiumMetro3</v>
      </c>
      <c r="W196" s="521">
        <f>MATCH($J196,'Tarieven ZM'!$B:$B,0)</f>
        <v>86</v>
      </c>
      <c r="X196" s="204">
        <f>INDEX('Tarieven ZM'!$H:$H,$W196)</f>
        <v>1000</v>
      </c>
      <c r="Y196" s="198">
        <f>-INDEX(Parameters!$B:$B,MATCH(Y$3&amp;$C196,Parameters!$A:$A,0))*$X196</f>
        <v>0</v>
      </c>
      <c r="Z196" s="198">
        <f>-INDEX(Parameters!$B:$B,MATCH(Z$3&amp;$C196,Parameters!$A:$A,0))*$X196</f>
        <v>0</v>
      </c>
      <c r="AA196" s="139">
        <f t="shared" si="94"/>
        <v>1000</v>
      </c>
      <c r="AB196" s="205">
        <f>AA196/INDEX(Parameters!$B:$B,MATCH("AfschrijftermijnVVE"&amp;12*$C196,Parameters!$A:$A,0))</f>
        <v>27.777777777777779</v>
      </c>
      <c r="AC196" s="204">
        <f>INDEX('Tarieven ZM'!$G:$G,$W196)</f>
        <v>1000</v>
      </c>
      <c r="AD196" s="198">
        <f>-INDEX(Parameters!$B:$B,MATCH(AD$3&amp;$C196,Parameters!$A:$A,0))*$AC196</f>
        <v>0</v>
      </c>
      <c r="AE196" s="198">
        <f>-INDEX(Parameters!$B:$B,MATCH(AE$3,Parameters!$A:$A,0))*$AC196</f>
        <v>0</v>
      </c>
      <c r="AF196" s="139">
        <f t="shared" si="95"/>
        <v>1000</v>
      </c>
      <c r="AG196" s="522">
        <f t="shared" si="96"/>
        <v>1027.7777777777778</v>
      </c>
      <c r="AH196" s="175"/>
      <c r="AI196" s="523">
        <f>MATCH($U196,'Tarieven W&amp;O'!$B:$B,0)</f>
        <v>59</v>
      </c>
      <c r="AJ196" s="204">
        <f>IF(AI196&lt;&gt;"nvt",INDEX('Tarieven W&amp;O'!$H:$H,$AI196),0)</f>
        <v>0</v>
      </c>
      <c r="AK196" s="204">
        <f>IF(AI196&lt;&gt;"nvt",INDEX('Tarieven W&amp;O'!$I:$I,$AI196),0)</f>
        <v>25</v>
      </c>
      <c r="AL196" s="524">
        <f>IF(AI196&lt;&gt;"nvt",-INDEX(Parameters!$B:$B,MATCH(AL$3,Parameters!$A:$A,0))*(AJ196+AK196),0)</f>
        <v>0</v>
      </c>
      <c r="AM196" s="525"/>
      <c r="AN196" s="139">
        <f t="shared" si="97"/>
        <v>25</v>
      </c>
      <c r="AO196" s="205">
        <f>AN196/INDEX(Parameters!$B:$B,MATCH("AfschrijftermijnVVE"&amp;12*$C196,Parameters!$A:$A,0))</f>
        <v>0.69444444444444442</v>
      </c>
      <c r="AP196" s="139">
        <f t="shared" si="98"/>
        <v>59</v>
      </c>
      <c r="AQ196" s="526">
        <f>IF(AP196&lt;&gt;"nvt",INDEX('Tarieven W&amp;O'!$G:$G,$AP196),0)</f>
        <v>27.86</v>
      </c>
      <c r="AR196" s="251">
        <f>IF($S196,INDEX('Tarieven W&amp;O'!$G:$G,MATCH(N196&amp;R196,'Tarieven W&amp;O'!$B:$B,0)),0)</f>
        <v>0</v>
      </c>
      <c r="AS196" s="205">
        <f>-INDEX(Parameters!$B:$B,MATCH(AS$3,Parameters!$A:$A,0))*(AQ196+AR196)</f>
        <v>0</v>
      </c>
      <c r="AT196" s="205">
        <f>INDEX(hulpblad!$E:$E,MATCH(M196&amp;Q196,hulpblad!$B:$B,0))</f>
        <v>2</v>
      </c>
      <c r="AU196" s="150">
        <f t="shared" si="101"/>
        <v>29.86</v>
      </c>
      <c r="AV196" s="150">
        <f t="shared" si="102"/>
        <v>30.554444444444442</v>
      </c>
      <c r="AX196" s="526">
        <f>Parameters!$B$6*AV196</f>
        <v>0.30554444444444445</v>
      </c>
      <c r="AY196" s="150">
        <v>0</v>
      </c>
      <c r="AZ196" s="150"/>
      <c r="BA196" s="150">
        <f t="shared" si="99"/>
        <v>0.30554444444444445</v>
      </c>
      <c r="BB196" s="150"/>
      <c r="BC196" s="522">
        <f t="shared" si="100"/>
        <v>30.859988888888886</v>
      </c>
      <c r="BD196" s="175"/>
      <c r="BE196" s="527">
        <f t="shared" si="103"/>
        <v>996.91778888888894</v>
      </c>
      <c r="BF196" s="181">
        <f t="shared" si="104"/>
        <v>0.96997406486486482</v>
      </c>
      <c r="BG196" s="520" t="b">
        <f t="shared" si="93"/>
        <v>0</v>
      </c>
      <c r="BI196" s="528" t="s">
        <v>2181</v>
      </c>
      <c r="BL196" s="151" t="str">
        <f t="shared" si="106"/>
        <v>EoKMetro - Nationaal</v>
      </c>
      <c r="BM196" s="529">
        <v>0</v>
      </c>
      <c r="BN196" s="180">
        <f>BM196/INDEX(Parameters!$B:$B,MATCH("AfschrijftermijnVVE"&amp;12*$C196,Parameters!$A:$A,0))</f>
        <v>0</v>
      </c>
      <c r="BO196" s="184">
        <f>INDEX('inkoop ULL tbv EVPN'!I:I,MATCH(BL196,'inkoop ULL tbv EVPN'!H:H,0))</f>
        <v>2</v>
      </c>
      <c r="BP196" s="184">
        <f t="shared" si="107"/>
        <v>2</v>
      </c>
      <c r="BR196" s="180">
        <f>Parameters!$B$12*AG196</f>
        <v>102.77777777777779</v>
      </c>
      <c r="BS196" s="180">
        <f>SUM(Distributievergoedingen!$F$12,Distributievergoedingen!$I$12,Distributievergoedingen!$L$12,Distributievergoedingen!$O$12)*AF196+SUM(Distributievergoedingen!$O$12*AA196+Distributievergoedingen!$R$12+Distributievergoedingen!$U$12+Distributievergoedingen!$X$12)/(MAX(36,12*C196))</f>
        <v>112.77777777777777</v>
      </c>
      <c r="BT196" s="150"/>
      <c r="BU196" s="150">
        <f t="shared" si="108"/>
        <v>215.55555555555554</v>
      </c>
      <c r="BW196" s="522">
        <f t="shared" si="109"/>
        <v>217.55555555555554</v>
      </c>
      <c r="BY196" s="527">
        <f t="shared" si="110"/>
        <v>810.22222222222229</v>
      </c>
      <c r="BZ196" s="181">
        <f t="shared" si="111"/>
        <v>0.78832432432432431</v>
      </c>
      <c r="CA196" s="520" t="b">
        <f t="shared" si="112"/>
        <v>0</v>
      </c>
    </row>
    <row r="197" spans="1:79" s="151" customFormat="1">
      <c r="A197" s="151" t="str">
        <f t="shared" si="105"/>
        <v>2EoKPremiumRegionaal4</v>
      </c>
      <c r="B197" s="520" t="str">
        <f t="shared" si="113"/>
        <v>2EoKPremiumRegionaal4</v>
      </c>
      <c r="C197" s="179">
        <v>2</v>
      </c>
      <c r="D197" s="179" t="s">
        <v>303</v>
      </c>
      <c r="E197" s="178" t="s">
        <v>267</v>
      </c>
      <c r="F197" s="178" t="s">
        <v>265</v>
      </c>
      <c r="G197" s="185" t="s">
        <v>408</v>
      </c>
      <c r="J197" s="520" t="str">
        <f t="shared" si="91"/>
        <v>PremiumRegionaal4</v>
      </c>
      <c r="L197" s="204">
        <f>INDEX(Mapping!$H:$H,MATCH(C$3&amp;C197,Mapping!$B:$B,0))</f>
        <v>1</v>
      </c>
      <c r="M197" s="204" t="str">
        <f>INDEX(Mapping!$H:$H,MATCH(D$3&amp;$D197,Mapping!$B:$B,0))</f>
        <v>EoK</v>
      </c>
      <c r="N197" s="204" t="str">
        <f>INDEX(Mapping!$H:$H,MATCH(E$3&amp;E197,Mapping!$B:$B,0))</f>
        <v>Premium</v>
      </c>
      <c r="O197" s="204" t="str">
        <f>INDEX(Mapping!$H:$H,MATCH(F$3&amp;F197,Mapping!$B:$B,0))</f>
        <v>Metro</v>
      </c>
      <c r="P197" s="204">
        <f>INDEX(Mapping!$H:$H,MATCH(G$3&amp;G197,Mapping!$B:$B,0))</f>
        <v>4</v>
      </c>
      <c r="Q197" s="204" t="str">
        <f>INDEX(Mapping!$H:$H,MATCH(Q$3&amp;$F197,Mapping!$B:$B,0))</f>
        <v>Metro - Nationaal</v>
      </c>
      <c r="R197" s="204" t="str">
        <f>INDEX(Mapping!$H:$H,MATCH("ZM VPN Service Level"&amp;E197,Mapping!$B:$B,0))</f>
        <v>Advanced</v>
      </c>
      <c r="S197" s="139" t="b">
        <f>IF($D197="EoK",INDEX(Mapping!$I:$I,MATCH($G$3&amp;$G197,Mapping!B:B,0)),FALSE)</f>
        <v>0</v>
      </c>
      <c r="T197" s="139"/>
      <c r="U197" s="520" t="str">
        <f t="shared" si="92"/>
        <v>PremiumMetro4</v>
      </c>
      <c r="W197" s="521">
        <f>MATCH($J197,'Tarieven ZM'!$B:$B,0)</f>
        <v>87</v>
      </c>
      <c r="X197" s="204">
        <f>INDEX('Tarieven ZM'!$H:$H,$W197)</f>
        <v>1000</v>
      </c>
      <c r="Y197" s="198">
        <f>-INDEX(Parameters!$B:$B,MATCH(Y$3&amp;$C197,Parameters!$A:$A,0))*$X197</f>
        <v>0</v>
      </c>
      <c r="Z197" s="198">
        <f>-INDEX(Parameters!$B:$B,MATCH(Z$3&amp;$C197,Parameters!$A:$A,0))*$X197</f>
        <v>0</v>
      </c>
      <c r="AA197" s="139">
        <f t="shared" si="94"/>
        <v>1000</v>
      </c>
      <c r="AB197" s="205">
        <f>AA197/INDEX(Parameters!$B:$B,MATCH("AfschrijftermijnVVE"&amp;12*$C197,Parameters!$A:$A,0))</f>
        <v>27.777777777777779</v>
      </c>
      <c r="AC197" s="204">
        <f>INDEX('Tarieven ZM'!$G:$G,$W197)</f>
        <v>1000</v>
      </c>
      <c r="AD197" s="198">
        <f>-INDEX(Parameters!$B:$B,MATCH(AD$3&amp;$C197,Parameters!$A:$A,0))*$AC197</f>
        <v>0</v>
      </c>
      <c r="AE197" s="198">
        <f>-INDEX(Parameters!$B:$B,MATCH(AE$3,Parameters!$A:$A,0))*$AC197</f>
        <v>0</v>
      </c>
      <c r="AF197" s="139">
        <f t="shared" si="95"/>
        <v>1000</v>
      </c>
      <c r="AG197" s="522">
        <f t="shared" si="96"/>
        <v>1027.7777777777778</v>
      </c>
      <c r="AH197" s="175"/>
      <c r="AI197" s="523">
        <f>MATCH($U197,'Tarieven W&amp;O'!$B:$B,0)</f>
        <v>60</v>
      </c>
      <c r="AJ197" s="204">
        <f>IF(AI197&lt;&gt;"nvt",INDEX('Tarieven W&amp;O'!$H:$H,$AI197),0)</f>
        <v>0</v>
      </c>
      <c r="AK197" s="204">
        <f>IF(AI197&lt;&gt;"nvt",INDEX('Tarieven W&amp;O'!$I:$I,$AI197),0)</f>
        <v>25</v>
      </c>
      <c r="AL197" s="524">
        <f>IF(AI197&lt;&gt;"nvt",-INDEX(Parameters!$B:$B,MATCH(AL$3,Parameters!$A:$A,0))*(AJ197+AK197),0)</f>
        <v>0</v>
      </c>
      <c r="AM197" s="525"/>
      <c r="AN197" s="139">
        <f t="shared" si="97"/>
        <v>25</v>
      </c>
      <c r="AO197" s="205">
        <f>AN197/INDEX(Parameters!$B:$B,MATCH("AfschrijftermijnVVE"&amp;12*$C197,Parameters!$A:$A,0))</f>
        <v>0.69444444444444442</v>
      </c>
      <c r="AP197" s="139">
        <f t="shared" si="98"/>
        <v>60</v>
      </c>
      <c r="AQ197" s="526">
        <f>IF(AP197&lt;&gt;"nvt",INDEX('Tarieven W&amp;O'!$G:$G,$AP197),0)</f>
        <v>42.94</v>
      </c>
      <c r="AR197" s="251">
        <f>IF($S197,INDEX('Tarieven W&amp;O'!$G:$G,MATCH(N197&amp;R197,'Tarieven W&amp;O'!$B:$B,0)),0)</f>
        <v>0</v>
      </c>
      <c r="AS197" s="205">
        <f>-INDEX(Parameters!$B:$B,MATCH(AS$3,Parameters!$A:$A,0))*(AQ197+AR197)</f>
        <v>0</v>
      </c>
      <c r="AT197" s="205">
        <f>INDEX(hulpblad!$E:$E,MATCH(M197&amp;Q197,hulpblad!$B:$B,0))</f>
        <v>2</v>
      </c>
      <c r="AU197" s="150">
        <f t="shared" si="101"/>
        <v>44.94</v>
      </c>
      <c r="AV197" s="150">
        <f t="shared" si="102"/>
        <v>45.634444444444441</v>
      </c>
      <c r="AX197" s="526">
        <f>Parameters!$B$6*AV197</f>
        <v>0.45634444444444444</v>
      </c>
      <c r="AY197" s="150">
        <v>0</v>
      </c>
      <c r="AZ197" s="150"/>
      <c r="BA197" s="150">
        <f t="shared" si="99"/>
        <v>0.45634444444444444</v>
      </c>
      <c r="BB197" s="150"/>
      <c r="BC197" s="522">
        <f t="shared" si="100"/>
        <v>46.090788888888888</v>
      </c>
      <c r="BD197" s="175"/>
      <c r="BE197" s="527">
        <f t="shared" si="103"/>
        <v>981.68698888888889</v>
      </c>
      <c r="BF197" s="181">
        <f t="shared" si="104"/>
        <v>0.9551549081081081</v>
      </c>
      <c r="BG197" s="520" t="b">
        <f t="shared" si="93"/>
        <v>0</v>
      </c>
      <c r="BI197" s="528" t="s">
        <v>2181</v>
      </c>
      <c r="BL197" s="151" t="str">
        <f t="shared" si="106"/>
        <v>EoKMetro - Nationaal</v>
      </c>
      <c r="BM197" s="529">
        <v>0</v>
      </c>
      <c r="BN197" s="180">
        <f>BM197/INDEX(Parameters!$B:$B,MATCH("AfschrijftermijnVVE"&amp;12*$C197,Parameters!$A:$A,0))</f>
        <v>0</v>
      </c>
      <c r="BO197" s="184">
        <f>INDEX('inkoop ULL tbv EVPN'!I:I,MATCH(BL197,'inkoop ULL tbv EVPN'!H:H,0))</f>
        <v>2</v>
      </c>
      <c r="BP197" s="184">
        <f t="shared" si="107"/>
        <v>2</v>
      </c>
      <c r="BR197" s="180">
        <f>Parameters!$B$12*AG197</f>
        <v>102.77777777777779</v>
      </c>
      <c r="BS197" s="180">
        <f>SUM(Distributievergoedingen!$F$12,Distributievergoedingen!$I$12,Distributievergoedingen!$L$12,Distributievergoedingen!$O$12)*AF197+SUM(Distributievergoedingen!$O$12*AA197+Distributievergoedingen!$R$12+Distributievergoedingen!$U$12+Distributievergoedingen!$X$12)/(MAX(36,12*C197))</f>
        <v>112.77777777777777</v>
      </c>
      <c r="BT197" s="150"/>
      <c r="BU197" s="150">
        <f t="shared" si="108"/>
        <v>215.55555555555554</v>
      </c>
      <c r="BW197" s="522">
        <f t="shared" si="109"/>
        <v>217.55555555555554</v>
      </c>
      <c r="BY197" s="527">
        <f t="shared" si="110"/>
        <v>810.22222222222229</v>
      </c>
      <c r="BZ197" s="181">
        <f t="shared" si="111"/>
        <v>0.78832432432432431</v>
      </c>
      <c r="CA197" s="520" t="b">
        <f t="shared" si="112"/>
        <v>0</v>
      </c>
    </row>
    <row r="198" spans="1:79" s="151" customFormat="1">
      <c r="A198" s="151" t="str">
        <f t="shared" si="105"/>
        <v>2EoKPremiumRegionaal5</v>
      </c>
      <c r="B198" s="520" t="str">
        <f t="shared" si="113"/>
        <v>2EoKPremiumRegionaal5</v>
      </c>
      <c r="C198" s="179">
        <v>2</v>
      </c>
      <c r="D198" s="179" t="s">
        <v>303</v>
      </c>
      <c r="E198" s="178" t="s">
        <v>267</v>
      </c>
      <c r="F198" s="178" t="s">
        <v>265</v>
      </c>
      <c r="G198" s="185" t="s">
        <v>409</v>
      </c>
      <c r="J198" s="520" t="str">
        <f t="shared" si="91"/>
        <v>PremiumRegionaal5</v>
      </c>
      <c r="L198" s="204">
        <f>INDEX(Mapping!$H:$H,MATCH(C$3&amp;C198,Mapping!$B:$B,0))</f>
        <v>1</v>
      </c>
      <c r="M198" s="204" t="str">
        <f>INDEX(Mapping!$H:$H,MATCH(D$3&amp;$D198,Mapping!$B:$B,0))</f>
        <v>EoK</v>
      </c>
      <c r="N198" s="204" t="str">
        <f>INDEX(Mapping!$H:$H,MATCH(E$3&amp;E198,Mapping!$B:$B,0))</f>
        <v>Premium</v>
      </c>
      <c r="O198" s="204" t="str">
        <f>INDEX(Mapping!$H:$H,MATCH(F$3&amp;F198,Mapping!$B:$B,0))</f>
        <v>Metro</v>
      </c>
      <c r="P198" s="204">
        <f>INDEX(Mapping!$H:$H,MATCH(G$3&amp;G198,Mapping!$B:$B,0))</f>
        <v>5</v>
      </c>
      <c r="Q198" s="204" t="str">
        <f>INDEX(Mapping!$H:$H,MATCH(Q$3&amp;$F198,Mapping!$B:$B,0))</f>
        <v>Metro - Nationaal</v>
      </c>
      <c r="R198" s="204" t="str">
        <f>INDEX(Mapping!$H:$H,MATCH("ZM VPN Service Level"&amp;E198,Mapping!$B:$B,0))</f>
        <v>Advanced</v>
      </c>
      <c r="S198" s="139" t="b">
        <f>IF($D198="EoK",INDEX(Mapping!$I:$I,MATCH($G$3&amp;$G198,Mapping!B:B,0)),FALSE)</f>
        <v>0</v>
      </c>
      <c r="T198" s="139"/>
      <c r="U198" s="520" t="str">
        <f t="shared" si="92"/>
        <v>PremiumMetro5</v>
      </c>
      <c r="W198" s="521">
        <f>MATCH($J198,'Tarieven ZM'!$B:$B,0)</f>
        <v>88</v>
      </c>
      <c r="X198" s="204">
        <f>INDEX('Tarieven ZM'!$H:$H,$W198)</f>
        <v>1000</v>
      </c>
      <c r="Y198" s="198">
        <f>-INDEX(Parameters!$B:$B,MATCH(Y$3&amp;$C198,Parameters!$A:$A,0))*$X198</f>
        <v>0</v>
      </c>
      <c r="Z198" s="198">
        <f>-INDEX(Parameters!$B:$B,MATCH(Z$3&amp;$C198,Parameters!$A:$A,0))*$X198</f>
        <v>0</v>
      </c>
      <c r="AA198" s="139">
        <f t="shared" si="94"/>
        <v>1000</v>
      </c>
      <c r="AB198" s="205">
        <f>AA198/INDEX(Parameters!$B:$B,MATCH("AfschrijftermijnVVE"&amp;12*$C198,Parameters!$A:$A,0))</f>
        <v>27.777777777777779</v>
      </c>
      <c r="AC198" s="204">
        <f>INDEX('Tarieven ZM'!$G:$G,$W198)</f>
        <v>1000</v>
      </c>
      <c r="AD198" s="198">
        <f>-INDEX(Parameters!$B:$B,MATCH(AD$3&amp;$C198,Parameters!$A:$A,0))*$AC198</f>
        <v>0</v>
      </c>
      <c r="AE198" s="198">
        <f>-INDEX(Parameters!$B:$B,MATCH(AE$3,Parameters!$A:$A,0))*$AC198</f>
        <v>0</v>
      </c>
      <c r="AF198" s="139">
        <f t="shared" si="95"/>
        <v>1000</v>
      </c>
      <c r="AG198" s="522">
        <f t="shared" si="96"/>
        <v>1027.7777777777778</v>
      </c>
      <c r="AH198" s="175"/>
      <c r="AI198" s="523">
        <f>MATCH($U198,'Tarieven W&amp;O'!$B:$B,0)</f>
        <v>61</v>
      </c>
      <c r="AJ198" s="204">
        <f>IF(AI198&lt;&gt;"nvt",INDEX('Tarieven W&amp;O'!$H:$H,$AI198),0)</f>
        <v>0</v>
      </c>
      <c r="AK198" s="204">
        <f>IF(AI198&lt;&gt;"nvt",INDEX('Tarieven W&amp;O'!$I:$I,$AI198),0)</f>
        <v>25</v>
      </c>
      <c r="AL198" s="524">
        <f>IF(AI198&lt;&gt;"nvt",-INDEX(Parameters!$B:$B,MATCH(AL$3,Parameters!$A:$A,0))*(AJ198+AK198),0)</f>
        <v>0</v>
      </c>
      <c r="AM198" s="525"/>
      <c r="AN198" s="139">
        <f t="shared" si="97"/>
        <v>25</v>
      </c>
      <c r="AO198" s="205">
        <f>AN198/INDEX(Parameters!$B:$B,MATCH("AfschrijftermijnVVE"&amp;12*$C198,Parameters!$A:$A,0))</f>
        <v>0.69444444444444442</v>
      </c>
      <c r="AP198" s="139">
        <f t="shared" si="98"/>
        <v>61</v>
      </c>
      <c r="AQ198" s="526">
        <f>IF(AP198&lt;&gt;"nvt",INDEX('Tarieven W&amp;O'!$G:$G,$AP198),0)</f>
        <v>46.71</v>
      </c>
      <c r="AR198" s="251">
        <f>IF($S198,INDEX('Tarieven W&amp;O'!$G:$G,MATCH(N198&amp;R198,'Tarieven W&amp;O'!$B:$B,0)),0)</f>
        <v>0</v>
      </c>
      <c r="AS198" s="205">
        <f>-INDEX(Parameters!$B:$B,MATCH(AS$3,Parameters!$A:$A,0))*(AQ198+AR198)</f>
        <v>0</v>
      </c>
      <c r="AT198" s="205">
        <f>INDEX(hulpblad!$E:$E,MATCH(M198&amp;Q198,hulpblad!$B:$B,0))</f>
        <v>2</v>
      </c>
      <c r="AU198" s="150">
        <f t="shared" si="101"/>
        <v>48.71</v>
      </c>
      <c r="AV198" s="150">
        <f t="shared" si="102"/>
        <v>49.404444444444444</v>
      </c>
      <c r="AX198" s="526">
        <f>Parameters!$B$6*AV198</f>
        <v>0.49404444444444445</v>
      </c>
      <c r="AY198" s="150">
        <v>0</v>
      </c>
      <c r="AZ198" s="150"/>
      <c r="BA198" s="150">
        <f t="shared" si="99"/>
        <v>0.49404444444444445</v>
      </c>
      <c r="BB198" s="150"/>
      <c r="BC198" s="522">
        <f t="shared" si="100"/>
        <v>49.898488888888885</v>
      </c>
      <c r="BD198" s="175"/>
      <c r="BE198" s="527">
        <f t="shared" si="103"/>
        <v>977.87928888888894</v>
      </c>
      <c r="BF198" s="181">
        <f t="shared" si="104"/>
        <v>0.95145011891891895</v>
      </c>
      <c r="BG198" s="520" t="b">
        <f t="shared" si="93"/>
        <v>0</v>
      </c>
      <c r="BI198" s="528" t="s">
        <v>2181</v>
      </c>
      <c r="BL198" s="151" t="str">
        <f t="shared" si="106"/>
        <v>EoKMetro - Nationaal</v>
      </c>
      <c r="BM198" s="529">
        <v>0</v>
      </c>
      <c r="BN198" s="180">
        <f>BM198/INDEX(Parameters!$B:$B,MATCH("AfschrijftermijnVVE"&amp;12*$C198,Parameters!$A:$A,0))</f>
        <v>0</v>
      </c>
      <c r="BO198" s="184">
        <f>INDEX('inkoop ULL tbv EVPN'!I:I,MATCH(BL198,'inkoop ULL tbv EVPN'!H:H,0))</f>
        <v>2</v>
      </c>
      <c r="BP198" s="184">
        <f t="shared" si="107"/>
        <v>2</v>
      </c>
      <c r="BR198" s="180">
        <f>Parameters!$B$12*AG198</f>
        <v>102.77777777777779</v>
      </c>
      <c r="BS198" s="180">
        <f>SUM(Distributievergoedingen!$F$12,Distributievergoedingen!$I$12,Distributievergoedingen!$L$12,Distributievergoedingen!$O$12)*AF198+SUM(Distributievergoedingen!$O$12*AA198+Distributievergoedingen!$R$12+Distributievergoedingen!$U$12+Distributievergoedingen!$X$12)/(MAX(36,12*C198))</f>
        <v>112.77777777777777</v>
      </c>
      <c r="BT198" s="150"/>
      <c r="BU198" s="150">
        <f t="shared" si="108"/>
        <v>215.55555555555554</v>
      </c>
      <c r="BW198" s="522">
        <f t="shared" si="109"/>
        <v>217.55555555555554</v>
      </c>
      <c r="BY198" s="527">
        <f t="shared" si="110"/>
        <v>810.22222222222229</v>
      </c>
      <c r="BZ198" s="181">
        <f t="shared" si="111"/>
        <v>0.78832432432432431</v>
      </c>
      <c r="CA198" s="520" t="b">
        <f t="shared" si="112"/>
        <v>0</v>
      </c>
    </row>
    <row r="199" spans="1:79" s="151" customFormat="1">
      <c r="A199" s="151" t="str">
        <f t="shared" si="105"/>
        <v>2EoKPremiumRegionaal6</v>
      </c>
      <c r="B199" s="520" t="str">
        <f t="shared" si="113"/>
        <v>2EoKPremiumRegionaal6</v>
      </c>
      <c r="C199" s="179">
        <v>2</v>
      </c>
      <c r="D199" s="179" t="s">
        <v>303</v>
      </c>
      <c r="E199" s="178" t="s">
        <v>267</v>
      </c>
      <c r="F199" s="178" t="s">
        <v>265</v>
      </c>
      <c r="G199" s="185" t="s">
        <v>410</v>
      </c>
      <c r="J199" s="520" t="str">
        <f t="shared" si="91"/>
        <v>PremiumRegionaal6</v>
      </c>
      <c r="L199" s="204">
        <f>INDEX(Mapping!$H:$H,MATCH(C$3&amp;C199,Mapping!$B:$B,0))</f>
        <v>1</v>
      </c>
      <c r="M199" s="204" t="str">
        <f>INDEX(Mapping!$H:$H,MATCH(D$3&amp;$D199,Mapping!$B:$B,0))</f>
        <v>EoK</v>
      </c>
      <c r="N199" s="204" t="str">
        <f>INDEX(Mapping!$H:$H,MATCH(E$3&amp;E199,Mapping!$B:$B,0))</f>
        <v>Premium</v>
      </c>
      <c r="O199" s="204" t="str">
        <f>INDEX(Mapping!$H:$H,MATCH(F$3&amp;F199,Mapping!$B:$B,0))</f>
        <v>Metro</v>
      </c>
      <c r="P199" s="204">
        <f>INDEX(Mapping!$H:$H,MATCH(G$3&amp;G199,Mapping!$B:$B,0))</f>
        <v>6</v>
      </c>
      <c r="Q199" s="204" t="str">
        <f>INDEX(Mapping!$H:$H,MATCH(Q$3&amp;$F199,Mapping!$B:$B,0))</f>
        <v>Metro - Nationaal</v>
      </c>
      <c r="R199" s="204" t="str">
        <f>INDEX(Mapping!$H:$H,MATCH("ZM VPN Service Level"&amp;E199,Mapping!$B:$B,0))</f>
        <v>Advanced</v>
      </c>
      <c r="S199" s="139" t="b">
        <f>IF($D199="EoK",INDEX(Mapping!$I:$I,MATCH($G$3&amp;$G199,Mapping!B:B,0)),FALSE)</f>
        <v>0</v>
      </c>
      <c r="T199" s="139"/>
      <c r="U199" s="520" t="str">
        <f t="shared" si="92"/>
        <v>PremiumMetro6</v>
      </c>
      <c r="W199" s="521">
        <f>MATCH($J199,'Tarieven ZM'!$B:$B,0)</f>
        <v>89</v>
      </c>
      <c r="X199" s="204">
        <f>INDEX('Tarieven ZM'!$H:$H,$W199)</f>
        <v>1000</v>
      </c>
      <c r="Y199" s="198">
        <f>-INDEX(Parameters!$B:$B,MATCH(Y$3&amp;$C199,Parameters!$A:$A,0))*$X199</f>
        <v>0</v>
      </c>
      <c r="Z199" s="198">
        <f>-INDEX(Parameters!$B:$B,MATCH(Z$3&amp;$C199,Parameters!$A:$A,0))*$X199</f>
        <v>0</v>
      </c>
      <c r="AA199" s="139">
        <f t="shared" si="94"/>
        <v>1000</v>
      </c>
      <c r="AB199" s="205">
        <f>AA199/INDEX(Parameters!$B:$B,MATCH("AfschrijftermijnVVE"&amp;12*$C199,Parameters!$A:$A,0))</f>
        <v>27.777777777777779</v>
      </c>
      <c r="AC199" s="204">
        <f>INDEX('Tarieven ZM'!$G:$G,$W199)</f>
        <v>1000</v>
      </c>
      <c r="AD199" s="198">
        <f>-INDEX(Parameters!$B:$B,MATCH(AD$3&amp;$C199,Parameters!$A:$A,0))*$AC199</f>
        <v>0</v>
      </c>
      <c r="AE199" s="198">
        <f>-INDEX(Parameters!$B:$B,MATCH(AE$3,Parameters!$A:$A,0))*$AC199</f>
        <v>0</v>
      </c>
      <c r="AF199" s="139">
        <f t="shared" si="95"/>
        <v>1000</v>
      </c>
      <c r="AG199" s="522">
        <f t="shared" si="96"/>
        <v>1027.7777777777778</v>
      </c>
      <c r="AH199" s="175"/>
      <c r="AI199" s="523">
        <f>MATCH($U199,'Tarieven W&amp;O'!$B:$B,0)</f>
        <v>62</v>
      </c>
      <c r="AJ199" s="204">
        <f>IF(AI199&lt;&gt;"nvt",INDEX('Tarieven W&amp;O'!$H:$H,$AI199),0)</f>
        <v>0</v>
      </c>
      <c r="AK199" s="204">
        <f>IF(AI199&lt;&gt;"nvt",INDEX('Tarieven W&amp;O'!$I:$I,$AI199),0)</f>
        <v>25</v>
      </c>
      <c r="AL199" s="524">
        <f>IF(AI199&lt;&gt;"nvt",-INDEX(Parameters!$B:$B,MATCH(AL$3,Parameters!$A:$A,0))*(AJ199+AK199),0)</f>
        <v>0</v>
      </c>
      <c r="AM199" s="525"/>
      <c r="AN199" s="139">
        <f t="shared" si="97"/>
        <v>25</v>
      </c>
      <c r="AO199" s="205">
        <f>AN199/INDEX(Parameters!$B:$B,MATCH("AfschrijftermijnVVE"&amp;12*$C199,Parameters!$A:$A,0))</f>
        <v>0.69444444444444442</v>
      </c>
      <c r="AP199" s="139">
        <f t="shared" si="98"/>
        <v>62</v>
      </c>
      <c r="AQ199" s="526">
        <f>IF(AP199&lt;&gt;"nvt",INDEX('Tarieven W&amp;O'!$G:$G,$AP199),0)</f>
        <v>50.48</v>
      </c>
      <c r="AR199" s="251">
        <f>IF($S199,INDEX('Tarieven W&amp;O'!$G:$G,MATCH(N199&amp;R199,'Tarieven W&amp;O'!$B:$B,0)),0)</f>
        <v>0</v>
      </c>
      <c r="AS199" s="205">
        <f>-INDEX(Parameters!$B:$B,MATCH(AS$3,Parameters!$A:$A,0))*(AQ199+AR199)</f>
        <v>0</v>
      </c>
      <c r="AT199" s="205">
        <f>INDEX(hulpblad!$E:$E,MATCH(M199&amp;Q199,hulpblad!$B:$B,0))</f>
        <v>2</v>
      </c>
      <c r="AU199" s="150">
        <f t="shared" si="101"/>
        <v>52.48</v>
      </c>
      <c r="AV199" s="150">
        <f t="shared" si="102"/>
        <v>53.17444444444444</v>
      </c>
      <c r="AX199" s="526">
        <f>Parameters!$B$6*AV199</f>
        <v>0.53174444444444435</v>
      </c>
      <c r="AY199" s="150">
        <v>0</v>
      </c>
      <c r="AZ199" s="150"/>
      <c r="BA199" s="150">
        <f t="shared" si="99"/>
        <v>0.53174444444444435</v>
      </c>
      <c r="BB199" s="150"/>
      <c r="BC199" s="522">
        <f t="shared" si="100"/>
        <v>53.706188888888882</v>
      </c>
      <c r="BD199" s="175"/>
      <c r="BE199" s="527">
        <f t="shared" si="103"/>
        <v>974.07158888888898</v>
      </c>
      <c r="BF199" s="181">
        <f t="shared" si="104"/>
        <v>0.9477453297297298</v>
      </c>
      <c r="BG199" s="520" t="b">
        <f t="shared" si="93"/>
        <v>0</v>
      </c>
      <c r="BI199" s="528" t="s">
        <v>2181</v>
      </c>
      <c r="BL199" s="151" t="str">
        <f t="shared" si="106"/>
        <v>EoKMetro - Nationaal</v>
      </c>
      <c r="BM199" s="529">
        <v>0</v>
      </c>
      <c r="BN199" s="180">
        <f>BM199/INDEX(Parameters!$B:$B,MATCH("AfschrijftermijnVVE"&amp;12*$C199,Parameters!$A:$A,0))</f>
        <v>0</v>
      </c>
      <c r="BO199" s="184">
        <f>INDEX('inkoop ULL tbv EVPN'!I:I,MATCH(BL199,'inkoop ULL tbv EVPN'!H:H,0))</f>
        <v>2</v>
      </c>
      <c r="BP199" s="184">
        <f t="shared" si="107"/>
        <v>2</v>
      </c>
      <c r="BR199" s="180">
        <f>Parameters!$B$12*AG199</f>
        <v>102.77777777777779</v>
      </c>
      <c r="BS199" s="180">
        <f>SUM(Distributievergoedingen!$F$12,Distributievergoedingen!$I$12,Distributievergoedingen!$L$12,Distributievergoedingen!$O$12)*AF199+SUM(Distributievergoedingen!$O$12*AA199+Distributievergoedingen!$R$12+Distributievergoedingen!$U$12+Distributievergoedingen!$X$12)/(MAX(36,12*C199))</f>
        <v>112.77777777777777</v>
      </c>
      <c r="BT199" s="150"/>
      <c r="BU199" s="150">
        <f t="shared" si="108"/>
        <v>215.55555555555554</v>
      </c>
      <c r="BW199" s="522">
        <f t="shared" si="109"/>
        <v>217.55555555555554</v>
      </c>
      <c r="BY199" s="527">
        <f t="shared" si="110"/>
        <v>810.22222222222229</v>
      </c>
      <c r="BZ199" s="181">
        <f t="shared" si="111"/>
        <v>0.78832432432432431</v>
      </c>
      <c r="CA199" s="520" t="b">
        <f t="shared" si="112"/>
        <v>0</v>
      </c>
    </row>
    <row r="200" spans="1:79" s="151" customFormat="1">
      <c r="A200" s="151" t="str">
        <f t="shared" si="105"/>
        <v>2EoKPremiumRegionaal8</v>
      </c>
      <c r="B200" s="520" t="str">
        <f t="shared" si="113"/>
        <v>2EoKPremiumRegionaal8</v>
      </c>
      <c r="C200" s="179">
        <v>2</v>
      </c>
      <c r="D200" s="179" t="s">
        <v>303</v>
      </c>
      <c r="E200" s="178" t="s">
        <v>267</v>
      </c>
      <c r="F200" s="178" t="s">
        <v>265</v>
      </c>
      <c r="G200" s="185" t="s">
        <v>411</v>
      </c>
      <c r="J200" s="520" t="str">
        <f t="shared" si="91"/>
        <v>PremiumRegionaal8</v>
      </c>
      <c r="L200" s="204">
        <f>INDEX(Mapping!$H:$H,MATCH(C$3&amp;C200,Mapping!$B:$B,0))</f>
        <v>1</v>
      </c>
      <c r="M200" s="204" t="str">
        <f>INDEX(Mapping!$H:$H,MATCH(D$3&amp;$D200,Mapping!$B:$B,0))</f>
        <v>EoK</v>
      </c>
      <c r="N200" s="204" t="str">
        <f>INDEX(Mapping!$H:$H,MATCH(E$3&amp;E200,Mapping!$B:$B,0))</f>
        <v>Premium</v>
      </c>
      <c r="O200" s="204" t="str">
        <f>INDEX(Mapping!$H:$H,MATCH(F$3&amp;F200,Mapping!$B:$B,0))</f>
        <v>Metro</v>
      </c>
      <c r="P200" s="204">
        <f>INDEX(Mapping!$H:$H,MATCH(G$3&amp;G200,Mapping!$B:$B,0))</f>
        <v>8</v>
      </c>
      <c r="Q200" s="204" t="str">
        <f>INDEX(Mapping!$H:$H,MATCH(Q$3&amp;$F200,Mapping!$B:$B,0))</f>
        <v>Metro - Nationaal</v>
      </c>
      <c r="R200" s="204" t="str">
        <f>INDEX(Mapping!$H:$H,MATCH("ZM VPN Service Level"&amp;E200,Mapping!$B:$B,0))</f>
        <v>Advanced</v>
      </c>
      <c r="S200" s="139" t="b">
        <f>IF($D200="EoK",INDEX(Mapping!$I:$I,MATCH($G$3&amp;$G200,Mapping!B:B,0)),FALSE)</f>
        <v>0</v>
      </c>
      <c r="T200" s="139"/>
      <c r="U200" s="520" t="str">
        <f t="shared" si="92"/>
        <v>PremiumMetro8</v>
      </c>
      <c r="W200" s="521">
        <f>MATCH($J200,'Tarieven ZM'!$B:$B,0)</f>
        <v>90</v>
      </c>
      <c r="X200" s="204">
        <f>INDEX('Tarieven ZM'!$H:$H,$W200)</f>
        <v>1000</v>
      </c>
      <c r="Y200" s="198">
        <f>-INDEX(Parameters!$B:$B,MATCH(Y$3&amp;$C200,Parameters!$A:$A,0))*$X200</f>
        <v>0</v>
      </c>
      <c r="Z200" s="198">
        <f>-INDEX(Parameters!$B:$B,MATCH(Z$3&amp;$C200,Parameters!$A:$A,0))*$X200</f>
        <v>0</v>
      </c>
      <c r="AA200" s="139">
        <f t="shared" si="94"/>
        <v>1000</v>
      </c>
      <c r="AB200" s="205">
        <f>AA200/INDEX(Parameters!$B:$B,MATCH("AfschrijftermijnVVE"&amp;12*$C200,Parameters!$A:$A,0))</f>
        <v>27.777777777777779</v>
      </c>
      <c r="AC200" s="204">
        <f>INDEX('Tarieven ZM'!$G:$G,$W200)</f>
        <v>1000</v>
      </c>
      <c r="AD200" s="198">
        <f>-INDEX(Parameters!$B:$B,MATCH(AD$3&amp;$C200,Parameters!$A:$A,0))*$AC200</f>
        <v>0</v>
      </c>
      <c r="AE200" s="198">
        <f>-INDEX(Parameters!$B:$B,MATCH(AE$3,Parameters!$A:$A,0))*$AC200</f>
        <v>0</v>
      </c>
      <c r="AF200" s="139">
        <f t="shared" si="95"/>
        <v>1000</v>
      </c>
      <c r="AG200" s="522">
        <f t="shared" si="96"/>
        <v>1027.7777777777778</v>
      </c>
      <c r="AH200" s="175"/>
      <c r="AI200" s="523">
        <f>MATCH($U200,'Tarieven W&amp;O'!$B:$B,0)</f>
        <v>63</v>
      </c>
      <c r="AJ200" s="204">
        <f>IF(AI200&lt;&gt;"nvt",INDEX('Tarieven W&amp;O'!$H:$H,$AI200),0)</f>
        <v>0</v>
      </c>
      <c r="AK200" s="204">
        <f>IF(AI200&lt;&gt;"nvt",INDEX('Tarieven W&amp;O'!$I:$I,$AI200),0)</f>
        <v>25</v>
      </c>
      <c r="AL200" s="524">
        <f>IF(AI200&lt;&gt;"nvt",-INDEX(Parameters!$B:$B,MATCH(AL$3,Parameters!$A:$A,0))*(AJ200+AK200),0)</f>
        <v>0</v>
      </c>
      <c r="AM200" s="525"/>
      <c r="AN200" s="139">
        <f t="shared" si="97"/>
        <v>25</v>
      </c>
      <c r="AO200" s="205">
        <f>AN200/INDEX(Parameters!$B:$B,MATCH("AfschrijftermijnVVE"&amp;12*$C200,Parameters!$A:$A,0))</f>
        <v>0.69444444444444442</v>
      </c>
      <c r="AP200" s="139">
        <f t="shared" si="98"/>
        <v>63</v>
      </c>
      <c r="AQ200" s="526">
        <f>IF(AP200&lt;&gt;"nvt",INDEX('Tarieven W&amp;O'!$G:$G,$AP200),0)</f>
        <v>54.24</v>
      </c>
      <c r="AR200" s="251">
        <f>IF($S200,INDEX('Tarieven W&amp;O'!$G:$G,MATCH(N200&amp;R200,'Tarieven W&amp;O'!$B:$B,0)),0)</f>
        <v>0</v>
      </c>
      <c r="AS200" s="205">
        <f>-INDEX(Parameters!$B:$B,MATCH(AS$3,Parameters!$A:$A,0))*(AQ200+AR200)</f>
        <v>0</v>
      </c>
      <c r="AT200" s="205">
        <f>INDEX(hulpblad!$E:$E,MATCH(M200&amp;Q200,hulpblad!$B:$B,0))</f>
        <v>2</v>
      </c>
      <c r="AU200" s="150">
        <f t="shared" si="101"/>
        <v>56.24</v>
      </c>
      <c r="AV200" s="150">
        <f t="shared" si="102"/>
        <v>56.934444444444445</v>
      </c>
      <c r="AX200" s="526">
        <f>Parameters!$B$6*AV200</f>
        <v>0.56934444444444443</v>
      </c>
      <c r="AY200" s="150">
        <v>0</v>
      </c>
      <c r="AZ200" s="150"/>
      <c r="BA200" s="150">
        <f t="shared" si="99"/>
        <v>0.56934444444444443</v>
      </c>
      <c r="BB200" s="150"/>
      <c r="BC200" s="522">
        <f t="shared" si="100"/>
        <v>57.503788888888892</v>
      </c>
      <c r="BD200" s="175"/>
      <c r="BE200" s="527">
        <f t="shared" si="103"/>
        <v>970.27398888888888</v>
      </c>
      <c r="BF200" s="181">
        <f t="shared" si="104"/>
        <v>0.94405036756756755</v>
      </c>
      <c r="BG200" s="520" t="b">
        <f t="shared" si="93"/>
        <v>0</v>
      </c>
      <c r="BI200" s="528" t="s">
        <v>2181</v>
      </c>
      <c r="BL200" s="151" t="str">
        <f t="shared" si="106"/>
        <v>EoKMetro - Nationaal</v>
      </c>
      <c r="BM200" s="529">
        <v>0</v>
      </c>
      <c r="BN200" s="180">
        <f>BM200/INDEX(Parameters!$B:$B,MATCH("AfschrijftermijnVVE"&amp;12*$C200,Parameters!$A:$A,0))</f>
        <v>0</v>
      </c>
      <c r="BO200" s="184">
        <f>INDEX('inkoop ULL tbv EVPN'!I:I,MATCH(BL200,'inkoop ULL tbv EVPN'!H:H,0))</f>
        <v>2</v>
      </c>
      <c r="BP200" s="184">
        <f t="shared" si="107"/>
        <v>2</v>
      </c>
      <c r="BR200" s="180">
        <f>Parameters!$B$12*AG200</f>
        <v>102.77777777777779</v>
      </c>
      <c r="BS200" s="180">
        <f>SUM(Distributievergoedingen!$F$12,Distributievergoedingen!$I$12,Distributievergoedingen!$L$12,Distributievergoedingen!$O$12)*AF200+SUM(Distributievergoedingen!$O$12*AA200+Distributievergoedingen!$R$12+Distributievergoedingen!$U$12+Distributievergoedingen!$X$12)/(MAX(36,12*C200))</f>
        <v>112.77777777777777</v>
      </c>
      <c r="BT200" s="150"/>
      <c r="BU200" s="150">
        <f t="shared" si="108"/>
        <v>215.55555555555554</v>
      </c>
      <c r="BW200" s="522">
        <f t="shared" si="109"/>
        <v>217.55555555555554</v>
      </c>
      <c r="BY200" s="527">
        <f t="shared" si="110"/>
        <v>810.22222222222229</v>
      </c>
      <c r="BZ200" s="181">
        <f t="shared" si="111"/>
        <v>0.78832432432432431</v>
      </c>
      <c r="CA200" s="520" t="b">
        <f t="shared" si="112"/>
        <v>0</v>
      </c>
    </row>
    <row r="201" spans="1:79" s="151" customFormat="1">
      <c r="A201" s="151" t="str">
        <f t="shared" si="105"/>
        <v>2EoKPremiumRegionaal10</v>
      </c>
      <c r="B201" s="520" t="str">
        <f t="shared" si="113"/>
        <v>2EoKPremiumRegionaal10</v>
      </c>
      <c r="C201" s="179">
        <v>2</v>
      </c>
      <c r="D201" s="179" t="s">
        <v>303</v>
      </c>
      <c r="E201" s="178" t="s">
        <v>267</v>
      </c>
      <c r="F201" s="178" t="s">
        <v>265</v>
      </c>
      <c r="G201" s="185" t="s">
        <v>412</v>
      </c>
      <c r="J201" s="520" t="str">
        <f t="shared" si="91"/>
        <v>PremiumRegionaal10</v>
      </c>
      <c r="L201" s="204">
        <f>INDEX(Mapping!$H:$H,MATCH(C$3&amp;C201,Mapping!$B:$B,0))</f>
        <v>1</v>
      </c>
      <c r="M201" s="204" t="str">
        <f>INDEX(Mapping!$H:$H,MATCH(D$3&amp;$D201,Mapping!$B:$B,0))</f>
        <v>EoK</v>
      </c>
      <c r="N201" s="204" t="str">
        <f>INDEX(Mapping!$H:$H,MATCH(E$3&amp;E201,Mapping!$B:$B,0))</f>
        <v>Premium</v>
      </c>
      <c r="O201" s="204" t="str">
        <f>INDEX(Mapping!$H:$H,MATCH(F$3&amp;F201,Mapping!$B:$B,0))</f>
        <v>Metro</v>
      </c>
      <c r="P201" s="204">
        <f>INDEX(Mapping!$H:$H,MATCH(G$3&amp;G201,Mapping!$B:$B,0))</f>
        <v>10</v>
      </c>
      <c r="Q201" s="204" t="str">
        <f>INDEX(Mapping!$H:$H,MATCH(Q$3&amp;$F201,Mapping!$B:$B,0))</f>
        <v>Metro - Nationaal</v>
      </c>
      <c r="R201" s="204" t="str">
        <f>INDEX(Mapping!$H:$H,MATCH("ZM VPN Service Level"&amp;E201,Mapping!$B:$B,0))</f>
        <v>Advanced</v>
      </c>
      <c r="S201" s="139" t="b">
        <f>IF($D201="EoK",INDEX(Mapping!$I:$I,MATCH($G$3&amp;$G201,Mapping!B:B,0)),FALSE)</f>
        <v>0</v>
      </c>
      <c r="T201" s="139"/>
      <c r="U201" s="520" t="str">
        <f t="shared" si="92"/>
        <v>PremiumMetro10</v>
      </c>
      <c r="W201" s="521">
        <f>MATCH($J201,'Tarieven ZM'!$B:$B,0)</f>
        <v>91</v>
      </c>
      <c r="X201" s="204">
        <f>INDEX('Tarieven ZM'!$H:$H,$W201)</f>
        <v>1000</v>
      </c>
      <c r="Y201" s="198">
        <f>-INDEX(Parameters!$B:$B,MATCH(Y$3&amp;$C201,Parameters!$A:$A,0))*$X201</f>
        <v>0</v>
      </c>
      <c r="Z201" s="198">
        <f>-INDEX(Parameters!$B:$B,MATCH(Z$3&amp;$C201,Parameters!$A:$A,0))*$X201</f>
        <v>0</v>
      </c>
      <c r="AA201" s="139">
        <f t="shared" si="94"/>
        <v>1000</v>
      </c>
      <c r="AB201" s="205">
        <f>AA201/INDEX(Parameters!$B:$B,MATCH("AfschrijftermijnVVE"&amp;12*$C201,Parameters!$A:$A,0))</f>
        <v>27.777777777777779</v>
      </c>
      <c r="AC201" s="204">
        <f>INDEX('Tarieven ZM'!$G:$G,$W201)</f>
        <v>1000</v>
      </c>
      <c r="AD201" s="198">
        <f>-INDEX(Parameters!$B:$B,MATCH(AD$3&amp;$C201,Parameters!$A:$A,0))*$AC201</f>
        <v>0</v>
      </c>
      <c r="AE201" s="198">
        <f>-INDEX(Parameters!$B:$B,MATCH(AE$3,Parameters!$A:$A,0))*$AC201</f>
        <v>0</v>
      </c>
      <c r="AF201" s="139">
        <f t="shared" si="95"/>
        <v>1000</v>
      </c>
      <c r="AG201" s="522">
        <f t="shared" si="96"/>
        <v>1027.7777777777778</v>
      </c>
      <c r="AH201" s="175"/>
      <c r="AI201" s="523">
        <f>MATCH($U201,'Tarieven W&amp;O'!$B:$B,0)</f>
        <v>64</v>
      </c>
      <c r="AJ201" s="204">
        <f>IF(AI201&lt;&gt;"nvt",INDEX('Tarieven W&amp;O'!$H:$H,$AI201),0)</f>
        <v>0</v>
      </c>
      <c r="AK201" s="204">
        <f>IF(AI201&lt;&gt;"nvt",INDEX('Tarieven W&amp;O'!$I:$I,$AI201),0)</f>
        <v>25</v>
      </c>
      <c r="AL201" s="524">
        <f>IF(AI201&lt;&gt;"nvt",-INDEX(Parameters!$B:$B,MATCH(AL$3,Parameters!$A:$A,0))*(AJ201+AK201),0)</f>
        <v>0</v>
      </c>
      <c r="AM201" s="525"/>
      <c r="AN201" s="139">
        <f t="shared" si="97"/>
        <v>25</v>
      </c>
      <c r="AO201" s="205">
        <f>AN201/INDEX(Parameters!$B:$B,MATCH("AfschrijftermijnVVE"&amp;12*$C201,Parameters!$A:$A,0))</f>
        <v>0.69444444444444442</v>
      </c>
      <c r="AP201" s="139">
        <f t="shared" si="98"/>
        <v>64</v>
      </c>
      <c r="AQ201" s="526">
        <f>IF(AP201&lt;&gt;"nvt",INDEX('Tarieven W&amp;O'!$G:$G,$AP201),0)</f>
        <v>58.01</v>
      </c>
      <c r="AR201" s="251">
        <f>IF($S201,INDEX('Tarieven W&amp;O'!$G:$G,MATCH(N201&amp;R201,'Tarieven W&amp;O'!$B:$B,0)),0)</f>
        <v>0</v>
      </c>
      <c r="AS201" s="205">
        <f>-INDEX(Parameters!$B:$B,MATCH(AS$3,Parameters!$A:$A,0))*(AQ201+AR201)</f>
        <v>0</v>
      </c>
      <c r="AT201" s="205">
        <f>INDEX(hulpblad!$E:$E,MATCH(M201&amp;Q201,hulpblad!$B:$B,0))</f>
        <v>2</v>
      </c>
      <c r="AU201" s="150">
        <f t="shared" si="101"/>
        <v>60.01</v>
      </c>
      <c r="AV201" s="150">
        <f t="shared" si="102"/>
        <v>60.704444444444441</v>
      </c>
      <c r="AX201" s="526">
        <f>Parameters!$B$6*AV201</f>
        <v>0.60704444444444439</v>
      </c>
      <c r="AY201" s="150">
        <v>0</v>
      </c>
      <c r="AZ201" s="150"/>
      <c r="BA201" s="150">
        <f t="shared" si="99"/>
        <v>0.60704444444444439</v>
      </c>
      <c r="BB201" s="150"/>
      <c r="BC201" s="522">
        <f t="shared" si="100"/>
        <v>61.311488888888888</v>
      </c>
      <c r="BD201" s="175"/>
      <c r="BE201" s="527">
        <f t="shared" si="103"/>
        <v>966.46628888888893</v>
      </c>
      <c r="BF201" s="181">
        <f t="shared" si="104"/>
        <v>0.9403455783783784</v>
      </c>
      <c r="BG201" s="520" t="b">
        <f t="shared" si="93"/>
        <v>0</v>
      </c>
      <c r="BI201" s="528" t="s">
        <v>2181</v>
      </c>
      <c r="BL201" s="151" t="str">
        <f t="shared" si="106"/>
        <v>EoKMetro - Nationaal</v>
      </c>
      <c r="BM201" s="529">
        <v>0</v>
      </c>
      <c r="BN201" s="180">
        <f>BM201/INDEX(Parameters!$B:$B,MATCH("AfschrijftermijnVVE"&amp;12*$C201,Parameters!$A:$A,0))</f>
        <v>0</v>
      </c>
      <c r="BO201" s="184">
        <f>INDEX('inkoop ULL tbv EVPN'!I:I,MATCH(BL201,'inkoop ULL tbv EVPN'!H:H,0))</f>
        <v>2</v>
      </c>
      <c r="BP201" s="184">
        <f t="shared" si="107"/>
        <v>2</v>
      </c>
      <c r="BR201" s="180">
        <f>Parameters!$B$12*AG201</f>
        <v>102.77777777777779</v>
      </c>
      <c r="BS201" s="180">
        <f>SUM(Distributievergoedingen!$F$12,Distributievergoedingen!$I$12,Distributievergoedingen!$L$12,Distributievergoedingen!$O$12)*AF201+SUM(Distributievergoedingen!$O$12*AA201+Distributievergoedingen!$R$12+Distributievergoedingen!$U$12+Distributievergoedingen!$X$12)/(MAX(36,12*C201))</f>
        <v>112.77777777777777</v>
      </c>
      <c r="BT201" s="150"/>
      <c r="BU201" s="150">
        <f t="shared" si="108"/>
        <v>215.55555555555554</v>
      </c>
      <c r="BW201" s="522">
        <f t="shared" si="109"/>
        <v>217.55555555555554</v>
      </c>
      <c r="BY201" s="527">
        <f t="shared" si="110"/>
        <v>810.22222222222229</v>
      </c>
      <c r="BZ201" s="181">
        <f t="shared" si="111"/>
        <v>0.78832432432432431</v>
      </c>
      <c r="CA201" s="520" t="b">
        <f t="shared" si="112"/>
        <v>0</v>
      </c>
    </row>
    <row r="202" spans="1:79" s="151" customFormat="1">
      <c r="A202" s="151" t="str">
        <f t="shared" si="105"/>
        <v>2EoKPremiumRegionaal15</v>
      </c>
      <c r="B202" s="520" t="str">
        <f t="shared" si="113"/>
        <v>2EoKPremiumRegionaal15</v>
      </c>
      <c r="C202" s="179">
        <v>2</v>
      </c>
      <c r="D202" s="179" t="s">
        <v>303</v>
      </c>
      <c r="E202" s="178" t="s">
        <v>267</v>
      </c>
      <c r="F202" s="178" t="s">
        <v>265</v>
      </c>
      <c r="G202" s="185" t="s">
        <v>413</v>
      </c>
      <c r="J202" s="520" t="str">
        <f t="shared" si="91"/>
        <v>PremiumRegionaal15</v>
      </c>
      <c r="L202" s="204">
        <f>INDEX(Mapping!$H:$H,MATCH(C$3&amp;C202,Mapping!$B:$B,0))</f>
        <v>1</v>
      </c>
      <c r="M202" s="204" t="str">
        <f>INDEX(Mapping!$H:$H,MATCH(D$3&amp;$D202,Mapping!$B:$B,0))</f>
        <v>EoK</v>
      </c>
      <c r="N202" s="204" t="str">
        <f>INDEX(Mapping!$H:$H,MATCH(E$3&amp;E202,Mapping!$B:$B,0))</f>
        <v>Premium</v>
      </c>
      <c r="O202" s="204" t="str">
        <f>INDEX(Mapping!$H:$H,MATCH(F$3&amp;F202,Mapping!$B:$B,0))</f>
        <v>Metro</v>
      </c>
      <c r="P202" s="204">
        <f>INDEX(Mapping!$H:$H,MATCH(G$3&amp;G202,Mapping!$B:$B,0))</f>
        <v>15</v>
      </c>
      <c r="Q202" s="204" t="str">
        <f>INDEX(Mapping!$H:$H,MATCH(Q$3&amp;$F202,Mapping!$B:$B,0))</f>
        <v>Metro - Nationaal</v>
      </c>
      <c r="R202" s="204" t="str">
        <f>INDEX(Mapping!$H:$H,MATCH("ZM VPN Service Level"&amp;E202,Mapping!$B:$B,0))</f>
        <v>Advanced</v>
      </c>
      <c r="S202" s="139" t="b">
        <f>IF($D202="EoK",INDEX(Mapping!$I:$I,MATCH($G$3&amp;$G202,Mapping!B:B,0)),FALSE)</f>
        <v>0</v>
      </c>
      <c r="T202" s="139"/>
      <c r="U202" s="520" t="str">
        <f t="shared" si="92"/>
        <v>PremiumMetro15</v>
      </c>
      <c r="W202" s="521">
        <f>MATCH($J202,'Tarieven ZM'!$B:$B,0)</f>
        <v>92</v>
      </c>
      <c r="X202" s="204">
        <f>INDEX('Tarieven ZM'!$H:$H,$W202)</f>
        <v>1000</v>
      </c>
      <c r="Y202" s="198">
        <f>-INDEX(Parameters!$B:$B,MATCH(Y$3&amp;$C202,Parameters!$A:$A,0))*$X202</f>
        <v>0</v>
      </c>
      <c r="Z202" s="198">
        <f>-INDEX(Parameters!$B:$B,MATCH(Z$3&amp;$C202,Parameters!$A:$A,0))*$X202</f>
        <v>0</v>
      </c>
      <c r="AA202" s="139">
        <f t="shared" si="94"/>
        <v>1000</v>
      </c>
      <c r="AB202" s="205">
        <f>AA202/INDEX(Parameters!$B:$B,MATCH("AfschrijftermijnVVE"&amp;12*$C202,Parameters!$A:$A,0))</f>
        <v>27.777777777777779</v>
      </c>
      <c r="AC202" s="204">
        <f>INDEX('Tarieven ZM'!$G:$G,$W202)</f>
        <v>1000</v>
      </c>
      <c r="AD202" s="198">
        <f>-INDEX(Parameters!$B:$B,MATCH(AD$3&amp;$C202,Parameters!$A:$A,0))*$AC202</f>
        <v>0</v>
      </c>
      <c r="AE202" s="198">
        <f>-INDEX(Parameters!$B:$B,MATCH(AE$3,Parameters!$A:$A,0))*$AC202</f>
        <v>0</v>
      </c>
      <c r="AF202" s="139">
        <f t="shared" si="95"/>
        <v>1000</v>
      </c>
      <c r="AG202" s="522">
        <f t="shared" si="96"/>
        <v>1027.7777777777778</v>
      </c>
      <c r="AH202" s="175"/>
      <c r="AI202" s="523">
        <f>MATCH($U202,'Tarieven W&amp;O'!$B:$B,0)</f>
        <v>65</v>
      </c>
      <c r="AJ202" s="204">
        <f>IF(AI202&lt;&gt;"nvt",INDEX('Tarieven W&amp;O'!$H:$H,$AI202),0)</f>
        <v>0</v>
      </c>
      <c r="AK202" s="204">
        <f>IF(AI202&lt;&gt;"nvt",INDEX('Tarieven W&amp;O'!$I:$I,$AI202),0)</f>
        <v>25</v>
      </c>
      <c r="AL202" s="524">
        <f>IF(AI202&lt;&gt;"nvt",-INDEX(Parameters!$B:$B,MATCH(AL$3,Parameters!$A:$A,0))*(AJ202+AK202),0)</f>
        <v>0</v>
      </c>
      <c r="AM202" s="525"/>
      <c r="AN202" s="139">
        <f t="shared" si="97"/>
        <v>25</v>
      </c>
      <c r="AO202" s="205">
        <f>AN202/INDEX(Parameters!$B:$B,MATCH("AfschrijftermijnVVE"&amp;12*$C202,Parameters!$A:$A,0))</f>
        <v>0.69444444444444442</v>
      </c>
      <c r="AP202" s="139">
        <f t="shared" si="98"/>
        <v>65</v>
      </c>
      <c r="AQ202" s="526">
        <f>IF(AP202&lt;&gt;"nvt",INDEX('Tarieven W&amp;O'!$G:$G,$AP202),0)</f>
        <v>80.63</v>
      </c>
      <c r="AR202" s="251">
        <f>IF($S202,INDEX('Tarieven W&amp;O'!$G:$G,MATCH(N202&amp;R202,'Tarieven W&amp;O'!$B:$B,0)),0)</f>
        <v>0</v>
      </c>
      <c r="AS202" s="205">
        <f>-INDEX(Parameters!$B:$B,MATCH(AS$3,Parameters!$A:$A,0))*(AQ202+AR202)</f>
        <v>0</v>
      </c>
      <c r="AT202" s="205">
        <f>INDEX(hulpblad!$E:$E,MATCH(M202&amp;Q202,hulpblad!$B:$B,0))</f>
        <v>2</v>
      </c>
      <c r="AU202" s="150">
        <f t="shared" si="101"/>
        <v>82.63</v>
      </c>
      <c r="AV202" s="150">
        <f t="shared" si="102"/>
        <v>83.324444444444438</v>
      </c>
      <c r="AX202" s="526">
        <f>Parameters!$B$6*AV202</f>
        <v>0.83324444444444445</v>
      </c>
      <c r="AY202" s="150">
        <v>0</v>
      </c>
      <c r="AZ202" s="150"/>
      <c r="BA202" s="150">
        <f t="shared" si="99"/>
        <v>0.83324444444444445</v>
      </c>
      <c r="BB202" s="150"/>
      <c r="BC202" s="522">
        <f t="shared" si="100"/>
        <v>84.157688888888885</v>
      </c>
      <c r="BD202" s="175"/>
      <c r="BE202" s="527">
        <f t="shared" si="103"/>
        <v>943.62008888888897</v>
      </c>
      <c r="BF202" s="181">
        <f t="shared" si="104"/>
        <v>0.91811684324324327</v>
      </c>
      <c r="BG202" s="520" t="b">
        <f t="shared" si="93"/>
        <v>0</v>
      </c>
      <c r="BI202" s="528" t="s">
        <v>2181</v>
      </c>
      <c r="BL202" s="151" t="str">
        <f t="shared" si="106"/>
        <v>EoKMetro - Nationaal</v>
      </c>
      <c r="BM202" s="529">
        <v>0</v>
      </c>
      <c r="BN202" s="180">
        <f>BM202/INDEX(Parameters!$B:$B,MATCH("AfschrijftermijnVVE"&amp;12*$C202,Parameters!$A:$A,0))</f>
        <v>0</v>
      </c>
      <c r="BO202" s="184">
        <f>INDEX('inkoop ULL tbv EVPN'!I:I,MATCH(BL202,'inkoop ULL tbv EVPN'!H:H,0))</f>
        <v>2</v>
      </c>
      <c r="BP202" s="184">
        <f t="shared" si="107"/>
        <v>2</v>
      </c>
      <c r="BR202" s="180">
        <f>Parameters!$B$12*AG202</f>
        <v>102.77777777777779</v>
      </c>
      <c r="BS202" s="180">
        <f>SUM(Distributievergoedingen!$F$12,Distributievergoedingen!$I$12,Distributievergoedingen!$L$12,Distributievergoedingen!$O$12)*AF202+SUM(Distributievergoedingen!$O$12*AA202+Distributievergoedingen!$R$12+Distributievergoedingen!$U$12+Distributievergoedingen!$X$12)/(MAX(36,12*C202))</f>
        <v>112.77777777777777</v>
      </c>
      <c r="BT202" s="150"/>
      <c r="BU202" s="150">
        <f t="shared" si="108"/>
        <v>215.55555555555554</v>
      </c>
      <c r="BW202" s="522">
        <f t="shared" si="109"/>
        <v>217.55555555555554</v>
      </c>
      <c r="BY202" s="527">
        <f t="shared" si="110"/>
        <v>810.22222222222229</v>
      </c>
      <c r="BZ202" s="181">
        <f t="shared" si="111"/>
        <v>0.78832432432432431</v>
      </c>
      <c r="CA202" s="520" t="b">
        <f t="shared" si="112"/>
        <v>0</v>
      </c>
    </row>
    <row r="203" spans="1:79" s="151" customFormat="1">
      <c r="A203" s="151" t="str">
        <f t="shared" si="105"/>
        <v>2EoKPremiumRegionaal20</v>
      </c>
      <c r="B203" s="520" t="str">
        <f t="shared" si="113"/>
        <v>2EoKPremiumRegionaal20</v>
      </c>
      <c r="C203" s="179">
        <v>2</v>
      </c>
      <c r="D203" s="179" t="s">
        <v>303</v>
      </c>
      <c r="E203" s="178" t="s">
        <v>267</v>
      </c>
      <c r="F203" s="178" t="s">
        <v>265</v>
      </c>
      <c r="G203" s="185" t="s">
        <v>414</v>
      </c>
      <c r="J203" s="520" t="str">
        <f t="shared" ref="J203:J231" si="114">E203&amp;F203&amp;G203&amp;H203</f>
        <v>PremiumRegionaal20</v>
      </c>
      <c r="L203" s="204">
        <f>INDEX(Mapping!$H:$H,MATCH(C$3&amp;C203,Mapping!$B:$B,0))</f>
        <v>1</v>
      </c>
      <c r="M203" s="204" t="str">
        <f>INDEX(Mapping!$H:$H,MATCH(D$3&amp;$D203,Mapping!$B:$B,0))</f>
        <v>EoK</v>
      </c>
      <c r="N203" s="204" t="str">
        <f>INDEX(Mapping!$H:$H,MATCH(E$3&amp;E203,Mapping!$B:$B,0))</f>
        <v>Premium</v>
      </c>
      <c r="O203" s="204" t="str">
        <f>INDEX(Mapping!$H:$H,MATCH(F$3&amp;F203,Mapping!$B:$B,0))</f>
        <v>Metro</v>
      </c>
      <c r="P203" s="204">
        <f>INDEX(Mapping!$H:$H,MATCH(G$3&amp;G203,Mapping!$B:$B,0))</f>
        <v>20</v>
      </c>
      <c r="Q203" s="204" t="str">
        <f>INDEX(Mapping!$H:$H,MATCH(Q$3&amp;$F203,Mapping!$B:$B,0))</f>
        <v>Metro - Nationaal</v>
      </c>
      <c r="R203" s="204" t="str">
        <f>INDEX(Mapping!$H:$H,MATCH("ZM VPN Service Level"&amp;E203,Mapping!$B:$B,0))</f>
        <v>Advanced</v>
      </c>
      <c r="S203" s="139" t="b">
        <f>IF($D203="EoK",INDEX(Mapping!$I:$I,MATCH($G$3&amp;$G203,Mapping!B:B,0)),FALSE)</f>
        <v>0</v>
      </c>
      <c r="T203" s="139"/>
      <c r="U203" s="520" t="str">
        <f t="shared" ref="U203:U231" si="115">N203&amp;O203&amp;P203</f>
        <v>PremiumMetro20</v>
      </c>
      <c r="W203" s="521">
        <f>MATCH($J203,'Tarieven ZM'!$B:$B,0)</f>
        <v>93</v>
      </c>
      <c r="X203" s="204">
        <f>INDEX('Tarieven ZM'!$H:$H,$W203)</f>
        <v>1000</v>
      </c>
      <c r="Y203" s="198">
        <f>-INDEX(Parameters!$B:$B,MATCH(Y$3&amp;$C203,Parameters!$A:$A,0))*$X203</f>
        <v>0</v>
      </c>
      <c r="Z203" s="198">
        <f>-INDEX(Parameters!$B:$B,MATCH(Z$3&amp;$C203,Parameters!$A:$A,0))*$X203</f>
        <v>0</v>
      </c>
      <c r="AA203" s="139">
        <f t="shared" si="94"/>
        <v>1000</v>
      </c>
      <c r="AB203" s="205">
        <f>AA203/INDEX(Parameters!$B:$B,MATCH("AfschrijftermijnVVE"&amp;12*$C203,Parameters!$A:$A,0))</f>
        <v>27.777777777777779</v>
      </c>
      <c r="AC203" s="204">
        <f>INDEX('Tarieven ZM'!$G:$G,$W203)</f>
        <v>1000</v>
      </c>
      <c r="AD203" s="198">
        <f>-INDEX(Parameters!$B:$B,MATCH(AD$3&amp;$C203,Parameters!$A:$A,0))*$AC203</f>
        <v>0</v>
      </c>
      <c r="AE203" s="198">
        <f>-INDEX(Parameters!$B:$B,MATCH(AE$3,Parameters!$A:$A,0))*$AC203</f>
        <v>0</v>
      </c>
      <c r="AF203" s="139">
        <f t="shared" si="95"/>
        <v>1000</v>
      </c>
      <c r="AG203" s="522">
        <f t="shared" si="96"/>
        <v>1027.7777777777778</v>
      </c>
      <c r="AH203" s="175"/>
      <c r="AI203" s="523">
        <f>MATCH($U203,'Tarieven W&amp;O'!$B:$B,0)</f>
        <v>66</v>
      </c>
      <c r="AJ203" s="204">
        <f>IF(AI203&lt;&gt;"nvt",INDEX('Tarieven W&amp;O'!$H:$H,$AI203),0)</f>
        <v>0</v>
      </c>
      <c r="AK203" s="204">
        <f>IF(AI203&lt;&gt;"nvt",INDEX('Tarieven W&amp;O'!$I:$I,$AI203),0)</f>
        <v>25</v>
      </c>
      <c r="AL203" s="524">
        <f>IF(AI203&lt;&gt;"nvt",-INDEX(Parameters!$B:$B,MATCH(AL$3,Parameters!$A:$A,0))*(AJ203+AK203),0)</f>
        <v>0</v>
      </c>
      <c r="AM203" s="525"/>
      <c r="AN203" s="139">
        <f t="shared" si="97"/>
        <v>25</v>
      </c>
      <c r="AO203" s="205">
        <f>AN203/INDEX(Parameters!$B:$B,MATCH("AfschrijftermijnVVE"&amp;12*$C203,Parameters!$A:$A,0))</f>
        <v>0.69444444444444442</v>
      </c>
      <c r="AP203" s="139">
        <f t="shared" si="98"/>
        <v>66</v>
      </c>
      <c r="AQ203" s="526">
        <f>IF(AP203&lt;&gt;"nvt",INDEX('Tarieven W&amp;O'!$G:$G,$AP203),0)</f>
        <v>88.17</v>
      </c>
      <c r="AR203" s="251">
        <f>IF($S203,INDEX('Tarieven W&amp;O'!$G:$G,MATCH(N203&amp;R203,'Tarieven W&amp;O'!$B:$B,0)),0)</f>
        <v>0</v>
      </c>
      <c r="AS203" s="205">
        <f>-INDEX(Parameters!$B:$B,MATCH(AS$3,Parameters!$A:$A,0))*(AQ203+AR203)</f>
        <v>0</v>
      </c>
      <c r="AT203" s="205">
        <f>INDEX(hulpblad!$E:$E,MATCH(M203&amp;Q203,hulpblad!$B:$B,0))</f>
        <v>2</v>
      </c>
      <c r="AU203" s="150">
        <f t="shared" si="101"/>
        <v>90.17</v>
      </c>
      <c r="AV203" s="150">
        <f t="shared" si="102"/>
        <v>90.864444444444445</v>
      </c>
      <c r="AX203" s="526">
        <f>Parameters!$B$6*AV203</f>
        <v>0.90864444444444448</v>
      </c>
      <c r="AY203" s="150">
        <v>0</v>
      </c>
      <c r="AZ203" s="150"/>
      <c r="BA203" s="150">
        <f t="shared" si="99"/>
        <v>0.90864444444444448</v>
      </c>
      <c r="BB203" s="150"/>
      <c r="BC203" s="522">
        <f t="shared" si="100"/>
        <v>91.773088888888893</v>
      </c>
      <c r="BD203" s="175"/>
      <c r="BE203" s="527">
        <f t="shared" si="103"/>
        <v>936.00468888888895</v>
      </c>
      <c r="BF203" s="181">
        <f t="shared" si="104"/>
        <v>0.91070726486486486</v>
      </c>
      <c r="BG203" s="520" t="b">
        <f t="shared" ref="BG203:BG231" si="116">BF203&lt;0</f>
        <v>0</v>
      </c>
      <c r="BI203" s="528" t="s">
        <v>2181</v>
      </c>
      <c r="BL203" s="151" t="str">
        <f t="shared" si="106"/>
        <v>EoKMetro - Nationaal</v>
      </c>
      <c r="BM203" s="529">
        <v>0</v>
      </c>
      <c r="BN203" s="180">
        <f>BM203/INDEX(Parameters!$B:$B,MATCH("AfschrijftermijnVVE"&amp;12*$C203,Parameters!$A:$A,0))</f>
        <v>0</v>
      </c>
      <c r="BO203" s="184">
        <f>INDEX('inkoop ULL tbv EVPN'!I:I,MATCH(BL203,'inkoop ULL tbv EVPN'!H:H,0))</f>
        <v>2</v>
      </c>
      <c r="BP203" s="184">
        <f t="shared" si="107"/>
        <v>2</v>
      </c>
      <c r="BR203" s="180">
        <f>Parameters!$B$12*AG203</f>
        <v>102.77777777777779</v>
      </c>
      <c r="BS203" s="180">
        <f>SUM(Distributievergoedingen!$F$12,Distributievergoedingen!$I$12,Distributievergoedingen!$L$12,Distributievergoedingen!$O$12)*AF203+SUM(Distributievergoedingen!$O$12*AA203+Distributievergoedingen!$R$12+Distributievergoedingen!$U$12+Distributievergoedingen!$X$12)/(MAX(36,12*C203))</f>
        <v>112.77777777777777</v>
      </c>
      <c r="BT203" s="150"/>
      <c r="BU203" s="150">
        <f t="shared" si="108"/>
        <v>215.55555555555554</v>
      </c>
      <c r="BW203" s="522">
        <f t="shared" si="109"/>
        <v>217.55555555555554</v>
      </c>
      <c r="BY203" s="527">
        <f t="shared" si="110"/>
        <v>810.22222222222229</v>
      </c>
      <c r="BZ203" s="181">
        <f t="shared" si="111"/>
        <v>0.78832432432432431</v>
      </c>
      <c r="CA203" s="520" t="b">
        <f t="shared" si="112"/>
        <v>0</v>
      </c>
    </row>
    <row r="204" spans="1:79" s="151" customFormat="1">
      <c r="A204" s="151" t="str">
        <f t="shared" si="105"/>
        <v>2EoKPremiumRegionaal30</v>
      </c>
      <c r="B204" s="520" t="str">
        <f t="shared" si="113"/>
        <v>2EoKPremiumRegionaal30</v>
      </c>
      <c r="C204" s="179">
        <v>2</v>
      </c>
      <c r="D204" s="179" t="s">
        <v>303</v>
      </c>
      <c r="E204" s="178" t="s">
        <v>267</v>
      </c>
      <c r="F204" s="178" t="s">
        <v>265</v>
      </c>
      <c r="G204" s="185" t="s">
        <v>415</v>
      </c>
      <c r="J204" s="520" t="str">
        <f t="shared" si="114"/>
        <v>PremiumRegionaal30</v>
      </c>
      <c r="L204" s="204">
        <f>INDEX(Mapping!$H:$H,MATCH(C$3&amp;C204,Mapping!$B:$B,0))</f>
        <v>1</v>
      </c>
      <c r="M204" s="204" t="str">
        <f>INDEX(Mapping!$H:$H,MATCH(D$3&amp;$D204,Mapping!$B:$B,0))</f>
        <v>EoK</v>
      </c>
      <c r="N204" s="204" t="str">
        <f>INDEX(Mapping!$H:$H,MATCH(E$3&amp;E204,Mapping!$B:$B,0))</f>
        <v>Premium</v>
      </c>
      <c r="O204" s="204" t="str">
        <f>INDEX(Mapping!$H:$H,MATCH(F$3&amp;F204,Mapping!$B:$B,0))</f>
        <v>Metro</v>
      </c>
      <c r="P204" s="204">
        <f>INDEX(Mapping!$H:$H,MATCH(G$3&amp;G204,Mapping!$B:$B,0))</f>
        <v>30</v>
      </c>
      <c r="Q204" s="204" t="str">
        <f>INDEX(Mapping!$H:$H,MATCH(Q$3&amp;$F204,Mapping!$B:$B,0))</f>
        <v>Metro - Nationaal</v>
      </c>
      <c r="R204" s="204" t="str">
        <f>INDEX(Mapping!$H:$H,MATCH("ZM VPN Service Level"&amp;E204,Mapping!$B:$B,0))</f>
        <v>Advanced</v>
      </c>
      <c r="S204" s="139" t="b">
        <f>IF($D204="EoK",INDEX(Mapping!$I:$I,MATCH($G$3&amp;$G204,Mapping!B:B,0)),FALSE)</f>
        <v>0</v>
      </c>
      <c r="T204" s="139"/>
      <c r="U204" s="520" t="str">
        <f t="shared" si="115"/>
        <v>PremiumMetro30</v>
      </c>
      <c r="W204" s="521">
        <f>MATCH($J204,'Tarieven ZM'!$B:$B,0)</f>
        <v>94</v>
      </c>
      <c r="X204" s="204">
        <f>INDEX('Tarieven ZM'!$H:$H,$W204)</f>
        <v>1000</v>
      </c>
      <c r="Y204" s="198">
        <f>-INDEX(Parameters!$B:$B,MATCH(Y$3&amp;$C204,Parameters!$A:$A,0))*$X204</f>
        <v>0</v>
      </c>
      <c r="Z204" s="198">
        <f>-INDEX(Parameters!$B:$B,MATCH(Z$3&amp;$C204,Parameters!$A:$A,0))*$X204</f>
        <v>0</v>
      </c>
      <c r="AA204" s="139">
        <f t="shared" si="94"/>
        <v>1000</v>
      </c>
      <c r="AB204" s="205">
        <f>AA204/INDEX(Parameters!$B:$B,MATCH("AfschrijftermijnVVE"&amp;12*$C204,Parameters!$A:$A,0))</f>
        <v>27.777777777777779</v>
      </c>
      <c r="AC204" s="204">
        <f>INDEX('Tarieven ZM'!$G:$G,$W204)</f>
        <v>1000</v>
      </c>
      <c r="AD204" s="198">
        <f>-INDEX(Parameters!$B:$B,MATCH(AD$3&amp;$C204,Parameters!$A:$A,0))*$AC204</f>
        <v>0</v>
      </c>
      <c r="AE204" s="198">
        <f>-INDEX(Parameters!$B:$B,MATCH(AE$3,Parameters!$A:$A,0))*$AC204</f>
        <v>0</v>
      </c>
      <c r="AF204" s="139">
        <f t="shared" si="95"/>
        <v>1000</v>
      </c>
      <c r="AG204" s="522">
        <f t="shared" si="96"/>
        <v>1027.7777777777778</v>
      </c>
      <c r="AH204" s="175"/>
      <c r="AI204" s="523">
        <f>MATCH($U204,'Tarieven W&amp;O'!$B:$B,0)</f>
        <v>67</v>
      </c>
      <c r="AJ204" s="204">
        <f>IF(AI204&lt;&gt;"nvt",INDEX('Tarieven W&amp;O'!$H:$H,$AI204),0)</f>
        <v>0</v>
      </c>
      <c r="AK204" s="204">
        <f>IF(AI204&lt;&gt;"nvt",INDEX('Tarieven W&amp;O'!$I:$I,$AI204),0)</f>
        <v>25</v>
      </c>
      <c r="AL204" s="524">
        <f>IF(AI204&lt;&gt;"nvt",-INDEX(Parameters!$B:$B,MATCH(AL$3,Parameters!$A:$A,0))*(AJ204+AK204),0)</f>
        <v>0</v>
      </c>
      <c r="AM204" s="525"/>
      <c r="AN204" s="139">
        <f t="shared" si="97"/>
        <v>25</v>
      </c>
      <c r="AO204" s="205">
        <f>AN204/INDEX(Parameters!$B:$B,MATCH("AfschrijftermijnVVE"&amp;12*$C204,Parameters!$A:$A,0))</f>
        <v>0.69444444444444442</v>
      </c>
      <c r="AP204" s="139">
        <f t="shared" si="98"/>
        <v>67</v>
      </c>
      <c r="AQ204" s="526">
        <f>IF(AP204&lt;&gt;"nvt",INDEX('Tarieven W&amp;O'!$G:$G,$AP204),0)</f>
        <v>110.78</v>
      </c>
      <c r="AR204" s="251">
        <f>IF($S204,INDEX('Tarieven W&amp;O'!$G:$G,MATCH(N204&amp;R204,'Tarieven W&amp;O'!$B:$B,0)),0)</f>
        <v>0</v>
      </c>
      <c r="AS204" s="205">
        <f>-INDEX(Parameters!$B:$B,MATCH(AS$3,Parameters!$A:$A,0))*(AQ204+AR204)</f>
        <v>0</v>
      </c>
      <c r="AT204" s="205">
        <f>INDEX(hulpblad!$E:$E,MATCH(M204&amp;Q204,hulpblad!$B:$B,0))</f>
        <v>2</v>
      </c>
      <c r="AU204" s="150">
        <f t="shared" si="101"/>
        <v>112.78</v>
      </c>
      <c r="AV204" s="150">
        <f t="shared" si="102"/>
        <v>113.47444444444444</v>
      </c>
      <c r="AX204" s="526">
        <f>Parameters!$B$6*AV204</f>
        <v>1.1347444444444446</v>
      </c>
      <c r="AY204" s="150">
        <v>0</v>
      </c>
      <c r="AZ204" s="150"/>
      <c r="BA204" s="150">
        <f t="shared" si="99"/>
        <v>1.1347444444444446</v>
      </c>
      <c r="BB204" s="150"/>
      <c r="BC204" s="522">
        <f t="shared" si="100"/>
        <v>114.60918888888889</v>
      </c>
      <c r="BD204" s="175"/>
      <c r="BE204" s="527">
        <f t="shared" si="103"/>
        <v>913.16858888888896</v>
      </c>
      <c r="BF204" s="181">
        <f t="shared" si="104"/>
        <v>0.88848835675675675</v>
      </c>
      <c r="BG204" s="520" t="b">
        <f t="shared" si="116"/>
        <v>0</v>
      </c>
      <c r="BI204" s="528" t="s">
        <v>2181</v>
      </c>
      <c r="BL204" s="151" t="str">
        <f t="shared" si="106"/>
        <v>EoKMetro - Nationaal</v>
      </c>
      <c r="BM204" s="529">
        <v>0</v>
      </c>
      <c r="BN204" s="180">
        <f>BM204/INDEX(Parameters!$B:$B,MATCH("AfschrijftermijnVVE"&amp;12*$C204,Parameters!$A:$A,0))</f>
        <v>0</v>
      </c>
      <c r="BO204" s="184">
        <f>INDEX('inkoop ULL tbv EVPN'!I:I,MATCH(BL204,'inkoop ULL tbv EVPN'!H:H,0))</f>
        <v>2</v>
      </c>
      <c r="BP204" s="184">
        <f t="shared" si="107"/>
        <v>2</v>
      </c>
      <c r="BR204" s="180">
        <f>Parameters!$B$12*AG204</f>
        <v>102.77777777777779</v>
      </c>
      <c r="BS204" s="180">
        <f>SUM(Distributievergoedingen!$F$12,Distributievergoedingen!$I$12,Distributievergoedingen!$L$12,Distributievergoedingen!$O$12)*AF204+SUM(Distributievergoedingen!$O$12*AA204+Distributievergoedingen!$R$12+Distributievergoedingen!$U$12+Distributievergoedingen!$X$12)/(MAX(36,12*C204))</f>
        <v>112.77777777777777</v>
      </c>
      <c r="BT204" s="150"/>
      <c r="BU204" s="150">
        <f t="shared" si="108"/>
        <v>215.55555555555554</v>
      </c>
      <c r="BW204" s="522">
        <f t="shared" si="109"/>
        <v>217.55555555555554</v>
      </c>
      <c r="BY204" s="527">
        <f t="shared" si="110"/>
        <v>810.22222222222229</v>
      </c>
      <c r="BZ204" s="181">
        <f t="shared" si="111"/>
        <v>0.78832432432432431</v>
      </c>
      <c r="CA204" s="520" t="b">
        <f t="shared" si="112"/>
        <v>0</v>
      </c>
    </row>
    <row r="205" spans="1:79" s="151" customFormat="1">
      <c r="A205" s="151" t="str">
        <f t="shared" si="105"/>
        <v>2EoKPremiumRegionaal50</v>
      </c>
      <c r="B205" s="520" t="str">
        <f t="shared" si="113"/>
        <v>2EoKPremiumRegionaal50</v>
      </c>
      <c r="C205" s="179">
        <v>2</v>
      </c>
      <c r="D205" s="179" t="s">
        <v>303</v>
      </c>
      <c r="E205" s="178" t="s">
        <v>267</v>
      </c>
      <c r="F205" s="178" t="s">
        <v>265</v>
      </c>
      <c r="G205" s="185" t="s">
        <v>416</v>
      </c>
      <c r="J205" s="520" t="str">
        <f t="shared" si="114"/>
        <v>PremiumRegionaal50</v>
      </c>
      <c r="L205" s="204">
        <f>INDEX(Mapping!$H:$H,MATCH(C$3&amp;C205,Mapping!$B:$B,0))</f>
        <v>1</v>
      </c>
      <c r="M205" s="204" t="str">
        <f>INDEX(Mapping!$H:$H,MATCH(D$3&amp;$D205,Mapping!$B:$B,0))</f>
        <v>EoK</v>
      </c>
      <c r="N205" s="204" t="str">
        <f>INDEX(Mapping!$H:$H,MATCH(E$3&amp;E205,Mapping!$B:$B,0))</f>
        <v>Premium</v>
      </c>
      <c r="O205" s="204" t="str">
        <f>INDEX(Mapping!$H:$H,MATCH(F$3&amp;F205,Mapping!$B:$B,0))</f>
        <v>Metro</v>
      </c>
      <c r="P205" s="204">
        <f>INDEX(Mapping!$H:$H,MATCH(G$3&amp;G205,Mapping!$B:$B,0))</f>
        <v>50</v>
      </c>
      <c r="Q205" s="204" t="str">
        <f>INDEX(Mapping!$H:$H,MATCH(Q$3&amp;$F205,Mapping!$B:$B,0))</f>
        <v>Metro - Nationaal</v>
      </c>
      <c r="R205" s="204" t="str">
        <f>INDEX(Mapping!$H:$H,MATCH("ZM VPN Service Level"&amp;E205,Mapping!$B:$B,0))</f>
        <v>Advanced</v>
      </c>
      <c r="S205" s="139" t="b">
        <f>IF($D205="EoK",INDEX(Mapping!$I:$I,MATCH($G$3&amp;$G205,Mapping!B:B,0)),FALSE)</f>
        <v>0</v>
      </c>
      <c r="T205" s="139"/>
      <c r="U205" s="520" t="str">
        <f t="shared" si="115"/>
        <v>PremiumMetro50</v>
      </c>
      <c r="W205" s="521">
        <f>MATCH($J205,'Tarieven ZM'!$B:$B,0)</f>
        <v>95</v>
      </c>
      <c r="X205" s="204">
        <f>INDEX('Tarieven ZM'!$H:$H,$W205)</f>
        <v>1000</v>
      </c>
      <c r="Y205" s="198">
        <f>-INDEX(Parameters!$B:$B,MATCH(Y$3&amp;$C205,Parameters!$A:$A,0))*$X205</f>
        <v>0</v>
      </c>
      <c r="Z205" s="198">
        <f>-INDEX(Parameters!$B:$B,MATCH(Z$3&amp;$C205,Parameters!$A:$A,0))*$X205</f>
        <v>0</v>
      </c>
      <c r="AA205" s="139">
        <f t="shared" si="94"/>
        <v>1000</v>
      </c>
      <c r="AB205" s="205">
        <f>AA205/INDEX(Parameters!$B:$B,MATCH("AfschrijftermijnVVE"&amp;12*$C205,Parameters!$A:$A,0))</f>
        <v>27.777777777777779</v>
      </c>
      <c r="AC205" s="204">
        <f>INDEX('Tarieven ZM'!$G:$G,$W205)</f>
        <v>1000</v>
      </c>
      <c r="AD205" s="198">
        <f>-INDEX(Parameters!$B:$B,MATCH(AD$3&amp;$C205,Parameters!$A:$A,0))*$AC205</f>
        <v>0</v>
      </c>
      <c r="AE205" s="198">
        <f>-INDEX(Parameters!$B:$B,MATCH(AE$3,Parameters!$A:$A,0))*$AC205</f>
        <v>0</v>
      </c>
      <c r="AF205" s="139">
        <f t="shared" si="95"/>
        <v>1000</v>
      </c>
      <c r="AG205" s="522">
        <f t="shared" si="96"/>
        <v>1027.7777777777778</v>
      </c>
      <c r="AH205" s="175"/>
      <c r="AI205" s="523">
        <f>MATCH($U205,'Tarieven W&amp;O'!$B:$B,0)</f>
        <v>68</v>
      </c>
      <c r="AJ205" s="204">
        <f>IF(AI205&lt;&gt;"nvt",INDEX('Tarieven W&amp;O'!$H:$H,$AI205),0)</f>
        <v>0</v>
      </c>
      <c r="AK205" s="204">
        <f>IF(AI205&lt;&gt;"nvt",INDEX('Tarieven W&amp;O'!$I:$I,$AI205),0)</f>
        <v>25</v>
      </c>
      <c r="AL205" s="524">
        <f>IF(AI205&lt;&gt;"nvt",-INDEX(Parameters!$B:$B,MATCH(AL$3,Parameters!$A:$A,0))*(AJ205+AK205),0)</f>
        <v>0</v>
      </c>
      <c r="AM205" s="525"/>
      <c r="AN205" s="139">
        <f t="shared" si="97"/>
        <v>25</v>
      </c>
      <c r="AO205" s="205">
        <f>AN205/INDEX(Parameters!$B:$B,MATCH("AfschrijftermijnVVE"&amp;12*$C205,Parameters!$A:$A,0))</f>
        <v>0.69444444444444442</v>
      </c>
      <c r="AP205" s="139">
        <f t="shared" si="98"/>
        <v>68</v>
      </c>
      <c r="AQ205" s="526">
        <f>IF(AP205&lt;&gt;"nvt",INDEX('Tarieven W&amp;O'!$G:$G,$AP205),0)</f>
        <v>133.4</v>
      </c>
      <c r="AR205" s="251">
        <f>IF($S205,INDEX('Tarieven W&amp;O'!$G:$G,MATCH(N205&amp;R205,'Tarieven W&amp;O'!$B:$B,0)),0)</f>
        <v>0</v>
      </c>
      <c r="AS205" s="205">
        <f>-INDEX(Parameters!$B:$B,MATCH(AS$3,Parameters!$A:$A,0))*(AQ205+AR205)</f>
        <v>0</v>
      </c>
      <c r="AT205" s="205">
        <f>INDEX(hulpblad!$E:$E,MATCH(M205&amp;Q205,hulpblad!$B:$B,0))</f>
        <v>2</v>
      </c>
      <c r="AU205" s="150">
        <f t="shared" si="101"/>
        <v>135.4</v>
      </c>
      <c r="AV205" s="150">
        <f t="shared" si="102"/>
        <v>136.09444444444446</v>
      </c>
      <c r="AX205" s="526">
        <f>Parameters!$B$6*AV205</f>
        <v>1.3609444444444447</v>
      </c>
      <c r="AY205" s="150">
        <v>0</v>
      </c>
      <c r="AZ205" s="150"/>
      <c r="BA205" s="150">
        <f t="shared" si="99"/>
        <v>1.3609444444444447</v>
      </c>
      <c r="BB205" s="150"/>
      <c r="BC205" s="522">
        <f t="shared" si="100"/>
        <v>137.4553888888889</v>
      </c>
      <c r="BD205" s="175"/>
      <c r="BE205" s="527">
        <f t="shared" si="103"/>
        <v>890.3223888888889</v>
      </c>
      <c r="BF205" s="181">
        <f t="shared" si="104"/>
        <v>0.86625962162162162</v>
      </c>
      <c r="BG205" s="520" t="b">
        <f t="shared" si="116"/>
        <v>0</v>
      </c>
      <c r="BI205" s="528" t="s">
        <v>2181</v>
      </c>
      <c r="BL205" s="151" t="str">
        <f t="shared" si="106"/>
        <v>EoKMetro - Nationaal</v>
      </c>
      <c r="BM205" s="529">
        <v>0</v>
      </c>
      <c r="BN205" s="180">
        <f>BM205/INDEX(Parameters!$B:$B,MATCH("AfschrijftermijnVVE"&amp;12*$C205,Parameters!$A:$A,0))</f>
        <v>0</v>
      </c>
      <c r="BO205" s="184">
        <f>INDEX('inkoop ULL tbv EVPN'!I:I,MATCH(BL205,'inkoop ULL tbv EVPN'!H:H,0))</f>
        <v>2</v>
      </c>
      <c r="BP205" s="184">
        <f t="shared" si="107"/>
        <v>2</v>
      </c>
      <c r="BR205" s="180">
        <f>Parameters!$B$12*AG205</f>
        <v>102.77777777777779</v>
      </c>
      <c r="BS205" s="180">
        <f>SUM(Distributievergoedingen!$F$12,Distributievergoedingen!$I$12,Distributievergoedingen!$L$12,Distributievergoedingen!$O$12)*AF205+SUM(Distributievergoedingen!$O$12*AA205+Distributievergoedingen!$R$12+Distributievergoedingen!$U$12+Distributievergoedingen!$X$12)/(MAX(36,12*C205))</f>
        <v>112.77777777777777</v>
      </c>
      <c r="BT205" s="150"/>
      <c r="BU205" s="150">
        <f t="shared" si="108"/>
        <v>215.55555555555554</v>
      </c>
      <c r="BW205" s="522">
        <f t="shared" si="109"/>
        <v>217.55555555555554</v>
      </c>
      <c r="BY205" s="527">
        <f t="shared" si="110"/>
        <v>810.22222222222229</v>
      </c>
      <c r="BZ205" s="181">
        <f t="shared" si="111"/>
        <v>0.78832432432432431</v>
      </c>
      <c r="CA205" s="520" t="b">
        <f t="shared" si="112"/>
        <v>0</v>
      </c>
    </row>
    <row r="206" spans="1:79" s="151" customFormat="1">
      <c r="A206" s="151" t="str">
        <f t="shared" si="105"/>
        <v>2EoKPremiumRegionaal80</v>
      </c>
      <c r="B206" s="520" t="str">
        <f t="shared" si="113"/>
        <v>2EoKPremiumRegionaal80</v>
      </c>
      <c r="C206" s="179">
        <v>2</v>
      </c>
      <c r="D206" s="179" t="s">
        <v>303</v>
      </c>
      <c r="E206" s="178" t="s">
        <v>267</v>
      </c>
      <c r="F206" s="178" t="s">
        <v>265</v>
      </c>
      <c r="G206" s="185" t="s">
        <v>417</v>
      </c>
      <c r="J206" s="520" t="str">
        <f t="shared" si="114"/>
        <v>PremiumRegionaal80</v>
      </c>
      <c r="L206" s="204">
        <f>INDEX(Mapping!$H:$H,MATCH(C$3&amp;C206,Mapping!$B:$B,0))</f>
        <v>1</v>
      </c>
      <c r="M206" s="204" t="str">
        <f>INDEX(Mapping!$H:$H,MATCH(D$3&amp;$D206,Mapping!$B:$B,0))</f>
        <v>EoK</v>
      </c>
      <c r="N206" s="204" t="str">
        <f>INDEX(Mapping!$H:$H,MATCH(E$3&amp;E206,Mapping!$B:$B,0))</f>
        <v>Premium</v>
      </c>
      <c r="O206" s="204" t="str">
        <f>INDEX(Mapping!$H:$H,MATCH(F$3&amp;F206,Mapping!$B:$B,0))</f>
        <v>Metro</v>
      </c>
      <c r="P206" s="204">
        <f>INDEX(Mapping!$H:$H,MATCH(G$3&amp;G206,Mapping!$B:$B,0))</f>
        <v>80</v>
      </c>
      <c r="Q206" s="204" t="str">
        <f>INDEX(Mapping!$H:$H,MATCH(Q$3&amp;$F206,Mapping!$B:$B,0))</f>
        <v>Metro - Nationaal</v>
      </c>
      <c r="R206" s="204" t="str">
        <f>INDEX(Mapping!$H:$H,MATCH("ZM VPN Service Level"&amp;E206,Mapping!$B:$B,0))</f>
        <v>Advanced</v>
      </c>
      <c r="S206" s="139" t="b">
        <f>IF($D206="EoK",INDEX(Mapping!$I:$I,MATCH($G$3&amp;$G206,Mapping!B:B,0)),FALSE)</f>
        <v>0</v>
      </c>
      <c r="T206" s="139"/>
      <c r="U206" s="520" t="str">
        <f t="shared" si="115"/>
        <v>PremiumMetro80</v>
      </c>
      <c r="W206" s="521">
        <f>MATCH($J206,'Tarieven ZM'!$B:$B,0)</f>
        <v>96</v>
      </c>
      <c r="X206" s="204">
        <f>INDEX('Tarieven ZM'!$H:$H,$W206)</f>
        <v>1000</v>
      </c>
      <c r="Y206" s="198">
        <f>-INDEX(Parameters!$B:$B,MATCH(Y$3&amp;$C206,Parameters!$A:$A,0))*$X206</f>
        <v>0</v>
      </c>
      <c r="Z206" s="198">
        <f>-INDEX(Parameters!$B:$B,MATCH(Z$3&amp;$C206,Parameters!$A:$A,0))*$X206</f>
        <v>0</v>
      </c>
      <c r="AA206" s="139">
        <f t="shared" si="94"/>
        <v>1000</v>
      </c>
      <c r="AB206" s="205">
        <f>AA206/INDEX(Parameters!$B:$B,MATCH("AfschrijftermijnVVE"&amp;12*$C206,Parameters!$A:$A,0))</f>
        <v>27.777777777777779</v>
      </c>
      <c r="AC206" s="204">
        <f>INDEX('Tarieven ZM'!$G:$G,$W206)</f>
        <v>1000</v>
      </c>
      <c r="AD206" s="198">
        <f>-INDEX(Parameters!$B:$B,MATCH(AD$3&amp;$C206,Parameters!$A:$A,0))*$AC206</f>
        <v>0</v>
      </c>
      <c r="AE206" s="198">
        <f>-INDEX(Parameters!$B:$B,MATCH(AE$3,Parameters!$A:$A,0))*$AC206</f>
        <v>0</v>
      </c>
      <c r="AF206" s="139">
        <f t="shared" si="95"/>
        <v>1000</v>
      </c>
      <c r="AG206" s="522">
        <f t="shared" si="96"/>
        <v>1027.7777777777778</v>
      </c>
      <c r="AH206" s="175"/>
      <c r="AI206" s="523">
        <f>MATCH($U206,'Tarieven W&amp;O'!$B:$B,0)</f>
        <v>69</v>
      </c>
      <c r="AJ206" s="204">
        <f>IF(AI206&lt;&gt;"nvt",INDEX('Tarieven W&amp;O'!$H:$H,$AI206),0)</f>
        <v>0</v>
      </c>
      <c r="AK206" s="204">
        <f>IF(AI206&lt;&gt;"nvt",INDEX('Tarieven W&amp;O'!$I:$I,$AI206),0)</f>
        <v>25</v>
      </c>
      <c r="AL206" s="524">
        <f>IF(AI206&lt;&gt;"nvt",-INDEX(Parameters!$B:$B,MATCH(AL$3,Parameters!$A:$A,0))*(AJ206+AK206),0)</f>
        <v>0</v>
      </c>
      <c r="AM206" s="525"/>
      <c r="AN206" s="139">
        <f t="shared" si="97"/>
        <v>25</v>
      </c>
      <c r="AO206" s="205">
        <f>AN206/INDEX(Parameters!$B:$B,MATCH("AfschrijftermijnVVE"&amp;12*$C206,Parameters!$A:$A,0))</f>
        <v>0.69444444444444442</v>
      </c>
      <c r="AP206" s="139">
        <f t="shared" si="98"/>
        <v>69</v>
      </c>
      <c r="AQ206" s="526">
        <f>IF(AP206&lt;&gt;"nvt",INDEX('Tarieven W&amp;O'!$G:$G,$AP206),0)</f>
        <v>159.78</v>
      </c>
      <c r="AR206" s="251">
        <f>IF($S206,INDEX('Tarieven W&amp;O'!$G:$G,MATCH(N206&amp;R206,'Tarieven W&amp;O'!$B:$B,0)),0)</f>
        <v>0</v>
      </c>
      <c r="AS206" s="205">
        <f>-INDEX(Parameters!$B:$B,MATCH(AS$3,Parameters!$A:$A,0))*(AQ206+AR206)</f>
        <v>0</v>
      </c>
      <c r="AT206" s="205">
        <f>INDEX(hulpblad!$E:$E,MATCH(M206&amp;Q206,hulpblad!$B:$B,0))</f>
        <v>2</v>
      </c>
      <c r="AU206" s="150">
        <f t="shared" si="101"/>
        <v>161.78</v>
      </c>
      <c r="AV206" s="150">
        <f t="shared" si="102"/>
        <v>162.47444444444446</v>
      </c>
      <c r="AX206" s="526">
        <f>Parameters!$B$6*AV206</f>
        <v>1.6247444444444445</v>
      </c>
      <c r="AY206" s="150">
        <v>0</v>
      </c>
      <c r="AZ206" s="150"/>
      <c r="BA206" s="150">
        <f t="shared" si="99"/>
        <v>1.6247444444444445</v>
      </c>
      <c r="BB206" s="150"/>
      <c r="BC206" s="522">
        <f t="shared" si="100"/>
        <v>164.0991888888889</v>
      </c>
      <c r="BD206" s="175"/>
      <c r="BE206" s="527">
        <f t="shared" si="103"/>
        <v>863.67858888888895</v>
      </c>
      <c r="BF206" s="181">
        <f t="shared" si="104"/>
        <v>0.84033592432432436</v>
      </c>
      <c r="BG206" s="520" t="b">
        <f t="shared" si="116"/>
        <v>0</v>
      </c>
      <c r="BI206" s="528" t="s">
        <v>2181</v>
      </c>
      <c r="BL206" s="151" t="str">
        <f t="shared" si="106"/>
        <v>EoKMetro - Nationaal</v>
      </c>
      <c r="BM206" s="529">
        <v>0</v>
      </c>
      <c r="BN206" s="180">
        <f>BM206/INDEX(Parameters!$B:$B,MATCH("AfschrijftermijnVVE"&amp;12*$C206,Parameters!$A:$A,0))</f>
        <v>0</v>
      </c>
      <c r="BO206" s="184">
        <f>INDEX('inkoop ULL tbv EVPN'!I:I,MATCH(BL206,'inkoop ULL tbv EVPN'!H:H,0))</f>
        <v>2</v>
      </c>
      <c r="BP206" s="184">
        <f t="shared" si="107"/>
        <v>2</v>
      </c>
      <c r="BR206" s="180">
        <f>Parameters!$B$12*AG206</f>
        <v>102.77777777777779</v>
      </c>
      <c r="BS206" s="180">
        <f>SUM(Distributievergoedingen!$F$12,Distributievergoedingen!$I$12,Distributievergoedingen!$L$12,Distributievergoedingen!$O$12)*AF206+SUM(Distributievergoedingen!$O$12*AA206+Distributievergoedingen!$R$12+Distributievergoedingen!$U$12+Distributievergoedingen!$X$12)/(MAX(36,12*C206))</f>
        <v>112.77777777777777</v>
      </c>
      <c r="BT206" s="150"/>
      <c r="BU206" s="150">
        <f t="shared" si="108"/>
        <v>215.55555555555554</v>
      </c>
      <c r="BW206" s="522">
        <f t="shared" si="109"/>
        <v>217.55555555555554</v>
      </c>
      <c r="BY206" s="527">
        <f t="shared" si="110"/>
        <v>810.22222222222229</v>
      </c>
      <c r="BZ206" s="181">
        <f t="shared" si="111"/>
        <v>0.78832432432432431</v>
      </c>
      <c r="CA206" s="520" t="b">
        <f t="shared" si="112"/>
        <v>0</v>
      </c>
    </row>
    <row r="207" spans="1:79" s="151" customFormat="1">
      <c r="A207" s="151" t="str">
        <f t="shared" si="105"/>
        <v>2EoKPremiumRegionaal100</v>
      </c>
      <c r="B207" s="520" t="str">
        <f t="shared" si="113"/>
        <v>2EoKPremiumRegionaal100</v>
      </c>
      <c r="C207" s="179">
        <v>2</v>
      </c>
      <c r="D207" s="179" t="s">
        <v>303</v>
      </c>
      <c r="E207" s="178" t="s">
        <v>267</v>
      </c>
      <c r="F207" s="178" t="s">
        <v>265</v>
      </c>
      <c r="G207" s="185" t="s">
        <v>418</v>
      </c>
      <c r="J207" s="520" t="str">
        <f t="shared" si="114"/>
        <v>PremiumRegionaal100</v>
      </c>
      <c r="L207" s="204">
        <f>INDEX(Mapping!$H:$H,MATCH(C$3&amp;C207,Mapping!$B:$B,0))</f>
        <v>1</v>
      </c>
      <c r="M207" s="204" t="str">
        <f>INDEX(Mapping!$H:$H,MATCH(D$3&amp;$D207,Mapping!$B:$B,0))</f>
        <v>EoK</v>
      </c>
      <c r="N207" s="204" t="str">
        <f>INDEX(Mapping!$H:$H,MATCH(E$3&amp;E207,Mapping!$B:$B,0))</f>
        <v>Premium</v>
      </c>
      <c r="O207" s="204" t="str">
        <f>INDEX(Mapping!$H:$H,MATCH(F$3&amp;F207,Mapping!$B:$B,0))</f>
        <v>Metro</v>
      </c>
      <c r="P207" s="204">
        <f>INDEX(Mapping!$H:$H,MATCH(G$3&amp;G207,Mapping!$B:$B,0))</f>
        <v>100</v>
      </c>
      <c r="Q207" s="204" t="str">
        <f>INDEX(Mapping!$H:$H,MATCH(Q$3&amp;$F207,Mapping!$B:$B,0))</f>
        <v>Metro - Nationaal</v>
      </c>
      <c r="R207" s="204" t="str">
        <f>INDEX(Mapping!$H:$H,MATCH("ZM VPN Service Level"&amp;E207,Mapping!$B:$B,0))</f>
        <v>Advanced</v>
      </c>
      <c r="S207" s="139" t="b">
        <f>IF($D207="EoK",INDEX(Mapping!$I:$I,MATCH($G$3&amp;$G207,Mapping!B:B,0)),FALSE)</f>
        <v>0</v>
      </c>
      <c r="T207" s="139"/>
      <c r="U207" s="520" t="str">
        <f t="shared" si="115"/>
        <v>PremiumMetro100</v>
      </c>
      <c r="W207" s="521">
        <f>MATCH($J207,'Tarieven ZM'!$B:$B,0)</f>
        <v>97</v>
      </c>
      <c r="X207" s="204">
        <f>INDEX('Tarieven ZM'!$H:$H,$W207)</f>
        <v>1000</v>
      </c>
      <c r="Y207" s="198">
        <f>-INDEX(Parameters!$B:$B,MATCH(Y$3&amp;$C207,Parameters!$A:$A,0))*$X207</f>
        <v>0</v>
      </c>
      <c r="Z207" s="198">
        <f>-INDEX(Parameters!$B:$B,MATCH(Z$3&amp;$C207,Parameters!$A:$A,0))*$X207</f>
        <v>0</v>
      </c>
      <c r="AA207" s="139">
        <f t="shared" ref="AA207:AA231" si="117">SUM(X207:Z207)</f>
        <v>1000</v>
      </c>
      <c r="AB207" s="205">
        <f>AA207/INDEX(Parameters!$B:$B,MATCH("AfschrijftermijnVVE"&amp;12*$C207,Parameters!$A:$A,0))</f>
        <v>27.777777777777779</v>
      </c>
      <c r="AC207" s="204">
        <f>INDEX('Tarieven ZM'!$G:$G,$W207)</f>
        <v>1000</v>
      </c>
      <c r="AD207" s="198">
        <f>-INDEX(Parameters!$B:$B,MATCH(AD$3&amp;$C207,Parameters!$A:$A,0))*$AC207</f>
        <v>0</v>
      </c>
      <c r="AE207" s="198">
        <f>-INDEX(Parameters!$B:$B,MATCH(AE$3,Parameters!$A:$A,0))*$AC207</f>
        <v>0</v>
      </c>
      <c r="AF207" s="139">
        <f t="shared" ref="AF207:AF231" si="118">SUM(AC207:AE207)</f>
        <v>1000</v>
      </c>
      <c r="AG207" s="522">
        <f t="shared" ref="AG207:AG231" si="119">SUM(AB207,AF207)</f>
        <v>1027.7777777777778</v>
      </c>
      <c r="AH207" s="175"/>
      <c r="AI207" s="523">
        <f>MATCH($U207,'Tarieven W&amp;O'!$B:$B,0)</f>
        <v>70</v>
      </c>
      <c r="AJ207" s="204">
        <f>IF(AI207&lt;&gt;"nvt",INDEX('Tarieven W&amp;O'!$H:$H,$AI207),0)</f>
        <v>0</v>
      </c>
      <c r="AK207" s="204">
        <f>IF(AI207&lt;&gt;"nvt",INDEX('Tarieven W&amp;O'!$I:$I,$AI207),0)</f>
        <v>25</v>
      </c>
      <c r="AL207" s="524">
        <f>IF(AI207&lt;&gt;"nvt",-INDEX(Parameters!$B:$B,MATCH(AL$3,Parameters!$A:$A,0))*(AJ207+AK207),0)</f>
        <v>0</v>
      </c>
      <c r="AM207" s="525"/>
      <c r="AN207" s="139">
        <f t="shared" ref="AN207:AN231" si="120">SUM(AJ207:AM207)</f>
        <v>25</v>
      </c>
      <c r="AO207" s="205">
        <f>AN207/INDEX(Parameters!$B:$B,MATCH("AfschrijftermijnVVE"&amp;12*$C207,Parameters!$A:$A,0))</f>
        <v>0.69444444444444442</v>
      </c>
      <c r="AP207" s="139">
        <f t="shared" ref="AP207:AP231" si="121">AI207</f>
        <v>70</v>
      </c>
      <c r="AQ207" s="526">
        <f>IF(AP207&lt;&gt;"nvt",INDEX('Tarieven W&amp;O'!$G:$G,$AP207),0)</f>
        <v>178.63</v>
      </c>
      <c r="AR207" s="251">
        <f>IF($S207,INDEX('Tarieven W&amp;O'!$G:$G,MATCH(N207&amp;R207,'Tarieven W&amp;O'!$B:$B,0)),0)</f>
        <v>0</v>
      </c>
      <c r="AS207" s="205">
        <f>-INDEX(Parameters!$B:$B,MATCH(AS$3,Parameters!$A:$A,0))*(AQ207+AR207)</f>
        <v>0</v>
      </c>
      <c r="AT207" s="205">
        <f>INDEX(hulpblad!$E:$E,MATCH(M207&amp;Q207,hulpblad!$B:$B,0))</f>
        <v>2</v>
      </c>
      <c r="AU207" s="150">
        <f t="shared" si="101"/>
        <v>180.63</v>
      </c>
      <c r="AV207" s="150">
        <f t="shared" si="102"/>
        <v>181.32444444444445</v>
      </c>
      <c r="AX207" s="526">
        <f>Parameters!$B$6*AV207</f>
        <v>1.8132444444444447</v>
      </c>
      <c r="AY207" s="150">
        <v>0</v>
      </c>
      <c r="AZ207" s="150"/>
      <c r="BA207" s="150">
        <f t="shared" ref="BA207:BA231" si="122">SUM(AX207:AZ207)</f>
        <v>1.8132444444444447</v>
      </c>
      <c r="BB207" s="150"/>
      <c r="BC207" s="522">
        <f t="shared" ref="BC207:BC231" si="123">SUM(AV207,BA207)</f>
        <v>183.1376888888889</v>
      </c>
      <c r="BD207" s="175"/>
      <c r="BE207" s="527">
        <f t="shared" si="103"/>
        <v>844.64008888888895</v>
      </c>
      <c r="BF207" s="181">
        <f t="shared" si="104"/>
        <v>0.82181197837837838</v>
      </c>
      <c r="BG207" s="520" t="b">
        <f t="shared" si="116"/>
        <v>0</v>
      </c>
      <c r="BI207" s="528" t="s">
        <v>2181</v>
      </c>
      <c r="BL207" s="151" t="str">
        <f t="shared" si="106"/>
        <v>EoKMetro - Nationaal</v>
      </c>
      <c r="BM207" s="529">
        <v>0</v>
      </c>
      <c r="BN207" s="180">
        <f>BM207/INDEX(Parameters!$B:$B,MATCH("AfschrijftermijnVVE"&amp;12*$C207,Parameters!$A:$A,0))</f>
        <v>0</v>
      </c>
      <c r="BO207" s="184">
        <f>INDEX('inkoop ULL tbv EVPN'!I:I,MATCH(BL207,'inkoop ULL tbv EVPN'!H:H,0))</f>
        <v>2</v>
      </c>
      <c r="BP207" s="184">
        <f t="shared" si="107"/>
        <v>2</v>
      </c>
      <c r="BR207" s="180">
        <f>Parameters!$B$12*AG207</f>
        <v>102.77777777777779</v>
      </c>
      <c r="BS207" s="180">
        <f>SUM(Distributievergoedingen!$F$12,Distributievergoedingen!$I$12,Distributievergoedingen!$L$12,Distributievergoedingen!$O$12)*AF207+SUM(Distributievergoedingen!$O$12*AA207+Distributievergoedingen!$R$12+Distributievergoedingen!$U$12+Distributievergoedingen!$X$12)/(MAX(36,12*C207))</f>
        <v>112.77777777777777</v>
      </c>
      <c r="BT207" s="150"/>
      <c r="BU207" s="150">
        <f t="shared" si="108"/>
        <v>215.55555555555554</v>
      </c>
      <c r="BW207" s="522">
        <f t="shared" si="109"/>
        <v>217.55555555555554</v>
      </c>
      <c r="BY207" s="527">
        <f t="shared" si="110"/>
        <v>810.22222222222229</v>
      </c>
      <c r="BZ207" s="181">
        <f t="shared" si="111"/>
        <v>0.78832432432432431</v>
      </c>
      <c r="CA207" s="520" t="b">
        <f t="shared" si="112"/>
        <v>0</v>
      </c>
    </row>
    <row r="208" spans="1:79" s="151" customFormat="1">
      <c r="A208" s="151" t="str">
        <f t="shared" si="105"/>
        <v>2EoKPremiumRegionaal200</v>
      </c>
      <c r="B208" s="520" t="str">
        <f t="shared" si="113"/>
        <v>2EoKPremiumRegionaal200</v>
      </c>
      <c r="C208" s="179">
        <v>2</v>
      </c>
      <c r="D208" s="179" t="s">
        <v>303</v>
      </c>
      <c r="E208" s="178" t="s">
        <v>267</v>
      </c>
      <c r="F208" s="178" t="s">
        <v>265</v>
      </c>
      <c r="G208" s="185" t="s">
        <v>419</v>
      </c>
      <c r="J208" s="520" t="str">
        <f t="shared" si="114"/>
        <v>PremiumRegionaal200</v>
      </c>
      <c r="L208" s="204">
        <f>INDEX(Mapping!$H:$H,MATCH(C$3&amp;C208,Mapping!$B:$B,0))</f>
        <v>1</v>
      </c>
      <c r="M208" s="204" t="str">
        <f>INDEX(Mapping!$H:$H,MATCH(D$3&amp;$D208,Mapping!$B:$B,0))</f>
        <v>EoK</v>
      </c>
      <c r="N208" s="204" t="str">
        <f>INDEX(Mapping!$H:$H,MATCH(E$3&amp;E208,Mapping!$B:$B,0))</f>
        <v>Premium</v>
      </c>
      <c r="O208" s="204" t="str">
        <f>INDEX(Mapping!$H:$H,MATCH(F$3&amp;F208,Mapping!$B:$B,0))</f>
        <v>Metro</v>
      </c>
      <c r="P208" s="204">
        <f>INDEX(Mapping!$H:$H,MATCH(G$3&amp;G208,Mapping!$B:$B,0))</f>
        <v>200</v>
      </c>
      <c r="Q208" s="204" t="str">
        <f>INDEX(Mapping!$H:$H,MATCH(Q$3&amp;$F208,Mapping!$B:$B,0))</f>
        <v>Metro - Nationaal</v>
      </c>
      <c r="R208" s="204" t="str">
        <f>INDEX(Mapping!$H:$H,MATCH("ZM VPN Service Level"&amp;E208,Mapping!$B:$B,0))</f>
        <v>Advanced</v>
      </c>
      <c r="S208" s="139" t="b">
        <f>IF($D208="EoK",INDEX(Mapping!$I:$I,MATCH($G$3&amp;$G208,Mapping!B:B,0)),FALSE)</f>
        <v>0</v>
      </c>
      <c r="T208" s="139"/>
      <c r="U208" s="520" t="str">
        <f t="shared" si="115"/>
        <v>PremiumMetro200</v>
      </c>
      <c r="W208" s="521">
        <f>MATCH($J208,'Tarieven ZM'!$B:$B,0)</f>
        <v>98</v>
      </c>
      <c r="X208" s="204">
        <f>INDEX('Tarieven ZM'!$H:$H,$W208)</f>
        <v>1000</v>
      </c>
      <c r="Y208" s="198">
        <f>-INDEX(Parameters!$B:$B,MATCH(Y$3&amp;$C208,Parameters!$A:$A,0))*$X208</f>
        <v>0</v>
      </c>
      <c r="Z208" s="198">
        <f>-INDEX(Parameters!$B:$B,MATCH(Z$3&amp;$C208,Parameters!$A:$A,0))*$X208</f>
        <v>0</v>
      </c>
      <c r="AA208" s="139">
        <f t="shared" si="117"/>
        <v>1000</v>
      </c>
      <c r="AB208" s="205">
        <f>AA208/INDEX(Parameters!$B:$B,MATCH("AfschrijftermijnVVE"&amp;12*$C208,Parameters!$A:$A,0))</f>
        <v>27.777777777777779</v>
      </c>
      <c r="AC208" s="204">
        <f>INDEX('Tarieven ZM'!$G:$G,$W208)</f>
        <v>1000</v>
      </c>
      <c r="AD208" s="198">
        <f>-INDEX(Parameters!$B:$B,MATCH(AD$3&amp;$C208,Parameters!$A:$A,0))*$AC208</f>
        <v>0</v>
      </c>
      <c r="AE208" s="198">
        <f>-INDEX(Parameters!$B:$B,MATCH(AE$3,Parameters!$A:$A,0))*$AC208</f>
        <v>0</v>
      </c>
      <c r="AF208" s="139">
        <f t="shared" si="118"/>
        <v>1000</v>
      </c>
      <c r="AG208" s="522">
        <f t="shared" si="119"/>
        <v>1027.7777777777778</v>
      </c>
      <c r="AH208" s="175"/>
      <c r="AI208" s="523">
        <f>MATCH($U208,'Tarieven W&amp;O'!$B:$B,0)</f>
        <v>71</v>
      </c>
      <c r="AJ208" s="204">
        <f>IF(AI208&lt;&gt;"nvt",INDEX('Tarieven W&amp;O'!$H:$H,$AI208),0)</f>
        <v>0</v>
      </c>
      <c r="AK208" s="204">
        <f>IF(AI208&lt;&gt;"nvt",INDEX('Tarieven W&amp;O'!$I:$I,$AI208),0)</f>
        <v>25</v>
      </c>
      <c r="AL208" s="524">
        <f>IF(AI208&lt;&gt;"nvt",-INDEX(Parameters!$B:$B,MATCH(AL$3,Parameters!$A:$A,0))*(AJ208+AK208),0)</f>
        <v>0</v>
      </c>
      <c r="AM208" s="525"/>
      <c r="AN208" s="139">
        <f t="shared" si="120"/>
        <v>25</v>
      </c>
      <c r="AO208" s="205">
        <f>AN208/INDEX(Parameters!$B:$B,MATCH("AfschrijftermijnVVE"&amp;12*$C208,Parameters!$A:$A,0))</f>
        <v>0.69444444444444442</v>
      </c>
      <c r="AP208" s="139">
        <f t="shared" si="121"/>
        <v>71</v>
      </c>
      <c r="AQ208" s="526">
        <f>IF(AP208&lt;&gt;"nvt",INDEX('Tarieven W&amp;O'!$G:$G,$AP208),0)</f>
        <v>216.32</v>
      </c>
      <c r="AR208" s="251">
        <f>IF($S208,INDEX('Tarieven W&amp;O'!$G:$G,MATCH(N208&amp;R208,'Tarieven W&amp;O'!$B:$B,0)),0)</f>
        <v>0</v>
      </c>
      <c r="AS208" s="205">
        <f>-INDEX(Parameters!$B:$B,MATCH(AS$3,Parameters!$A:$A,0))*(AQ208+AR208)</f>
        <v>0</v>
      </c>
      <c r="AT208" s="205">
        <f>INDEX(hulpblad!$E:$E,MATCH(M208&amp;Q208,hulpblad!$B:$B,0))</f>
        <v>2</v>
      </c>
      <c r="AU208" s="150">
        <f t="shared" si="101"/>
        <v>218.32</v>
      </c>
      <c r="AV208" s="150">
        <f t="shared" si="102"/>
        <v>219.01444444444445</v>
      </c>
      <c r="AX208" s="526">
        <f>Parameters!$B$6*AV208</f>
        <v>2.1901444444444444</v>
      </c>
      <c r="AY208" s="150">
        <v>0</v>
      </c>
      <c r="AZ208" s="150"/>
      <c r="BA208" s="150">
        <f t="shared" si="122"/>
        <v>2.1901444444444444</v>
      </c>
      <c r="BB208" s="150"/>
      <c r="BC208" s="522">
        <f t="shared" si="123"/>
        <v>221.20458888888891</v>
      </c>
      <c r="BD208" s="175"/>
      <c r="BE208" s="527">
        <f t="shared" si="103"/>
        <v>806.57318888888892</v>
      </c>
      <c r="BF208" s="181">
        <f t="shared" si="104"/>
        <v>0.78477391351351355</v>
      </c>
      <c r="BG208" s="520" t="b">
        <f t="shared" si="116"/>
        <v>0</v>
      </c>
      <c r="BI208" s="528" t="s">
        <v>2181</v>
      </c>
      <c r="BL208" s="151" t="str">
        <f t="shared" si="106"/>
        <v>EoKMetro - Nationaal</v>
      </c>
      <c r="BM208" s="529">
        <v>0</v>
      </c>
      <c r="BN208" s="180">
        <f>BM208/INDEX(Parameters!$B:$B,MATCH("AfschrijftermijnVVE"&amp;12*$C208,Parameters!$A:$A,0))</f>
        <v>0</v>
      </c>
      <c r="BO208" s="184">
        <f>INDEX('inkoop ULL tbv EVPN'!I:I,MATCH(BL208,'inkoop ULL tbv EVPN'!H:H,0))</f>
        <v>2</v>
      </c>
      <c r="BP208" s="184">
        <f t="shared" si="107"/>
        <v>2</v>
      </c>
      <c r="BR208" s="180">
        <f>Parameters!$B$12*AG208</f>
        <v>102.77777777777779</v>
      </c>
      <c r="BS208" s="180">
        <f>SUM(Distributievergoedingen!$F$12,Distributievergoedingen!$I$12,Distributievergoedingen!$L$12,Distributievergoedingen!$O$12)*AF208+SUM(Distributievergoedingen!$O$12*AA208+Distributievergoedingen!$R$12+Distributievergoedingen!$U$12+Distributievergoedingen!$X$12)/(MAX(36,12*C208))</f>
        <v>112.77777777777777</v>
      </c>
      <c r="BT208" s="150"/>
      <c r="BU208" s="150">
        <f t="shared" si="108"/>
        <v>215.55555555555554</v>
      </c>
      <c r="BW208" s="522">
        <f t="shared" si="109"/>
        <v>217.55555555555554</v>
      </c>
      <c r="BY208" s="527">
        <f t="shared" si="110"/>
        <v>810.22222222222229</v>
      </c>
      <c r="BZ208" s="181">
        <f t="shared" si="111"/>
        <v>0.78832432432432431</v>
      </c>
      <c r="CA208" s="520" t="b">
        <f t="shared" si="112"/>
        <v>0</v>
      </c>
    </row>
    <row r="209" spans="1:79" s="151" customFormat="1">
      <c r="A209" s="151" t="str">
        <f t="shared" si="105"/>
        <v>2EoKPremiumRegionaal300</v>
      </c>
      <c r="B209" s="520" t="str">
        <f t="shared" si="113"/>
        <v>2EoKPremiumRegionaal300</v>
      </c>
      <c r="C209" s="179">
        <v>2</v>
      </c>
      <c r="D209" s="179" t="s">
        <v>303</v>
      </c>
      <c r="E209" s="178" t="s">
        <v>267</v>
      </c>
      <c r="F209" s="178" t="s">
        <v>265</v>
      </c>
      <c r="G209" s="185" t="s">
        <v>420</v>
      </c>
      <c r="J209" s="520" t="str">
        <f t="shared" si="114"/>
        <v>PremiumRegionaal300</v>
      </c>
      <c r="L209" s="204">
        <f>INDEX(Mapping!$H:$H,MATCH(C$3&amp;C209,Mapping!$B:$B,0))</f>
        <v>1</v>
      </c>
      <c r="M209" s="204" t="str">
        <f>INDEX(Mapping!$H:$H,MATCH(D$3&amp;$D209,Mapping!$B:$B,0))</f>
        <v>EoK</v>
      </c>
      <c r="N209" s="204" t="str">
        <f>INDEX(Mapping!$H:$H,MATCH(E$3&amp;E209,Mapping!$B:$B,0))</f>
        <v>Premium</v>
      </c>
      <c r="O209" s="204" t="str">
        <f>INDEX(Mapping!$H:$H,MATCH(F$3&amp;F209,Mapping!$B:$B,0))</f>
        <v>Metro</v>
      </c>
      <c r="P209" s="204">
        <f>INDEX(Mapping!$H:$H,MATCH(G$3&amp;G209,Mapping!$B:$B,0))</f>
        <v>300</v>
      </c>
      <c r="Q209" s="204" t="str">
        <f>INDEX(Mapping!$H:$H,MATCH(Q$3&amp;$F209,Mapping!$B:$B,0))</f>
        <v>Metro - Nationaal</v>
      </c>
      <c r="R209" s="204" t="str">
        <f>INDEX(Mapping!$H:$H,MATCH("ZM VPN Service Level"&amp;E209,Mapping!$B:$B,0))</f>
        <v>Advanced</v>
      </c>
      <c r="S209" s="139" t="b">
        <f>IF($D209="EoK",INDEX(Mapping!$I:$I,MATCH($G$3&amp;$G209,Mapping!B:B,0)),FALSE)</f>
        <v>0</v>
      </c>
      <c r="T209" s="139"/>
      <c r="U209" s="520" t="str">
        <f t="shared" si="115"/>
        <v>PremiumMetro300</v>
      </c>
      <c r="W209" s="521">
        <f>MATCH($J209,'Tarieven ZM'!$B:$B,0)</f>
        <v>99</v>
      </c>
      <c r="X209" s="204">
        <f>INDEX('Tarieven ZM'!$H:$H,$W209)</f>
        <v>1000</v>
      </c>
      <c r="Y209" s="198">
        <f>-INDEX(Parameters!$B:$B,MATCH(Y$3&amp;$C209,Parameters!$A:$A,0))*$X209</f>
        <v>0</v>
      </c>
      <c r="Z209" s="198">
        <f>-INDEX(Parameters!$B:$B,MATCH(Z$3&amp;$C209,Parameters!$A:$A,0))*$X209</f>
        <v>0</v>
      </c>
      <c r="AA209" s="139">
        <f t="shared" si="117"/>
        <v>1000</v>
      </c>
      <c r="AB209" s="205">
        <f>AA209/INDEX(Parameters!$B:$B,MATCH("AfschrijftermijnVVE"&amp;12*$C209,Parameters!$A:$A,0))</f>
        <v>27.777777777777779</v>
      </c>
      <c r="AC209" s="204">
        <f>INDEX('Tarieven ZM'!$G:$G,$W209)</f>
        <v>1000</v>
      </c>
      <c r="AD209" s="198">
        <f>-INDEX(Parameters!$B:$B,MATCH(AD$3&amp;$C209,Parameters!$A:$A,0))*$AC209</f>
        <v>0</v>
      </c>
      <c r="AE209" s="198">
        <f>-INDEX(Parameters!$B:$B,MATCH(AE$3,Parameters!$A:$A,0))*$AC209</f>
        <v>0</v>
      </c>
      <c r="AF209" s="139">
        <f t="shared" si="118"/>
        <v>1000</v>
      </c>
      <c r="AG209" s="522">
        <f t="shared" si="119"/>
        <v>1027.7777777777778</v>
      </c>
      <c r="AH209" s="175"/>
      <c r="AI209" s="523">
        <f>MATCH($U209,'Tarieven W&amp;O'!$B:$B,0)</f>
        <v>72</v>
      </c>
      <c r="AJ209" s="204">
        <f>IF(AI209&lt;&gt;"nvt",INDEX('Tarieven W&amp;O'!$H:$H,$AI209),0)</f>
        <v>0</v>
      </c>
      <c r="AK209" s="204">
        <f>IF(AI209&lt;&gt;"nvt",INDEX('Tarieven W&amp;O'!$I:$I,$AI209),0)</f>
        <v>25</v>
      </c>
      <c r="AL209" s="524">
        <f>IF(AI209&lt;&gt;"nvt",-INDEX(Parameters!$B:$B,MATCH(AL$3,Parameters!$A:$A,0))*(AJ209+AK209),0)</f>
        <v>0</v>
      </c>
      <c r="AM209" s="525"/>
      <c r="AN209" s="139">
        <f t="shared" si="120"/>
        <v>25</v>
      </c>
      <c r="AO209" s="205">
        <f>AN209/INDEX(Parameters!$B:$B,MATCH("AfschrijftermijnVVE"&amp;12*$C209,Parameters!$A:$A,0))</f>
        <v>0.69444444444444442</v>
      </c>
      <c r="AP209" s="139">
        <f t="shared" si="121"/>
        <v>72</v>
      </c>
      <c r="AQ209" s="526">
        <f>IF(AP209&lt;&gt;"nvt",INDEX('Tarieven W&amp;O'!$G:$G,$AP209),0)</f>
        <v>254.01</v>
      </c>
      <c r="AR209" s="251">
        <f>IF($S209,INDEX('Tarieven W&amp;O'!$G:$G,MATCH(N209&amp;R209,'Tarieven W&amp;O'!$B:$B,0)),0)</f>
        <v>0</v>
      </c>
      <c r="AS209" s="205">
        <f>-INDEX(Parameters!$B:$B,MATCH(AS$3,Parameters!$A:$A,0))*(AQ209+AR209)</f>
        <v>0</v>
      </c>
      <c r="AT209" s="205">
        <f>INDEX(hulpblad!$E:$E,MATCH(M209&amp;Q209,hulpblad!$B:$B,0))</f>
        <v>2</v>
      </c>
      <c r="AU209" s="150">
        <f t="shared" si="101"/>
        <v>256.01</v>
      </c>
      <c r="AV209" s="150">
        <f t="shared" si="102"/>
        <v>256.70444444444445</v>
      </c>
      <c r="AX209" s="526">
        <f>Parameters!$B$6*AV209</f>
        <v>2.5670444444444445</v>
      </c>
      <c r="AY209" s="150">
        <v>0</v>
      </c>
      <c r="AZ209" s="150"/>
      <c r="BA209" s="150">
        <f t="shared" si="122"/>
        <v>2.5670444444444445</v>
      </c>
      <c r="BB209" s="150"/>
      <c r="BC209" s="522">
        <f t="shared" si="123"/>
        <v>259.27148888888888</v>
      </c>
      <c r="BD209" s="175"/>
      <c r="BE209" s="527">
        <f t="shared" si="103"/>
        <v>768.506288888889</v>
      </c>
      <c r="BF209" s="181">
        <f t="shared" si="104"/>
        <v>0.74773584864864873</v>
      </c>
      <c r="BG209" s="520" t="b">
        <f t="shared" si="116"/>
        <v>0</v>
      </c>
      <c r="BI209" s="528" t="s">
        <v>2181</v>
      </c>
      <c r="BL209" s="151" t="str">
        <f t="shared" si="106"/>
        <v>EoKMetro - Nationaal</v>
      </c>
      <c r="BM209" s="529">
        <v>0</v>
      </c>
      <c r="BN209" s="180">
        <f>BM209/INDEX(Parameters!$B:$B,MATCH("AfschrijftermijnVVE"&amp;12*$C209,Parameters!$A:$A,0))</f>
        <v>0</v>
      </c>
      <c r="BO209" s="184">
        <f>INDEX('inkoop ULL tbv EVPN'!I:I,MATCH(BL209,'inkoop ULL tbv EVPN'!H:H,0))</f>
        <v>2</v>
      </c>
      <c r="BP209" s="184">
        <f t="shared" si="107"/>
        <v>2</v>
      </c>
      <c r="BR209" s="180">
        <f>Parameters!$B$12*AG209</f>
        <v>102.77777777777779</v>
      </c>
      <c r="BS209" s="180">
        <f>SUM(Distributievergoedingen!$F$12,Distributievergoedingen!$I$12,Distributievergoedingen!$L$12,Distributievergoedingen!$O$12)*AF209+SUM(Distributievergoedingen!$O$12*AA209+Distributievergoedingen!$R$12+Distributievergoedingen!$U$12+Distributievergoedingen!$X$12)/(MAX(36,12*C209))</f>
        <v>112.77777777777777</v>
      </c>
      <c r="BT209" s="150"/>
      <c r="BU209" s="150">
        <f t="shared" si="108"/>
        <v>215.55555555555554</v>
      </c>
      <c r="BW209" s="522">
        <f t="shared" si="109"/>
        <v>217.55555555555554</v>
      </c>
      <c r="BY209" s="527">
        <f t="shared" si="110"/>
        <v>810.22222222222229</v>
      </c>
      <c r="BZ209" s="181">
        <f t="shared" si="111"/>
        <v>0.78832432432432431</v>
      </c>
      <c r="CA209" s="520" t="b">
        <f t="shared" si="112"/>
        <v>0</v>
      </c>
    </row>
    <row r="210" spans="1:79" s="151" customFormat="1">
      <c r="A210" s="151" t="str">
        <f t="shared" si="105"/>
        <v>2EoKPremiumRegionaal500</v>
      </c>
      <c r="B210" s="520" t="str">
        <f t="shared" si="113"/>
        <v>2EoKPremiumRegionaal500</v>
      </c>
      <c r="C210" s="179">
        <v>2</v>
      </c>
      <c r="D210" s="179" t="s">
        <v>303</v>
      </c>
      <c r="E210" s="178" t="s">
        <v>267</v>
      </c>
      <c r="F210" s="178" t="s">
        <v>265</v>
      </c>
      <c r="G210" s="185" t="s">
        <v>421</v>
      </c>
      <c r="J210" s="520" t="str">
        <f t="shared" si="114"/>
        <v>PremiumRegionaal500</v>
      </c>
      <c r="L210" s="204">
        <f>INDEX(Mapping!$H:$H,MATCH(C$3&amp;C210,Mapping!$B:$B,0))</f>
        <v>1</v>
      </c>
      <c r="M210" s="204" t="str">
        <f>INDEX(Mapping!$H:$H,MATCH(D$3&amp;$D210,Mapping!$B:$B,0))</f>
        <v>EoK</v>
      </c>
      <c r="N210" s="204" t="str">
        <f>INDEX(Mapping!$H:$H,MATCH(E$3&amp;E210,Mapping!$B:$B,0))</f>
        <v>Premium</v>
      </c>
      <c r="O210" s="204" t="str">
        <f>INDEX(Mapping!$H:$H,MATCH(F$3&amp;F210,Mapping!$B:$B,0))</f>
        <v>Metro</v>
      </c>
      <c r="P210" s="204">
        <f>INDEX(Mapping!$H:$H,MATCH(G$3&amp;G210,Mapping!$B:$B,0))</f>
        <v>500</v>
      </c>
      <c r="Q210" s="204" t="str">
        <f>INDEX(Mapping!$H:$H,MATCH(Q$3&amp;$F210,Mapping!$B:$B,0))</f>
        <v>Metro - Nationaal</v>
      </c>
      <c r="R210" s="204" t="str">
        <f>INDEX(Mapping!$H:$H,MATCH("ZM VPN Service Level"&amp;E210,Mapping!$B:$B,0))</f>
        <v>Advanced</v>
      </c>
      <c r="S210" s="139" t="b">
        <f>IF($D210="EoK",INDEX(Mapping!$I:$I,MATCH($G$3&amp;$G210,Mapping!B:B,0)),FALSE)</f>
        <v>0</v>
      </c>
      <c r="T210" s="139"/>
      <c r="U210" s="520" t="str">
        <f t="shared" si="115"/>
        <v>PremiumMetro500</v>
      </c>
      <c r="W210" s="521">
        <f>MATCH($J210,'Tarieven ZM'!$B:$B,0)</f>
        <v>100</v>
      </c>
      <c r="X210" s="204">
        <f>INDEX('Tarieven ZM'!$H:$H,$W210)</f>
        <v>1000</v>
      </c>
      <c r="Y210" s="198">
        <f>-INDEX(Parameters!$B:$B,MATCH(Y$3&amp;$C210,Parameters!$A:$A,0))*$X210</f>
        <v>0</v>
      </c>
      <c r="Z210" s="198">
        <f>-INDEX(Parameters!$B:$B,MATCH(Z$3&amp;$C210,Parameters!$A:$A,0))*$X210</f>
        <v>0</v>
      </c>
      <c r="AA210" s="139">
        <f t="shared" si="117"/>
        <v>1000</v>
      </c>
      <c r="AB210" s="205">
        <f>AA210/INDEX(Parameters!$B:$B,MATCH("AfschrijftermijnVVE"&amp;12*$C210,Parameters!$A:$A,0))</f>
        <v>27.777777777777779</v>
      </c>
      <c r="AC210" s="204">
        <f>INDEX('Tarieven ZM'!$G:$G,$W210)</f>
        <v>1000</v>
      </c>
      <c r="AD210" s="198">
        <f>-INDEX(Parameters!$B:$B,MATCH(AD$3&amp;$C210,Parameters!$A:$A,0))*$AC210</f>
        <v>0</v>
      </c>
      <c r="AE210" s="198">
        <f>-INDEX(Parameters!$B:$B,MATCH(AE$3,Parameters!$A:$A,0))*$AC210</f>
        <v>0</v>
      </c>
      <c r="AF210" s="139">
        <f t="shared" si="118"/>
        <v>1000</v>
      </c>
      <c r="AG210" s="522">
        <f t="shared" si="119"/>
        <v>1027.7777777777778</v>
      </c>
      <c r="AH210" s="175"/>
      <c r="AI210" s="523">
        <f>MATCH($U210,'Tarieven W&amp;O'!$B:$B,0)</f>
        <v>73</v>
      </c>
      <c r="AJ210" s="204">
        <f>IF(AI210&lt;&gt;"nvt",INDEX('Tarieven W&amp;O'!$H:$H,$AI210),0)</f>
        <v>0</v>
      </c>
      <c r="AK210" s="204">
        <f>IF(AI210&lt;&gt;"nvt",INDEX('Tarieven W&amp;O'!$I:$I,$AI210),0)</f>
        <v>25</v>
      </c>
      <c r="AL210" s="524">
        <f>IF(AI210&lt;&gt;"nvt",-INDEX(Parameters!$B:$B,MATCH(AL$3,Parameters!$A:$A,0))*(AJ210+AK210),0)</f>
        <v>0</v>
      </c>
      <c r="AM210" s="525"/>
      <c r="AN210" s="139">
        <f t="shared" si="120"/>
        <v>25</v>
      </c>
      <c r="AO210" s="205">
        <f>AN210/INDEX(Parameters!$B:$B,MATCH("AfschrijftermijnVVE"&amp;12*$C210,Parameters!$A:$A,0))</f>
        <v>0.69444444444444442</v>
      </c>
      <c r="AP210" s="139">
        <f t="shared" si="121"/>
        <v>73</v>
      </c>
      <c r="AQ210" s="526">
        <f>IF(AP210&lt;&gt;"nvt",INDEX('Tarieven W&amp;O'!$G:$G,$AP210),0)</f>
        <v>310.54000000000002</v>
      </c>
      <c r="AR210" s="251">
        <f>IF($S210,INDEX('Tarieven W&amp;O'!$G:$G,MATCH(N210&amp;R210,'Tarieven W&amp;O'!$B:$B,0)),0)</f>
        <v>0</v>
      </c>
      <c r="AS210" s="205">
        <f>-INDEX(Parameters!$B:$B,MATCH(AS$3,Parameters!$A:$A,0))*(AQ210+AR210)</f>
        <v>0</v>
      </c>
      <c r="AT210" s="205">
        <f>INDEX(hulpblad!$E:$E,MATCH(M210&amp;Q210,hulpblad!$B:$B,0))</f>
        <v>2</v>
      </c>
      <c r="AU210" s="150">
        <f t="shared" si="101"/>
        <v>312.54000000000002</v>
      </c>
      <c r="AV210" s="150">
        <f t="shared" si="102"/>
        <v>313.23444444444448</v>
      </c>
      <c r="AX210" s="526">
        <f>Parameters!$B$6*AV210</f>
        <v>3.132344444444445</v>
      </c>
      <c r="AY210" s="150">
        <v>0</v>
      </c>
      <c r="AZ210" s="150"/>
      <c r="BA210" s="150">
        <f t="shared" si="122"/>
        <v>3.132344444444445</v>
      </c>
      <c r="BB210" s="150"/>
      <c r="BC210" s="522">
        <f t="shared" si="123"/>
        <v>316.36678888888895</v>
      </c>
      <c r="BD210" s="175"/>
      <c r="BE210" s="527">
        <f t="shared" si="103"/>
        <v>711.41098888888882</v>
      </c>
      <c r="BF210" s="181">
        <f t="shared" si="104"/>
        <v>0.69218366486486482</v>
      </c>
      <c r="BG210" s="520" t="b">
        <f t="shared" si="116"/>
        <v>0</v>
      </c>
      <c r="BI210" s="528" t="s">
        <v>2181</v>
      </c>
      <c r="BL210" s="151" t="str">
        <f t="shared" si="106"/>
        <v>EoKMetro - Nationaal</v>
      </c>
      <c r="BM210" s="529">
        <v>0</v>
      </c>
      <c r="BN210" s="180">
        <f>BM210/INDEX(Parameters!$B:$B,MATCH("AfschrijftermijnVVE"&amp;12*$C210,Parameters!$A:$A,0))</f>
        <v>0</v>
      </c>
      <c r="BO210" s="184">
        <f>INDEX('inkoop ULL tbv EVPN'!I:I,MATCH(BL210,'inkoop ULL tbv EVPN'!H:H,0))</f>
        <v>2</v>
      </c>
      <c r="BP210" s="184">
        <f t="shared" si="107"/>
        <v>2</v>
      </c>
      <c r="BR210" s="180">
        <f>Parameters!$B$12*AG210</f>
        <v>102.77777777777779</v>
      </c>
      <c r="BS210" s="180">
        <f>SUM(Distributievergoedingen!$F$12,Distributievergoedingen!$I$12,Distributievergoedingen!$L$12,Distributievergoedingen!$O$12)*AF210+SUM(Distributievergoedingen!$O$12*AA210+Distributievergoedingen!$R$12+Distributievergoedingen!$U$12+Distributievergoedingen!$X$12)/(MAX(36,12*C210))</f>
        <v>112.77777777777777</v>
      </c>
      <c r="BT210" s="150"/>
      <c r="BU210" s="150">
        <f t="shared" si="108"/>
        <v>215.55555555555554</v>
      </c>
      <c r="BW210" s="522">
        <f t="shared" si="109"/>
        <v>217.55555555555554</v>
      </c>
      <c r="BY210" s="527">
        <f t="shared" si="110"/>
        <v>810.22222222222229</v>
      </c>
      <c r="BZ210" s="181">
        <f t="shared" si="111"/>
        <v>0.78832432432432431</v>
      </c>
      <c r="CA210" s="520" t="b">
        <f t="shared" si="112"/>
        <v>0</v>
      </c>
    </row>
    <row r="211" spans="1:79" s="151" customFormat="1">
      <c r="A211" s="151" t="str">
        <f t="shared" si="105"/>
        <v>2EoKPremiumRegionaal800</v>
      </c>
      <c r="B211" s="520" t="str">
        <f t="shared" si="113"/>
        <v>2EoKPremiumRegionaal800</v>
      </c>
      <c r="C211" s="179">
        <v>2</v>
      </c>
      <c r="D211" s="179" t="s">
        <v>303</v>
      </c>
      <c r="E211" s="178" t="s">
        <v>267</v>
      </c>
      <c r="F211" s="178" t="s">
        <v>265</v>
      </c>
      <c r="G211" s="185" t="s">
        <v>422</v>
      </c>
      <c r="J211" s="520" t="str">
        <f t="shared" si="114"/>
        <v>PremiumRegionaal800</v>
      </c>
      <c r="L211" s="204">
        <f>INDEX(Mapping!$H:$H,MATCH(C$3&amp;C211,Mapping!$B:$B,0))</f>
        <v>1</v>
      </c>
      <c r="M211" s="204" t="str">
        <f>INDEX(Mapping!$H:$H,MATCH(D$3&amp;$D211,Mapping!$B:$B,0))</f>
        <v>EoK</v>
      </c>
      <c r="N211" s="204" t="str">
        <f>INDEX(Mapping!$H:$H,MATCH(E$3&amp;E211,Mapping!$B:$B,0))</f>
        <v>Premium</v>
      </c>
      <c r="O211" s="204" t="str">
        <f>INDEX(Mapping!$H:$H,MATCH(F$3&amp;F211,Mapping!$B:$B,0))</f>
        <v>Metro</v>
      </c>
      <c r="P211" s="204">
        <f>INDEX(Mapping!$H:$H,MATCH(G$3&amp;G211,Mapping!$B:$B,0))</f>
        <v>800</v>
      </c>
      <c r="Q211" s="204" t="str">
        <f>INDEX(Mapping!$H:$H,MATCH(Q$3&amp;$F211,Mapping!$B:$B,0))</f>
        <v>Metro - Nationaal</v>
      </c>
      <c r="R211" s="204" t="str">
        <f>INDEX(Mapping!$H:$H,MATCH("ZM VPN Service Level"&amp;E211,Mapping!$B:$B,0))</f>
        <v>Advanced</v>
      </c>
      <c r="S211" s="139" t="b">
        <f>IF($D211="EoK",INDEX(Mapping!$I:$I,MATCH($G$3&amp;$G211,Mapping!B:B,0)),FALSE)</f>
        <v>0</v>
      </c>
      <c r="T211" s="139"/>
      <c r="U211" s="520" t="str">
        <f t="shared" si="115"/>
        <v>PremiumMetro800</v>
      </c>
      <c r="W211" s="521">
        <f>MATCH($J211,'Tarieven ZM'!$B:$B,0)</f>
        <v>101</v>
      </c>
      <c r="X211" s="204">
        <f>INDEX('Tarieven ZM'!$H:$H,$W211)</f>
        <v>1000</v>
      </c>
      <c r="Y211" s="198">
        <f>-INDEX(Parameters!$B:$B,MATCH(Y$3&amp;$C211,Parameters!$A:$A,0))*$X211</f>
        <v>0</v>
      </c>
      <c r="Z211" s="198">
        <f>-INDEX(Parameters!$B:$B,MATCH(Z$3&amp;$C211,Parameters!$A:$A,0))*$X211</f>
        <v>0</v>
      </c>
      <c r="AA211" s="139">
        <f t="shared" si="117"/>
        <v>1000</v>
      </c>
      <c r="AB211" s="205">
        <f>AA211/INDEX(Parameters!$B:$B,MATCH("AfschrijftermijnVVE"&amp;12*$C211,Parameters!$A:$A,0))</f>
        <v>27.777777777777779</v>
      </c>
      <c r="AC211" s="204">
        <f>INDEX('Tarieven ZM'!$G:$G,$W211)</f>
        <v>1000</v>
      </c>
      <c r="AD211" s="198">
        <f>-INDEX(Parameters!$B:$B,MATCH(AD$3&amp;$C211,Parameters!$A:$A,0))*$AC211</f>
        <v>0</v>
      </c>
      <c r="AE211" s="198">
        <f>-INDEX(Parameters!$B:$B,MATCH(AE$3,Parameters!$A:$A,0))*$AC211</f>
        <v>0</v>
      </c>
      <c r="AF211" s="139">
        <f t="shared" si="118"/>
        <v>1000</v>
      </c>
      <c r="AG211" s="522">
        <f t="shared" si="119"/>
        <v>1027.7777777777778</v>
      </c>
      <c r="AH211" s="175"/>
      <c r="AI211" s="523">
        <f>MATCH($U211,'Tarieven W&amp;O'!$B:$B,0)</f>
        <v>74</v>
      </c>
      <c r="AJ211" s="204">
        <f>IF(AI211&lt;&gt;"nvt",INDEX('Tarieven W&amp;O'!$H:$H,$AI211),0)</f>
        <v>0</v>
      </c>
      <c r="AK211" s="204">
        <f>IF(AI211&lt;&gt;"nvt",INDEX('Tarieven W&amp;O'!$I:$I,$AI211),0)</f>
        <v>25</v>
      </c>
      <c r="AL211" s="524">
        <f>IF(AI211&lt;&gt;"nvt",-INDEX(Parameters!$B:$B,MATCH(AL$3,Parameters!$A:$A,0))*(AJ211+AK211),0)</f>
        <v>0</v>
      </c>
      <c r="AM211" s="525"/>
      <c r="AN211" s="139">
        <f t="shared" si="120"/>
        <v>25</v>
      </c>
      <c r="AO211" s="205">
        <f>AN211/INDEX(Parameters!$B:$B,MATCH("AfschrijftermijnVVE"&amp;12*$C211,Parameters!$A:$A,0))</f>
        <v>0.69444444444444442</v>
      </c>
      <c r="AP211" s="139">
        <f t="shared" si="121"/>
        <v>74</v>
      </c>
      <c r="AQ211" s="526">
        <f>IF(AP211&lt;&gt;"nvt",INDEX('Tarieven W&amp;O'!$G:$G,$AP211),0)</f>
        <v>348.23</v>
      </c>
      <c r="AR211" s="251">
        <f>IF($S211,INDEX('Tarieven W&amp;O'!$G:$G,MATCH(N211&amp;R211,'Tarieven W&amp;O'!$B:$B,0)),0)</f>
        <v>0</v>
      </c>
      <c r="AS211" s="205">
        <f>-INDEX(Parameters!$B:$B,MATCH(AS$3,Parameters!$A:$A,0))*(AQ211+AR211)</f>
        <v>0</v>
      </c>
      <c r="AT211" s="205">
        <f>INDEX(hulpblad!$E:$E,MATCH(M211&amp;Q211,hulpblad!$B:$B,0))</f>
        <v>2</v>
      </c>
      <c r="AU211" s="150">
        <f t="shared" si="101"/>
        <v>350.23</v>
      </c>
      <c r="AV211" s="150">
        <f t="shared" si="102"/>
        <v>350.92444444444448</v>
      </c>
      <c r="AX211" s="526">
        <f>Parameters!$B$6*AV211</f>
        <v>3.5092444444444446</v>
      </c>
      <c r="AY211" s="150">
        <v>0</v>
      </c>
      <c r="AZ211" s="150"/>
      <c r="BA211" s="150">
        <f t="shared" si="122"/>
        <v>3.5092444444444446</v>
      </c>
      <c r="BB211" s="150"/>
      <c r="BC211" s="522">
        <f t="shared" si="123"/>
        <v>354.43368888888892</v>
      </c>
      <c r="BD211" s="175"/>
      <c r="BE211" s="527">
        <f t="shared" si="103"/>
        <v>673.3440888888889</v>
      </c>
      <c r="BF211" s="181">
        <f t="shared" si="104"/>
        <v>0.65514559999999999</v>
      </c>
      <c r="BG211" s="520" t="b">
        <f t="shared" si="116"/>
        <v>0</v>
      </c>
      <c r="BI211" s="528" t="s">
        <v>2181</v>
      </c>
      <c r="BL211" s="151" t="str">
        <f t="shared" si="106"/>
        <v>EoKMetro - Nationaal</v>
      </c>
      <c r="BM211" s="529">
        <v>0</v>
      </c>
      <c r="BN211" s="180">
        <f>BM211/INDEX(Parameters!$B:$B,MATCH("AfschrijftermijnVVE"&amp;12*$C211,Parameters!$A:$A,0))</f>
        <v>0</v>
      </c>
      <c r="BO211" s="184">
        <f>INDEX('inkoop ULL tbv EVPN'!I:I,MATCH(BL211,'inkoop ULL tbv EVPN'!H:H,0))</f>
        <v>2</v>
      </c>
      <c r="BP211" s="184">
        <f t="shared" si="107"/>
        <v>2</v>
      </c>
      <c r="BR211" s="180">
        <f>Parameters!$B$12*AG211</f>
        <v>102.77777777777779</v>
      </c>
      <c r="BS211" s="180">
        <f>SUM(Distributievergoedingen!$F$12,Distributievergoedingen!$I$12,Distributievergoedingen!$L$12,Distributievergoedingen!$O$12)*AF211+SUM(Distributievergoedingen!$O$12*AA211+Distributievergoedingen!$R$12+Distributievergoedingen!$U$12+Distributievergoedingen!$X$12)/(MAX(36,12*C211))</f>
        <v>112.77777777777777</v>
      </c>
      <c r="BT211" s="150"/>
      <c r="BU211" s="150">
        <f t="shared" si="108"/>
        <v>215.55555555555554</v>
      </c>
      <c r="BW211" s="522">
        <f t="shared" si="109"/>
        <v>217.55555555555554</v>
      </c>
      <c r="BY211" s="527">
        <f t="shared" si="110"/>
        <v>810.22222222222229</v>
      </c>
      <c r="BZ211" s="181">
        <f t="shared" si="111"/>
        <v>0.78832432432432431</v>
      </c>
      <c r="CA211" s="520" t="b">
        <f t="shared" si="112"/>
        <v>0</v>
      </c>
    </row>
    <row r="212" spans="1:79" s="151" customFormat="1">
      <c r="A212" s="151" t="str">
        <f t="shared" si="105"/>
        <v>2EoKPremiumRegionaal1000</v>
      </c>
      <c r="B212" s="520" t="str">
        <f t="shared" si="113"/>
        <v>2EoKPremiumRegionaal1000</v>
      </c>
      <c r="C212" s="179">
        <v>2</v>
      </c>
      <c r="D212" s="179" t="s">
        <v>303</v>
      </c>
      <c r="E212" s="178" t="s">
        <v>267</v>
      </c>
      <c r="F212" s="178" t="s">
        <v>265</v>
      </c>
      <c r="G212" s="185" t="s">
        <v>423</v>
      </c>
      <c r="J212" s="520" t="str">
        <f t="shared" si="114"/>
        <v>PremiumRegionaal1000</v>
      </c>
      <c r="L212" s="204">
        <f>INDEX(Mapping!$H:$H,MATCH(C$3&amp;C212,Mapping!$B:$B,0))</f>
        <v>1</v>
      </c>
      <c r="M212" s="204" t="str">
        <f>INDEX(Mapping!$H:$H,MATCH(D$3&amp;$D212,Mapping!$B:$B,0))</f>
        <v>EoK</v>
      </c>
      <c r="N212" s="204" t="str">
        <f>INDEX(Mapping!$H:$H,MATCH(E$3&amp;E212,Mapping!$B:$B,0))</f>
        <v>Premium</v>
      </c>
      <c r="O212" s="204" t="str">
        <f>INDEX(Mapping!$H:$H,MATCH(F$3&amp;F212,Mapping!$B:$B,0))</f>
        <v>Metro</v>
      </c>
      <c r="P212" s="204">
        <f>INDEX(Mapping!$H:$H,MATCH(G$3&amp;G212,Mapping!$B:$B,0))</f>
        <v>1000</v>
      </c>
      <c r="Q212" s="204" t="str">
        <f>INDEX(Mapping!$H:$H,MATCH(Q$3&amp;$F212,Mapping!$B:$B,0))</f>
        <v>Metro - Nationaal</v>
      </c>
      <c r="R212" s="204" t="str">
        <f>INDEX(Mapping!$H:$H,MATCH("ZM VPN Service Level"&amp;E212,Mapping!$B:$B,0))</f>
        <v>Advanced</v>
      </c>
      <c r="S212" s="139" t="b">
        <f>IF($D212="EoK",INDEX(Mapping!$I:$I,MATCH($G$3&amp;$G212,Mapping!B:B,0)),FALSE)</f>
        <v>0</v>
      </c>
      <c r="T212" s="139"/>
      <c r="U212" s="520" t="str">
        <f t="shared" si="115"/>
        <v>PremiumMetro1000</v>
      </c>
      <c r="W212" s="521">
        <f>MATCH($J212,'Tarieven ZM'!$B:$B,0)</f>
        <v>102</v>
      </c>
      <c r="X212" s="204">
        <f>INDEX('Tarieven ZM'!$H:$H,$W212)</f>
        <v>1000</v>
      </c>
      <c r="Y212" s="198">
        <f>-INDEX(Parameters!$B:$B,MATCH(Y$3&amp;$C212,Parameters!$A:$A,0))*$X212</f>
        <v>0</v>
      </c>
      <c r="Z212" s="198">
        <f>-INDEX(Parameters!$B:$B,MATCH(Z$3&amp;$C212,Parameters!$A:$A,0))*$X212</f>
        <v>0</v>
      </c>
      <c r="AA212" s="139">
        <f t="shared" si="117"/>
        <v>1000</v>
      </c>
      <c r="AB212" s="205">
        <f>AA212/INDEX(Parameters!$B:$B,MATCH("AfschrijftermijnVVE"&amp;12*$C212,Parameters!$A:$A,0))</f>
        <v>27.777777777777779</v>
      </c>
      <c r="AC212" s="204">
        <f>INDEX('Tarieven ZM'!$G:$G,$W212)</f>
        <v>1000</v>
      </c>
      <c r="AD212" s="198">
        <f>-INDEX(Parameters!$B:$B,MATCH(AD$3&amp;$C212,Parameters!$A:$A,0))*$AC212</f>
        <v>0</v>
      </c>
      <c r="AE212" s="198">
        <f>-INDEX(Parameters!$B:$B,MATCH(AE$3,Parameters!$A:$A,0))*$AC212</f>
        <v>0</v>
      </c>
      <c r="AF212" s="139">
        <f t="shared" si="118"/>
        <v>1000</v>
      </c>
      <c r="AG212" s="522">
        <f t="shared" si="119"/>
        <v>1027.7777777777778</v>
      </c>
      <c r="AH212" s="175"/>
      <c r="AI212" s="523">
        <f>MATCH($U212,'Tarieven W&amp;O'!$B:$B,0)</f>
        <v>75</v>
      </c>
      <c r="AJ212" s="204">
        <f>IF(AI212&lt;&gt;"nvt",INDEX('Tarieven W&amp;O'!$H:$H,$AI212),0)</f>
        <v>0</v>
      </c>
      <c r="AK212" s="204">
        <f>IF(AI212&lt;&gt;"nvt",INDEX('Tarieven W&amp;O'!$I:$I,$AI212),0)</f>
        <v>25</v>
      </c>
      <c r="AL212" s="524">
        <f>IF(AI212&lt;&gt;"nvt",-INDEX(Parameters!$B:$B,MATCH(AL$3,Parameters!$A:$A,0))*(AJ212+AK212),0)</f>
        <v>0</v>
      </c>
      <c r="AM212" s="525"/>
      <c r="AN212" s="139">
        <f t="shared" si="120"/>
        <v>25</v>
      </c>
      <c r="AO212" s="205">
        <f>AN212/INDEX(Parameters!$B:$B,MATCH("AfschrijftermijnVVE"&amp;12*$C212,Parameters!$A:$A,0))</f>
        <v>0.69444444444444442</v>
      </c>
      <c r="AP212" s="139">
        <f t="shared" si="121"/>
        <v>75</v>
      </c>
      <c r="AQ212" s="526">
        <f>IF(AP212&lt;&gt;"nvt",INDEX('Tarieven W&amp;O'!$G:$G,$AP212),0)</f>
        <v>385.93</v>
      </c>
      <c r="AR212" s="251">
        <f>IF($S212,INDEX('Tarieven W&amp;O'!$G:$G,MATCH(N212&amp;R212,'Tarieven W&amp;O'!$B:$B,0)),0)</f>
        <v>0</v>
      </c>
      <c r="AS212" s="205">
        <f>-INDEX(Parameters!$B:$B,MATCH(AS$3,Parameters!$A:$A,0))*(AQ212+AR212)</f>
        <v>0</v>
      </c>
      <c r="AT212" s="205">
        <f>INDEX(hulpblad!$E:$E,MATCH(M212&amp;Q212,hulpblad!$B:$B,0))</f>
        <v>2</v>
      </c>
      <c r="AU212" s="150">
        <f t="shared" si="101"/>
        <v>387.93</v>
      </c>
      <c r="AV212" s="150">
        <f t="shared" si="102"/>
        <v>388.62444444444446</v>
      </c>
      <c r="AX212" s="526">
        <f>Parameters!$B$6*AV212</f>
        <v>3.8862444444444448</v>
      </c>
      <c r="AY212" s="150">
        <v>0</v>
      </c>
      <c r="AZ212" s="150"/>
      <c r="BA212" s="150">
        <f t="shared" si="122"/>
        <v>3.8862444444444448</v>
      </c>
      <c r="BB212" s="150"/>
      <c r="BC212" s="522">
        <f t="shared" si="123"/>
        <v>392.51068888888892</v>
      </c>
      <c r="BD212" s="175"/>
      <c r="BE212" s="527">
        <f t="shared" si="103"/>
        <v>635.26708888888891</v>
      </c>
      <c r="BF212" s="181">
        <f t="shared" si="104"/>
        <v>0.61809770810810805</v>
      </c>
      <c r="BG212" s="520" t="b">
        <f t="shared" si="116"/>
        <v>0</v>
      </c>
      <c r="BI212" s="528" t="s">
        <v>2181</v>
      </c>
      <c r="BL212" s="151" t="str">
        <f t="shared" si="106"/>
        <v>EoKMetro - Nationaal</v>
      </c>
      <c r="BM212" s="529">
        <v>0</v>
      </c>
      <c r="BN212" s="180">
        <f>BM212/INDEX(Parameters!$B:$B,MATCH("AfschrijftermijnVVE"&amp;12*$C212,Parameters!$A:$A,0))</f>
        <v>0</v>
      </c>
      <c r="BO212" s="184">
        <f>INDEX('inkoop ULL tbv EVPN'!I:I,MATCH(BL212,'inkoop ULL tbv EVPN'!H:H,0))</f>
        <v>2</v>
      </c>
      <c r="BP212" s="184">
        <f t="shared" si="107"/>
        <v>2</v>
      </c>
      <c r="BR212" s="180">
        <f>Parameters!$B$12*AG212</f>
        <v>102.77777777777779</v>
      </c>
      <c r="BS212" s="180">
        <f>SUM(Distributievergoedingen!$F$12,Distributievergoedingen!$I$12,Distributievergoedingen!$L$12,Distributievergoedingen!$O$12)*AF212+SUM(Distributievergoedingen!$O$12*AA212+Distributievergoedingen!$R$12+Distributievergoedingen!$U$12+Distributievergoedingen!$X$12)/(MAX(36,12*C212))</f>
        <v>112.77777777777777</v>
      </c>
      <c r="BT212" s="150"/>
      <c r="BU212" s="150">
        <f t="shared" si="108"/>
        <v>215.55555555555554</v>
      </c>
      <c r="BW212" s="522">
        <f t="shared" si="109"/>
        <v>217.55555555555554</v>
      </c>
      <c r="BY212" s="527">
        <f t="shared" si="110"/>
        <v>810.22222222222229</v>
      </c>
      <c r="BZ212" s="181">
        <f t="shared" si="111"/>
        <v>0.78832432432432431</v>
      </c>
      <c r="CA212" s="520" t="b">
        <f t="shared" si="112"/>
        <v>0</v>
      </c>
    </row>
    <row r="213" spans="1:79" s="151" customFormat="1">
      <c r="A213" s="151" t="str">
        <f t="shared" si="105"/>
        <v>2EoKPremiumNationaal1</v>
      </c>
      <c r="B213" s="520" t="str">
        <f t="shared" si="113"/>
        <v>2EoKPremiumNationaal1</v>
      </c>
      <c r="C213" s="179">
        <v>2</v>
      </c>
      <c r="D213" s="179" t="s">
        <v>303</v>
      </c>
      <c r="E213" s="178" t="s">
        <v>267</v>
      </c>
      <c r="F213" s="178" t="s">
        <v>266</v>
      </c>
      <c r="G213" s="185" t="s">
        <v>362</v>
      </c>
      <c r="J213" s="520" t="str">
        <f t="shared" si="114"/>
        <v>PremiumNationaal1</v>
      </c>
      <c r="L213" s="204">
        <f>INDEX(Mapping!$H:$H,MATCH(C$3&amp;C213,Mapping!$B:$B,0))</f>
        <v>1</v>
      </c>
      <c r="M213" s="204" t="str">
        <f>INDEX(Mapping!$H:$H,MATCH(D$3&amp;$D213,Mapping!$B:$B,0))</f>
        <v>EoK</v>
      </c>
      <c r="N213" s="204" t="str">
        <f>INDEX(Mapping!$H:$H,MATCH(E$3&amp;E213,Mapping!$B:$B,0))</f>
        <v>Premium</v>
      </c>
      <c r="O213" s="204" t="str">
        <f>INDEX(Mapping!$H:$H,MATCH(F$3&amp;F213,Mapping!$B:$B,0))</f>
        <v>Metro</v>
      </c>
      <c r="P213" s="204">
        <f>INDEX(Mapping!$H:$H,MATCH(G$3&amp;G213,Mapping!$B:$B,0))</f>
        <v>1</v>
      </c>
      <c r="Q213" s="204" t="str">
        <f>INDEX(Mapping!$H:$H,MATCH(Q$3&amp;$F213,Mapping!$B:$B,0))</f>
        <v>Metro - Nationaal</v>
      </c>
      <c r="R213" s="204" t="str">
        <f>INDEX(Mapping!$H:$H,MATCH("ZM VPN Service Level"&amp;E213,Mapping!$B:$B,0))</f>
        <v>Advanced</v>
      </c>
      <c r="S213" s="139" t="b">
        <f>IF($D213="EoK",INDEX(Mapping!$I:$I,MATCH($G$3&amp;$G213,Mapping!B:B,0)),FALSE)</f>
        <v>1</v>
      </c>
      <c r="T213" s="139"/>
      <c r="U213" s="520" t="str">
        <f t="shared" si="115"/>
        <v>PremiumMetro1</v>
      </c>
      <c r="W213" s="521">
        <f>MATCH($J213,'Tarieven ZM'!$B:$B,0)</f>
        <v>103</v>
      </c>
      <c r="X213" s="204">
        <f>INDEX('Tarieven ZM'!$H:$H,$W213)</f>
        <v>1000</v>
      </c>
      <c r="Y213" s="198">
        <f>-INDEX(Parameters!$B:$B,MATCH(Y$3&amp;$C213,Parameters!$A:$A,0))*$X213</f>
        <v>0</v>
      </c>
      <c r="Z213" s="198">
        <f>-INDEX(Parameters!$B:$B,MATCH(Z$3&amp;$C213,Parameters!$A:$A,0))*$X213</f>
        <v>0</v>
      </c>
      <c r="AA213" s="139">
        <f t="shared" si="117"/>
        <v>1000</v>
      </c>
      <c r="AB213" s="205">
        <f>AA213/INDEX(Parameters!$B:$B,MATCH("AfschrijftermijnVVE"&amp;12*$C213,Parameters!$A:$A,0))</f>
        <v>27.777777777777779</v>
      </c>
      <c r="AC213" s="204">
        <f>INDEX('Tarieven ZM'!$G:$G,$W213)</f>
        <v>1000</v>
      </c>
      <c r="AD213" s="198">
        <f>-INDEX(Parameters!$B:$B,MATCH(AD$3&amp;$C213,Parameters!$A:$A,0))*$AC213</f>
        <v>0</v>
      </c>
      <c r="AE213" s="198">
        <f>-INDEX(Parameters!$B:$B,MATCH(AE$3,Parameters!$A:$A,0))*$AC213</f>
        <v>0</v>
      </c>
      <c r="AF213" s="139">
        <f t="shared" si="118"/>
        <v>1000</v>
      </c>
      <c r="AG213" s="522">
        <f t="shared" si="119"/>
        <v>1027.7777777777778</v>
      </c>
      <c r="AH213" s="175"/>
      <c r="AI213" s="523">
        <f>MATCH($U213,'Tarieven W&amp;O'!$B:$B,0)</f>
        <v>57</v>
      </c>
      <c r="AJ213" s="204">
        <f>IF(AI213&lt;&gt;"nvt",INDEX('Tarieven W&amp;O'!$H:$H,$AI213),0)</f>
        <v>0</v>
      </c>
      <c r="AK213" s="204">
        <f>IF(AI213&lt;&gt;"nvt",INDEX('Tarieven W&amp;O'!$I:$I,$AI213),0)</f>
        <v>25</v>
      </c>
      <c r="AL213" s="524">
        <f>IF(AI213&lt;&gt;"nvt",-INDEX(Parameters!$B:$B,MATCH(AL$3,Parameters!$A:$A,0))*(AJ213+AK213),0)</f>
        <v>0</v>
      </c>
      <c r="AM213" s="525"/>
      <c r="AN213" s="139">
        <f t="shared" si="120"/>
        <v>25</v>
      </c>
      <c r="AO213" s="205">
        <f>AN213/INDEX(Parameters!$B:$B,MATCH("AfschrijftermijnVVE"&amp;12*$C213,Parameters!$A:$A,0))</f>
        <v>0.69444444444444442</v>
      </c>
      <c r="AP213" s="139">
        <f t="shared" si="121"/>
        <v>57</v>
      </c>
      <c r="AQ213" s="526">
        <f>IF(AP213&lt;&gt;"nvt",INDEX('Tarieven W&amp;O'!$G:$G,$AP213),0)</f>
        <v>14.29</v>
      </c>
      <c r="AR213" s="251">
        <f>IF($S213,INDEX('Tarieven W&amp;O'!$G:$G,MATCH(N213&amp;R213,'Tarieven W&amp;O'!$B:$B,0)),0)</f>
        <v>0</v>
      </c>
      <c r="AS213" s="205">
        <f>-INDEX(Parameters!$B:$B,MATCH(AS$3,Parameters!$A:$A,0))*(AQ213+AR213)</f>
        <v>0</v>
      </c>
      <c r="AT213" s="205">
        <f>INDEX(hulpblad!$E:$E,MATCH(M213&amp;Q213,hulpblad!$B:$B,0))</f>
        <v>2</v>
      </c>
      <c r="AU213" s="150">
        <f t="shared" si="101"/>
        <v>16.29</v>
      </c>
      <c r="AV213" s="150">
        <f t="shared" si="102"/>
        <v>16.984444444444442</v>
      </c>
      <c r="AX213" s="526">
        <f>Parameters!$B$6*AV213</f>
        <v>0.16984444444444444</v>
      </c>
      <c r="AY213" s="150">
        <v>0</v>
      </c>
      <c r="AZ213" s="150"/>
      <c r="BA213" s="150">
        <f t="shared" si="122"/>
        <v>0.16984444444444444</v>
      </c>
      <c r="BB213" s="150"/>
      <c r="BC213" s="522">
        <f t="shared" si="123"/>
        <v>17.154288888888885</v>
      </c>
      <c r="BD213" s="175"/>
      <c r="BE213" s="527">
        <f t="shared" si="103"/>
        <v>1010.6234888888889</v>
      </c>
      <c r="BF213" s="181">
        <f t="shared" si="104"/>
        <v>0.98330934054054053</v>
      </c>
      <c r="BG213" s="520" t="b">
        <f t="shared" si="116"/>
        <v>0</v>
      </c>
      <c r="BI213" s="528" t="s">
        <v>2181</v>
      </c>
      <c r="BL213" s="151" t="str">
        <f t="shared" si="106"/>
        <v>EoKMetro - Nationaal</v>
      </c>
      <c r="BM213" s="529">
        <v>0</v>
      </c>
      <c r="BN213" s="180">
        <f>BM213/INDEX(Parameters!$B:$B,MATCH("AfschrijftermijnVVE"&amp;12*$C213,Parameters!$A:$A,0))</f>
        <v>0</v>
      </c>
      <c r="BO213" s="184">
        <f>INDEX('inkoop ULL tbv EVPN'!I:I,MATCH(BL213,'inkoop ULL tbv EVPN'!H:H,0))</f>
        <v>2</v>
      </c>
      <c r="BP213" s="184">
        <f t="shared" si="107"/>
        <v>2</v>
      </c>
      <c r="BR213" s="180">
        <f>Parameters!$B$12*AG213</f>
        <v>102.77777777777779</v>
      </c>
      <c r="BS213" s="180">
        <f>SUM(Distributievergoedingen!$F$12,Distributievergoedingen!$I$12,Distributievergoedingen!$L$12,Distributievergoedingen!$O$12)*AF213+SUM(Distributievergoedingen!$O$12*AA213+Distributievergoedingen!$R$12+Distributievergoedingen!$U$12+Distributievergoedingen!$X$12)/(MAX(36,12*C213))</f>
        <v>112.77777777777777</v>
      </c>
      <c r="BT213" s="150"/>
      <c r="BU213" s="150">
        <f t="shared" si="108"/>
        <v>215.55555555555554</v>
      </c>
      <c r="BW213" s="522">
        <f t="shared" si="109"/>
        <v>217.55555555555554</v>
      </c>
      <c r="BY213" s="527">
        <f t="shared" si="110"/>
        <v>810.22222222222229</v>
      </c>
      <c r="BZ213" s="181">
        <f t="shared" si="111"/>
        <v>0.78832432432432431</v>
      </c>
      <c r="CA213" s="520" t="b">
        <f t="shared" si="112"/>
        <v>0</v>
      </c>
    </row>
    <row r="214" spans="1:79" s="151" customFormat="1">
      <c r="A214" s="151" t="str">
        <f t="shared" si="105"/>
        <v>2EoKPremiumNationaal2</v>
      </c>
      <c r="B214" s="520" t="str">
        <f t="shared" si="113"/>
        <v>2EoKPremiumNationaal2</v>
      </c>
      <c r="C214" s="179">
        <v>2</v>
      </c>
      <c r="D214" s="179" t="s">
        <v>303</v>
      </c>
      <c r="E214" s="178" t="s">
        <v>267</v>
      </c>
      <c r="F214" s="178" t="s">
        <v>266</v>
      </c>
      <c r="G214" s="185" t="s">
        <v>363</v>
      </c>
      <c r="J214" s="520" t="str">
        <f t="shared" si="114"/>
        <v>PremiumNationaal2</v>
      </c>
      <c r="L214" s="204">
        <f>INDEX(Mapping!$H:$H,MATCH(C$3&amp;C214,Mapping!$B:$B,0))</f>
        <v>1</v>
      </c>
      <c r="M214" s="204" t="str">
        <f>INDEX(Mapping!$H:$H,MATCH(D$3&amp;$D214,Mapping!$B:$B,0))</f>
        <v>EoK</v>
      </c>
      <c r="N214" s="204" t="str">
        <f>INDEX(Mapping!$H:$H,MATCH(E$3&amp;E214,Mapping!$B:$B,0))</f>
        <v>Premium</v>
      </c>
      <c r="O214" s="204" t="str">
        <f>INDEX(Mapping!$H:$H,MATCH(F$3&amp;F214,Mapping!$B:$B,0))</f>
        <v>Metro</v>
      </c>
      <c r="P214" s="204">
        <f>INDEX(Mapping!$H:$H,MATCH(G$3&amp;G214,Mapping!$B:$B,0))</f>
        <v>2</v>
      </c>
      <c r="Q214" s="204" t="str">
        <f>INDEX(Mapping!$H:$H,MATCH(Q$3&amp;$F214,Mapping!$B:$B,0))</f>
        <v>Metro - Nationaal</v>
      </c>
      <c r="R214" s="204" t="str">
        <f>INDEX(Mapping!$H:$H,MATCH("ZM VPN Service Level"&amp;E214,Mapping!$B:$B,0))</f>
        <v>Advanced</v>
      </c>
      <c r="S214" s="139" t="b">
        <f>IF($D214="EoK",INDEX(Mapping!$I:$I,MATCH($G$3&amp;$G214,Mapping!B:B,0)),FALSE)</f>
        <v>1</v>
      </c>
      <c r="T214" s="139"/>
      <c r="U214" s="520" t="str">
        <f t="shared" si="115"/>
        <v>PremiumMetro2</v>
      </c>
      <c r="W214" s="521">
        <f>MATCH($J214,'Tarieven ZM'!$B:$B,0)</f>
        <v>104</v>
      </c>
      <c r="X214" s="204">
        <f>INDEX('Tarieven ZM'!$H:$H,$W214)</f>
        <v>1000</v>
      </c>
      <c r="Y214" s="198">
        <f>-INDEX(Parameters!$B:$B,MATCH(Y$3&amp;$C214,Parameters!$A:$A,0))*$X214</f>
        <v>0</v>
      </c>
      <c r="Z214" s="198">
        <f>-INDEX(Parameters!$B:$B,MATCH(Z$3&amp;$C214,Parameters!$A:$A,0))*$X214</f>
        <v>0</v>
      </c>
      <c r="AA214" s="139">
        <f t="shared" si="117"/>
        <v>1000</v>
      </c>
      <c r="AB214" s="205">
        <f>AA214/INDEX(Parameters!$B:$B,MATCH("AfschrijftermijnVVE"&amp;12*$C214,Parameters!$A:$A,0))</f>
        <v>27.777777777777779</v>
      </c>
      <c r="AC214" s="204">
        <f>INDEX('Tarieven ZM'!$G:$G,$W214)</f>
        <v>1000</v>
      </c>
      <c r="AD214" s="198">
        <f>-INDEX(Parameters!$B:$B,MATCH(AD$3&amp;$C214,Parameters!$A:$A,0))*$AC214</f>
        <v>0</v>
      </c>
      <c r="AE214" s="198">
        <f>-INDEX(Parameters!$B:$B,MATCH(AE$3,Parameters!$A:$A,0))*$AC214</f>
        <v>0</v>
      </c>
      <c r="AF214" s="139">
        <f t="shared" si="118"/>
        <v>1000</v>
      </c>
      <c r="AG214" s="522">
        <f t="shared" si="119"/>
        <v>1027.7777777777778</v>
      </c>
      <c r="AH214" s="175"/>
      <c r="AI214" s="523">
        <f>MATCH($U214,'Tarieven W&amp;O'!$B:$B,0)</f>
        <v>58</v>
      </c>
      <c r="AJ214" s="204">
        <f>IF(AI214&lt;&gt;"nvt",INDEX('Tarieven W&amp;O'!$H:$H,$AI214),0)</f>
        <v>0</v>
      </c>
      <c r="AK214" s="204">
        <f>IF(AI214&lt;&gt;"nvt",INDEX('Tarieven W&amp;O'!$I:$I,$AI214),0)</f>
        <v>25</v>
      </c>
      <c r="AL214" s="524">
        <f>IF(AI214&lt;&gt;"nvt",-INDEX(Parameters!$B:$B,MATCH(AL$3,Parameters!$A:$A,0))*(AJ214+AK214),0)</f>
        <v>0</v>
      </c>
      <c r="AM214" s="525"/>
      <c r="AN214" s="139">
        <f t="shared" si="120"/>
        <v>25</v>
      </c>
      <c r="AO214" s="205">
        <f>AN214/INDEX(Parameters!$B:$B,MATCH("AfschrijftermijnVVE"&amp;12*$C214,Parameters!$A:$A,0))</f>
        <v>0.69444444444444442</v>
      </c>
      <c r="AP214" s="139">
        <f t="shared" si="121"/>
        <v>58</v>
      </c>
      <c r="AQ214" s="526">
        <f>IF(AP214&lt;&gt;"nvt",INDEX('Tarieven W&amp;O'!$G:$G,$AP214),0)</f>
        <v>16.55</v>
      </c>
      <c r="AR214" s="251">
        <f>IF($S214,INDEX('Tarieven W&amp;O'!$G:$G,MATCH(N214&amp;R214,'Tarieven W&amp;O'!$B:$B,0)),0)</f>
        <v>0</v>
      </c>
      <c r="AS214" s="205">
        <f>-INDEX(Parameters!$B:$B,MATCH(AS$3,Parameters!$A:$A,0))*(AQ214+AR214)</f>
        <v>0</v>
      </c>
      <c r="AT214" s="205">
        <f>INDEX(hulpblad!$E:$E,MATCH(M214&amp;Q214,hulpblad!$B:$B,0))</f>
        <v>2</v>
      </c>
      <c r="AU214" s="150">
        <f t="shared" si="101"/>
        <v>18.55</v>
      </c>
      <c r="AV214" s="150">
        <f t="shared" si="102"/>
        <v>19.244444444444444</v>
      </c>
      <c r="AX214" s="526">
        <f>Parameters!$B$6*AV214</f>
        <v>0.19244444444444445</v>
      </c>
      <c r="AY214" s="150">
        <v>0</v>
      </c>
      <c r="AZ214" s="150"/>
      <c r="BA214" s="150">
        <f t="shared" si="122"/>
        <v>0.19244444444444445</v>
      </c>
      <c r="BB214" s="150"/>
      <c r="BC214" s="522">
        <f t="shared" si="123"/>
        <v>19.436888888888888</v>
      </c>
      <c r="BD214" s="175"/>
      <c r="BE214" s="527">
        <f t="shared" si="103"/>
        <v>1008.3408888888889</v>
      </c>
      <c r="BF214" s="181">
        <f t="shared" si="104"/>
        <v>0.98108843243243238</v>
      </c>
      <c r="BG214" s="520" t="b">
        <f t="shared" si="116"/>
        <v>0</v>
      </c>
      <c r="BI214" s="528" t="s">
        <v>2181</v>
      </c>
      <c r="BL214" s="151" t="str">
        <f t="shared" si="106"/>
        <v>EoKMetro - Nationaal</v>
      </c>
      <c r="BM214" s="529">
        <v>0</v>
      </c>
      <c r="BN214" s="180">
        <f>BM214/INDEX(Parameters!$B:$B,MATCH("AfschrijftermijnVVE"&amp;12*$C214,Parameters!$A:$A,0))</f>
        <v>0</v>
      </c>
      <c r="BO214" s="184">
        <f>INDEX('inkoop ULL tbv EVPN'!I:I,MATCH(BL214,'inkoop ULL tbv EVPN'!H:H,0))</f>
        <v>2</v>
      </c>
      <c r="BP214" s="184">
        <f t="shared" si="107"/>
        <v>2</v>
      </c>
      <c r="BR214" s="180">
        <f>Parameters!$B$12*AG214</f>
        <v>102.77777777777779</v>
      </c>
      <c r="BS214" s="180">
        <f>SUM(Distributievergoedingen!$F$12,Distributievergoedingen!$I$12,Distributievergoedingen!$L$12,Distributievergoedingen!$O$12)*AF214+SUM(Distributievergoedingen!$O$12*AA214+Distributievergoedingen!$R$12+Distributievergoedingen!$U$12+Distributievergoedingen!$X$12)/(MAX(36,12*C214))</f>
        <v>112.77777777777777</v>
      </c>
      <c r="BT214" s="150"/>
      <c r="BU214" s="150">
        <f t="shared" si="108"/>
        <v>215.55555555555554</v>
      </c>
      <c r="BW214" s="522">
        <f t="shared" si="109"/>
        <v>217.55555555555554</v>
      </c>
      <c r="BY214" s="527">
        <f t="shared" si="110"/>
        <v>810.22222222222229</v>
      </c>
      <c r="BZ214" s="181">
        <f t="shared" si="111"/>
        <v>0.78832432432432431</v>
      </c>
      <c r="CA214" s="520" t="b">
        <f t="shared" si="112"/>
        <v>0</v>
      </c>
    </row>
    <row r="215" spans="1:79" s="151" customFormat="1">
      <c r="A215" s="151" t="str">
        <f t="shared" si="105"/>
        <v>2EoKPremiumNationaal3</v>
      </c>
      <c r="B215" s="520" t="str">
        <f t="shared" si="113"/>
        <v>2EoKPremiumNationaal3</v>
      </c>
      <c r="C215" s="179">
        <v>2</v>
      </c>
      <c r="D215" s="179" t="s">
        <v>303</v>
      </c>
      <c r="E215" s="178" t="s">
        <v>267</v>
      </c>
      <c r="F215" s="178" t="s">
        <v>266</v>
      </c>
      <c r="G215" s="185" t="s">
        <v>407</v>
      </c>
      <c r="J215" s="520" t="str">
        <f t="shared" si="114"/>
        <v>PremiumNationaal3</v>
      </c>
      <c r="L215" s="204">
        <f>INDEX(Mapping!$H:$H,MATCH(C$3&amp;C215,Mapping!$B:$B,0))</f>
        <v>1</v>
      </c>
      <c r="M215" s="204" t="str">
        <f>INDEX(Mapping!$H:$H,MATCH(D$3&amp;$D215,Mapping!$B:$B,0))</f>
        <v>EoK</v>
      </c>
      <c r="N215" s="204" t="str">
        <f>INDEX(Mapping!$H:$H,MATCH(E$3&amp;E215,Mapping!$B:$B,0))</f>
        <v>Premium</v>
      </c>
      <c r="O215" s="204" t="str">
        <f>INDEX(Mapping!$H:$H,MATCH(F$3&amp;F215,Mapping!$B:$B,0))</f>
        <v>Metro</v>
      </c>
      <c r="P215" s="204">
        <f>INDEX(Mapping!$H:$H,MATCH(G$3&amp;G215,Mapping!$B:$B,0))</f>
        <v>3</v>
      </c>
      <c r="Q215" s="204" t="str">
        <f>INDEX(Mapping!$H:$H,MATCH(Q$3&amp;$F215,Mapping!$B:$B,0))</f>
        <v>Metro - Nationaal</v>
      </c>
      <c r="R215" s="204" t="str">
        <f>INDEX(Mapping!$H:$H,MATCH("ZM VPN Service Level"&amp;E215,Mapping!$B:$B,0))</f>
        <v>Advanced</v>
      </c>
      <c r="S215" s="139" t="b">
        <f>IF($D215="EoK",INDEX(Mapping!$I:$I,MATCH($G$3&amp;$G215,Mapping!B:B,0)),FALSE)</f>
        <v>0</v>
      </c>
      <c r="T215" s="139"/>
      <c r="U215" s="520" t="str">
        <f t="shared" si="115"/>
        <v>PremiumMetro3</v>
      </c>
      <c r="W215" s="521">
        <f>MATCH($J215,'Tarieven ZM'!$B:$B,0)</f>
        <v>105</v>
      </c>
      <c r="X215" s="204">
        <f>INDEX('Tarieven ZM'!$H:$H,$W215)</f>
        <v>1000</v>
      </c>
      <c r="Y215" s="198">
        <f>-INDEX(Parameters!$B:$B,MATCH(Y$3&amp;$C215,Parameters!$A:$A,0))*$X215</f>
        <v>0</v>
      </c>
      <c r="Z215" s="198">
        <f>-INDEX(Parameters!$B:$B,MATCH(Z$3&amp;$C215,Parameters!$A:$A,0))*$X215</f>
        <v>0</v>
      </c>
      <c r="AA215" s="139">
        <f t="shared" si="117"/>
        <v>1000</v>
      </c>
      <c r="AB215" s="205">
        <f>AA215/INDEX(Parameters!$B:$B,MATCH("AfschrijftermijnVVE"&amp;12*$C215,Parameters!$A:$A,0))</f>
        <v>27.777777777777779</v>
      </c>
      <c r="AC215" s="204">
        <f>INDEX('Tarieven ZM'!$G:$G,$W215)</f>
        <v>1000</v>
      </c>
      <c r="AD215" s="198">
        <f>-INDEX(Parameters!$B:$B,MATCH(AD$3&amp;$C215,Parameters!$A:$A,0))*$AC215</f>
        <v>0</v>
      </c>
      <c r="AE215" s="198">
        <f>-INDEX(Parameters!$B:$B,MATCH(AE$3,Parameters!$A:$A,0))*$AC215</f>
        <v>0</v>
      </c>
      <c r="AF215" s="139">
        <f t="shared" si="118"/>
        <v>1000</v>
      </c>
      <c r="AG215" s="522">
        <f t="shared" si="119"/>
        <v>1027.7777777777778</v>
      </c>
      <c r="AH215" s="175"/>
      <c r="AI215" s="523">
        <f>MATCH($U215,'Tarieven W&amp;O'!$B:$B,0)</f>
        <v>59</v>
      </c>
      <c r="AJ215" s="204">
        <f>IF(AI215&lt;&gt;"nvt",INDEX('Tarieven W&amp;O'!$H:$H,$AI215),0)</f>
        <v>0</v>
      </c>
      <c r="AK215" s="204">
        <f>IF(AI215&lt;&gt;"nvt",INDEX('Tarieven W&amp;O'!$I:$I,$AI215),0)</f>
        <v>25</v>
      </c>
      <c r="AL215" s="524">
        <f>IF(AI215&lt;&gt;"nvt",-INDEX(Parameters!$B:$B,MATCH(AL$3,Parameters!$A:$A,0))*(AJ215+AK215),0)</f>
        <v>0</v>
      </c>
      <c r="AM215" s="525"/>
      <c r="AN215" s="139">
        <f t="shared" si="120"/>
        <v>25</v>
      </c>
      <c r="AO215" s="205">
        <f>AN215/INDEX(Parameters!$B:$B,MATCH("AfschrijftermijnVVE"&amp;12*$C215,Parameters!$A:$A,0))</f>
        <v>0.69444444444444442</v>
      </c>
      <c r="AP215" s="139">
        <f t="shared" si="121"/>
        <v>59</v>
      </c>
      <c r="AQ215" s="526">
        <f>IF(AP215&lt;&gt;"nvt",INDEX('Tarieven W&amp;O'!$G:$G,$AP215),0)</f>
        <v>27.86</v>
      </c>
      <c r="AR215" s="251">
        <f>IF($S215,INDEX('Tarieven W&amp;O'!$G:$G,MATCH(N215&amp;R215,'Tarieven W&amp;O'!$B:$B,0)),0)</f>
        <v>0</v>
      </c>
      <c r="AS215" s="205">
        <f>-INDEX(Parameters!$B:$B,MATCH(AS$3,Parameters!$A:$A,0))*(AQ215+AR215)</f>
        <v>0</v>
      </c>
      <c r="AT215" s="205">
        <f>INDEX(hulpblad!$E:$E,MATCH(M215&amp;Q215,hulpblad!$B:$B,0))</f>
        <v>2</v>
      </c>
      <c r="AU215" s="150">
        <f t="shared" si="101"/>
        <v>29.86</v>
      </c>
      <c r="AV215" s="150">
        <f t="shared" si="102"/>
        <v>30.554444444444442</v>
      </c>
      <c r="AX215" s="526">
        <f>Parameters!$B$6*AV215</f>
        <v>0.30554444444444445</v>
      </c>
      <c r="AY215" s="150">
        <v>0</v>
      </c>
      <c r="AZ215" s="150"/>
      <c r="BA215" s="150">
        <f t="shared" si="122"/>
        <v>0.30554444444444445</v>
      </c>
      <c r="BB215" s="150"/>
      <c r="BC215" s="522">
        <f t="shared" si="123"/>
        <v>30.859988888888886</v>
      </c>
      <c r="BD215" s="175"/>
      <c r="BE215" s="527">
        <f t="shared" si="103"/>
        <v>996.91778888888894</v>
      </c>
      <c r="BF215" s="181">
        <f t="shared" si="104"/>
        <v>0.96997406486486482</v>
      </c>
      <c r="BG215" s="520" t="b">
        <f t="shared" si="116"/>
        <v>0</v>
      </c>
      <c r="BI215" s="528" t="s">
        <v>2181</v>
      </c>
      <c r="BL215" s="151" t="str">
        <f t="shared" si="106"/>
        <v>EoKMetro - Nationaal</v>
      </c>
      <c r="BM215" s="529">
        <v>0</v>
      </c>
      <c r="BN215" s="180">
        <f>BM215/INDEX(Parameters!$B:$B,MATCH("AfschrijftermijnVVE"&amp;12*$C215,Parameters!$A:$A,0))</f>
        <v>0</v>
      </c>
      <c r="BO215" s="184">
        <f>INDEX('inkoop ULL tbv EVPN'!I:I,MATCH(BL215,'inkoop ULL tbv EVPN'!H:H,0))</f>
        <v>2</v>
      </c>
      <c r="BP215" s="184">
        <f t="shared" si="107"/>
        <v>2</v>
      </c>
      <c r="BR215" s="180">
        <f>Parameters!$B$12*AG215</f>
        <v>102.77777777777779</v>
      </c>
      <c r="BS215" s="180">
        <f>SUM(Distributievergoedingen!$F$12,Distributievergoedingen!$I$12,Distributievergoedingen!$L$12,Distributievergoedingen!$O$12)*AF215+SUM(Distributievergoedingen!$O$12*AA215+Distributievergoedingen!$R$12+Distributievergoedingen!$U$12+Distributievergoedingen!$X$12)/(MAX(36,12*C215))</f>
        <v>112.77777777777777</v>
      </c>
      <c r="BT215" s="150"/>
      <c r="BU215" s="150">
        <f t="shared" si="108"/>
        <v>215.55555555555554</v>
      </c>
      <c r="BW215" s="522">
        <f t="shared" si="109"/>
        <v>217.55555555555554</v>
      </c>
      <c r="BY215" s="527">
        <f t="shared" si="110"/>
        <v>810.22222222222229</v>
      </c>
      <c r="BZ215" s="181">
        <f t="shared" si="111"/>
        <v>0.78832432432432431</v>
      </c>
      <c r="CA215" s="520" t="b">
        <f t="shared" si="112"/>
        <v>0</v>
      </c>
    </row>
    <row r="216" spans="1:79" s="151" customFormat="1">
      <c r="A216" s="151" t="str">
        <f t="shared" si="105"/>
        <v>2EoKPremiumNationaal4</v>
      </c>
      <c r="B216" s="520" t="str">
        <f t="shared" si="113"/>
        <v>2EoKPremiumNationaal4</v>
      </c>
      <c r="C216" s="179">
        <v>2</v>
      </c>
      <c r="D216" s="179" t="s">
        <v>303</v>
      </c>
      <c r="E216" s="178" t="s">
        <v>267</v>
      </c>
      <c r="F216" s="178" t="s">
        <v>266</v>
      </c>
      <c r="G216" s="185" t="s">
        <v>408</v>
      </c>
      <c r="J216" s="520" t="str">
        <f t="shared" si="114"/>
        <v>PremiumNationaal4</v>
      </c>
      <c r="L216" s="204">
        <f>INDEX(Mapping!$H:$H,MATCH(C$3&amp;C216,Mapping!$B:$B,0))</f>
        <v>1</v>
      </c>
      <c r="M216" s="204" t="str">
        <f>INDEX(Mapping!$H:$H,MATCH(D$3&amp;$D216,Mapping!$B:$B,0))</f>
        <v>EoK</v>
      </c>
      <c r="N216" s="204" t="str">
        <f>INDEX(Mapping!$H:$H,MATCH(E$3&amp;E216,Mapping!$B:$B,0))</f>
        <v>Premium</v>
      </c>
      <c r="O216" s="204" t="str">
        <f>INDEX(Mapping!$H:$H,MATCH(F$3&amp;F216,Mapping!$B:$B,0))</f>
        <v>Metro</v>
      </c>
      <c r="P216" s="204">
        <f>INDEX(Mapping!$H:$H,MATCH(G$3&amp;G216,Mapping!$B:$B,0))</f>
        <v>4</v>
      </c>
      <c r="Q216" s="204" t="str">
        <f>INDEX(Mapping!$H:$H,MATCH(Q$3&amp;$F216,Mapping!$B:$B,0))</f>
        <v>Metro - Nationaal</v>
      </c>
      <c r="R216" s="204" t="str">
        <f>INDEX(Mapping!$H:$H,MATCH("ZM VPN Service Level"&amp;E216,Mapping!$B:$B,0))</f>
        <v>Advanced</v>
      </c>
      <c r="S216" s="139" t="b">
        <f>IF($D216="EoK",INDEX(Mapping!$I:$I,MATCH($G$3&amp;$G216,Mapping!B:B,0)),FALSE)</f>
        <v>0</v>
      </c>
      <c r="T216" s="139"/>
      <c r="U216" s="520" t="str">
        <f t="shared" si="115"/>
        <v>PremiumMetro4</v>
      </c>
      <c r="W216" s="521">
        <f>MATCH($J216,'Tarieven ZM'!$B:$B,0)</f>
        <v>106</v>
      </c>
      <c r="X216" s="204">
        <f>INDEX('Tarieven ZM'!$H:$H,$W216)</f>
        <v>1000</v>
      </c>
      <c r="Y216" s="198">
        <f>-INDEX(Parameters!$B:$B,MATCH(Y$3&amp;$C216,Parameters!$A:$A,0))*$X216</f>
        <v>0</v>
      </c>
      <c r="Z216" s="198">
        <f>-INDEX(Parameters!$B:$B,MATCH(Z$3&amp;$C216,Parameters!$A:$A,0))*$X216</f>
        <v>0</v>
      </c>
      <c r="AA216" s="139">
        <f t="shared" si="117"/>
        <v>1000</v>
      </c>
      <c r="AB216" s="205">
        <f>AA216/INDEX(Parameters!$B:$B,MATCH("AfschrijftermijnVVE"&amp;12*$C216,Parameters!$A:$A,0))</f>
        <v>27.777777777777779</v>
      </c>
      <c r="AC216" s="204">
        <f>INDEX('Tarieven ZM'!$G:$G,$W216)</f>
        <v>1000</v>
      </c>
      <c r="AD216" s="198">
        <f>-INDEX(Parameters!$B:$B,MATCH(AD$3&amp;$C216,Parameters!$A:$A,0))*$AC216</f>
        <v>0</v>
      </c>
      <c r="AE216" s="198">
        <f>-INDEX(Parameters!$B:$B,MATCH(AE$3,Parameters!$A:$A,0))*$AC216</f>
        <v>0</v>
      </c>
      <c r="AF216" s="139">
        <f t="shared" si="118"/>
        <v>1000</v>
      </c>
      <c r="AG216" s="522">
        <f t="shared" si="119"/>
        <v>1027.7777777777778</v>
      </c>
      <c r="AH216" s="175"/>
      <c r="AI216" s="523">
        <f>MATCH($U216,'Tarieven W&amp;O'!$B:$B,0)</f>
        <v>60</v>
      </c>
      <c r="AJ216" s="204">
        <f>IF(AI216&lt;&gt;"nvt",INDEX('Tarieven W&amp;O'!$H:$H,$AI216),0)</f>
        <v>0</v>
      </c>
      <c r="AK216" s="204">
        <f>IF(AI216&lt;&gt;"nvt",INDEX('Tarieven W&amp;O'!$I:$I,$AI216),0)</f>
        <v>25</v>
      </c>
      <c r="AL216" s="524">
        <f>IF(AI216&lt;&gt;"nvt",-INDEX(Parameters!$B:$B,MATCH(AL$3,Parameters!$A:$A,0))*(AJ216+AK216),0)</f>
        <v>0</v>
      </c>
      <c r="AM216" s="525"/>
      <c r="AN216" s="139">
        <f t="shared" si="120"/>
        <v>25</v>
      </c>
      <c r="AO216" s="205">
        <f>AN216/INDEX(Parameters!$B:$B,MATCH("AfschrijftermijnVVE"&amp;12*$C216,Parameters!$A:$A,0))</f>
        <v>0.69444444444444442</v>
      </c>
      <c r="AP216" s="139">
        <f t="shared" si="121"/>
        <v>60</v>
      </c>
      <c r="AQ216" s="526">
        <f>IF(AP216&lt;&gt;"nvt",INDEX('Tarieven W&amp;O'!$G:$G,$AP216),0)</f>
        <v>42.94</v>
      </c>
      <c r="AR216" s="251">
        <f>IF($S216,INDEX('Tarieven W&amp;O'!$G:$G,MATCH(N216&amp;R216,'Tarieven W&amp;O'!$B:$B,0)),0)</f>
        <v>0</v>
      </c>
      <c r="AS216" s="205">
        <f>-INDEX(Parameters!$B:$B,MATCH(AS$3,Parameters!$A:$A,0))*(AQ216+AR216)</f>
        <v>0</v>
      </c>
      <c r="AT216" s="205">
        <f>INDEX(hulpblad!$E:$E,MATCH(M216&amp;Q216,hulpblad!$B:$B,0))</f>
        <v>2</v>
      </c>
      <c r="AU216" s="150">
        <f t="shared" si="101"/>
        <v>44.94</v>
      </c>
      <c r="AV216" s="150">
        <f t="shared" si="102"/>
        <v>45.634444444444441</v>
      </c>
      <c r="AX216" s="526">
        <f>Parameters!$B$6*AV216</f>
        <v>0.45634444444444444</v>
      </c>
      <c r="AY216" s="150">
        <v>0</v>
      </c>
      <c r="AZ216" s="150"/>
      <c r="BA216" s="150">
        <f t="shared" si="122"/>
        <v>0.45634444444444444</v>
      </c>
      <c r="BB216" s="150"/>
      <c r="BC216" s="522">
        <f t="shared" si="123"/>
        <v>46.090788888888888</v>
      </c>
      <c r="BD216" s="175"/>
      <c r="BE216" s="527">
        <f t="shared" si="103"/>
        <v>981.68698888888889</v>
      </c>
      <c r="BF216" s="181">
        <f t="shared" si="104"/>
        <v>0.9551549081081081</v>
      </c>
      <c r="BG216" s="520" t="b">
        <f t="shared" si="116"/>
        <v>0</v>
      </c>
      <c r="BI216" s="528" t="s">
        <v>2181</v>
      </c>
      <c r="BL216" s="151" t="str">
        <f t="shared" si="106"/>
        <v>EoKMetro - Nationaal</v>
      </c>
      <c r="BM216" s="529">
        <v>0</v>
      </c>
      <c r="BN216" s="180">
        <f>BM216/INDEX(Parameters!$B:$B,MATCH("AfschrijftermijnVVE"&amp;12*$C216,Parameters!$A:$A,0))</f>
        <v>0</v>
      </c>
      <c r="BO216" s="184">
        <f>INDEX('inkoop ULL tbv EVPN'!I:I,MATCH(BL216,'inkoop ULL tbv EVPN'!H:H,0))</f>
        <v>2</v>
      </c>
      <c r="BP216" s="184">
        <f t="shared" si="107"/>
        <v>2</v>
      </c>
      <c r="BR216" s="180">
        <f>Parameters!$B$12*AG216</f>
        <v>102.77777777777779</v>
      </c>
      <c r="BS216" s="180">
        <f>SUM(Distributievergoedingen!$F$12,Distributievergoedingen!$I$12,Distributievergoedingen!$L$12,Distributievergoedingen!$O$12)*AF216+SUM(Distributievergoedingen!$O$12*AA216+Distributievergoedingen!$R$12+Distributievergoedingen!$U$12+Distributievergoedingen!$X$12)/(MAX(36,12*C216))</f>
        <v>112.77777777777777</v>
      </c>
      <c r="BT216" s="150"/>
      <c r="BU216" s="150">
        <f t="shared" si="108"/>
        <v>215.55555555555554</v>
      </c>
      <c r="BW216" s="522">
        <f t="shared" si="109"/>
        <v>217.55555555555554</v>
      </c>
      <c r="BY216" s="527">
        <f t="shared" si="110"/>
        <v>810.22222222222229</v>
      </c>
      <c r="BZ216" s="181">
        <f t="shared" si="111"/>
        <v>0.78832432432432431</v>
      </c>
      <c r="CA216" s="520" t="b">
        <f t="shared" si="112"/>
        <v>0</v>
      </c>
    </row>
    <row r="217" spans="1:79" s="151" customFormat="1">
      <c r="A217" s="151" t="str">
        <f t="shared" si="105"/>
        <v>2EoKPremiumNationaal5</v>
      </c>
      <c r="B217" s="520" t="str">
        <f t="shared" si="113"/>
        <v>2EoKPremiumNationaal5</v>
      </c>
      <c r="C217" s="179">
        <v>2</v>
      </c>
      <c r="D217" s="179" t="s">
        <v>303</v>
      </c>
      <c r="E217" s="178" t="s">
        <v>267</v>
      </c>
      <c r="F217" s="178" t="s">
        <v>266</v>
      </c>
      <c r="G217" s="185" t="s">
        <v>409</v>
      </c>
      <c r="J217" s="520" t="str">
        <f t="shared" si="114"/>
        <v>PremiumNationaal5</v>
      </c>
      <c r="L217" s="204">
        <f>INDEX(Mapping!$H:$H,MATCH(C$3&amp;C217,Mapping!$B:$B,0))</f>
        <v>1</v>
      </c>
      <c r="M217" s="204" t="str">
        <f>INDEX(Mapping!$H:$H,MATCH(D$3&amp;$D217,Mapping!$B:$B,0))</f>
        <v>EoK</v>
      </c>
      <c r="N217" s="204" t="str">
        <f>INDEX(Mapping!$H:$H,MATCH(E$3&amp;E217,Mapping!$B:$B,0))</f>
        <v>Premium</v>
      </c>
      <c r="O217" s="204" t="str">
        <f>INDEX(Mapping!$H:$H,MATCH(F$3&amp;F217,Mapping!$B:$B,0))</f>
        <v>Metro</v>
      </c>
      <c r="P217" s="204">
        <f>INDEX(Mapping!$H:$H,MATCH(G$3&amp;G217,Mapping!$B:$B,0))</f>
        <v>5</v>
      </c>
      <c r="Q217" s="204" t="str">
        <f>INDEX(Mapping!$H:$H,MATCH(Q$3&amp;$F217,Mapping!$B:$B,0))</f>
        <v>Metro - Nationaal</v>
      </c>
      <c r="R217" s="204" t="str">
        <f>INDEX(Mapping!$H:$H,MATCH("ZM VPN Service Level"&amp;E217,Mapping!$B:$B,0))</f>
        <v>Advanced</v>
      </c>
      <c r="S217" s="139" t="b">
        <f>IF($D217="EoK",INDEX(Mapping!$I:$I,MATCH($G$3&amp;$G217,Mapping!B:B,0)),FALSE)</f>
        <v>0</v>
      </c>
      <c r="T217" s="139"/>
      <c r="U217" s="520" t="str">
        <f t="shared" si="115"/>
        <v>PremiumMetro5</v>
      </c>
      <c r="W217" s="521">
        <f>MATCH($J217,'Tarieven ZM'!$B:$B,0)</f>
        <v>107</v>
      </c>
      <c r="X217" s="204">
        <f>INDEX('Tarieven ZM'!$H:$H,$W217)</f>
        <v>1000</v>
      </c>
      <c r="Y217" s="198">
        <f>-INDEX(Parameters!$B:$B,MATCH(Y$3&amp;$C217,Parameters!$A:$A,0))*$X217</f>
        <v>0</v>
      </c>
      <c r="Z217" s="198">
        <f>-INDEX(Parameters!$B:$B,MATCH(Z$3&amp;$C217,Parameters!$A:$A,0))*$X217</f>
        <v>0</v>
      </c>
      <c r="AA217" s="139">
        <f t="shared" si="117"/>
        <v>1000</v>
      </c>
      <c r="AB217" s="205">
        <f>AA217/INDEX(Parameters!$B:$B,MATCH("AfschrijftermijnVVE"&amp;12*$C217,Parameters!$A:$A,0))</f>
        <v>27.777777777777779</v>
      </c>
      <c r="AC217" s="204">
        <f>INDEX('Tarieven ZM'!$G:$G,$W217)</f>
        <v>1000</v>
      </c>
      <c r="AD217" s="198">
        <f>-INDEX(Parameters!$B:$B,MATCH(AD$3&amp;$C217,Parameters!$A:$A,0))*$AC217</f>
        <v>0</v>
      </c>
      <c r="AE217" s="198">
        <f>-INDEX(Parameters!$B:$B,MATCH(AE$3,Parameters!$A:$A,0))*$AC217</f>
        <v>0</v>
      </c>
      <c r="AF217" s="139">
        <f t="shared" si="118"/>
        <v>1000</v>
      </c>
      <c r="AG217" s="522">
        <f t="shared" si="119"/>
        <v>1027.7777777777778</v>
      </c>
      <c r="AH217" s="175"/>
      <c r="AI217" s="523">
        <f>MATCH($U217,'Tarieven W&amp;O'!$B:$B,0)</f>
        <v>61</v>
      </c>
      <c r="AJ217" s="204">
        <f>IF(AI217&lt;&gt;"nvt",INDEX('Tarieven W&amp;O'!$H:$H,$AI217),0)</f>
        <v>0</v>
      </c>
      <c r="AK217" s="204">
        <f>IF(AI217&lt;&gt;"nvt",INDEX('Tarieven W&amp;O'!$I:$I,$AI217),0)</f>
        <v>25</v>
      </c>
      <c r="AL217" s="524">
        <f>IF(AI217&lt;&gt;"nvt",-INDEX(Parameters!$B:$B,MATCH(AL$3,Parameters!$A:$A,0))*(AJ217+AK217),0)</f>
        <v>0</v>
      </c>
      <c r="AM217" s="525"/>
      <c r="AN217" s="139">
        <f t="shared" si="120"/>
        <v>25</v>
      </c>
      <c r="AO217" s="205">
        <f>AN217/INDEX(Parameters!$B:$B,MATCH("AfschrijftermijnVVE"&amp;12*$C217,Parameters!$A:$A,0))</f>
        <v>0.69444444444444442</v>
      </c>
      <c r="AP217" s="139">
        <f t="shared" si="121"/>
        <v>61</v>
      </c>
      <c r="AQ217" s="526">
        <f>IF(AP217&lt;&gt;"nvt",INDEX('Tarieven W&amp;O'!$G:$G,$AP217),0)</f>
        <v>46.71</v>
      </c>
      <c r="AR217" s="251">
        <f>IF($S217,INDEX('Tarieven W&amp;O'!$G:$G,MATCH(N217&amp;R217,'Tarieven W&amp;O'!$B:$B,0)),0)</f>
        <v>0</v>
      </c>
      <c r="AS217" s="205">
        <f>-INDEX(Parameters!$B:$B,MATCH(AS$3,Parameters!$A:$A,0))*(AQ217+AR217)</f>
        <v>0</v>
      </c>
      <c r="AT217" s="205">
        <f>INDEX(hulpblad!$E:$E,MATCH(M217&amp;Q217,hulpblad!$B:$B,0))</f>
        <v>2</v>
      </c>
      <c r="AU217" s="150">
        <f t="shared" si="101"/>
        <v>48.71</v>
      </c>
      <c r="AV217" s="150">
        <f t="shared" si="102"/>
        <v>49.404444444444444</v>
      </c>
      <c r="AX217" s="526">
        <f>Parameters!$B$6*AV217</f>
        <v>0.49404444444444445</v>
      </c>
      <c r="AY217" s="150">
        <v>0</v>
      </c>
      <c r="AZ217" s="150"/>
      <c r="BA217" s="150">
        <f t="shared" si="122"/>
        <v>0.49404444444444445</v>
      </c>
      <c r="BB217" s="150"/>
      <c r="BC217" s="522">
        <f t="shared" si="123"/>
        <v>49.898488888888885</v>
      </c>
      <c r="BD217" s="175"/>
      <c r="BE217" s="527">
        <f t="shared" si="103"/>
        <v>977.87928888888894</v>
      </c>
      <c r="BF217" s="181">
        <f t="shared" si="104"/>
        <v>0.95145011891891895</v>
      </c>
      <c r="BG217" s="520" t="b">
        <f t="shared" si="116"/>
        <v>0</v>
      </c>
      <c r="BI217" s="528" t="s">
        <v>2181</v>
      </c>
      <c r="BL217" s="151" t="str">
        <f t="shared" si="106"/>
        <v>EoKMetro - Nationaal</v>
      </c>
      <c r="BM217" s="529">
        <v>0</v>
      </c>
      <c r="BN217" s="180">
        <f>BM217/INDEX(Parameters!$B:$B,MATCH("AfschrijftermijnVVE"&amp;12*$C217,Parameters!$A:$A,0))</f>
        <v>0</v>
      </c>
      <c r="BO217" s="184">
        <f>INDEX('inkoop ULL tbv EVPN'!I:I,MATCH(BL217,'inkoop ULL tbv EVPN'!H:H,0))</f>
        <v>2</v>
      </c>
      <c r="BP217" s="184">
        <f t="shared" si="107"/>
        <v>2</v>
      </c>
      <c r="BR217" s="180">
        <f>Parameters!$B$12*AG217</f>
        <v>102.77777777777779</v>
      </c>
      <c r="BS217" s="180">
        <f>SUM(Distributievergoedingen!$F$12,Distributievergoedingen!$I$12,Distributievergoedingen!$L$12,Distributievergoedingen!$O$12)*AF217+SUM(Distributievergoedingen!$O$12*AA217+Distributievergoedingen!$R$12+Distributievergoedingen!$U$12+Distributievergoedingen!$X$12)/(MAX(36,12*C217))</f>
        <v>112.77777777777777</v>
      </c>
      <c r="BT217" s="150"/>
      <c r="BU217" s="150">
        <f t="shared" si="108"/>
        <v>215.55555555555554</v>
      </c>
      <c r="BW217" s="522">
        <f t="shared" si="109"/>
        <v>217.55555555555554</v>
      </c>
      <c r="BY217" s="527">
        <f t="shared" si="110"/>
        <v>810.22222222222229</v>
      </c>
      <c r="BZ217" s="181">
        <f t="shared" si="111"/>
        <v>0.78832432432432431</v>
      </c>
      <c r="CA217" s="520" t="b">
        <f t="shared" si="112"/>
        <v>0</v>
      </c>
    </row>
    <row r="218" spans="1:79" s="151" customFormat="1">
      <c r="A218" s="151" t="str">
        <f t="shared" si="105"/>
        <v>2EoKPremiumNationaal6</v>
      </c>
      <c r="B218" s="520" t="str">
        <f t="shared" si="113"/>
        <v>2EoKPremiumNationaal6</v>
      </c>
      <c r="C218" s="179">
        <v>2</v>
      </c>
      <c r="D218" s="179" t="s">
        <v>303</v>
      </c>
      <c r="E218" s="178" t="s">
        <v>267</v>
      </c>
      <c r="F218" s="178" t="s">
        <v>266</v>
      </c>
      <c r="G218" s="185" t="s">
        <v>410</v>
      </c>
      <c r="J218" s="520" t="str">
        <f t="shared" si="114"/>
        <v>PremiumNationaal6</v>
      </c>
      <c r="L218" s="204">
        <f>INDEX(Mapping!$H:$H,MATCH(C$3&amp;C218,Mapping!$B:$B,0))</f>
        <v>1</v>
      </c>
      <c r="M218" s="204" t="str">
        <f>INDEX(Mapping!$H:$H,MATCH(D$3&amp;$D218,Mapping!$B:$B,0))</f>
        <v>EoK</v>
      </c>
      <c r="N218" s="204" t="str">
        <f>INDEX(Mapping!$H:$H,MATCH(E$3&amp;E218,Mapping!$B:$B,0))</f>
        <v>Premium</v>
      </c>
      <c r="O218" s="204" t="str">
        <f>INDEX(Mapping!$H:$H,MATCH(F$3&amp;F218,Mapping!$B:$B,0))</f>
        <v>Metro</v>
      </c>
      <c r="P218" s="204">
        <f>INDEX(Mapping!$H:$H,MATCH(G$3&amp;G218,Mapping!$B:$B,0))</f>
        <v>6</v>
      </c>
      <c r="Q218" s="204" t="str">
        <f>INDEX(Mapping!$H:$H,MATCH(Q$3&amp;$F218,Mapping!$B:$B,0))</f>
        <v>Metro - Nationaal</v>
      </c>
      <c r="R218" s="204" t="str">
        <f>INDEX(Mapping!$H:$H,MATCH("ZM VPN Service Level"&amp;E218,Mapping!$B:$B,0))</f>
        <v>Advanced</v>
      </c>
      <c r="S218" s="139" t="b">
        <f>IF($D218="EoK",INDEX(Mapping!$I:$I,MATCH($G$3&amp;$G218,Mapping!B:B,0)),FALSE)</f>
        <v>0</v>
      </c>
      <c r="T218" s="139"/>
      <c r="U218" s="520" t="str">
        <f t="shared" si="115"/>
        <v>PremiumMetro6</v>
      </c>
      <c r="W218" s="521">
        <f>MATCH($J218,'Tarieven ZM'!$B:$B,0)</f>
        <v>108</v>
      </c>
      <c r="X218" s="204">
        <f>INDEX('Tarieven ZM'!$H:$H,$W218)</f>
        <v>1000</v>
      </c>
      <c r="Y218" s="198">
        <f>-INDEX(Parameters!$B:$B,MATCH(Y$3&amp;$C218,Parameters!$A:$A,0))*$X218</f>
        <v>0</v>
      </c>
      <c r="Z218" s="198">
        <f>-INDEX(Parameters!$B:$B,MATCH(Z$3&amp;$C218,Parameters!$A:$A,0))*$X218</f>
        <v>0</v>
      </c>
      <c r="AA218" s="139">
        <f t="shared" si="117"/>
        <v>1000</v>
      </c>
      <c r="AB218" s="205">
        <f>AA218/INDEX(Parameters!$B:$B,MATCH("AfschrijftermijnVVE"&amp;12*$C218,Parameters!$A:$A,0))</f>
        <v>27.777777777777779</v>
      </c>
      <c r="AC218" s="204">
        <f>INDEX('Tarieven ZM'!$G:$G,$W218)</f>
        <v>1000</v>
      </c>
      <c r="AD218" s="198">
        <f>-INDEX(Parameters!$B:$B,MATCH(AD$3&amp;$C218,Parameters!$A:$A,0))*$AC218</f>
        <v>0</v>
      </c>
      <c r="AE218" s="198">
        <f>-INDEX(Parameters!$B:$B,MATCH(AE$3,Parameters!$A:$A,0))*$AC218</f>
        <v>0</v>
      </c>
      <c r="AF218" s="139">
        <f t="shared" si="118"/>
        <v>1000</v>
      </c>
      <c r="AG218" s="522">
        <f t="shared" si="119"/>
        <v>1027.7777777777778</v>
      </c>
      <c r="AH218" s="175"/>
      <c r="AI218" s="523">
        <f>MATCH($U218,'Tarieven W&amp;O'!$B:$B,0)</f>
        <v>62</v>
      </c>
      <c r="AJ218" s="204">
        <f>IF(AI218&lt;&gt;"nvt",INDEX('Tarieven W&amp;O'!$H:$H,$AI218),0)</f>
        <v>0</v>
      </c>
      <c r="AK218" s="204">
        <f>IF(AI218&lt;&gt;"nvt",INDEX('Tarieven W&amp;O'!$I:$I,$AI218),0)</f>
        <v>25</v>
      </c>
      <c r="AL218" s="524">
        <f>IF(AI218&lt;&gt;"nvt",-INDEX(Parameters!$B:$B,MATCH(AL$3,Parameters!$A:$A,0))*(AJ218+AK218),0)</f>
        <v>0</v>
      </c>
      <c r="AM218" s="525"/>
      <c r="AN218" s="139">
        <f t="shared" si="120"/>
        <v>25</v>
      </c>
      <c r="AO218" s="205">
        <f>AN218/INDEX(Parameters!$B:$B,MATCH("AfschrijftermijnVVE"&amp;12*$C218,Parameters!$A:$A,0))</f>
        <v>0.69444444444444442</v>
      </c>
      <c r="AP218" s="139">
        <f t="shared" si="121"/>
        <v>62</v>
      </c>
      <c r="AQ218" s="526">
        <f>IF(AP218&lt;&gt;"nvt",INDEX('Tarieven W&amp;O'!$G:$G,$AP218),0)</f>
        <v>50.48</v>
      </c>
      <c r="AR218" s="251">
        <f>IF($S218,INDEX('Tarieven W&amp;O'!$G:$G,MATCH(N218&amp;R218,'Tarieven W&amp;O'!$B:$B,0)),0)</f>
        <v>0</v>
      </c>
      <c r="AS218" s="205">
        <f>-INDEX(Parameters!$B:$B,MATCH(AS$3,Parameters!$A:$A,0))*(AQ218+AR218)</f>
        <v>0</v>
      </c>
      <c r="AT218" s="205">
        <f>INDEX(hulpblad!$E:$E,MATCH(M218&amp;Q218,hulpblad!$B:$B,0))</f>
        <v>2</v>
      </c>
      <c r="AU218" s="150">
        <f t="shared" si="101"/>
        <v>52.48</v>
      </c>
      <c r="AV218" s="150">
        <f t="shared" si="102"/>
        <v>53.17444444444444</v>
      </c>
      <c r="AX218" s="526">
        <f>Parameters!$B$6*AV218</f>
        <v>0.53174444444444435</v>
      </c>
      <c r="AY218" s="150">
        <v>0</v>
      </c>
      <c r="AZ218" s="150"/>
      <c r="BA218" s="150">
        <f t="shared" si="122"/>
        <v>0.53174444444444435</v>
      </c>
      <c r="BB218" s="150"/>
      <c r="BC218" s="522">
        <f t="shared" si="123"/>
        <v>53.706188888888882</v>
      </c>
      <c r="BD218" s="175"/>
      <c r="BE218" s="527">
        <f t="shared" si="103"/>
        <v>974.07158888888898</v>
      </c>
      <c r="BF218" s="181">
        <f t="shared" si="104"/>
        <v>0.9477453297297298</v>
      </c>
      <c r="BG218" s="520" t="b">
        <f t="shared" si="116"/>
        <v>0</v>
      </c>
      <c r="BI218" s="528" t="s">
        <v>2181</v>
      </c>
      <c r="BL218" s="151" t="str">
        <f t="shared" si="106"/>
        <v>EoKMetro - Nationaal</v>
      </c>
      <c r="BM218" s="529">
        <v>0</v>
      </c>
      <c r="BN218" s="180">
        <f>BM218/INDEX(Parameters!$B:$B,MATCH("AfschrijftermijnVVE"&amp;12*$C218,Parameters!$A:$A,0))</f>
        <v>0</v>
      </c>
      <c r="BO218" s="184">
        <f>INDEX('inkoop ULL tbv EVPN'!I:I,MATCH(BL218,'inkoop ULL tbv EVPN'!H:H,0))</f>
        <v>2</v>
      </c>
      <c r="BP218" s="184">
        <f t="shared" si="107"/>
        <v>2</v>
      </c>
      <c r="BR218" s="180">
        <f>Parameters!$B$12*AG218</f>
        <v>102.77777777777779</v>
      </c>
      <c r="BS218" s="180">
        <f>SUM(Distributievergoedingen!$F$12,Distributievergoedingen!$I$12,Distributievergoedingen!$L$12,Distributievergoedingen!$O$12)*AF218+SUM(Distributievergoedingen!$O$12*AA218+Distributievergoedingen!$R$12+Distributievergoedingen!$U$12+Distributievergoedingen!$X$12)/(MAX(36,12*C218))</f>
        <v>112.77777777777777</v>
      </c>
      <c r="BT218" s="150"/>
      <c r="BU218" s="150">
        <f t="shared" si="108"/>
        <v>215.55555555555554</v>
      </c>
      <c r="BW218" s="522">
        <f t="shared" si="109"/>
        <v>217.55555555555554</v>
      </c>
      <c r="BY218" s="527">
        <f t="shared" si="110"/>
        <v>810.22222222222229</v>
      </c>
      <c r="BZ218" s="181">
        <f t="shared" si="111"/>
        <v>0.78832432432432431</v>
      </c>
      <c r="CA218" s="520" t="b">
        <f t="shared" si="112"/>
        <v>0</v>
      </c>
    </row>
    <row r="219" spans="1:79" s="151" customFormat="1">
      <c r="A219" s="151" t="str">
        <f t="shared" si="105"/>
        <v>2EoKPremiumNationaal8</v>
      </c>
      <c r="B219" s="520" t="str">
        <f t="shared" si="113"/>
        <v>2EoKPremiumNationaal8</v>
      </c>
      <c r="C219" s="179">
        <v>2</v>
      </c>
      <c r="D219" s="179" t="s">
        <v>303</v>
      </c>
      <c r="E219" s="178" t="s">
        <v>267</v>
      </c>
      <c r="F219" s="178" t="s">
        <v>266</v>
      </c>
      <c r="G219" s="185" t="s">
        <v>411</v>
      </c>
      <c r="J219" s="520" t="str">
        <f t="shared" si="114"/>
        <v>PremiumNationaal8</v>
      </c>
      <c r="L219" s="204">
        <f>INDEX(Mapping!$H:$H,MATCH(C$3&amp;C219,Mapping!$B:$B,0))</f>
        <v>1</v>
      </c>
      <c r="M219" s="204" t="str">
        <f>INDEX(Mapping!$H:$H,MATCH(D$3&amp;$D219,Mapping!$B:$B,0))</f>
        <v>EoK</v>
      </c>
      <c r="N219" s="204" t="str">
        <f>INDEX(Mapping!$H:$H,MATCH(E$3&amp;E219,Mapping!$B:$B,0))</f>
        <v>Premium</v>
      </c>
      <c r="O219" s="204" t="str">
        <f>INDEX(Mapping!$H:$H,MATCH(F$3&amp;F219,Mapping!$B:$B,0))</f>
        <v>Metro</v>
      </c>
      <c r="P219" s="204">
        <f>INDEX(Mapping!$H:$H,MATCH(G$3&amp;G219,Mapping!$B:$B,0))</f>
        <v>8</v>
      </c>
      <c r="Q219" s="204" t="str">
        <f>INDEX(Mapping!$H:$H,MATCH(Q$3&amp;$F219,Mapping!$B:$B,0))</f>
        <v>Metro - Nationaal</v>
      </c>
      <c r="R219" s="204" t="str">
        <f>INDEX(Mapping!$H:$H,MATCH("ZM VPN Service Level"&amp;E219,Mapping!$B:$B,0))</f>
        <v>Advanced</v>
      </c>
      <c r="S219" s="139" t="b">
        <f>IF($D219="EoK",INDEX(Mapping!$I:$I,MATCH($G$3&amp;$G219,Mapping!B:B,0)),FALSE)</f>
        <v>0</v>
      </c>
      <c r="T219" s="139"/>
      <c r="U219" s="520" t="str">
        <f t="shared" si="115"/>
        <v>PremiumMetro8</v>
      </c>
      <c r="W219" s="521">
        <f>MATCH($J219,'Tarieven ZM'!$B:$B,0)</f>
        <v>109</v>
      </c>
      <c r="X219" s="204">
        <f>INDEX('Tarieven ZM'!$H:$H,$W219)</f>
        <v>1000</v>
      </c>
      <c r="Y219" s="198">
        <f>-INDEX(Parameters!$B:$B,MATCH(Y$3&amp;$C219,Parameters!$A:$A,0))*$X219</f>
        <v>0</v>
      </c>
      <c r="Z219" s="198">
        <f>-INDEX(Parameters!$B:$B,MATCH(Z$3&amp;$C219,Parameters!$A:$A,0))*$X219</f>
        <v>0</v>
      </c>
      <c r="AA219" s="139">
        <f t="shared" si="117"/>
        <v>1000</v>
      </c>
      <c r="AB219" s="205">
        <f>AA219/INDEX(Parameters!$B:$B,MATCH("AfschrijftermijnVVE"&amp;12*$C219,Parameters!$A:$A,0))</f>
        <v>27.777777777777779</v>
      </c>
      <c r="AC219" s="204">
        <f>INDEX('Tarieven ZM'!$G:$G,$W219)</f>
        <v>1000</v>
      </c>
      <c r="AD219" s="198">
        <f>-INDEX(Parameters!$B:$B,MATCH(AD$3&amp;$C219,Parameters!$A:$A,0))*$AC219</f>
        <v>0</v>
      </c>
      <c r="AE219" s="198">
        <f>-INDEX(Parameters!$B:$B,MATCH(AE$3,Parameters!$A:$A,0))*$AC219</f>
        <v>0</v>
      </c>
      <c r="AF219" s="139">
        <f t="shared" si="118"/>
        <v>1000</v>
      </c>
      <c r="AG219" s="522">
        <f t="shared" si="119"/>
        <v>1027.7777777777778</v>
      </c>
      <c r="AH219" s="175"/>
      <c r="AI219" s="523">
        <f>MATCH($U219,'Tarieven W&amp;O'!$B:$B,0)</f>
        <v>63</v>
      </c>
      <c r="AJ219" s="204">
        <f>IF(AI219&lt;&gt;"nvt",INDEX('Tarieven W&amp;O'!$H:$H,$AI219),0)</f>
        <v>0</v>
      </c>
      <c r="AK219" s="204">
        <f>IF(AI219&lt;&gt;"nvt",INDEX('Tarieven W&amp;O'!$I:$I,$AI219),0)</f>
        <v>25</v>
      </c>
      <c r="AL219" s="524">
        <f>IF(AI219&lt;&gt;"nvt",-INDEX(Parameters!$B:$B,MATCH(AL$3,Parameters!$A:$A,0))*(AJ219+AK219),0)</f>
        <v>0</v>
      </c>
      <c r="AM219" s="525"/>
      <c r="AN219" s="139">
        <f t="shared" si="120"/>
        <v>25</v>
      </c>
      <c r="AO219" s="205">
        <f>AN219/INDEX(Parameters!$B:$B,MATCH("AfschrijftermijnVVE"&amp;12*$C219,Parameters!$A:$A,0))</f>
        <v>0.69444444444444442</v>
      </c>
      <c r="AP219" s="139">
        <f t="shared" si="121"/>
        <v>63</v>
      </c>
      <c r="AQ219" s="526">
        <f>IF(AP219&lt;&gt;"nvt",INDEX('Tarieven W&amp;O'!$G:$G,$AP219),0)</f>
        <v>54.24</v>
      </c>
      <c r="AR219" s="251">
        <f>IF($S219,INDEX('Tarieven W&amp;O'!$G:$G,MATCH(N219&amp;R219,'Tarieven W&amp;O'!$B:$B,0)),0)</f>
        <v>0</v>
      </c>
      <c r="AS219" s="205">
        <f>-INDEX(Parameters!$B:$B,MATCH(AS$3,Parameters!$A:$A,0))*(AQ219+AR219)</f>
        <v>0</v>
      </c>
      <c r="AT219" s="205">
        <f>INDEX(hulpblad!$E:$E,MATCH(M219&amp;Q219,hulpblad!$B:$B,0))</f>
        <v>2</v>
      </c>
      <c r="AU219" s="150">
        <f t="shared" si="101"/>
        <v>56.24</v>
      </c>
      <c r="AV219" s="150">
        <f t="shared" si="102"/>
        <v>56.934444444444445</v>
      </c>
      <c r="AX219" s="526">
        <f>Parameters!$B$6*AV219</f>
        <v>0.56934444444444443</v>
      </c>
      <c r="AY219" s="150">
        <v>0</v>
      </c>
      <c r="AZ219" s="150"/>
      <c r="BA219" s="150">
        <f t="shared" si="122"/>
        <v>0.56934444444444443</v>
      </c>
      <c r="BB219" s="150"/>
      <c r="BC219" s="522">
        <f t="shared" si="123"/>
        <v>57.503788888888892</v>
      </c>
      <c r="BD219" s="175"/>
      <c r="BE219" s="527">
        <f t="shared" si="103"/>
        <v>970.27398888888888</v>
      </c>
      <c r="BF219" s="181">
        <f t="shared" si="104"/>
        <v>0.94405036756756755</v>
      </c>
      <c r="BG219" s="520" t="b">
        <f t="shared" si="116"/>
        <v>0</v>
      </c>
      <c r="BI219" s="528" t="s">
        <v>2181</v>
      </c>
      <c r="BL219" s="151" t="str">
        <f t="shared" si="106"/>
        <v>EoKMetro - Nationaal</v>
      </c>
      <c r="BM219" s="529">
        <v>0</v>
      </c>
      <c r="BN219" s="180">
        <f>BM219/INDEX(Parameters!$B:$B,MATCH("AfschrijftermijnVVE"&amp;12*$C219,Parameters!$A:$A,0))</f>
        <v>0</v>
      </c>
      <c r="BO219" s="184">
        <f>INDEX('inkoop ULL tbv EVPN'!I:I,MATCH(BL219,'inkoop ULL tbv EVPN'!H:H,0))</f>
        <v>2</v>
      </c>
      <c r="BP219" s="184">
        <f t="shared" si="107"/>
        <v>2</v>
      </c>
      <c r="BR219" s="180">
        <f>Parameters!$B$12*AG219</f>
        <v>102.77777777777779</v>
      </c>
      <c r="BS219" s="180">
        <f>SUM(Distributievergoedingen!$F$12,Distributievergoedingen!$I$12,Distributievergoedingen!$L$12,Distributievergoedingen!$O$12)*AF219+SUM(Distributievergoedingen!$O$12*AA219+Distributievergoedingen!$R$12+Distributievergoedingen!$U$12+Distributievergoedingen!$X$12)/(MAX(36,12*C219))</f>
        <v>112.77777777777777</v>
      </c>
      <c r="BT219" s="150"/>
      <c r="BU219" s="150">
        <f t="shared" si="108"/>
        <v>215.55555555555554</v>
      </c>
      <c r="BW219" s="522">
        <f t="shared" si="109"/>
        <v>217.55555555555554</v>
      </c>
      <c r="BY219" s="527">
        <f t="shared" si="110"/>
        <v>810.22222222222229</v>
      </c>
      <c r="BZ219" s="181">
        <f t="shared" si="111"/>
        <v>0.78832432432432431</v>
      </c>
      <c r="CA219" s="520" t="b">
        <f t="shared" si="112"/>
        <v>0</v>
      </c>
    </row>
    <row r="220" spans="1:79" s="151" customFormat="1">
      <c r="A220" s="151" t="str">
        <f t="shared" si="105"/>
        <v>2EoKPremiumNationaal10</v>
      </c>
      <c r="B220" s="520" t="str">
        <f t="shared" si="113"/>
        <v>2EoKPremiumNationaal10</v>
      </c>
      <c r="C220" s="179">
        <v>2</v>
      </c>
      <c r="D220" s="179" t="s">
        <v>303</v>
      </c>
      <c r="E220" s="178" t="s">
        <v>267</v>
      </c>
      <c r="F220" s="178" t="s">
        <v>266</v>
      </c>
      <c r="G220" s="185" t="s">
        <v>412</v>
      </c>
      <c r="J220" s="520" t="str">
        <f t="shared" si="114"/>
        <v>PremiumNationaal10</v>
      </c>
      <c r="L220" s="204">
        <f>INDEX(Mapping!$H:$H,MATCH(C$3&amp;C220,Mapping!$B:$B,0))</f>
        <v>1</v>
      </c>
      <c r="M220" s="204" t="str">
        <f>INDEX(Mapping!$H:$H,MATCH(D$3&amp;$D220,Mapping!$B:$B,0))</f>
        <v>EoK</v>
      </c>
      <c r="N220" s="204" t="str">
        <f>INDEX(Mapping!$H:$H,MATCH(E$3&amp;E220,Mapping!$B:$B,0))</f>
        <v>Premium</v>
      </c>
      <c r="O220" s="204" t="str">
        <f>INDEX(Mapping!$H:$H,MATCH(F$3&amp;F220,Mapping!$B:$B,0))</f>
        <v>Metro</v>
      </c>
      <c r="P220" s="204">
        <f>INDEX(Mapping!$H:$H,MATCH(G$3&amp;G220,Mapping!$B:$B,0))</f>
        <v>10</v>
      </c>
      <c r="Q220" s="204" t="str">
        <f>INDEX(Mapping!$H:$H,MATCH(Q$3&amp;$F220,Mapping!$B:$B,0))</f>
        <v>Metro - Nationaal</v>
      </c>
      <c r="R220" s="204" t="str">
        <f>INDEX(Mapping!$H:$H,MATCH("ZM VPN Service Level"&amp;E220,Mapping!$B:$B,0))</f>
        <v>Advanced</v>
      </c>
      <c r="S220" s="139" t="b">
        <f>IF($D220="EoK",INDEX(Mapping!$I:$I,MATCH($G$3&amp;$G220,Mapping!B:B,0)),FALSE)</f>
        <v>0</v>
      </c>
      <c r="T220" s="139"/>
      <c r="U220" s="520" t="str">
        <f t="shared" si="115"/>
        <v>PremiumMetro10</v>
      </c>
      <c r="W220" s="521">
        <f>MATCH($J220,'Tarieven ZM'!$B:$B,0)</f>
        <v>110</v>
      </c>
      <c r="X220" s="204">
        <f>INDEX('Tarieven ZM'!$H:$H,$W220)</f>
        <v>1000</v>
      </c>
      <c r="Y220" s="198">
        <f>-INDEX(Parameters!$B:$B,MATCH(Y$3&amp;$C220,Parameters!$A:$A,0))*$X220</f>
        <v>0</v>
      </c>
      <c r="Z220" s="198">
        <f>-INDEX(Parameters!$B:$B,MATCH(Z$3&amp;$C220,Parameters!$A:$A,0))*$X220</f>
        <v>0</v>
      </c>
      <c r="AA220" s="139">
        <f t="shared" si="117"/>
        <v>1000</v>
      </c>
      <c r="AB220" s="205">
        <f>AA220/INDEX(Parameters!$B:$B,MATCH("AfschrijftermijnVVE"&amp;12*$C220,Parameters!$A:$A,0))</f>
        <v>27.777777777777779</v>
      </c>
      <c r="AC220" s="204">
        <f>INDEX('Tarieven ZM'!$G:$G,$W220)</f>
        <v>1000</v>
      </c>
      <c r="AD220" s="198">
        <f>-INDEX(Parameters!$B:$B,MATCH(AD$3&amp;$C220,Parameters!$A:$A,0))*$AC220</f>
        <v>0</v>
      </c>
      <c r="AE220" s="198">
        <f>-INDEX(Parameters!$B:$B,MATCH(AE$3,Parameters!$A:$A,0))*$AC220</f>
        <v>0</v>
      </c>
      <c r="AF220" s="139">
        <f t="shared" si="118"/>
        <v>1000</v>
      </c>
      <c r="AG220" s="522">
        <f t="shared" si="119"/>
        <v>1027.7777777777778</v>
      </c>
      <c r="AH220" s="175"/>
      <c r="AI220" s="523">
        <f>MATCH($U220,'Tarieven W&amp;O'!$B:$B,0)</f>
        <v>64</v>
      </c>
      <c r="AJ220" s="204">
        <f>IF(AI220&lt;&gt;"nvt",INDEX('Tarieven W&amp;O'!$H:$H,$AI220),0)</f>
        <v>0</v>
      </c>
      <c r="AK220" s="204">
        <f>IF(AI220&lt;&gt;"nvt",INDEX('Tarieven W&amp;O'!$I:$I,$AI220),0)</f>
        <v>25</v>
      </c>
      <c r="AL220" s="524">
        <f>IF(AI220&lt;&gt;"nvt",-INDEX(Parameters!$B:$B,MATCH(AL$3,Parameters!$A:$A,0))*(AJ220+AK220),0)</f>
        <v>0</v>
      </c>
      <c r="AM220" s="525"/>
      <c r="AN220" s="139">
        <f t="shared" si="120"/>
        <v>25</v>
      </c>
      <c r="AO220" s="205">
        <f>AN220/INDEX(Parameters!$B:$B,MATCH("AfschrijftermijnVVE"&amp;12*$C220,Parameters!$A:$A,0))</f>
        <v>0.69444444444444442</v>
      </c>
      <c r="AP220" s="139">
        <f t="shared" si="121"/>
        <v>64</v>
      </c>
      <c r="AQ220" s="526">
        <f>IF(AP220&lt;&gt;"nvt",INDEX('Tarieven W&amp;O'!$G:$G,$AP220),0)</f>
        <v>58.01</v>
      </c>
      <c r="AR220" s="251">
        <f>IF($S220,INDEX('Tarieven W&amp;O'!$G:$G,MATCH(N220&amp;R220,'Tarieven W&amp;O'!$B:$B,0)),0)</f>
        <v>0</v>
      </c>
      <c r="AS220" s="205">
        <f>-INDEX(Parameters!$B:$B,MATCH(AS$3,Parameters!$A:$A,0))*(AQ220+AR220)</f>
        <v>0</v>
      </c>
      <c r="AT220" s="205">
        <f>INDEX(hulpblad!$E:$E,MATCH(M220&amp;Q220,hulpblad!$B:$B,0))</f>
        <v>2</v>
      </c>
      <c r="AU220" s="150">
        <f t="shared" si="101"/>
        <v>60.01</v>
      </c>
      <c r="AV220" s="150">
        <f t="shared" si="102"/>
        <v>60.704444444444441</v>
      </c>
      <c r="AX220" s="526">
        <f>Parameters!$B$6*AV220</f>
        <v>0.60704444444444439</v>
      </c>
      <c r="AY220" s="150">
        <v>0</v>
      </c>
      <c r="AZ220" s="150"/>
      <c r="BA220" s="150">
        <f t="shared" si="122"/>
        <v>0.60704444444444439</v>
      </c>
      <c r="BB220" s="150"/>
      <c r="BC220" s="522">
        <f t="shared" si="123"/>
        <v>61.311488888888888</v>
      </c>
      <c r="BD220" s="175"/>
      <c r="BE220" s="527">
        <f t="shared" si="103"/>
        <v>966.46628888888893</v>
      </c>
      <c r="BF220" s="181">
        <f t="shared" si="104"/>
        <v>0.9403455783783784</v>
      </c>
      <c r="BG220" s="520" t="b">
        <f t="shared" si="116"/>
        <v>0</v>
      </c>
      <c r="BI220" s="528" t="s">
        <v>2181</v>
      </c>
      <c r="BL220" s="151" t="str">
        <f t="shared" si="106"/>
        <v>EoKMetro - Nationaal</v>
      </c>
      <c r="BM220" s="529">
        <v>0</v>
      </c>
      <c r="BN220" s="180">
        <f>BM220/INDEX(Parameters!$B:$B,MATCH("AfschrijftermijnVVE"&amp;12*$C220,Parameters!$A:$A,0))</f>
        <v>0</v>
      </c>
      <c r="BO220" s="184">
        <f>INDEX('inkoop ULL tbv EVPN'!I:I,MATCH(BL220,'inkoop ULL tbv EVPN'!H:H,0))</f>
        <v>2</v>
      </c>
      <c r="BP220" s="184">
        <f t="shared" si="107"/>
        <v>2</v>
      </c>
      <c r="BR220" s="180">
        <f>Parameters!$B$12*AG220</f>
        <v>102.77777777777779</v>
      </c>
      <c r="BS220" s="180">
        <f>SUM(Distributievergoedingen!$F$12,Distributievergoedingen!$I$12,Distributievergoedingen!$L$12,Distributievergoedingen!$O$12)*AF220+SUM(Distributievergoedingen!$O$12*AA220+Distributievergoedingen!$R$12+Distributievergoedingen!$U$12+Distributievergoedingen!$X$12)/(MAX(36,12*C220))</f>
        <v>112.77777777777777</v>
      </c>
      <c r="BT220" s="150"/>
      <c r="BU220" s="150">
        <f t="shared" si="108"/>
        <v>215.55555555555554</v>
      </c>
      <c r="BW220" s="522">
        <f t="shared" si="109"/>
        <v>217.55555555555554</v>
      </c>
      <c r="BY220" s="527">
        <f t="shared" si="110"/>
        <v>810.22222222222229</v>
      </c>
      <c r="BZ220" s="181">
        <f t="shared" si="111"/>
        <v>0.78832432432432431</v>
      </c>
      <c r="CA220" s="520" t="b">
        <f t="shared" si="112"/>
        <v>0</v>
      </c>
    </row>
    <row r="221" spans="1:79" s="151" customFormat="1">
      <c r="A221" s="151" t="str">
        <f t="shared" si="105"/>
        <v>2EoKPremiumNationaal15</v>
      </c>
      <c r="B221" s="520" t="str">
        <f t="shared" si="113"/>
        <v>2EoKPremiumNationaal15</v>
      </c>
      <c r="C221" s="179">
        <v>2</v>
      </c>
      <c r="D221" s="179" t="s">
        <v>303</v>
      </c>
      <c r="E221" s="178" t="s">
        <v>267</v>
      </c>
      <c r="F221" s="178" t="s">
        <v>266</v>
      </c>
      <c r="G221" s="185" t="s">
        <v>413</v>
      </c>
      <c r="J221" s="520" t="str">
        <f t="shared" si="114"/>
        <v>PremiumNationaal15</v>
      </c>
      <c r="L221" s="204">
        <f>INDEX(Mapping!$H:$H,MATCH(C$3&amp;C221,Mapping!$B:$B,0))</f>
        <v>1</v>
      </c>
      <c r="M221" s="204" t="str">
        <f>INDEX(Mapping!$H:$H,MATCH(D$3&amp;$D221,Mapping!$B:$B,0))</f>
        <v>EoK</v>
      </c>
      <c r="N221" s="204" t="str">
        <f>INDEX(Mapping!$H:$H,MATCH(E$3&amp;E221,Mapping!$B:$B,0))</f>
        <v>Premium</v>
      </c>
      <c r="O221" s="204" t="str">
        <f>INDEX(Mapping!$H:$H,MATCH(F$3&amp;F221,Mapping!$B:$B,0))</f>
        <v>Metro</v>
      </c>
      <c r="P221" s="204">
        <f>INDEX(Mapping!$H:$H,MATCH(G$3&amp;G221,Mapping!$B:$B,0))</f>
        <v>15</v>
      </c>
      <c r="Q221" s="204" t="str">
        <f>INDEX(Mapping!$H:$H,MATCH(Q$3&amp;$F221,Mapping!$B:$B,0))</f>
        <v>Metro - Nationaal</v>
      </c>
      <c r="R221" s="204" t="str">
        <f>INDEX(Mapping!$H:$H,MATCH("ZM VPN Service Level"&amp;E221,Mapping!$B:$B,0))</f>
        <v>Advanced</v>
      </c>
      <c r="S221" s="139" t="b">
        <f>IF($D221="EoK",INDEX(Mapping!$I:$I,MATCH($G$3&amp;$G221,Mapping!B:B,0)),FALSE)</f>
        <v>0</v>
      </c>
      <c r="T221" s="139"/>
      <c r="U221" s="520" t="str">
        <f t="shared" si="115"/>
        <v>PremiumMetro15</v>
      </c>
      <c r="W221" s="521">
        <f>MATCH($J221,'Tarieven ZM'!$B:$B,0)</f>
        <v>111</v>
      </c>
      <c r="X221" s="204">
        <f>INDEX('Tarieven ZM'!$H:$H,$W221)</f>
        <v>1000</v>
      </c>
      <c r="Y221" s="198">
        <f>-INDEX(Parameters!$B:$B,MATCH(Y$3&amp;$C221,Parameters!$A:$A,0))*$X221</f>
        <v>0</v>
      </c>
      <c r="Z221" s="198">
        <f>-INDEX(Parameters!$B:$B,MATCH(Z$3&amp;$C221,Parameters!$A:$A,0))*$X221</f>
        <v>0</v>
      </c>
      <c r="AA221" s="139">
        <f t="shared" si="117"/>
        <v>1000</v>
      </c>
      <c r="AB221" s="205">
        <f>AA221/INDEX(Parameters!$B:$B,MATCH("AfschrijftermijnVVE"&amp;12*$C221,Parameters!$A:$A,0))</f>
        <v>27.777777777777779</v>
      </c>
      <c r="AC221" s="204">
        <f>INDEX('Tarieven ZM'!$G:$G,$W221)</f>
        <v>1000</v>
      </c>
      <c r="AD221" s="198">
        <f>-INDEX(Parameters!$B:$B,MATCH(AD$3&amp;$C221,Parameters!$A:$A,0))*$AC221</f>
        <v>0</v>
      </c>
      <c r="AE221" s="198">
        <f>-INDEX(Parameters!$B:$B,MATCH(AE$3,Parameters!$A:$A,0))*$AC221</f>
        <v>0</v>
      </c>
      <c r="AF221" s="139">
        <f t="shared" si="118"/>
        <v>1000</v>
      </c>
      <c r="AG221" s="522">
        <f t="shared" si="119"/>
        <v>1027.7777777777778</v>
      </c>
      <c r="AH221" s="175"/>
      <c r="AI221" s="523">
        <f>MATCH($U221,'Tarieven W&amp;O'!$B:$B,0)</f>
        <v>65</v>
      </c>
      <c r="AJ221" s="204">
        <f>IF(AI221&lt;&gt;"nvt",INDEX('Tarieven W&amp;O'!$H:$H,$AI221),0)</f>
        <v>0</v>
      </c>
      <c r="AK221" s="204">
        <f>IF(AI221&lt;&gt;"nvt",INDEX('Tarieven W&amp;O'!$I:$I,$AI221),0)</f>
        <v>25</v>
      </c>
      <c r="AL221" s="524">
        <f>IF(AI221&lt;&gt;"nvt",-INDEX(Parameters!$B:$B,MATCH(AL$3,Parameters!$A:$A,0))*(AJ221+AK221),0)</f>
        <v>0</v>
      </c>
      <c r="AM221" s="525"/>
      <c r="AN221" s="139">
        <f t="shared" si="120"/>
        <v>25</v>
      </c>
      <c r="AO221" s="205">
        <f>AN221/INDEX(Parameters!$B:$B,MATCH("AfschrijftermijnVVE"&amp;12*$C221,Parameters!$A:$A,0))</f>
        <v>0.69444444444444442</v>
      </c>
      <c r="AP221" s="139">
        <f t="shared" si="121"/>
        <v>65</v>
      </c>
      <c r="AQ221" s="526">
        <f>IF(AP221&lt;&gt;"nvt",INDEX('Tarieven W&amp;O'!$G:$G,$AP221),0)</f>
        <v>80.63</v>
      </c>
      <c r="AR221" s="251">
        <f>IF($S221,INDEX('Tarieven W&amp;O'!$G:$G,MATCH(N221&amp;R221,'Tarieven W&amp;O'!$B:$B,0)),0)</f>
        <v>0</v>
      </c>
      <c r="AS221" s="205">
        <f>-INDEX(Parameters!$B:$B,MATCH(AS$3,Parameters!$A:$A,0))*(AQ221+AR221)</f>
        <v>0</v>
      </c>
      <c r="AT221" s="205">
        <f>INDEX(hulpblad!$E:$E,MATCH(M221&amp;Q221,hulpblad!$B:$B,0))</f>
        <v>2</v>
      </c>
      <c r="AU221" s="150">
        <f t="shared" si="101"/>
        <v>82.63</v>
      </c>
      <c r="AV221" s="150">
        <f t="shared" si="102"/>
        <v>83.324444444444438</v>
      </c>
      <c r="AX221" s="526">
        <f>Parameters!$B$6*AV221</f>
        <v>0.83324444444444445</v>
      </c>
      <c r="AY221" s="150">
        <v>0</v>
      </c>
      <c r="AZ221" s="150"/>
      <c r="BA221" s="150">
        <f t="shared" si="122"/>
        <v>0.83324444444444445</v>
      </c>
      <c r="BB221" s="150"/>
      <c r="BC221" s="522">
        <f t="shared" si="123"/>
        <v>84.157688888888885</v>
      </c>
      <c r="BD221" s="175"/>
      <c r="BE221" s="527">
        <f t="shared" si="103"/>
        <v>943.62008888888897</v>
      </c>
      <c r="BF221" s="181">
        <f t="shared" si="104"/>
        <v>0.91811684324324327</v>
      </c>
      <c r="BG221" s="520" t="b">
        <f t="shared" si="116"/>
        <v>0</v>
      </c>
      <c r="BI221" s="528" t="s">
        <v>2181</v>
      </c>
      <c r="BL221" s="151" t="str">
        <f t="shared" si="106"/>
        <v>EoKMetro - Nationaal</v>
      </c>
      <c r="BM221" s="529">
        <v>0</v>
      </c>
      <c r="BN221" s="180">
        <f>BM221/INDEX(Parameters!$B:$B,MATCH("AfschrijftermijnVVE"&amp;12*$C221,Parameters!$A:$A,0))</f>
        <v>0</v>
      </c>
      <c r="BO221" s="184">
        <f>INDEX('inkoop ULL tbv EVPN'!I:I,MATCH(BL221,'inkoop ULL tbv EVPN'!H:H,0))</f>
        <v>2</v>
      </c>
      <c r="BP221" s="184">
        <f t="shared" si="107"/>
        <v>2</v>
      </c>
      <c r="BR221" s="180">
        <f>Parameters!$B$12*AG221</f>
        <v>102.77777777777779</v>
      </c>
      <c r="BS221" s="180">
        <f>SUM(Distributievergoedingen!$F$12,Distributievergoedingen!$I$12,Distributievergoedingen!$L$12,Distributievergoedingen!$O$12)*AF221+SUM(Distributievergoedingen!$O$12*AA221+Distributievergoedingen!$R$12+Distributievergoedingen!$U$12+Distributievergoedingen!$X$12)/(MAX(36,12*C221))</f>
        <v>112.77777777777777</v>
      </c>
      <c r="BT221" s="150"/>
      <c r="BU221" s="150">
        <f t="shared" si="108"/>
        <v>215.55555555555554</v>
      </c>
      <c r="BW221" s="522">
        <f t="shared" si="109"/>
        <v>217.55555555555554</v>
      </c>
      <c r="BY221" s="527">
        <f t="shared" si="110"/>
        <v>810.22222222222229</v>
      </c>
      <c r="BZ221" s="181">
        <f t="shared" si="111"/>
        <v>0.78832432432432431</v>
      </c>
      <c r="CA221" s="520" t="b">
        <f t="shared" si="112"/>
        <v>0</v>
      </c>
    </row>
    <row r="222" spans="1:79" s="151" customFormat="1">
      <c r="A222" s="151" t="str">
        <f t="shared" si="105"/>
        <v>2EoKPremiumNationaal20</v>
      </c>
      <c r="B222" s="520" t="str">
        <f t="shared" si="113"/>
        <v>2EoKPremiumNationaal20</v>
      </c>
      <c r="C222" s="179">
        <v>2</v>
      </c>
      <c r="D222" s="179" t="s">
        <v>303</v>
      </c>
      <c r="E222" s="178" t="s">
        <v>267</v>
      </c>
      <c r="F222" s="178" t="s">
        <v>266</v>
      </c>
      <c r="G222" s="185" t="s">
        <v>414</v>
      </c>
      <c r="J222" s="520" t="str">
        <f t="shared" si="114"/>
        <v>PremiumNationaal20</v>
      </c>
      <c r="L222" s="204">
        <f>INDEX(Mapping!$H:$H,MATCH(C$3&amp;C222,Mapping!$B:$B,0))</f>
        <v>1</v>
      </c>
      <c r="M222" s="204" t="str">
        <f>INDEX(Mapping!$H:$H,MATCH(D$3&amp;$D222,Mapping!$B:$B,0))</f>
        <v>EoK</v>
      </c>
      <c r="N222" s="204" t="str">
        <f>INDEX(Mapping!$H:$H,MATCH(E$3&amp;E222,Mapping!$B:$B,0))</f>
        <v>Premium</v>
      </c>
      <c r="O222" s="204" t="str">
        <f>INDEX(Mapping!$H:$H,MATCH(F$3&amp;F222,Mapping!$B:$B,0))</f>
        <v>Metro</v>
      </c>
      <c r="P222" s="204">
        <f>INDEX(Mapping!$H:$H,MATCH(G$3&amp;G222,Mapping!$B:$B,0))</f>
        <v>20</v>
      </c>
      <c r="Q222" s="204" t="str">
        <f>INDEX(Mapping!$H:$H,MATCH(Q$3&amp;$F222,Mapping!$B:$B,0))</f>
        <v>Metro - Nationaal</v>
      </c>
      <c r="R222" s="204" t="str">
        <f>INDEX(Mapping!$H:$H,MATCH("ZM VPN Service Level"&amp;E222,Mapping!$B:$B,0))</f>
        <v>Advanced</v>
      </c>
      <c r="S222" s="139" t="b">
        <f>IF($D222="EoK",INDEX(Mapping!$I:$I,MATCH($G$3&amp;$G222,Mapping!B:B,0)),FALSE)</f>
        <v>0</v>
      </c>
      <c r="T222" s="139"/>
      <c r="U222" s="520" t="str">
        <f t="shared" si="115"/>
        <v>PremiumMetro20</v>
      </c>
      <c r="W222" s="521">
        <f>MATCH($J222,'Tarieven ZM'!$B:$B,0)</f>
        <v>112</v>
      </c>
      <c r="X222" s="204">
        <f>INDEX('Tarieven ZM'!$H:$H,$W222)</f>
        <v>1000</v>
      </c>
      <c r="Y222" s="198">
        <f>-INDEX(Parameters!$B:$B,MATCH(Y$3&amp;$C222,Parameters!$A:$A,0))*$X222</f>
        <v>0</v>
      </c>
      <c r="Z222" s="198">
        <f>-INDEX(Parameters!$B:$B,MATCH(Z$3&amp;$C222,Parameters!$A:$A,0))*$X222</f>
        <v>0</v>
      </c>
      <c r="AA222" s="139">
        <f t="shared" si="117"/>
        <v>1000</v>
      </c>
      <c r="AB222" s="205">
        <f>AA222/INDEX(Parameters!$B:$B,MATCH("AfschrijftermijnVVE"&amp;12*$C222,Parameters!$A:$A,0))</f>
        <v>27.777777777777779</v>
      </c>
      <c r="AC222" s="204">
        <f>INDEX('Tarieven ZM'!$G:$G,$W222)</f>
        <v>1000</v>
      </c>
      <c r="AD222" s="198">
        <f>-INDEX(Parameters!$B:$B,MATCH(AD$3&amp;$C222,Parameters!$A:$A,0))*$AC222</f>
        <v>0</v>
      </c>
      <c r="AE222" s="198">
        <f>-INDEX(Parameters!$B:$B,MATCH(AE$3,Parameters!$A:$A,0))*$AC222</f>
        <v>0</v>
      </c>
      <c r="AF222" s="139">
        <f t="shared" si="118"/>
        <v>1000</v>
      </c>
      <c r="AG222" s="522">
        <f t="shared" si="119"/>
        <v>1027.7777777777778</v>
      </c>
      <c r="AH222" s="175"/>
      <c r="AI222" s="523">
        <f>MATCH($U222,'Tarieven W&amp;O'!$B:$B,0)</f>
        <v>66</v>
      </c>
      <c r="AJ222" s="204">
        <f>IF(AI222&lt;&gt;"nvt",INDEX('Tarieven W&amp;O'!$H:$H,$AI222),0)</f>
        <v>0</v>
      </c>
      <c r="AK222" s="204">
        <f>IF(AI222&lt;&gt;"nvt",INDEX('Tarieven W&amp;O'!$I:$I,$AI222),0)</f>
        <v>25</v>
      </c>
      <c r="AL222" s="524">
        <f>IF(AI222&lt;&gt;"nvt",-INDEX(Parameters!$B:$B,MATCH(AL$3,Parameters!$A:$A,0))*(AJ222+AK222),0)</f>
        <v>0</v>
      </c>
      <c r="AM222" s="525"/>
      <c r="AN222" s="139">
        <f t="shared" si="120"/>
        <v>25</v>
      </c>
      <c r="AO222" s="205">
        <f>AN222/INDEX(Parameters!$B:$B,MATCH("AfschrijftermijnVVE"&amp;12*$C222,Parameters!$A:$A,0))</f>
        <v>0.69444444444444442</v>
      </c>
      <c r="AP222" s="139">
        <f t="shared" si="121"/>
        <v>66</v>
      </c>
      <c r="AQ222" s="526">
        <f>IF(AP222&lt;&gt;"nvt",INDEX('Tarieven W&amp;O'!$G:$G,$AP222),0)</f>
        <v>88.17</v>
      </c>
      <c r="AR222" s="251">
        <f>IF($S222,INDEX('Tarieven W&amp;O'!$G:$G,MATCH(N222&amp;R222,'Tarieven W&amp;O'!$B:$B,0)),0)</f>
        <v>0</v>
      </c>
      <c r="AS222" s="205">
        <f>-INDEX(Parameters!$B:$B,MATCH(AS$3,Parameters!$A:$A,0))*(AQ222+AR222)</f>
        <v>0</v>
      </c>
      <c r="AT222" s="205">
        <f>INDEX(hulpblad!$E:$E,MATCH(M222&amp;Q222,hulpblad!$B:$B,0))</f>
        <v>2</v>
      </c>
      <c r="AU222" s="150">
        <f t="shared" si="101"/>
        <v>90.17</v>
      </c>
      <c r="AV222" s="150">
        <f t="shared" si="102"/>
        <v>90.864444444444445</v>
      </c>
      <c r="AX222" s="526">
        <f>Parameters!$B$6*AV222</f>
        <v>0.90864444444444448</v>
      </c>
      <c r="AY222" s="150">
        <v>0</v>
      </c>
      <c r="AZ222" s="150"/>
      <c r="BA222" s="150">
        <f t="shared" si="122"/>
        <v>0.90864444444444448</v>
      </c>
      <c r="BB222" s="150"/>
      <c r="BC222" s="522">
        <f t="shared" si="123"/>
        <v>91.773088888888893</v>
      </c>
      <c r="BD222" s="175"/>
      <c r="BE222" s="527">
        <f t="shared" si="103"/>
        <v>936.00468888888895</v>
      </c>
      <c r="BF222" s="181">
        <f t="shared" si="104"/>
        <v>0.91070726486486486</v>
      </c>
      <c r="BG222" s="520" t="b">
        <f t="shared" si="116"/>
        <v>0</v>
      </c>
      <c r="BI222" s="528" t="s">
        <v>2181</v>
      </c>
      <c r="BL222" s="151" t="str">
        <f t="shared" si="106"/>
        <v>EoKMetro - Nationaal</v>
      </c>
      <c r="BM222" s="529">
        <v>0</v>
      </c>
      <c r="BN222" s="180">
        <f>BM222/INDEX(Parameters!$B:$B,MATCH("AfschrijftermijnVVE"&amp;12*$C222,Parameters!$A:$A,0))</f>
        <v>0</v>
      </c>
      <c r="BO222" s="184">
        <f>INDEX('inkoop ULL tbv EVPN'!I:I,MATCH(BL222,'inkoop ULL tbv EVPN'!H:H,0))</f>
        <v>2</v>
      </c>
      <c r="BP222" s="184">
        <f t="shared" si="107"/>
        <v>2</v>
      </c>
      <c r="BR222" s="180">
        <f>Parameters!$B$12*AG222</f>
        <v>102.77777777777779</v>
      </c>
      <c r="BS222" s="180">
        <f>SUM(Distributievergoedingen!$F$12,Distributievergoedingen!$I$12,Distributievergoedingen!$L$12,Distributievergoedingen!$O$12)*AF222+SUM(Distributievergoedingen!$O$12*AA222+Distributievergoedingen!$R$12+Distributievergoedingen!$U$12+Distributievergoedingen!$X$12)/(MAX(36,12*C222))</f>
        <v>112.77777777777777</v>
      </c>
      <c r="BT222" s="150"/>
      <c r="BU222" s="150">
        <f t="shared" si="108"/>
        <v>215.55555555555554</v>
      </c>
      <c r="BW222" s="522">
        <f t="shared" si="109"/>
        <v>217.55555555555554</v>
      </c>
      <c r="BY222" s="527">
        <f t="shared" si="110"/>
        <v>810.22222222222229</v>
      </c>
      <c r="BZ222" s="181">
        <f t="shared" si="111"/>
        <v>0.78832432432432431</v>
      </c>
      <c r="CA222" s="520" t="b">
        <f t="shared" si="112"/>
        <v>0</v>
      </c>
    </row>
    <row r="223" spans="1:79" s="151" customFormat="1">
      <c r="A223" s="151" t="str">
        <f t="shared" si="105"/>
        <v>2EoKPremiumNationaal30</v>
      </c>
      <c r="B223" s="520" t="str">
        <f t="shared" si="113"/>
        <v>2EoKPremiumNationaal30</v>
      </c>
      <c r="C223" s="179">
        <v>2</v>
      </c>
      <c r="D223" s="179" t="s">
        <v>303</v>
      </c>
      <c r="E223" s="178" t="s">
        <v>267</v>
      </c>
      <c r="F223" s="178" t="s">
        <v>266</v>
      </c>
      <c r="G223" s="185" t="s">
        <v>415</v>
      </c>
      <c r="J223" s="520" t="str">
        <f t="shared" si="114"/>
        <v>PremiumNationaal30</v>
      </c>
      <c r="L223" s="204">
        <f>INDEX(Mapping!$H:$H,MATCH(C$3&amp;C223,Mapping!$B:$B,0))</f>
        <v>1</v>
      </c>
      <c r="M223" s="204" t="str">
        <f>INDEX(Mapping!$H:$H,MATCH(D$3&amp;$D223,Mapping!$B:$B,0))</f>
        <v>EoK</v>
      </c>
      <c r="N223" s="204" t="str">
        <f>INDEX(Mapping!$H:$H,MATCH(E$3&amp;E223,Mapping!$B:$B,0))</f>
        <v>Premium</v>
      </c>
      <c r="O223" s="204" t="str">
        <f>INDEX(Mapping!$H:$H,MATCH(F$3&amp;F223,Mapping!$B:$B,0))</f>
        <v>Metro</v>
      </c>
      <c r="P223" s="204">
        <f>INDEX(Mapping!$H:$H,MATCH(G$3&amp;G223,Mapping!$B:$B,0))</f>
        <v>30</v>
      </c>
      <c r="Q223" s="204" t="str">
        <f>INDEX(Mapping!$H:$H,MATCH(Q$3&amp;$F223,Mapping!$B:$B,0))</f>
        <v>Metro - Nationaal</v>
      </c>
      <c r="R223" s="204" t="str">
        <f>INDEX(Mapping!$H:$H,MATCH("ZM VPN Service Level"&amp;E223,Mapping!$B:$B,0))</f>
        <v>Advanced</v>
      </c>
      <c r="S223" s="139" t="b">
        <f>IF($D223="EoK",INDEX(Mapping!$I:$I,MATCH($G$3&amp;$G223,Mapping!B:B,0)),FALSE)</f>
        <v>0</v>
      </c>
      <c r="T223" s="139"/>
      <c r="U223" s="520" t="str">
        <f t="shared" si="115"/>
        <v>PremiumMetro30</v>
      </c>
      <c r="W223" s="521">
        <f>MATCH($J223,'Tarieven ZM'!$B:$B,0)</f>
        <v>113</v>
      </c>
      <c r="X223" s="204">
        <f>INDEX('Tarieven ZM'!$H:$H,$W223)</f>
        <v>1000</v>
      </c>
      <c r="Y223" s="198">
        <f>-INDEX(Parameters!$B:$B,MATCH(Y$3&amp;$C223,Parameters!$A:$A,0))*$X223</f>
        <v>0</v>
      </c>
      <c r="Z223" s="198">
        <f>-INDEX(Parameters!$B:$B,MATCH(Z$3&amp;$C223,Parameters!$A:$A,0))*$X223</f>
        <v>0</v>
      </c>
      <c r="AA223" s="139">
        <f t="shared" si="117"/>
        <v>1000</v>
      </c>
      <c r="AB223" s="205">
        <f>AA223/INDEX(Parameters!$B:$B,MATCH("AfschrijftermijnVVE"&amp;12*$C223,Parameters!$A:$A,0))</f>
        <v>27.777777777777779</v>
      </c>
      <c r="AC223" s="204">
        <f>INDEX('Tarieven ZM'!$G:$G,$W223)</f>
        <v>1000</v>
      </c>
      <c r="AD223" s="198">
        <f>-INDEX(Parameters!$B:$B,MATCH(AD$3&amp;$C223,Parameters!$A:$A,0))*$AC223</f>
        <v>0</v>
      </c>
      <c r="AE223" s="198">
        <f>-INDEX(Parameters!$B:$B,MATCH(AE$3,Parameters!$A:$A,0))*$AC223</f>
        <v>0</v>
      </c>
      <c r="AF223" s="139">
        <f t="shared" si="118"/>
        <v>1000</v>
      </c>
      <c r="AG223" s="522">
        <f t="shared" si="119"/>
        <v>1027.7777777777778</v>
      </c>
      <c r="AH223" s="175"/>
      <c r="AI223" s="523">
        <f>MATCH($U223,'Tarieven W&amp;O'!$B:$B,0)</f>
        <v>67</v>
      </c>
      <c r="AJ223" s="204">
        <f>IF(AI223&lt;&gt;"nvt",INDEX('Tarieven W&amp;O'!$H:$H,$AI223),0)</f>
        <v>0</v>
      </c>
      <c r="AK223" s="204">
        <f>IF(AI223&lt;&gt;"nvt",INDEX('Tarieven W&amp;O'!$I:$I,$AI223),0)</f>
        <v>25</v>
      </c>
      <c r="AL223" s="524">
        <f>IF(AI223&lt;&gt;"nvt",-INDEX(Parameters!$B:$B,MATCH(AL$3,Parameters!$A:$A,0))*(AJ223+AK223),0)</f>
        <v>0</v>
      </c>
      <c r="AM223" s="525"/>
      <c r="AN223" s="139">
        <f t="shared" si="120"/>
        <v>25</v>
      </c>
      <c r="AO223" s="205">
        <f>AN223/INDEX(Parameters!$B:$B,MATCH("AfschrijftermijnVVE"&amp;12*$C223,Parameters!$A:$A,0))</f>
        <v>0.69444444444444442</v>
      </c>
      <c r="AP223" s="139">
        <f t="shared" si="121"/>
        <v>67</v>
      </c>
      <c r="AQ223" s="526">
        <f>IF(AP223&lt;&gt;"nvt",INDEX('Tarieven W&amp;O'!$G:$G,$AP223),0)</f>
        <v>110.78</v>
      </c>
      <c r="AR223" s="251">
        <f>IF($S223,INDEX('Tarieven W&amp;O'!$G:$G,MATCH(N223&amp;R223,'Tarieven W&amp;O'!$B:$B,0)),0)</f>
        <v>0</v>
      </c>
      <c r="AS223" s="205">
        <f>-INDEX(Parameters!$B:$B,MATCH(AS$3,Parameters!$A:$A,0))*(AQ223+AR223)</f>
        <v>0</v>
      </c>
      <c r="AT223" s="205">
        <f>INDEX(hulpblad!$E:$E,MATCH(M223&amp;Q223,hulpblad!$B:$B,0))</f>
        <v>2</v>
      </c>
      <c r="AU223" s="150">
        <f t="shared" si="101"/>
        <v>112.78</v>
      </c>
      <c r="AV223" s="150">
        <f t="shared" si="102"/>
        <v>113.47444444444444</v>
      </c>
      <c r="AX223" s="526">
        <f>Parameters!$B$6*AV223</f>
        <v>1.1347444444444446</v>
      </c>
      <c r="AY223" s="150">
        <v>0</v>
      </c>
      <c r="AZ223" s="150"/>
      <c r="BA223" s="150">
        <f t="shared" si="122"/>
        <v>1.1347444444444446</v>
      </c>
      <c r="BB223" s="150"/>
      <c r="BC223" s="522">
        <f t="shared" si="123"/>
        <v>114.60918888888889</v>
      </c>
      <c r="BD223" s="175"/>
      <c r="BE223" s="527">
        <f t="shared" si="103"/>
        <v>913.16858888888896</v>
      </c>
      <c r="BF223" s="181">
        <f t="shared" si="104"/>
        <v>0.88848835675675675</v>
      </c>
      <c r="BG223" s="520" t="b">
        <f t="shared" si="116"/>
        <v>0</v>
      </c>
      <c r="BI223" s="528" t="s">
        <v>2181</v>
      </c>
      <c r="BL223" s="151" t="str">
        <f t="shared" si="106"/>
        <v>EoKMetro - Nationaal</v>
      </c>
      <c r="BM223" s="529">
        <v>0</v>
      </c>
      <c r="BN223" s="180">
        <f>BM223/INDEX(Parameters!$B:$B,MATCH("AfschrijftermijnVVE"&amp;12*$C223,Parameters!$A:$A,0))</f>
        <v>0</v>
      </c>
      <c r="BO223" s="184">
        <f>INDEX('inkoop ULL tbv EVPN'!I:I,MATCH(BL223,'inkoop ULL tbv EVPN'!H:H,0))</f>
        <v>2</v>
      </c>
      <c r="BP223" s="184">
        <f t="shared" si="107"/>
        <v>2</v>
      </c>
      <c r="BR223" s="180">
        <f>Parameters!$B$12*AG223</f>
        <v>102.77777777777779</v>
      </c>
      <c r="BS223" s="180">
        <f>SUM(Distributievergoedingen!$F$12,Distributievergoedingen!$I$12,Distributievergoedingen!$L$12,Distributievergoedingen!$O$12)*AF223+SUM(Distributievergoedingen!$O$12*AA223+Distributievergoedingen!$R$12+Distributievergoedingen!$U$12+Distributievergoedingen!$X$12)/(MAX(36,12*C223))</f>
        <v>112.77777777777777</v>
      </c>
      <c r="BT223" s="150"/>
      <c r="BU223" s="150">
        <f t="shared" si="108"/>
        <v>215.55555555555554</v>
      </c>
      <c r="BW223" s="522">
        <f t="shared" si="109"/>
        <v>217.55555555555554</v>
      </c>
      <c r="BY223" s="527">
        <f t="shared" si="110"/>
        <v>810.22222222222229</v>
      </c>
      <c r="BZ223" s="181">
        <f t="shared" si="111"/>
        <v>0.78832432432432431</v>
      </c>
      <c r="CA223" s="520" t="b">
        <f t="shared" si="112"/>
        <v>0</v>
      </c>
    </row>
    <row r="224" spans="1:79" s="151" customFormat="1">
      <c r="A224" s="151" t="str">
        <f t="shared" si="105"/>
        <v>2EoKPremiumNationaal50</v>
      </c>
      <c r="B224" s="520" t="str">
        <f t="shared" si="113"/>
        <v>2EoKPremiumNationaal50</v>
      </c>
      <c r="C224" s="179">
        <v>2</v>
      </c>
      <c r="D224" s="179" t="s">
        <v>303</v>
      </c>
      <c r="E224" s="178" t="s">
        <v>267</v>
      </c>
      <c r="F224" s="178" t="s">
        <v>266</v>
      </c>
      <c r="G224" s="185" t="s">
        <v>416</v>
      </c>
      <c r="J224" s="520" t="str">
        <f t="shared" si="114"/>
        <v>PremiumNationaal50</v>
      </c>
      <c r="L224" s="204">
        <f>INDEX(Mapping!$H:$H,MATCH(C$3&amp;C224,Mapping!$B:$B,0))</f>
        <v>1</v>
      </c>
      <c r="M224" s="204" t="str">
        <f>INDEX(Mapping!$H:$H,MATCH(D$3&amp;$D224,Mapping!$B:$B,0))</f>
        <v>EoK</v>
      </c>
      <c r="N224" s="204" t="str">
        <f>INDEX(Mapping!$H:$H,MATCH(E$3&amp;E224,Mapping!$B:$B,0))</f>
        <v>Premium</v>
      </c>
      <c r="O224" s="204" t="str">
        <f>INDEX(Mapping!$H:$H,MATCH(F$3&amp;F224,Mapping!$B:$B,0))</f>
        <v>Metro</v>
      </c>
      <c r="P224" s="204">
        <f>INDEX(Mapping!$H:$H,MATCH(G$3&amp;G224,Mapping!$B:$B,0))</f>
        <v>50</v>
      </c>
      <c r="Q224" s="204" t="str">
        <f>INDEX(Mapping!$H:$H,MATCH(Q$3&amp;$F224,Mapping!$B:$B,0))</f>
        <v>Metro - Nationaal</v>
      </c>
      <c r="R224" s="204" t="str">
        <f>INDEX(Mapping!$H:$H,MATCH("ZM VPN Service Level"&amp;E224,Mapping!$B:$B,0))</f>
        <v>Advanced</v>
      </c>
      <c r="S224" s="139" t="b">
        <f>IF($D224="EoK",INDEX(Mapping!$I:$I,MATCH($G$3&amp;$G224,Mapping!B:B,0)),FALSE)</f>
        <v>0</v>
      </c>
      <c r="T224" s="139"/>
      <c r="U224" s="520" t="str">
        <f t="shared" si="115"/>
        <v>PremiumMetro50</v>
      </c>
      <c r="W224" s="521">
        <f>MATCH($J224,'Tarieven ZM'!$B:$B,0)</f>
        <v>114</v>
      </c>
      <c r="X224" s="204">
        <f>INDEX('Tarieven ZM'!$H:$H,$W224)</f>
        <v>1000</v>
      </c>
      <c r="Y224" s="198">
        <f>-INDEX(Parameters!$B:$B,MATCH(Y$3&amp;$C224,Parameters!$A:$A,0))*$X224</f>
        <v>0</v>
      </c>
      <c r="Z224" s="198">
        <f>-INDEX(Parameters!$B:$B,MATCH(Z$3&amp;$C224,Parameters!$A:$A,0))*$X224</f>
        <v>0</v>
      </c>
      <c r="AA224" s="139">
        <f t="shared" si="117"/>
        <v>1000</v>
      </c>
      <c r="AB224" s="205">
        <f>AA224/INDEX(Parameters!$B:$B,MATCH("AfschrijftermijnVVE"&amp;12*$C224,Parameters!$A:$A,0))</f>
        <v>27.777777777777779</v>
      </c>
      <c r="AC224" s="204">
        <f>INDEX('Tarieven ZM'!$G:$G,$W224)</f>
        <v>1000</v>
      </c>
      <c r="AD224" s="198">
        <f>-INDEX(Parameters!$B:$B,MATCH(AD$3&amp;$C224,Parameters!$A:$A,0))*$AC224</f>
        <v>0</v>
      </c>
      <c r="AE224" s="198">
        <f>-INDEX(Parameters!$B:$B,MATCH(AE$3,Parameters!$A:$A,0))*$AC224</f>
        <v>0</v>
      </c>
      <c r="AF224" s="139">
        <f t="shared" si="118"/>
        <v>1000</v>
      </c>
      <c r="AG224" s="522">
        <f t="shared" si="119"/>
        <v>1027.7777777777778</v>
      </c>
      <c r="AH224" s="175"/>
      <c r="AI224" s="523">
        <f>MATCH($U224,'Tarieven W&amp;O'!$B:$B,0)</f>
        <v>68</v>
      </c>
      <c r="AJ224" s="204">
        <f>IF(AI224&lt;&gt;"nvt",INDEX('Tarieven W&amp;O'!$H:$H,$AI224),0)</f>
        <v>0</v>
      </c>
      <c r="AK224" s="204">
        <f>IF(AI224&lt;&gt;"nvt",INDEX('Tarieven W&amp;O'!$I:$I,$AI224),0)</f>
        <v>25</v>
      </c>
      <c r="AL224" s="524">
        <f>IF(AI224&lt;&gt;"nvt",-INDEX(Parameters!$B:$B,MATCH(AL$3,Parameters!$A:$A,0))*(AJ224+AK224),0)</f>
        <v>0</v>
      </c>
      <c r="AM224" s="525"/>
      <c r="AN224" s="139">
        <f t="shared" si="120"/>
        <v>25</v>
      </c>
      <c r="AO224" s="205">
        <f>AN224/INDEX(Parameters!$B:$B,MATCH("AfschrijftermijnVVE"&amp;12*$C224,Parameters!$A:$A,0))</f>
        <v>0.69444444444444442</v>
      </c>
      <c r="AP224" s="139">
        <f t="shared" si="121"/>
        <v>68</v>
      </c>
      <c r="AQ224" s="526">
        <f>IF(AP224&lt;&gt;"nvt",INDEX('Tarieven W&amp;O'!$G:$G,$AP224),0)</f>
        <v>133.4</v>
      </c>
      <c r="AR224" s="251">
        <f>IF($S224,INDEX('Tarieven W&amp;O'!$G:$G,MATCH(N224&amp;R224,'Tarieven W&amp;O'!$B:$B,0)),0)</f>
        <v>0</v>
      </c>
      <c r="AS224" s="205">
        <f>-INDEX(Parameters!$B:$B,MATCH(AS$3,Parameters!$A:$A,0))*(AQ224+AR224)</f>
        <v>0</v>
      </c>
      <c r="AT224" s="205">
        <f>INDEX(hulpblad!$E:$E,MATCH(M224&amp;Q224,hulpblad!$B:$B,0))</f>
        <v>2</v>
      </c>
      <c r="AU224" s="150">
        <f t="shared" si="101"/>
        <v>135.4</v>
      </c>
      <c r="AV224" s="150">
        <f t="shared" si="102"/>
        <v>136.09444444444446</v>
      </c>
      <c r="AX224" s="526">
        <f>Parameters!$B$6*AV224</f>
        <v>1.3609444444444447</v>
      </c>
      <c r="AY224" s="150">
        <v>0</v>
      </c>
      <c r="AZ224" s="150"/>
      <c r="BA224" s="150">
        <f t="shared" si="122"/>
        <v>1.3609444444444447</v>
      </c>
      <c r="BB224" s="150"/>
      <c r="BC224" s="522">
        <f t="shared" si="123"/>
        <v>137.4553888888889</v>
      </c>
      <c r="BD224" s="175"/>
      <c r="BE224" s="527">
        <f t="shared" si="103"/>
        <v>890.3223888888889</v>
      </c>
      <c r="BF224" s="181">
        <f t="shared" si="104"/>
        <v>0.86625962162162162</v>
      </c>
      <c r="BG224" s="520" t="b">
        <f t="shared" si="116"/>
        <v>0</v>
      </c>
      <c r="BI224" s="528" t="s">
        <v>2181</v>
      </c>
      <c r="BL224" s="151" t="str">
        <f t="shared" si="106"/>
        <v>EoKMetro - Nationaal</v>
      </c>
      <c r="BM224" s="529">
        <v>0</v>
      </c>
      <c r="BN224" s="180">
        <f>BM224/INDEX(Parameters!$B:$B,MATCH("AfschrijftermijnVVE"&amp;12*$C224,Parameters!$A:$A,0))</f>
        <v>0</v>
      </c>
      <c r="BO224" s="184">
        <f>INDEX('inkoop ULL tbv EVPN'!I:I,MATCH(BL224,'inkoop ULL tbv EVPN'!H:H,0))</f>
        <v>2</v>
      </c>
      <c r="BP224" s="184">
        <f t="shared" si="107"/>
        <v>2</v>
      </c>
      <c r="BR224" s="180">
        <f>Parameters!$B$12*AG224</f>
        <v>102.77777777777779</v>
      </c>
      <c r="BS224" s="180">
        <f>SUM(Distributievergoedingen!$F$12,Distributievergoedingen!$I$12,Distributievergoedingen!$L$12,Distributievergoedingen!$O$12)*AF224+SUM(Distributievergoedingen!$O$12*AA224+Distributievergoedingen!$R$12+Distributievergoedingen!$U$12+Distributievergoedingen!$X$12)/(MAX(36,12*C224))</f>
        <v>112.77777777777777</v>
      </c>
      <c r="BT224" s="150"/>
      <c r="BU224" s="150">
        <f t="shared" si="108"/>
        <v>215.55555555555554</v>
      </c>
      <c r="BW224" s="522">
        <f t="shared" si="109"/>
        <v>217.55555555555554</v>
      </c>
      <c r="BY224" s="527">
        <f t="shared" si="110"/>
        <v>810.22222222222229</v>
      </c>
      <c r="BZ224" s="181">
        <f t="shared" si="111"/>
        <v>0.78832432432432431</v>
      </c>
      <c r="CA224" s="520" t="b">
        <f t="shared" si="112"/>
        <v>0</v>
      </c>
    </row>
    <row r="225" spans="1:79" s="151" customFormat="1">
      <c r="A225" s="151" t="str">
        <f t="shared" si="105"/>
        <v>2EoKPremiumNationaal80</v>
      </c>
      <c r="B225" s="520" t="str">
        <f t="shared" si="113"/>
        <v>2EoKPremiumNationaal80</v>
      </c>
      <c r="C225" s="179">
        <v>2</v>
      </c>
      <c r="D225" s="179" t="s">
        <v>303</v>
      </c>
      <c r="E225" s="178" t="s">
        <v>267</v>
      </c>
      <c r="F225" s="178" t="s">
        <v>266</v>
      </c>
      <c r="G225" s="185" t="s">
        <v>417</v>
      </c>
      <c r="J225" s="520" t="str">
        <f t="shared" si="114"/>
        <v>PremiumNationaal80</v>
      </c>
      <c r="L225" s="204">
        <f>INDEX(Mapping!$H:$H,MATCH(C$3&amp;C225,Mapping!$B:$B,0))</f>
        <v>1</v>
      </c>
      <c r="M225" s="204" t="str">
        <f>INDEX(Mapping!$H:$H,MATCH(D$3&amp;$D225,Mapping!$B:$B,0))</f>
        <v>EoK</v>
      </c>
      <c r="N225" s="204" t="str">
        <f>INDEX(Mapping!$H:$H,MATCH(E$3&amp;E225,Mapping!$B:$B,0))</f>
        <v>Premium</v>
      </c>
      <c r="O225" s="204" t="str">
        <f>INDEX(Mapping!$H:$H,MATCH(F$3&amp;F225,Mapping!$B:$B,0))</f>
        <v>Metro</v>
      </c>
      <c r="P225" s="204">
        <f>INDEX(Mapping!$H:$H,MATCH(G$3&amp;G225,Mapping!$B:$B,0))</f>
        <v>80</v>
      </c>
      <c r="Q225" s="204" t="str">
        <f>INDEX(Mapping!$H:$H,MATCH(Q$3&amp;$F225,Mapping!$B:$B,0))</f>
        <v>Metro - Nationaal</v>
      </c>
      <c r="R225" s="204" t="str">
        <f>INDEX(Mapping!$H:$H,MATCH("ZM VPN Service Level"&amp;E225,Mapping!$B:$B,0))</f>
        <v>Advanced</v>
      </c>
      <c r="S225" s="139" t="b">
        <f>IF($D225="EoK",INDEX(Mapping!$I:$I,MATCH($G$3&amp;$G225,Mapping!B:B,0)),FALSE)</f>
        <v>0</v>
      </c>
      <c r="T225" s="139"/>
      <c r="U225" s="520" t="str">
        <f t="shared" si="115"/>
        <v>PremiumMetro80</v>
      </c>
      <c r="W225" s="521">
        <f>MATCH($J225,'Tarieven ZM'!$B:$B,0)</f>
        <v>115</v>
      </c>
      <c r="X225" s="204">
        <f>INDEX('Tarieven ZM'!$H:$H,$W225)</f>
        <v>1000</v>
      </c>
      <c r="Y225" s="198">
        <f>-INDEX(Parameters!$B:$B,MATCH(Y$3&amp;$C225,Parameters!$A:$A,0))*$X225</f>
        <v>0</v>
      </c>
      <c r="Z225" s="198">
        <f>-INDEX(Parameters!$B:$B,MATCH(Z$3&amp;$C225,Parameters!$A:$A,0))*$X225</f>
        <v>0</v>
      </c>
      <c r="AA225" s="139">
        <f t="shared" si="117"/>
        <v>1000</v>
      </c>
      <c r="AB225" s="205">
        <f>AA225/INDEX(Parameters!$B:$B,MATCH("AfschrijftermijnVVE"&amp;12*$C225,Parameters!$A:$A,0))</f>
        <v>27.777777777777779</v>
      </c>
      <c r="AC225" s="204">
        <f>INDEX('Tarieven ZM'!$G:$G,$W225)</f>
        <v>1000</v>
      </c>
      <c r="AD225" s="198">
        <f>-INDEX(Parameters!$B:$B,MATCH(AD$3&amp;$C225,Parameters!$A:$A,0))*$AC225</f>
        <v>0</v>
      </c>
      <c r="AE225" s="198">
        <f>-INDEX(Parameters!$B:$B,MATCH(AE$3,Parameters!$A:$A,0))*$AC225</f>
        <v>0</v>
      </c>
      <c r="AF225" s="139">
        <f t="shared" si="118"/>
        <v>1000</v>
      </c>
      <c r="AG225" s="522">
        <f t="shared" si="119"/>
        <v>1027.7777777777778</v>
      </c>
      <c r="AH225" s="175"/>
      <c r="AI225" s="523">
        <f>MATCH($U225,'Tarieven W&amp;O'!$B:$B,0)</f>
        <v>69</v>
      </c>
      <c r="AJ225" s="204">
        <f>IF(AI225&lt;&gt;"nvt",INDEX('Tarieven W&amp;O'!$H:$H,$AI225),0)</f>
        <v>0</v>
      </c>
      <c r="AK225" s="204">
        <f>IF(AI225&lt;&gt;"nvt",INDEX('Tarieven W&amp;O'!$I:$I,$AI225),0)</f>
        <v>25</v>
      </c>
      <c r="AL225" s="524">
        <f>IF(AI225&lt;&gt;"nvt",-INDEX(Parameters!$B:$B,MATCH(AL$3,Parameters!$A:$A,0))*(AJ225+AK225),0)</f>
        <v>0</v>
      </c>
      <c r="AM225" s="525"/>
      <c r="AN225" s="139">
        <f t="shared" si="120"/>
        <v>25</v>
      </c>
      <c r="AO225" s="205">
        <f>AN225/INDEX(Parameters!$B:$B,MATCH("AfschrijftermijnVVE"&amp;12*$C225,Parameters!$A:$A,0))</f>
        <v>0.69444444444444442</v>
      </c>
      <c r="AP225" s="139">
        <f t="shared" si="121"/>
        <v>69</v>
      </c>
      <c r="AQ225" s="526">
        <f>IF(AP225&lt;&gt;"nvt",INDEX('Tarieven W&amp;O'!$G:$G,$AP225),0)</f>
        <v>159.78</v>
      </c>
      <c r="AR225" s="251">
        <f>IF($S225,INDEX('Tarieven W&amp;O'!$G:$G,MATCH(N225&amp;R225,'Tarieven W&amp;O'!$B:$B,0)),0)</f>
        <v>0</v>
      </c>
      <c r="AS225" s="205">
        <f>-INDEX(Parameters!$B:$B,MATCH(AS$3,Parameters!$A:$A,0))*(AQ225+AR225)</f>
        <v>0</v>
      </c>
      <c r="AT225" s="205">
        <f>INDEX(hulpblad!$E:$E,MATCH(M225&amp;Q225,hulpblad!$B:$B,0))</f>
        <v>2</v>
      </c>
      <c r="AU225" s="150">
        <f t="shared" si="101"/>
        <v>161.78</v>
      </c>
      <c r="AV225" s="150">
        <f t="shared" si="102"/>
        <v>162.47444444444446</v>
      </c>
      <c r="AX225" s="526">
        <f>Parameters!$B$6*AV225</f>
        <v>1.6247444444444445</v>
      </c>
      <c r="AY225" s="150">
        <v>0</v>
      </c>
      <c r="AZ225" s="150"/>
      <c r="BA225" s="150">
        <f t="shared" si="122"/>
        <v>1.6247444444444445</v>
      </c>
      <c r="BB225" s="150"/>
      <c r="BC225" s="522">
        <f t="shared" si="123"/>
        <v>164.0991888888889</v>
      </c>
      <c r="BD225" s="175"/>
      <c r="BE225" s="527">
        <f t="shared" si="103"/>
        <v>863.67858888888895</v>
      </c>
      <c r="BF225" s="181">
        <f t="shared" si="104"/>
        <v>0.84033592432432436</v>
      </c>
      <c r="BG225" s="520" t="b">
        <f t="shared" si="116"/>
        <v>0</v>
      </c>
      <c r="BI225" s="528" t="s">
        <v>2181</v>
      </c>
      <c r="BL225" s="151" t="str">
        <f t="shared" si="106"/>
        <v>EoKMetro - Nationaal</v>
      </c>
      <c r="BM225" s="529">
        <v>0</v>
      </c>
      <c r="BN225" s="180">
        <f>BM225/INDEX(Parameters!$B:$B,MATCH("AfschrijftermijnVVE"&amp;12*$C225,Parameters!$A:$A,0))</f>
        <v>0</v>
      </c>
      <c r="BO225" s="184">
        <f>INDEX('inkoop ULL tbv EVPN'!I:I,MATCH(BL225,'inkoop ULL tbv EVPN'!H:H,0))</f>
        <v>2</v>
      </c>
      <c r="BP225" s="184">
        <f t="shared" si="107"/>
        <v>2</v>
      </c>
      <c r="BR225" s="180">
        <f>Parameters!$B$12*AG225</f>
        <v>102.77777777777779</v>
      </c>
      <c r="BS225" s="180">
        <f>SUM(Distributievergoedingen!$F$12,Distributievergoedingen!$I$12,Distributievergoedingen!$L$12,Distributievergoedingen!$O$12)*AF225+SUM(Distributievergoedingen!$O$12*AA225+Distributievergoedingen!$R$12+Distributievergoedingen!$U$12+Distributievergoedingen!$X$12)/(MAX(36,12*C225))</f>
        <v>112.77777777777777</v>
      </c>
      <c r="BT225" s="150"/>
      <c r="BU225" s="150">
        <f t="shared" si="108"/>
        <v>215.55555555555554</v>
      </c>
      <c r="BW225" s="522">
        <f t="shared" si="109"/>
        <v>217.55555555555554</v>
      </c>
      <c r="BY225" s="527">
        <f t="shared" si="110"/>
        <v>810.22222222222229</v>
      </c>
      <c r="BZ225" s="181">
        <f t="shared" si="111"/>
        <v>0.78832432432432431</v>
      </c>
      <c r="CA225" s="520" t="b">
        <f t="shared" si="112"/>
        <v>0</v>
      </c>
    </row>
    <row r="226" spans="1:79" s="151" customFormat="1">
      <c r="A226" s="151" t="str">
        <f t="shared" si="105"/>
        <v>2EoKPremiumNationaal100</v>
      </c>
      <c r="B226" s="520" t="str">
        <f t="shared" si="113"/>
        <v>2EoKPremiumNationaal100</v>
      </c>
      <c r="C226" s="179">
        <v>2</v>
      </c>
      <c r="D226" s="179" t="s">
        <v>303</v>
      </c>
      <c r="E226" s="178" t="s">
        <v>267</v>
      </c>
      <c r="F226" s="178" t="s">
        <v>266</v>
      </c>
      <c r="G226" s="185" t="s">
        <v>418</v>
      </c>
      <c r="J226" s="520" t="str">
        <f t="shared" si="114"/>
        <v>PremiumNationaal100</v>
      </c>
      <c r="L226" s="204">
        <f>INDEX(Mapping!$H:$H,MATCH(C$3&amp;C226,Mapping!$B:$B,0))</f>
        <v>1</v>
      </c>
      <c r="M226" s="204" t="str">
        <f>INDEX(Mapping!$H:$H,MATCH(D$3&amp;$D226,Mapping!$B:$B,0))</f>
        <v>EoK</v>
      </c>
      <c r="N226" s="204" t="str">
        <f>INDEX(Mapping!$H:$H,MATCH(E$3&amp;E226,Mapping!$B:$B,0))</f>
        <v>Premium</v>
      </c>
      <c r="O226" s="204" t="str">
        <f>INDEX(Mapping!$H:$H,MATCH(F$3&amp;F226,Mapping!$B:$B,0))</f>
        <v>Metro</v>
      </c>
      <c r="P226" s="204">
        <f>INDEX(Mapping!$H:$H,MATCH(G$3&amp;G226,Mapping!$B:$B,0))</f>
        <v>100</v>
      </c>
      <c r="Q226" s="204" t="str">
        <f>INDEX(Mapping!$H:$H,MATCH(Q$3&amp;$F226,Mapping!$B:$B,0))</f>
        <v>Metro - Nationaal</v>
      </c>
      <c r="R226" s="204" t="str">
        <f>INDEX(Mapping!$H:$H,MATCH("ZM VPN Service Level"&amp;E226,Mapping!$B:$B,0))</f>
        <v>Advanced</v>
      </c>
      <c r="S226" s="139" t="b">
        <f>IF($D226="EoK",INDEX(Mapping!$I:$I,MATCH($G$3&amp;$G226,Mapping!B:B,0)),FALSE)</f>
        <v>0</v>
      </c>
      <c r="T226" s="139"/>
      <c r="U226" s="520" t="str">
        <f t="shared" si="115"/>
        <v>PremiumMetro100</v>
      </c>
      <c r="W226" s="521">
        <f>MATCH($J226,'Tarieven ZM'!$B:$B,0)</f>
        <v>116</v>
      </c>
      <c r="X226" s="204">
        <f>INDEX('Tarieven ZM'!$H:$H,$W226)</f>
        <v>1000</v>
      </c>
      <c r="Y226" s="198">
        <f>-INDEX(Parameters!$B:$B,MATCH(Y$3&amp;$C226,Parameters!$A:$A,0))*$X226</f>
        <v>0</v>
      </c>
      <c r="Z226" s="198">
        <f>-INDEX(Parameters!$B:$B,MATCH(Z$3&amp;$C226,Parameters!$A:$A,0))*$X226</f>
        <v>0</v>
      </c>
      <c r="AA226" s="139">
        <f t="shared" si="117"/>
        <v>1000</v>
      </c>
      <c r="AB226" s="205">
        <f>AA226/INDEX(Parameters!$B:$B,MATCH("AfschrijftermijnVVE"&amp;12*$C226,Parameters!$A:$A,0))</f>
        <v>27.777777777777779</v>
      </c>
      <c r="AC226" s="204">
        <f>INDEX('Tarieven ZM'!$G:$G,$W226)</f>
        <v>1000</v>
      </c>
      <c r="AD226" s="198">
        <f>-INDEX(Parameters!$B:$B,MATCH(AD$3&amp;$C226,Parameters!$A:$A,0))*$AC226</f>
        <v>0</v>
      </c>
      <c r="AE226" s="198">
        <f>-INDEX(Parameters!$B:$B,MATCH(AE$3,Parameters!$A:$A,0))*$AC226</f>
        <v>0</v>
      </c>
      <c r="AF226" s="139">
        <f t="shared" si="118"/>
        <v>1000</v>
      </c>
      <c r="AG226" s="522">
        <f t="shared" si="119"/>
        <v>1027.7777777777778</v>
      </c>
      <c r="AH226" s="175"/>
      <c r="AI226" s="523">
        <f>MATCH($U226,'Tarieven W&amp;O'!$B:$B,0)</f>
        <v>70</v>
      </c>
      <c r="AJ226" s="204">
        <f>IF(AI226&lt;&gt;"nvt",INDEX('Tarieven W&amp;O'!$H:$H,$AI226),0)</f>
        <v>0</v>
      </c>
      <c r="AK226" s="204">
        <f>IF(AI226&lt;&gt;"nvt",INDEX('Tarieven W&amp;O'!$I:$I,$AI226),0)</f>
        <v>25</v>
      </c>
      <c r="AL226" s="524">
        <f>IF(AI226&lt;&gt;"nvt",-INDEX(Parameters!$B:$B,MATCH(AL$3,Parameters!$A:$A,0))*(AJ226+AK226),0)</f>
        <v>0</v>
      </c>
      <c r="AM226" s="525"/>
      <c r="AN226" s="139">
        <f t="shared" si="120"/>
        <v>25</v>
      </c>
      <c r="AO226" s="205">
        <f>AN226/INDEX(Parameters!$B:$B,MATCH("AfschrijftermijnVVE"&amp;12*$C226,Parameters!$A:$A,0))</f>
        <v>0.69444444444444442</v>
      </c>
      <c r="AP226" s="139">
        <f t="shared" si="121"/>
        <v>70</v>
      </c>
      <c r="AQ226" s="526">
        <f>IF(AP226&lt;&gt;"nvt",INDEX('Tarieven W&amp;O'!$G:$G,$AP226),0)</f>
        <v>178.63</v>
      </c>
      <c r="AR226" s="251">
        <f>IF($S226,INDEX('Tarieven W&amp;O'!$G:$G,MATCH(N226&amp;R226,'Tarieven W&amp;O'!$B:$B,0)),0)</f>
        <v>0</v>
      </c>
      <c r="AS226" s="205">
        <f>-INDEX(Parameters!$B:$B,MATCH(AS$3,Parameters!$A:$A,0))*(AQ226+AR226)</f>
        <v>0</v>
      </c>
      <c r="AT226" s="205">
        <f>INDEX(hulpblad!$E:$E,MATCH(M226&amp;Q226,hulpblad!$B:$B,0))</f>
        <v>2</v>
      </c>
      <c r="AU226" s="150">
        <f t="shared" si="101"/>
        <v>180.63</v>
      </c>
      <c r="AV226" s="150">
        <f t="shared" si="102"/>
        <v>181.32444444444445</v>
      </c>
      <c r="AX226" s="526">
        <f>Parameters!$B$6*AV226</f>
        <v>1.8132444444444447</v>
      </c>
      <c r="AY226" s="150">
        <v>0</v>
      </c>
      <c r="AZ226" s="150"/>
      <c r="BA226" s="150">
        <f t="shared" si="122"/>
        <v>1.8132444444444447</v>
      </c>
      <c r="BB226" s="150"/>
      <c r="BC226" s="522">
        <f t="shared" si="123"/>
        <v>183.1376888888889</v>
      </c>
      <c r="BD226" s="175"/>
      <c r="BE226" s="527">
        <f t="shared" si="103"/>
        <v>844.64008888888895</v>
      </c>
      <c r="BF226" s="181">
        <f t="shared" si="104"/>
        <v>0.82181197837837838</v>
      </c>
      <c r="BG226" s="520" t="b">
        <f t="shared" si="116"/>
        <v>0</v>
      </c>
      <c r="BI226" s="528" t="s">
        <v>2181</v>
      </c>
      <c r="BL226" s="151" t="str">
        <f t="shared" si="106"/>
        <v>EoKMetro - Nationaal</v>
      </c>
      <c r="BM226" s="529">
        <v>0</v>
      </c>
      <c r="BN226" s="180">
        <f>BM226/INDEX(Parameters!$B:$B,MATCH("AfschrijftermijnVVE"&amp;12*$C226,Parameters!$A:$A,0))</f>
        <v>0</v>
      </c>
      <c r="BO226" s="184">
        <f>INDEX('inkoop ULL tbv EVPN'!I:I,MATCH(BL226,'inkoop ULL tbv EVPN'!H:H,0))</f>
        <v>2</v>
      </c>
      <c r="BP226" s="184">
        <f t="shared" si="107"/>
        <v>2</v>
      </c>
      <c r="BR226" s="180">
        <f>Parameters!$B$12*AG226</f>
        <v>102.77777777777779</v>
      </c>
      <c r="BS226" s="180">
        <f>SUM(Distributievergoedingen!$F$12,Distributievergoedingen!$I$12,Distributievergoedingen!$L$12,Distributievergoedingen!$O$12)*AF226+SUM(Distributievergoedingen!$O$12*AA226+Distributievergoedingen!$R$12+Distributievergoedingen!$U$12+Distributievergoedingen!$X$12)/(MAX(36,12*C226))</f>
        <v>112.77777777777777</v>
      </c>
      <c r="BT226" s="150"/>
      <c r="BU226" s="150">
        <f t="shared" si="108"/>
        <v>215.55555555555554</v>
      </c>
      <c r="BW226" s="522">
        <f t="shared" si="109"/>
        <v>217.55555555555554</v>
      </c>
      <c r="BY226" s="527">
        <f t="shared" si="110"/>
        <v>810.22222222222229</v>
      </c>
      <c r="BZ226" s="181">
        <f t="shared" si="111"/>
        <v>0.78832432432432431</v>
      </c>
      <c r="CA226" s="520" t="b">
        <f t="shared" si="112"/>
        <v>0</v>
      </c>
    </row>
    <row r="227" spans="1:79" s="151" customFormat="1">
      <c r="A227" s="151" t="str">
        <f t="shared" si="105"/>
        <v>2EoKPremiumNationaal200</v>
      </c>
      <c r="B227" s="520" t="str">
        <f t="shared" si="113"/>
        <v>2EoKPremiumNationaal200</v>
      </c>
      <c r="C227" s="179">
        <v>2</v>
      </c>
      <c r="D227" s="179" t="s">
        <v>303</v>
      </c>
      <c r="E227" s="178" t="s">
        <v>267</v>
      </c>
      <c r="F227" s="178" t="s">
        <v>266</v>
      </c>
      <c r="G227" s="185" t="s">
        <v>419</v>
      </c>
      <c r="J227" s="520" t="str">
        <f t="shared" si="114"/>
        <v>PremiumNationaal200</v>
      </c>
      <c r="L227" s="204">
        <f>INDEX(Mapping!$H:$H,MATCH(C$3&amp;C227,Mapping!$B:$B,0))</f>
        <v>1</v>
      </c>
      <c r="M227" s="204" t="str">
        <f>INDEX(Mapping!$H:$H,MATCH(D$3&amp;$D227,Mapping!$B:$B,0))</f>
        <v>EoK</v>
      </c>
      <c r="N227" s="204" t="str">
        <f>INDEX(Mapping!$H:$H,MATCH(E$3&amp;E227,Mapping!$B:$B,0))</f>
        <v>Premium</v>
      </c>
      <c r="O227" s="204" t="str">
        <f>INDEX(Mapping!$H:$H,MATCH(F$3&amp;F227,Mapping!$B:$B,0))</f>
        <v>Metro</v>
      </c>
      <c r="P227" s="204">
        <f>INDEX(Mapping!$H:$H,MATCH(G$3&amp;G227,Mapping!$B:$B,0))</f>
        <v>200</v>
      </c>
      <c r="Q227" s="204" t="str">
        <f>INDEX(Mapping!$H:$H,MATCH(Q$3&amp;$F227,Mapping!$B:$B,0))</f>
        <v>Metro - Nationaal</v>
      </c>
      <c r="R227" s="204" t="str">
        <f>INDEX(Mapping!$H:$H,MATCH("ZM VPN Service Level"&amp;E227,Mapping!$B:$B,0))</f>
        <v>Advanced</v>
      </c>
      <c r="S227" s="139" t="b">
        <f>IF($D227="EoK",INDEX(Mapping!$I:$I,MATCH($G$3&amp;$G227,Mapping!B:B,0)),FALSE)</f>
        <v>0</v>
      </c>
      <c r="T227" s="139"/>
      <c r="U227" s="520" t="str">
        <f t="shared" si="115"/>
        <v>PremiumMetro200</v>
      </c>
      <c r="W227" s="521">
        <f>MATCH($J227,'Tarieven ZM'!$B:$B,0)</f>
        <v>117</v>
      </c>
      <c r="X227" s="204">
        <f>INDEX('Tarieven ZM'!$H:$H,$W227)</f>
        <v>1000</v>
      </c>
      <c r="Y227" s="198">
        <f>-INDEX(Parameters!$B:$B,MATCH(Y$3&amp;$C227,Parameters!$A:$A,0))*$X227</f>
        <v>0</v>
      </c>
      <c r="Z227" s="198">
        <f>-INDEX(Parameters!$B:$B,MATCH(Z$3&amp;$C227,Parameters!$A:$A,0))*$X227</f>
        <v>0</v>
      </c>
      <c r="AA227" s="139">
        <f t="shared" si="117"/>
        <v>1000</v>
      </c>
      <c r="AB227" s="205">
        <f>AA227/INDEX(Parameters!$B:$B,MATCH("AfschrijftermijnVVE"&amp;12*$C227,Parameters!$A:$A,0))</f>
        <v>27.777777777777779</v>
      </c>
      <c r="AC227" s="204">
        <f>INDEX('Tarieven ZM'!$G:$G,$W227)</f>
        <v>1000</v>
      </c>
      <c r="AD227" s="198">
        <f>-INDEX(Parameters!$B:$B,MATCH(AD$3&amp;$C227,Parameters!$A:$A,0))*$AC227</f>
        <v>0</v>
      </c>
      <c r="AE227" s="198">
        <f>-INDEX(Parameters!$B:$B,MATCH(AE$3,Parameters!$A:$A,0))*$AC227</f>
        <v>0</v>
      </c>
      <c r="AF227" s="139">
        <f t="shared" si="118"/>
        <v>1000</v>
      </c>
      <c r="AG227" s="522">
        <f t="shared" si="119"/>
        <v>1027.7777777777778</v>
      </c>
      <c r="AH227" s="175"/>
      <c r="AI227" s="523">
        <f>MATCH($U227,'Tarieven W&amp;O'!$B:$B,0)</f>
        <v>71</v>
      </c>
      <c r="AJ227" s="204">
        <f>IF(AI227&lt;&gt;"nvt",INDEX('Tarieven W&amp;O'!$H:$H,$AI227),0)</f>
        <v>0</v>
      </c>
      <c r="AK227" s="204">
        <f>IF(AI227&lt;&gt;"nvt",INDEX('Tarieven W&amp;O'!$I:$I,$AI227),0)</f>
        <v>25</v>
      </c>
      <c r="AL227" s="524">
        <f>IF(AI227&lt;&gt;"nvt",-INDEX(Parameters!$B:$B,MATCH(AL$3,Parameters!$A:$A,0))*(AJ227+AK227),0)</f>
        <v>0</v>
      </c>
      <c r="AM227" s="525"/>
      <c r="AN227" s="139">
        <f t="shared" si="120"/>
        <v>25</v>
      </c>
      <c r="AO227" s="205">
        <f>AN227/INDEX(Parameters!$B:$B,MATCH("AfschrijftermijnVVE"&amp;12*$C227,Parameters!$A:$A,0))</f>
        <v>0.69444444444444442</v>
      </c>
      <c r="AP227" s="139">
        <f t="shared" si="121"/>
        <v>71</v>
      </c>
      <c r="AQ227" s="526">
        <f>IF(AP227&lt;&gt;"nvt",INDEX('Tarieven W&amp;O'!$G:$G,$AP227),0)</f>
        <v>216.32</v>
      </c>
      <c r="AR227" s="251">
        <f>IF($S227,INDEX('Tarieven W&amp;O'!$G:$G,MATCH(N227&amp;R227,'Tarieven W&amp;O'!$B:$B,0)),0)</f>
        <v>0</v>
      </c>
      <c r="AS227" s="205">
        <f>-INDEX(Parameters!$B:$B,MATCH(AS$3,Parameters!$A:$A,0))*(AQ227+AR227)</f>
        <v>0</v>
      </c>
      <c r="AT227" s="205">
        <f>INDEX(hulpblad!$E:$E,MATCH(M227&amp;Q227,hulpblad!$B:$B,0))</f>
        <v>2</v>
      </c>
      <c r="AU227" s="150">
        <f t="shared" si="101"/>
        <v>218.32</v>
      </c>
      <c r="AV227" s="150">
        <f t="shared" si="102"/>
        <v>219.01444444444445</v>
      </c>
      <c r="AX227" s="526">
        <f>Parameters!$B$6*AV227</f>
        <v>2.1901444444444444</v>
      </c>
      <c r="AY227" s="150">
        <v>0</v>
      </c>
      <c r="AZ227" s="150"/>
      <c r="BA227" s="150">
        <f t="shared" si="122"/>
        <v>2.1901444444444444</v>
      </c>
      <c r="BB227" s="150"/>
      <c r="BC227" s="522">
        <f t="shared" si="123"/>
        <v>221.20458888888891</v>
      </c>
      <c r="BD227" s="175"/>
      <c r="BE227" s="527">
        <f t="shared" si="103"/>
        <v>806.57318888888892</v>
      </c>
      <c r="BF227" s="181">
        <f t="shared" si="104"/>
        <v>0.78477391351351355</v>
      </c>
      <c r="BG227" s="520" t="b">
        <f t="shared" si="116"/>
        <v>0</v>
      </c>
      <c r="BI227" s="528" t="s">
        <v>2181</v>
      </c>
      <c r="BL227" s="151" t="str">
        <f t="shared" si="106"/>
        <v>EoKMetro - Nationaal</v>
      </c>
      <c r="BM227" s="529">
        <v>0</v>
      </c>
      <c r="BN227" s="180">
        <f>BM227/INDEX(Parameters!$B:$B,MATCH("AfschrijftermijnVVE"&amp;12*$C227,Parameters!$A:$A,0))</f>
        <v>0</v>
      </c>
      <c r="BO227" s="184">
        <f>INDEX('inkoop ULL tbv EVPN'!I:I,MATCH(BL227,'inkoop ULL tbv EVPN'!H:H,0))</f>
        <v>2</v>
      </c>
      <c r="BP227" s="184">
        <f t="shared" si="107"/>
        <v>2</v>
      </c>
      <c r="BR227" s="180">
        <f>Parameters!$B$12*AG227</f>
        <v>102.77777777777779</v>
      </c>
      <c r="BS227" s="180">
        <f>SUM(Distributievergoedingen!$F$12,Distributievergoedingen!$I$12,Distributievergoedingen!$L$12,Distributievergoedingen!$O$12)*AF227+SUM(Distributievergoedingen!$O$12*AA227+Distributievergoedingen!$R$12+Distributievergoedingen!$U$12+Distributievergoedingen!$X$12)/(MAX(36,12*C227))</f>
        <v>112.77777777777777</v>
      </c>
      <c r="BT227" s="150"/>
      <c r="BU227" s="150">
        <f t="shared" si="108"/>
        <v>215.55555555555554</v>
      </c>
      <c r="BW227" s="522">
        <f t="shared" si="109"/>
        <v>217.55555555555554</v>
      </c>
      <c r="BY227" s="527">
        <f t="shared" si="110"/>
        <v>810.22222222222229</v>
      </c>
      <c r="BZ227" s="181">
        <f t="shared" si="111"/>
        <v>0.78832432432432431</v>
      </c>
      <c r="CA227" s="520" t="b">
        <f t="shared" si="112"/>
        <v>0</v>
      </c>
    </row>
    <row r="228" spans="1:79" s="151" customFormat="1">
      <c r="A228" s="151" t="str">
        <f t="shared" si="105"/>
        <v>2EoKPremiumNationaal300</v>
      </c>
      <c r="B228" s="520" t="str">
        <f t="shared" si="113"/>
        <v>2EoKPremiumNationaal300</v>
      </c>
      <c r="C228" s="179">
        <v>2</v>
      </c>
      <c r="D228" s="179" t="s">
        <v>303</v>
      </c>
      <c r="E228" s="178" t="s">
        <v>267</v>
      </c>
      <c r="F228" s="178" t="s">
        <v>266</v>
      </c>
      <c r="G228" s="185" t="s">
        <v>420</v>
      </c>
      <c r="J228" s="520" t="str">
        <f t="shared" si="114"/>
        <v>PremiumNationaal300</v>
      </c>
      <c r="L228" s="204">
        <f>INDEX(Mapping!$H:$H,MATCH(C$3&amp;C228,Mapping!$B:$B,0))</f>
        <v>1</v>
      </c>
      <c r="M228" s="204" t="str">
        <f>INDEX(Mapping!$H:$H,MATCH(D$3&amp;$D228,Mapping!$B:$B,0))</f>
        <v>EoK</v>
      </c>
      <c r="N228" s="204" t="str">
        <f>INDEX(Mapping!$H:$H,MATCH(E$3&amp;E228,Mapping!$B:$B,0))</f>
        <v>Premium</v>
      </c>
      <c r="O228" s="204" t="str">
        <f>INDEX(Mapping!$H:$H,MATCH(F$3&amp;F228,Mapping!$B:$B,0))</f>
        <v>Metro</v>
      </c>
      <c r="P228" s="204">
        <f>INDEX(Mapping!$H:$H,MATCH(G$3&amp;G228,Mapping!$B:$B,0))</f>
        <v>300</v>
      </c>
      <c r="Q228" s="204" t="str">
        <f>INDEX(Mapping!$H:$H,MATCH(Q$3&amp;$F228,Mapping!$B:$B,0))</f>
        <v>Metro - Nationaal</v>
      </c>
      <c r="R228" s="204" t="str">
        <f>INDEX(Mapping!$H:$H,MATCH("ZM VPN Service Level"&amp;E228,Mapping!$B:$B,0))</f>
        <v>Advanced</v>
      </c>
      <c r="S228" s="139" t="b">
        <f>IF($D228="EoK",INDEX(Mapping!$I:$I,MATCH($G$3&amp;$G228,Mapping!B:B,0)),FALSE)</f>
        <v>0</v>
      </c>
      <c r="T228" s="139"/>
      <c r="U228" s="520" t="str">
        <f t="shared" si="115"/>
        <v>PremiumMetro300</v>
      </c>
      <c r="W228" s="521">
        <f>MATCH($J228,'Tarieven ZM'!$B:$B,0)</f>
        <v>118</v>
      </c>
      <c r="X228" s="204">
        <f>INDEX('Tarieven ZM'!$H:$H,$W228)</f>
        <v>1000</v>
      </c>
      <c r="Y228" s="198">
        <f>-INDEX(Parameters!$B:$B,MATCH(Y$3&amp;$C228,Parameters!$A:$A,0))*$X228</f>
        <v>0</v>
      </c>
      <c r="Z228" s="198">
        <f>-INDEX(Parameters!$B:$B,MATCH(Z$3&amp;$C228,Parameters!$A:$A,0))*$X228</f>
        <v>0</v>
      </c>
      <c r="AA228" s="139">
        <f t="shared" si="117"/>
        <v>1000</v>
      </c>
      <c r="AB228" s="205">
        <f>AA228/INDEX(Parameters!$B:$B,MATCH("AfschrijftermijnVVE"&amp;12*$C228,Parameters!$A:$A,0))</f>
        <v>27.777777777777779</v>
      </c>
      <c r="AC228" s="204">
        <f>INDEX('Tarieven ZM'!$G:$G,$W228)</f>
        <v>1000</v>
      </c>
      <c r="AD228" s="198">
        <f>-INDEX(Parameters!$B:$B,MATCH(AD$3&amp;$C228,Parameters!$A:$A,0))*$AC228</f>
        <v>0</v>
      </c>
      <c r="AE228" s="198">
        <f>-INDEX(Parameters!$B:$B,MATCH(AE$3,Parameters!$A:$A,0))*$AC228</f>
        <v>0</v>
      </c>
      <c r="AF228" s="139">
        <f t="shared" si="118"/>
        <v>1000</v>
      </c>
      <c r="AG228" s="522">
        <f t="shared" si="119"/>
        <v>1027.7777777777778</v>
      </c>
      <c r="AH228" s="175"/>
      <c r="AI228" s="523">
        <f>MATCH($U228,'Tarieven W&amp;O'!$B:$B,0)</f>
        <v>72</v>
      </c>
      <c r="AJ228" s="204">
        <f>IF(AI228&lt;&gt;"nvt",INDEX('Tarieven W&amp;O'!$H:$H,$AI228),0)</f>
        <v>0</v>
      </c>
      <c r="AK228" s="204">
        <f>IF(AI228&lt;&gt;"nvt",INDEX('Tarieven W&amp;O'!$I:$I,$AI228),0)</f>
        <v>25</v>
      </c>
      <c r="AL228" s="524">
        <f>IF(AI228&lt;&gt;"nvt",-INDEX(Parameters!$B:$B,MATCH(AL$3,Parameters!$A:$A,0))*(AJ228+AK228),0)</f>
        <v>0</v>
      </c>
      <c r="AM228" s="525"/>
      <c r="AN228" s="139">
        <f t="shared" si="120"/>
        <v>25</v>
      </c>
      <c r="AO228" s="205">
        <f>AN228/INDEX(Parameters!$B:$B,MATCH("AfschrijftermijnVVE"&amp;12*$C228,Parameters!$A:$A,0))</f>
        <v>0.69444444444444442</v>
      </c>
      <c r="AP228" s="139">
        <f t="shared" si="121"/>
        <v>72</v>
      </c>
      <c r="AQ228" s="526">
        <f>IF(AP228&lt;&gt;"nvt",INDEX('Tarieven W&amp;O'!$G:$G,$AP228),0)</f>
        <v>254.01</v>
      </c>
      <c r="AR228" s="251">
        <f>IF($S228,INDEX('Tarieven W&amp;O'!$G:$G,MATCH(N228&amp;R228,'Tarieven W&amp;O'!$B:$B,0)),0)</f>
        <v>0</v>
      </c>
      <c r="AS228" s="205">
        <f>-INDEX(Parameters!$B:$B,MATCH(AS$3,Parameters!$A:$A,0))*(AQ228+AR228)</f>
        <v>0</v>
      </c>
      <c r="AT228" s="205">
        <f>INDEX(hulpblad!$E:$E,MATCH(M228&amp;Q228,hulpblad!$B:$B,0))</f>
        <v>2</v>
      </c>
      <c r="AU228" s="150">
        <f t="shared" si="101"/>
        <v>256.01</v>
      </c>
      <c r="AV228" s="150">
        <f t="shared" si="102"/>
        <v>256.70444444444445</v>
      </c>
      <c r="AX228" s="526">
        <f>Parameters!$B$6*AV228</f>
        <v>2.5670444444444445</v>
      </c>
      <c r="AY228" s="150">
        <v>0</v>
      </c>
      <c r="AZ228" s="150"/>
      <c r="BA228" s="150">
        <f t="shared" si="122"/>
        <v>2.5670444444444445</v>
      </c>
      <c r="BB228" s="150"/>
      <c r="BC228" s="522">
        <f t="shared" si="123"/>
        <v>259.27148888888888</v>
      </c>
      <c r="BD228" s="175"/>
      <c r="BE228" s="527">
        <f t="shared" si="103"/>
        <v>768.506288888889</v>
      </c>
      <c r="BF228" s="181">
        <f t="shared" si="104"/>
        <v>0.74773584864864873</v>
      </c>
      <c r="BG228" s="520" t="b">
        <f t="shared" si="116"/>
        <v>0</v>
      </c>
      <c r="BI228" s="528" t="s">
        <v>2181</v>
      </c>
      <c r="BL228" s="151" t="str">
        <f t="shared" si="106"/>
        <v>EoKMetro - Nationaal</v>
      </c>
      <c r="BM228" s="529">
        <v>0</v>
      </c>
      <c r="BN228" s="180">
        <f>BM228/INDEX(Parameters!$B:$B,MATCH("AfschrijftermijnVVE"&amp;12*$C228,Parameters!$A:$A,0))</f>
        <v>0</v>
      </c>
      <c r="BO228" s="184">
        <f>INDEX('inkoop ULL tbv EVPN'!I:I,MATCH(BL228,'inkoop ULL tbv EVPN'!H:H,0))</f>
        <v>2</v>
      </c>
      <c r="BP228" s="184">
        <f t="shared" si="107"/>
        <v>2</v>
      </c>
      <c r="BR228" s="180">
        <f>Parameters!$B$12*AG228</f>
        <v>102.77777777777779</v>
      </c>
      <c r="BS228" s="180">
        <f>SUM(Distributievergoedingen!$F$12,Distributievergoedingen!$I$12,Distributievergoedingen!$L$12,Distributievergoedingen!$O$12)*AF228+SUM(Distributievergoedingen!$O$12*AA228+Distributievergoedingen!$R$12+Distributievergoedingen!$U$12+Distributievergoedingen!$X$12)/(MAX(36,12*C228))</f>
        <v>112.77777777777777</v>
      </c>
      <c r="BT228" s="150"/>
      <c r="BU228" s="150">
        <f t="shared" si="108"/>
        <v>215.55555555555554</v>
      </c>
      <c r="BW228" s="522">
        <f t="shared" si="109"/>
        <v>217.55555555555554</v>
      </c>
      <c r="BY228" s="527">
        <f t="shared" si="110"/>
        <v>810.22222222222229</v>
      </c>
      <c r="BZ228" s="181">
        <f t="shared" si="111"/>
        <v>0.78832432432432431</v>
      </c>
      <c r="CA228" s="520" t="b">
        <f t="shared" si="112"/>
        <v>0</v>
      </c>
    </row>
    <row r="229" spans="1:79" s="151" customFormat="1">
      <c r="A229" s="151" t="str">
        <f t="shared" si="105"/>
        <v>2EoKPremiumNationaal500</v>
      </c>
      <c r="B229" s="520" t="str">
        <f t="shared" si="113"/>
        <v>2EoKPremiumNationaal500</v>
      </c>
      <c r="C229" s="179">
        <v>2</v>
      </c>
      <c r="D229" s="179" t="s">
        <v>303</v>
      </c>
      <c r="E229" s="178" t="s">
        <v>267</v>
      </c>
      <c r="F229" s="178" t="s">
        <v>266</v>
      </c>
      <c r="G229" s="185" t="s">
        <v>421</v>
      </c>
      <c r="J229" s="520" t="str">
        <f t="shared" si="114"/>
        <v>PremiumNationaal500</v>
      </c>
      <c r="L229" s="204">
        <f>INDEX(Mapping!$H:$H,MATCH(C$3&amp;C229,Mapping!$B:$B,0))</f>
        <v>1</v>
      </c>
      <c r="M229" s="204" t="str">
        <f>INDEX(Mapping!$H:$H,MATCH(D$3&amp;$D229,Mapping!$B:$B,0))</f>
        <v>EoK</v>
      </c>
      <c r="N229" s="204" t="str">
        <f>INDEX(Mapping!$H:$H,MATCH(E$3&amp;E229,Mapping!$B:$B,0))</f>
        <v>Premium</v>
      </c>
      <c r="O229" s="204" t="str">
        <f>INDEX(Mapping!$H:$H,MATCH(F$3&amp;F229,Mapping!$B:$B,0))</f>
        <v>Metro</v>
      </c>
      <c r="P229" s="204">
        <f>INDEX(Mapping!$H:$H,MATCH(G$3&amp;G229,Mapping!$B:$B,0))</f>
        <v>500</v>
      </c>
      <c r="Q229" s="204" t="str">
        <f>INDEX(Mapping!$H:$H,MATCH(Q$3&amp;$F229,Mapping!$B:$B,0))</f>
        <v>Metro - Nationaal</v>
      </c>
      <c r="R229" s="204" t="str">
        <f>INDEX(Mapping!$H:$H,MATCH("ZM VPN Service Level"&amp;E229,Mapping!$B:$B,0))</f>
        <v>Advanced</v>
      </c>
      <c r="S229" s="139" t="b">
        <f>IF($D229="EoK",INDEX(Mapping!$I:$I,MATCH($G$3&amp;$G229,Mapping!B:B,0)),FALSE)</f>
        <v>0</v>
      </c>
      <c r="T229" s="139"/>
      <c r="U229" s="520" t="str">
        <f t="shared" si="115"/>
        <v>PremiumMetro500</v>
      </c>
      <c r="W229" s="521">
        <f>MATCH($J229,'Tarieven ZM'!$B:$B,0)</f>
        <v>119</v>
      </c>
      <c r="X229" s="204">
        <f>INDEX('Tarieven ZM'!$H:$H,$W229)</f>
        <v>1000</v>
      </c>
      <c r="Y229" s="198">
        <f>-INDEX(Parameters!$B:$B,MATCH(Y$3&amp;$C229,Parameters!$A:$A,0))*$X229</f>
        <v>0</v>
      </c>
      <c r="Z229" s="198">
        <f>-INDEX(Parameters!$B:$B,MATCH(Z$3&amp;$C229,Parameters!$A:$A,0))*$X229</f>
        <v>0</v>
      </c>
      <c r="AA229" s="139">
        <f t="shared" si="117"/>
        <v>1000</v>
      </c>
      <c r="AB229" s="205">
        <f>AA229/INDEX(Parameters!$B:$B,MATCH("AfschrijftermijnVVE"&amp;12*$C229,Parameters!$A:$A,0))</f>
        <v>27.777777777777779</v>
      </c>
      <c r="AC229" s="204">
        <f>INDEX('Tarieven ZM'!$G:$G,$W229)</f>
        <v>1000</v>
      </c>
      <c r="AD229" s="198">
        <f>-INDEX(Parameters!$B:$B,MATCH(AD$3&amp;$C229,Parameters!$A:$A,0))*$AC229</f>
        <v>0</v>
      </c>
      <c r="AE229" s="198">
        <f>-INDEX(Parameters!$B:$B,MATCH(AE$3,Parameters!$A:$A,0))*$AC229</f>
        <v>0</v>
      </c>
      <c r="AF229" s="139">
        <f t="shared" si="118"/>
        <v>1000</v>
      </c>
      <c r="AG229" s="522">
        <f t="shared" si="119"/>
        <v>1027.7777777777778</v>
      </c>
      <c r="AH229" s="175"/>
      <c r="AI229" s="523">
        <f>MATCH($U229,'Tarieven W&amp;O'!$B:$B,0)</f>
        <v>73</v>
      </c>
      <c r="AJ229" s="204">
        <f>IF(AI229&lt;&gt;"nvt",INDEX('Tarieven W&amp;O'!$H:$H,$AI229),0)</f>
        <v>0</v>
      </c>
      <c r="AK229" s="204">
        <f>IF(AI229&lt;&gt;"nvt",INDEX('Tarieven W&amp;O'!$I:$I,$AI229),0)</f>
        <v>25</v>
      </c>
      <c r="AL229" s="524">
        <f>IF(AI229&lt;&gt;"nvt",-INDEX(Parameters!$B:$B,MATCH(AL$3,Parameters!$A:$A,0))*(AJ229+AK229),0)</f>
        <v>0</v>
      </c>
      <c r="AM229" s="525"/>
      <c r="AN229" s="139">
        <f t="shared" si="120"/>
        <v>25</v>
      </c>
      <c r="AO229" s="205">
        <f>AN229/INDEX(Parameters!$B:$B,MATCH("AfschrijftermijnVVE"&amp;12*$C229,Parameters!$A:$A,0))</f>
        <v>0.69444444444444442</v>
      </c>
      <c r="AP229" s="139">
        <f t="shared" si="121"/>
        <v>73</v>
      </c>
      <c r="AQ229" s="526">
        <f>IF(AP229&lt;&gt;"nvt",INDEX('Tarieven W&amp;O'!$G:$G,$AP229),0)</f>
        <v>310.54000000000002</v>
      </c>
      <c r="AR229" s="251">
        <f>IF($S229,INDEX('Tarieven W&amp;O'!$G:$G,MATCH(N229&amp;R229,'Tarieven W&amp;O'!$B:$B,0)),0)</f>
        <v>0</v>
      </c>
      <c r="AS229" s="205">
        <f>-INDEX(Parameters!$B:$B,MATCH(AS$3,Parameters!$A:$A,0))*(AQ229+AR229)</f>
        <v>0</v>
      </c>
      <c r="AT229" s="205">
        <f>INDEX(hulpblad!$E:$E,MATCH(M229&amp;Q229,hulpblad!$B:$B,0))</f>
        <v>2</v>
      </c>
      <c r="AU229" s="150">
        <f t="shared" si="101"/>
        <v>312.54000000000002</v>
      </c>
      <c r="AV229" s="150">
        <f t="shared" si="102"/>
        <v>313.23444444444448</v>
      </c>
      <c r="AX229" s="526">
        <f>Parameters!$B$6*AV229</f>
        <v>3.132344444444445</v>
      </c>
      <c r="AY229" s="150">
        <v>0</v>
      </c>
      <c r="AZ229" s="150"/>
      <c r="BA229" s="150">
        <f t="shared" si="122"/>
        <v>3.132344444444445</v>
      </c>
      <c r="BB229" s="150"/>
      <c r="BC229" s="522">
        <f t="shared" si="123"/>
        <v>316.36678888888895</v>
      </c>
      <c r="BD229" s="175"/>
      <c r="BE229" s="527">
        <f t="shared" si="103"/>
        <v>711.41098888888882</v>
      </c>
      <c r="BF229" s="181">
        <f t="shared" si="104"/>
        <v>0.69218366486486482</v>
      </c>
      <c r="BG229" s="520" t="b">
        <f t="shared" si="116"/>
        <v>0</v>
      </c>
      <c r="BI229" s="528" t="s">
        <v>2181</v>
      </c>
      <c r="BL229" s="151" t="str">
        <f t="shared" si="106"/>
        <v>EoKMetro - Nationaal</v>
      </c>
      <c r="BM229" s="529">
        <v>0</v>
      </c>
      <c r="BN229" s="180">
        <f>BM229/INDEX(Parameters!$B:$B,MATCH("AfschrijftermijnVVE"&amp;12*$C229,Parameters!$A:$A,0))</f>
        <v>0</v>
      </c>
      <c r="BO229" s="184">
        <f>INDEX('inkoop ULL tbv EVPN'!I:I,MATCH(BL229,'inkoop ULL tbv EVPN'!H:H,0))</f>
        <v>2</v>
      </c>
      <c r="BP229" s="184">
        <f t="shared" si="107"/>
        <v>2</v>
      </c>
      <c r="BR229" s="180">
        <f>Parameters!$B$12*AG229</f>
        <v>102.77777777777779</v>
      </c>
      <c r="BS229" s="180">
        <f>SUM(Distributievergoedingen!$F$12,Distributievergoedingen!$I$12,Distributievergoedingen!$L$12,Distributievergoedingen!$O$12)*AF229+SUM(Distributievergoedingen!$O$12*AA229+Distributievergoedingen!$R$12+Distributievergoedingen!$U$12+Distributievergoedingen!$X$12)/(MAX(36,12*C229))</f>
        <v>112.77777777777777</v>
      </c>
      <c r="BT229" s="150"/>
      <c r="BU229" s="150">
        <f t="shared" si="108"/>
        <v>215.55555555555554</v>
      </c>
      <c r="BW229" s="522">
        <f t="shared" si="109"/>
        <v>217.55555555555554</v>
      </c>
      <c r="BY229" s="527">
        <f t="shared" si="110"/>
        <v>810.22222222222229</v>
      </c>
      <c r="BZ229" s="181">
        <f t="shared" si="111"/>
        <v>0.78832432432432431</v>
      </c>
      <c r="CA229" s="520" t="b">
        <f t="shared" si="112"/>
        <v>0</v>
      </c>
    </row>
    <row r="230" spans="1:79" s="151" customFormat="1">
      <c r="A230" s="151" t="str">
        <f t="shared" si="105"/>
        <v>2EoKPremiumNationaal800</v>
      </c>
      <c r="B230" s="520" t="str">
        <f t="shared" si="113"/>
        <v>2EoKPremiumNationaal800</v>
      </c>
      <c r="C230" s="179">
        <v>2</v>
      </c>
      <c r="D230" s="179" t="s">
        <v>303</v>
      </c>
      <c r="E230" s="178" t="s">
        <v>267</v>
      </c>
      <c r="F230" s="178" t="s">
        <v>266</v>
      </c>
      <c r="G230" s="185" t="s">
        <v>422</v>
      </c>
      <c r="J230" s="520" t="str">
        <f t="shared" si="114"/>
        <v>PremiumNationaal800</v>
      </c>
      <c r="L230" s="204">
        <f>INDEX(Mapping!$H:$H,MATCH(C$3&amp;C230,Mapping!$B:$B,0))</f>
        <v>1</v>
      </c>
      <c r="M230" s="204" t="str">
        <f>INDEX(Mapping!$H:$H,MATCH(D$3&amp;$D230,Mapping!$B:$B,0))</f>
        <v>EoK</v>
      </c>
      <c r="N230" s="204" t="str">
        <f>INDEX(Mapping!$H:$H,MATCH(E$3&amp;E230,Mapping!$B:$B,0))</f>
        <v>Premium</v>
      </c>
      <c r="O230" s="204" t="str">
        <f>INDEX(Mapping!$H:$H,MATCH(F$3&amp;F230,Mapping!$B:$B,0))</f>
        <v>Metro</v>
      </c>
      <c r="P230" s="204">
        <f>INDEX(Mapping!$H:$H,MATCH(G$3&amp;G230,Mapping!$B:$B,0))</f>
        <v>800</v>
      </c>
      <c r="Q230" s="204" t="str">
        <f>INDEX(Mapping!$H:$H,MATCH(Q$3&amp;$F230,Mapping!$B:$B,0))</f>
        <v>Metro - Nationaal</v>
      </c>
      <c r="R230" s="204" t="str">
        <f>INDEX(Mapping!$H:$H,MATCH("ZM VPN Service Level"&amp;E230,Mapping!$B:$B,0))</f>
        <v>Advanced</v>
      </c>
      <c r="S230" s="139" t="b">
        <f>IF($D230="EoK",INDEX(Mapping!$I:$I,MATCH($G$3&amp;$G230,Mapping!B:B,0)),FALSE)</f>
        <v>0</v>
      </c>
      <c r="T230" s="139"/>
      <c r="U230" s="520" t="str">
        <f t="shared" si="115"/>
        <v>PremiumMetro800</v>
      </c>
      <c r="W230" s="521">
        <f>MATCH($J230,'Tarieven ZM'!$B:$B,0)</f>
        <v>120</v>
      </c>
      <c r="X230" s="204">
        <f>INDEX('Tarieven ZM'!$H:$H,$W230)</f>
        <v>1000</v>
      </c>
      <c r="Y230" s="198">
        <f>-INDEX(Parameters!$B:$B,MATCH(Y$3&amp;$C230,Parameters!$A:$A,0))*$X230</f>
        <v>0</v>
      </c>
      <c r="Z230" s="198">
        <f>-INDEX(Parameters!$B:$B,MATCH(Z$3&amp;$C230,Parameters!$A:$A,0))*$X230</f>
        <v>0</v>
      </c>
      <c r="AA230" s="139">
        <f t="shared" si="117"/>
        <v>1000</v>
      </c>
      <c r="AB230" s="205">
        <f>AA230/INDEX(Parameters!$B:$B,MATCH("AfschrijftermijnVVE"&amp;12*$C230,Parameters!$A:$A,0))</f>
        <v>27.777777777777779</v>
      </c>
      <c r="AC230" s="204">
        <f>INDEX('Tarieven ZM'!$G:$G,$W230)</f>
        <v>1000</v>
      </c>
      <c r="AD230" s="198">
        <f>-INDEX(Parameters!$B:$B,MATCH(AD$3&amp;$C230,Parameters!$A:$A,0))*$AC230</f>
        <v>0</v>
      </c>
      <c r="AE230" s="198">
        <f>-INDEX(Parameters!$B:$B,MATCH(AE$3,Parameters!$A:$A,0))*$AC230</f>
        <v>0</v>
      </c>
      <c r="AF230" s="139">
        <f t="shared" si="118"/>
        <v>1000</v>
      </c>
      <c r="AG230" s="522">
        <f t="shared" si="119"/>
        <v>1027.7777777777778</v>
      </c>
      <c r="AH230" s="175"/>
      <c r="AI230" s="523">
        <f>MATCH($U230,'Tarieven W&amp;O'!$B:$B,0)</f>
        <v>74</v>
      </c>
      <c r="AJ230" s="204">
        <f>IF(AI230&lt;&gt;"nvt",INDEX('Tarieven W&amp;O'!$H:$H,$AI230),0)</f>
        <v>0</v>
      </c>
      <c r="AK230" s="204">
        <f>IF(AI230&lt;&gt;"nvt",INDEX('Tarieven W&amp;O'!$I:$I,$AI230),0)</f>
        <v>25</v>
      </c>
      <c r="AL230" s="524">
        <f>IF(AI230&lt;&gt;"nvt",-INDEX(Parameters!$B:$B,MATCH(AL$3,Parameters!$A:$A,0))*(AJ230+AK230),0)</f>
        <v>0</v>
      </c>
      <c r="AM230" s="525"/>
      <c r="AN230" s="139">
        <f t="shared" si="120"/>
        <v>25</v>
      </c>
      <c r="AO230" s="205">
        <f>AN230/INDEX(Parameters!$B:$B,MATCH("AfschrijftermijnVVE"&amp;12*$C230,Parameters!$A:$A,0))</f>
        <v>0.69444444444444442</v>
      </c>
      <c r="AP230" s="139">
        <f t="shared" si="121"/>
        <v>74</v>
      </c>
      <c r="AQ230" s="526">
        <f>IF(AP230&lt;&gt;"nvt",INDEX('Tarieven W&amp;O'!$G:$G,$AP230),0)</f>
        <v>348.23</v>
      </c>
      <c r="AR230" s="251">
        <f>IF($S230,INDEX('Tarieven W&amp;O'!$G:$G,MATCH(N230&amp;R230,'Tarieven W&amp;O'!$B:$B,0)),0)</f>
        <v>0</v>
      </c>
      <c r="AS230" s="205">
        <f>-INDEX(Parameters!$B:$B,MATCH(AS$3,Parameters!$A:$A,0))*(AQ230+AR230)</f>
        <v>0</v>
      </c>
      <c r="AT230" s="205">
        <f>INDEX(hulpblad!$E:$E,MATCH(M230&amp;Q230,hulpblad!$B:$B,0))</f>
        <v>2</v>
      </c>
      <c r="AU230" s="150">
        <f t="shared" si="101"/>
        <v>350.23</v>
      </c>
      <c r="AV230" s="150">
        <f t="shared" si="102"/>
        <v>350.92444444444448</v>
      </c>
      <c r="AX230" s="526">
        <f>Parameters!$B$6*AV230</f>
        <v>3.5092444444444446</v>
      </c>
      <c r="AY230" s="150">
        <v>0</v>
      </c>
      <c r="AZ230" s="150"/>
      <c r="BA230" s="150">
        <f t="shared" si="122"/>
        <v>3.5092444444444446</v>
      </c>
      <c r="BB230" s="150"/>
      <c r="BC230" s="522">
        <f t="shared" si="123"/>
        <v>354.43368888888892</v>
      </c>
      <c r="BD230" s="175"/>
      <c r="BE230" s="527">
        <f t="shared" si="103"/>
        <v>673.3440888888889</v>
      </c>
      <c r="BF230" s="181">
        <f t="shared" si="104"/>
        <v>0.65514559999999999</v>
      </c>
      <c r="BG230" s="520" t="b">
        <f t="shared" si="116"/>
        <v>0</v>
      </c>
      <c r="BI230" s="528" t="s">
        <v>2181</v>
      </c>
      <c r="BL230" s="151" t="str">
        <f t="shared" si="106"/>
        <v>EoKMetro - Nationaal</v>
      </c>
      <c r="BM230" s="529">
        <v>0</v>
      </c>
      <c r="BN230" s="180">
        <f>BM230/INDEX(Parameters!$B:$B,MATCH("AfschrijftermijnVVE"&amp;12*$C230,Parameters!$A:$A,0))</f>
        <v>0</v>
      </c>
      <c r="BO230" s="184">
        <f>INDEX('inkoop ULL tbv EVPN'!I:I,MATCH(BL230,'inkoop ULL tbv EVPN'!H:H,0))</f>
        <v>2</v>
      </c>
      <c r="BP230" s="184">
        <f t="shared" si="107"/>
        <v>2</v>
      </c>
      <c r="BR230" s="180">
        <f>Parameters!$B$12*AG230</f>
        <v>102.77777777777779</v>
      </c>
      <c r="BS230" s="180">
        <f>SUM(Distributievergoedingen!$F$12,Distributievergoedingen!$I$12,Distributievergoedingen!$L$12,Distributievergoedingen!$O$12)*AF230+SUM(Distributievergoedingen!$O$12*AA230+Distributievergoedingen!$R$12+Distributievergoedingen!$U$12+Distributievergoedingen!$X$12)/(MAX(36,12*C230))</f>
        <v>112.77777777777777</v>
      </c>
      <c r="BT230" s="150"/>
      <c r="BU230" s="150">
        <f t="shared" si="108"/>
        <v>215.55555555555554</v>
      </c>
      <c r="BW230" s="522">
        <f t="shared" si="109"/>
        <v>217.55555555555554</v>
      </c>
      <c r="BY230" s="527">
        <f t="shared" si="110"/>
        <v>810.22222222222229</v>
      </c>
      <c r="BZ230" s="181">
        <f t="shared" si="111"/>
        <v>0.78832432432432431</v>
      </c>
      <c r="CA230" s="520" t="b">
        <f t="shared" si="112"/>
        <v>0</v>
      </c>
    </row>
    <row r="231" spans="1:79" s="151" customFormat="1">
      <c r="A231" s="151" t="str">
        <f t="shared" si="105"/>
        <v>2EoKPremiumNationaal1000</v>
      </c>
      <c r="B231" s="520" t="str">
        <f t="shared" si="113"/>
        <v>2EoKPremiumNationaal1000</v>
      </c>
      <c r="C231" s="179">
        <v>2</v>
      </c>
      <c r="D231" s="179" t="s">
        <v>303</v>
      </c>
      <c r="E231" s="178" t="s">
        <v>267</v>
      </c>
      <c r="F231" s="178" t="s">
        <v>266</v>
      </c>
      <c r="G231" s="185" t="s">
        <v>423</v>
      </c>
      <c r="J231" s="520" t="str">
        <f t="shared" si="114"/>
        <v>PremiumNationaal1000</v>
      </c>
      <c r="L231" s="204">
        <f>INDEX(Mapping!$H:$H,MATCH(C$3&amp;C231,Mapping!$B:$B,0))</f>
        <v>1</v>
      </c>
      <c r="M231" s="204" t="str">
        <f>INDEX(Mapping!$H:$H,MATCH(D$3&amp;$D231,Mapping!$B:$B,0))</f>
        <v>EoK</v>
      </c>
      <c r="N231" s="204" t="str">
        <f>INDEX(Mapping!$H:$H,MATCH(E$3&amp;E231,Mapping!$B:$B,0))</f>
        <v>Premium</v>
      </c>
      <c r="O231" s="204" t="str">
        <f>INDEX(Mapping!$H:$H,MATCH(F$3&amp;F231,Mapping!$B:$B,0))</f>
        <v>Metro</v>
      </c>
      <c r="P231" s="204">
        <f>INDEX(Mapping!$H:$H,MATCH(G$3&amp;G231,Mapping!$B:$B,0))</f>
        <v>1000</v>
      </c>
      <c r="Q231" s="204" t="str">
        <f>INDEX(Mapping!$H:$H,MATCH(Q$3&amp;$F231,Mapping!$B:$B,0))</f>
        <v>Metro - Nationaal</v>
      </c>
      <c r="R231" s="204" t="str">
        <f>INDEX(Mapping!$H:$H,MATCH("ZM VPN Service Level"&amp;E231,Mapping!$B:$B,0))</f>
        <v>Advanced</v>
      </c>
      <c r="S231" s="139" t="b">
        <f>IF($D231="EoK",INDEX(Mapping!$I:$I,MATCH($G$3&amp;$G231,Mapping!B:B,0)),FALSE)</f>
        <v>0</v>
      </c>
      <c r="T231" s="139"/>
      <c r="U231" s="520" t="str">
        <f t="shared" si="115"/>
        <v>PremiumMetro1000</v>
      </c>
      <c r="W231" s="521">
        <f>MATCH($J231,'Tarieven ZM'!$B:$B,0)</f>
        <v>121</v>
      </c>
      <c r="X231" s="204">
        <f>INDEX('Tarieven ZM'!$H:$H,$W231)</f>
        <v>1000</v>
      </c>
      <c r="Y231" s="198">
        <f>-INDEX(Parameters!$B:$B,MATCH(Y$3&amp;$C231,Parameters!$A:$A,0))*$X231</f>
        <v>0</v>
      </c>
      <c r="Z231" s="198">
        <f>-INDEX(Parameters!$B:$B,MATCH(Z$3&amp;$C231,Parameters!$A:$A,0))*$X231</f>
        <v>0</v>
      </c>
      <c r="AA231" s="139">
        <f t="shared" si="117"/>
        <v>1000</v>
      </c>
      <c r="AB231" s="205">
        <f>AA231/INDEX(Parameters!$B:$B,MATCH("AfschrijftermijnVVE"&amp;12*$C231,Parameters!$A:$A,0))</f>
        <v>27.777777777777779</v>
      </c>
      <c r="AC231" s="204">
        <f>INDEX('Tarieven ZM'!$G:$G,$W231)</f>
        <v>1000</v>
      </c>
      <c r="AD231" s="198">
        <f>-INDEX(Parameters!$B:$B,MATCH(AD$3&amp;$C231,Parameters!$A:$A,0))*$AC231</f>
        <v>0</v>
      </c>
      <c r="AE231" s="198">
        <f>-INDEX(Parameters!$B:$B,MATCH(AE$3,Parameters!$A:$A,0))*$AC231</f>
        <v>0</v>
      </c>
      <c r="AF231" s="139">
        <f t="shared" si="118"/>
        <v>1000</v>
      </c>
      <c r="AG231" s="522">
        <f t="shared" si="119"/>
        <v>1027.7777777777778</v>
      </c>
      <c r="AH231" s="175"/>
      <c r="AI231" s="523">
        <f>MATCH($U231,'Tarieven W&amp;O'!$B:$B,0)</f>
        <v>75</v>
      </c>
      <c r="AJ231" s="204">
        <f>IF(AI231&lt;&gt;"nvt",INDEX('Tarieven W&amp;O'!$H:$H,$AI231),0)</f>
        <v>0</v>
      </c>
      <c r="AK231" s="204">
        <f>IF(AI231&lt;&gt;"nvt",INDEX('Tarieven W&amp;O'!$I:$I,$AI231),0)</f>
        <v>25</v>
      </c>
      <c r="AL231" s="524">
        <f>IF(AI231&lt;&gt;"nvt",-INDEX(Parameters!$B:$B,MATCH(AL$3,Parameters!$A:$A,0))*(AJ231+AK231),0)</f>
        <v>0</v>
      </c>
      <c r="AM231" s="525"/>
      <c r="AN231" s="139">
        <f t="shared" si="120"/>
        <v>25</v>
      </c>
      <c r="AO231" s="205">
        <f>AN231/INDEX(Parameters!$B:$B,MATCH("AfschrijftermijnVVE"&amp;12*$C231,Parameters!$A:$A,0))</f>
        <v>0.69444444444444442</v>
      </c>
      <c r="AP231" s="139">
        <f t="shared" si="121"/>
        <v>75</v>
      </c>
      <c r="AQ231" s="526">
        <f>IF(AP231&lt;&gt;"nvt",INDEX('Tarieven W&amp;O'!$G:$G,$AP231),0)</f>
        <v>385.93</v>
      </c>
      <c r="AR231" s="251">
        <f>IF($S231,INDEX('Tarieven W&amp;O'!$G:$G,MATCH(N231&amp;R231,'Tarieven W&amp;O'!$B:$B,0)),0)</f>
        <v>0</v>
      </c>
      <c r="AS231" s="205">
        <f>-INDEX(Parameters!$B:$B,MATCH(AS$3,Parameters!$A:$A,0))*(AQ231+AR231)</f>
        <v>0</v>
      </c>
      <c r="AT231" s="205">
        <f>INDEX(hulpblad!$E:$E,MATCH(M231&amp;Q231,hulpblad!$B:$B,0))</f>
        <v>2</v>
      </c>
      <c r="AU231" s="150">
        <f t="shared" si="101"/>
        <v>387.93</v>
      </c>
      <c r="AV231" s="150">
        <f t="shared" si="102"/>
        <v>388.62444444444446</v>
      </c>
      <c r="AX231" s="526">
        <f>Parameters!$B$6*AV231</f>
        <v>3.8862444444444448</v>
      </c>
      <c r="AY231" s="150">
        <v>0</v>
      </c>
      <c r="AZ231" s="150"/>
      <c r="BA231" s="150">
        <f t="shared" si="122"/>
        <v>3.8862444444444448</v>
      </c>
      <c r="BB231" s="150"/>
      <c r="BC231" s="522">
        <f t="shared" si="123"/>
        <v>392.51068888888892</v>
      </c>
      <c r="BD231" s="175"/>
      <c r="BE231" s="527">
        <f t="shared" si="103"/>
        <v>635.26708888888891</v>
      </c>
      <c r="BF231" s="181">
        <f t="shared" si="104"/>
        <v>0.61809770810810805</v>
      </c>
      <c r="BG231" s="520" t="b">
        <f t="shared" si="116"/>
        <v>0</v>
      </c>
      <c r="BI231" s="528" t="s">
        <v>2181</v>
      </c>
      <c r="BL231" s="151" t="str">
        <f t="shared" si="106"/>
        <v>EoKMetro - Nationaal</v>
      </c>
      <c r="BM231" s="529">
        <v>0</v>
      </c>
      <c r="BN231" s="180">
        <f>BM231/INDEX(Parameters!$B:$B,MATCH("AfschrijftermijnVVE"&amp;12*$C231,Parameters!$A:$A,0))</f>
        <v>0</v>
      </c>
      <c r="BO231" s="184">
        <f>INDEX('inkoop ULL tbv EVPN'!I:I,MATCH(BL231,'inkoop ULL tbv EVPN'!H:H,0))</f>
        <v>2</v>
      </c>
      <c r="BP231" s="184">
        <f t="shared" si="107"/>
        <v>2</v>
      </c>
      <c r="BR231" s="180">
        <f>Parameters!$B$12*AG231</f>
        <v>102.77777777777779</v>
      </c>
      <c r="BS231" s="180">
        <f>SUM(Distributievergoedingen!$F$12,Distributievergoedingen!$I$12,Distributievergoedingen!$L$12,Distributievergoedingen!$O$12)*AF231+SUM(Distributievergoedingen!$O$12*AA231+Distributievergoedingen!$R$12+Distributievergoedingen!$U$12+Distributievergoedingen!$X$12)/(MAX(36,12*C231))</f>
        <v>112.77777777777777</v>
      </c>
      <c r="BT231" s="150"/>
      <c r="BU231" s="150">
        <f t="shared" si="108"/>
        <v>215.55555555555554</v>
      </c>
      <c r="BW231" s="522">
        <f t="shared" si="109"/>
        <v>217.55555555555554</v>
      </c>
      <c r="BY231" s="527">
        <f t="shared" si="110"/>
        <v>810.22222222222229</v>
      </c>
      <c r="BZ231" s="181">
        <f t="shared" si="111"/>
        <v>0.78832432432432431</v>
      </c>
      <c r="CA231" s="520" t="b">
        <f t="shared" si="112"/>
        <v>0</v>
      </c>
    </row>
    <row r="232" spans="1:79" s="151" customFormat="1">
      <c r="A232" s="151" t="str">
        <f t="shared" ref="A232:A266" si="124">C232&amp;D232&amp;E232&amp;F232&amp;G232&amp;H232</f>
        <v>3EoKEntryCity1</v>
      </c>
      <c r="B232" s="520" t="str">
        <f>A232</f>
        <v>3EoKEntryCity1</v>
      </c>
      <c r="C232" s="179">
        <v>3</v>
      </c>
      <c r="D232" s="179" t="s">
        <v>303</v>
      </c>
      <c r="E232" s="178" t="s">
        <v>45</v>
      </c>
      <c r="F232" s="178" t="s">
        <v>262</v>
      </c>
      <c r="G232" s="185" t="s">
        <v>362</v>
      </c>
      <c r="J232" s="520" t="str">
        <f t="shared" ref="J232:J267" si="125">E232&amp;F232&amp;G232&amp;H232</f>
        <v>EntryCity1</v>
      </c>
      <c r="L232" s="204">
        <f>INDEX(Mapping!$H:$H,MATCH(C$3&amp;C232,Mapping!$B:$B,0))</f>
        <v>1</v>
      </c>
      <c r="M232" s="204" t="str">
        <f>INDEX(Mapping!$H:$H,MATCH(D$3&amp;$D232,Mapping!$B:$B,0))</f>
        <v>EoK</v>
      </c>
      <c r="N232" s="204" t="str">
        <f>INDEX(Mapping!$H:$H,MATCH(E$3&amp;E232,Mapping!$B:$B,0))</f>
        <v>Lite</v>
      </c>
      <c r="O232" s="204" t="str">
        <f>INDEX(Mapping!$H:$H,MATCH(F$3&amp;F232,Mapping!$B:$B,0))</f>
        <v>Metro</v>
      </c>
      <c r="P232" s="204">
        <f>INDEX(Mapping!$H:$H,MATCH(G$3&amp;G232,Mapping!$B:$B,0))</f>
        <v>1</v>
      </c>
      <c r="Q232" s="204" t="str">
        <f>INDEX(Mapping!$H:$H,MATCH(Q$3&amp;$F232,Mapping!$B:$B,0))</f>
        <v>Metro - Regionaal</v>
      </c>
      <c r="R232" s="204" t="str">
        <f>INDEX(Mapping!$H:$H,MATCH("ZM VPN Service Level"&amp;E232,Mapping!$B:$B,0))</f>
        <v>Advanced</v>
      </c>
      <c r="S232" s="139" t="b">
        <f>IF($D232="EoK",INDEX(Mapping!$I:$I,MATCH($G$3&amp;$G232,Mapping!B:B,0)),FALSE)</f>
        <v>1</v>
      </c>
      <c r="T232" s="139"/>
      <c r="U232" s="520" t="str">
        <f t="shared" ref="U232:U267" si="126">N232&amp;O232&amp;P232</f>
        <v>LiteMetro1</v>
      </c>
      <c r="W232" s="521">
        <f>MATCH($J232,'Tarieven ZM'!$B:$B,0)</f>
        <v>8</v>
      </c>
      <c r="X232" s="204">
        <f>INDEX('Tarieven ZM'!$H:$H,$W232)</f>
        <v>1000</v>
      </c>
      <c r="Y232" s="198">
        <f>-INDEX(Parameters!$B:$B,MATCH(Y$3&amp;$C232,Parameters!$A:$A,0))*$X232</f>
        <v>0</v>
      </c>
      <c r="Z232" s="198">
        <f>-INDEX(Parameters!$B:$B,MATCH(Z$3&amp;$C232,Parameters!$A:$A,0))*$X232</f>
        <v>0</v>
      </c>
      <c r="AA232" s="139">
        <f t="shared" ref="AA232:AA271" si="127">SUM(X232:Z232)</f>
        <v>1000</v>
      </c>
      <c r="AB232" s="205">
        <f>AA232/INDEX(Parameters!$B:$B,MATCH("AfschrijftermijnVVE"&amp;12*$C232,Parameters!$A:$A,0))</f>
        <v>27.777777777777779</v>
      </c>
      <c r="AC232" s="204">
        <f>INDEX('Tarieven ZM'!$G:$G,$W232)</f>
        <v>1000</v>
      </c>
      <c r="AD232" s="198">
        <f>-INDEX(Parameters!$B:$B,MATCH(AD$3&amp;$C232,Parameters!$A:$A,0))*$AC232</f>
        <v>0</v>
      </c>
      <c r="AE232" s="198">
        <f>-INDEX(Parameters!$B:$B,MATCH(AE$3,Parameters!$A:$A,0))*$AC232</f>
        <v>0</v>
      </c>
      <c r="AF232" s="139">
        <f t="shared" ref="AF232:AF271" si="128">SUM(AC232:AE232)</f>
        <v>1000</v>
      </c>
      <c r="AG232" s="522">
        <f t="shared" ref="AG232:AG271" si="129">SUM(AB232,AF232)</f>
        <v>1027.7777777777778</v>
      </c>
      <c r="AH232" s="175"/>
      <c r="AI232" s="523">
        <f>MATCH($U232,'Tarieven W&amp;O'!$B:$B,0)</f>
        <v>36</v>
      </c>
      <c r="AJ232" s="204">
        <f>IF(AI232&lt;&gt;"nvt",INDEX('Tarieven W&amp;O'!$H:$H,$AI232),0)</f>
        <v>0</v>
      </c>
      <c r="AK232" s="204">
        <f>IF(AI232&lt;&gt;"nvt",INDEX('Tarieven W&amp;O'!$I:$I,$AI232),0)</f>
        <v>25</v>
      </c>
      <c r="AL232" s="524">
        <f>IF(AI232&lt;&gt;"nvt",-INDEX(Parameters!$B:$B,MATCH(AL$3,Parameters!$A:$A,0))*(AJ232+AK232),0)</f>
        <v>0</v>
      </c>
      <c r="AM232" s="525"/>
      <c r="AN232" s="139">
        <f t="shared" ref="AN232:AN271" si="130">SUM(AJ232:AM232)</f>
        <v>25</v>
      </c>
      <c r="AO232" s="205">
        <f>AN232/INDEX(Parameters!$B:$B,MATCH("AfschrijftermijnVVE"&amp;12*$C232,Parameters!$A:$A,0))</f>
        <v>0.69444444444444442</v>
      </c>
      <c r="AP232" s="139">
        <f t="shared" ref="AP232:AP271" si="131">AI232</f>
        <v>36</v>
      </c>
      <c r="AQ232" s="526">
        <f>IF(AP232&lt;&gt;"nvt",INDEX('Tarieven W&amp;O'!$G:$G,$AP232),0)</f>
        <v>14.29</v>
      </c>
      <c r="AR232" s="251">
        <f>IF($S232,INDEX('Tarieven W&amp;O'!$G:$G,MATCH(N232&amp;R232,'Tarieven W&amp;O'!$B:$B,0)),0)</f>
        <v>5.25</v>
      </c>
      <c r="AS232" s="205">
        <f>-INDEX(Parameters!$B:$B,MATCH(AS$3,Parameters!$A:$A,0))*(AQ232+AR232)</f>
        <v>0</v>
      </c>
      <c r="AT232" s="205">
        <f>INDEX(hulpblad!$E:$E,MATCH(M232&amp;Q232,hulpblad!$B:$B,0))</f>
        <v>1</v>
      </c>
      <c r="AU232" s="150">
        <f t="shared" ref="AU232:AU265" si="132">SUM(AQ232:AT232)</f>
        <v>20.54</v>
      </c>
      <c r="AV232" s="150">
        <f t="shared" ref="AV232:AV265" si="133">SUM(AO232,AU232)</f>
        <v>21.234444444444442</v>
      </c>
      <c r="AX232" s="526">
        <f>Parameters!$B$6*AV232</f>
        <v>0.21234444444444442</v>
      </c>
      <c r="AY232" s="150">
        <v>0</v>
      </c>
      <c r="AZ232" s="150"/>
      <c r="BA232" s="150">
        <f t="shared" ref="BA232:BA271" si="134">SUM(AX232:AZ232)</f>
        <v>0.21234444444444442</v>
      </c>
      <c r="BB232" s="150"/>
      <c r="BC232" s="522">
        <f t="shared" ref="BC232:BC271" si="135">SUM(AV232,BA232)</f>
        <v>21.446788888888886</v>
      </c>
      <c r="BD232" s="175"/>
      <c r="BE232" s="527">
        <f t="shared" ref="BE232:BE265" si="136">AG232-BC232</f>
        <v>1006.3309888888889</v>
      </c>
      <c r="BF232" s="181">
        <f t="shared" ref="BF232:BF265" si="137">IF(AG232=0,-999%,BE232/AG232)</f>
        <v>0.97913285405405404</v>
      </c>
      <c r="BG232" s="520" t="b">
        <f t="shared" ref="BG232:BG267" si="138">BF232&lt;0</f>
        <v>0</v>
      </c>
      <c r="BI232" s="528" t="s">
        <v>2181</v>
      </c>
      <c r="BL232" s="151" t="str">
        <f t="shared" ref="BL232:BL266" si="139">M232&amp;Q232</f>
        <v>EoKMetro - Regionaal</v>
      </c>
      <c r="BM232" s="529">
        <v>0</v>
      </c>
      <c r="BN232" s="180">
        <f>BM232/INDEX(Parameters!$B:$B,MATCH("AfschrijftermijnVVE"&amp;12*$C232,Parameters!$A:$A,0))</f>
        <v>0</v>
      </c>
      <c r="BO232" s="184">
        <f>INDEX('inkoop ULL tbv EVPN'!I:I,MATCH(BL232,'inkoop ULL tbv EVPN'!H:H,0))</f>
        <v>2</v>
      </c>
      <c r="BP232" s="184">
        <f t="shared" ref="BP232:BP266" si="140">BN232+BO232</f>
        <v>2</v>
      </c>
      <c r="BR232" s="180">
        <f>Parameters!$B$12*AG232</f>
        <v>102.77777777777779</v>
      </c>
      <c r="BS232" s="180">
        <f>SUM(Distributievergoedingen!$F$12,Distributievergoedingen!$I$12,Distributievergoedingen!$L$12,Distributievergoedingen!$O$12)*AF232+SUM(Distributievergoedingen!$O$12*AA232+Distributievergoedingen!$R$12+Distributievergoedingen!$U$12+Distributievergoedingen!$X$12)/(MAX(36,12*C232))</f>
        <v>112.77777777777777</v>
      </c>
      <c r="BT232" s="150"/>
      <c r="BU232" s="150">
        <f t="shared" ref="BU232:BU266" si="141">SUM(BR232:BT232)</f>
        <v>215.55555555555554</v>
      </c>
      <c r="BW232" s="522">
        <f t="shared" ref="BW232:BW266" si="142">SUM(BP232,BU232)</f>
        <v>217.55555555555554</v>
      </c>
      <c r="BY232" s="527">
        <f t="shared" ref="BY232:BY266" si="143">AG232-BW232</f>
        <v>810.22222222222229</v>
      </c>
      <c r="BZ232" s="181">
        <f t="shared" ref="BZ232:BZ266" si="144">IF(AG232=0,-999%,BY232/AG232)</f>
        <v>0.78832432432432431</v>
      </c>
      <c r="CA232" s="520" t="b">
        <f t="shared" ref="CA232:CA266" si="145">BZ232&lt;0</f>
        <v>0</v>
      </c>
    </row>
    <row r="233" spans="1:79" s="151" customFormat="1">
      <c r="A233" s="151" t="str">
        <f t="shared" si="124"/>
        <v>3EoKEntryCity2</v>
      </c>
      <c r="B233" s="520" t="str">
        <f>A233</f>
        <v>3EoKEntryCity2</v>
      </c>
      <c r="C233" s="179">
        <v>3</v>
      </c>
      <c r="D233" s="179" t="s">
        <v>303</v>
      </c>
      <c r="E233" s="178" t="s">
        <v>45</v>
      </c>
      <c r="F233" s="178" t="s">
        <v>262</v>
      </c>
      <c r="G233" s="185" t="s">
        <v>363</v>
      </c>
      <c r="J233" s="520" t="str">
        <f t="shared" si="125"/>
        <v>EntryCity2</v>
      </c>
      <c r="L233" s="204">
        <f>INDEX(Mapping!$H:$H,MATCH(C$3&amp;C233,Mapping!$B:$B,0))</f>
        <v>1</v>
      </c>
      <c r="M233" s="204" t="str">
        <f>INDEX(Mapping!$H:$H,MATCH(D$3&amp;$D233,Mapping!$B:$B,0))</f>
        <v>EoK</v>
      </c>
      <c r="N233" s="204" t="str">
        <f>INDEX(Mapping!$H:$H,MATCH(E$3&amp;E233,Mapping!$B:$B,0))</f>
        <v>Lite</v>
      </c>
      <c r="O233" s="204" t="str">
        <f>INDEX(Mapping!$H:$H,MATCH(F$3&amp;F233,Mapping!$B:$B,0))</f>
        <v>Metro</v>
      </c>
      <c r="P233" s="204">
        <f>INDEX(Mapping!$H:$H,MATCH(G$3&amp;G233,Mapping!$B:$B,0))</f>
        <v>2</v>
      </c>
      <c r="Q233" s="204" t="str">
        <f>INDEX(Mapping!$H:$H,MATCH(Q$3&amp;$F233,Mapping!$B:$B,0))</f>
        <v>Metro - Regionaal</v>
      </c>
      <c r="R233" s="204" t="str">
        <f>INDEX(Mapping!$H:$H,MATCH("ZM VPN Service Level"&amp;E233,Mapping!$B:$B,0))</f>
        <v>Advanced</v>
      </c>
      <c r="S233" s="139" t="b">
        <f>IF($D233="EoK",INDEX(Mapping!$I:$I,MATCH($G$3&amp;$G233,Mapping!B:B,0)),FALSE)</f>
        <v>1</v>
      </c>
      <c r="T233" s="139"/>
      <c r="U233" s="520" t="str">
        <f t="shared" si="126"/>
        <v>LiteMetro2</v>
      </c>
      <c r="W233" s="521">
        <f>MATCH($J233,'Tarieven ZM'!$B:$B,0)</f>
        <v>9</v>
      </c>
      <c r="X233" s="204">
        <f>INDEX('Tarieven ZM'!$H:$H,$W233)</f>
        <v>1000</v>
      </c>
      <c r="Y233" s="198">
        <f>-INDEX(Parameters!$B:$B,MATCH(Y$3&amp;$C233,Parameters!$A:$A,0))*$X233</f>
        <v>0</v>
      </c>
      <c r="Z233" s="198">
        <f>-INDEX(Parameters!$B:$B,MATCH(Z$3&amp;$C233,Parameters!$A:$A,0))*$X233</f>
        <v>0</v>
      </c>
      <c r="AA233" s="139">
        <f t="shared" si="127"/>
        <v>1000</v>
      </c>
      <c r="AB233" s="205">
        <f>AA233/INDEX(Parameters!$B:$B,MATCH("AfschrijftermijnVVE"&amp;12*$C233,Parameters!$A:$A,0))</f>
        <v>27.777777777777779</v>
      </c>
      <c r="AC233" s="204">
        <f>INDEX('Tarieven ZM'!$G:$G,$W233)</f>
        <v>1000</v>
      </c>
      <c r="AD233" s="198">
        <f>-INDEX(Parameters!$B:$B,MATCH(AD$3&amp;$C233,Parameters!$A:$A,0))*$AC233</f>
        <v>0</v>
      </c>
      <c r="AE233" s="198">
        <f>-INDEX(Parameters!$B:$B,MATCH(AE$3,Parameters!$A:$A,0))*$AC233</f>
        <v>0</v>
      </c>
      <c r="AF233" s="139">
        <f t="shared" si="128"/>
        <v>1000</v>
      </c>
      <c r="AG233" s="522">
        <f t="shared" si="129"/>
        <v>1027.7777777777778</v>
      </c>
      <c r="AH233" s="175"/>
      <c r="AI233" s="523">
        <f>MATCH($U233,'Tarieven W&amp;O'!$B:$B,0)</f>
        <v>37</v>
      </c>
      <c r="AJ233" s="204">
        <f>IF(AI233&lt;&gt;"nvt",INDEX('Tarieven W&amp;O'!$H:$H,$AI233),0)</f>
        <v>0</v>
      </c>
      <c r="AK233" s="204">
        <f>IF(AI233&lt;&gt;"nvt",INDEX('Tarieven W&amp;O'!$I:$I,$AI233),0)</f>
        <v>25</v>
      </c>
      <c r="AL233" s="524">
        <f>IF(AI233&lt;&gt;"nvt",-INDEX(Parameters!$B:$B,MATCH(AL$3,Parameters!$A:$A,0))*(AJ233+AK233),0)</f>
        <v>0</v>
      </c>
      <c r="AM233" s="525"/>
      <c r="AN233" s="139">
        <f t="shared" si="130"/>
        <v>25</v>
      </c>
      <c r="AO233" s="205">
        <f>AN233/INDEX(Parameters!$B:$B,MATCH("AfschrijftermijnVVE"&amp;12*$C233,Parameters!$A:$A,0))</f>
        <v>0.69444444444444442</v>
      </c>
      <c r="AP233" s="139">
        <f t="shared" si="131"/>
        <v>37</v>
      </c>
      <c r="AQ233" s="526">
        <f>IF(AP233&lt;&gt;"nvt",INDEX('Tarieven W&amp;O'!$G:$G,$AP233),0)</f>
        <v>16.55</v>
      </c>
      <c r="AR233" s="251">
        <f>IF($S233,INDEX('Tarieven W&amp;O'!$G:$G,MATCH(N233&amp;R233,'Tarieven W&amp;O'!$B:$B,0)),0)</f>
        <v>5.25</v>
      </c>
      <c r="AS233" s="205">
        <f>-INDEX(Parameters!$B:$B,MATCH(AS$3,Parameters!$A:$A,0))*(AQ233+AR233)</f>
        <v>0</v>
      </c>
      <c r="AT233" s="205">
        <f>INDEX(hulpblad!$E:$E,MATCH(M233&amp;Q233,hulpblad!$B:$B,0))</f>
        <v>1</v>
      </c>
      <c r="AU233" s="150">
        <f t="shared" si="132"/>
        <v>22.8</v>
      </c>
      <c r="AV233" s="150">
        <f t="shared" si="133"/>
        <v>23.494444444444444</v>
      </c>
      <c r="AX233" s="526">
        <f>Parameters!$B$6*AV233</f>
        <v>0.23494444444444443</v>
      </c>
      <c r="AY233" s="150">
        <v>0</v>
      </c>
      <c r="AZ233" s="150"/>
      <c r="BA233" s="150">
        <f t="shared" si="134"/>
        <v>0.23494444444444443</v>
      </c>
      <c r="BB233" s="150"/>
      <c r="BC233" s="522">
        <f t="shared" si="135"/>
        <v>23.729388888888888</v>
      </c>
      <c r="BD233" s="175"/>
      <c r="BE233" s="527">
        <f t="shared" si="136"/>
        <v>1004.0483888888889</v>
      </c>
      <c r="BF233" s="181">
        <f t="shared" si="137"/>
        <v>0.97691194594594588</v>
      </c>
      <c r="BG233" s="520" t="b">
        <f t="shared" si="138"/>
        <v>0</v>
      </c>
      <c r="BI233" s="528" t="s">
        <v>2181</v>
      </c>
      <c r="BL233" s="151" t="str">
        <f t="shared" si="139"/>
        <v>EoKMetro - Regionaal</v>
      </c>
      <c r="BM233" s="529">
        <v>0</v>
      </c>
      <c r="BN233" s="180">
        <f>BM233/INDEX(Parameters!$B:$B,MATCH("AfschrijftermijnVVE"&amp;12*$C233,Parameters!$A:$A,0))</f>
        <v>0</v>
      </c>
      <c r="BO233" s="184">
        <f>INDEX('inkoop ULL tbv EVPN'!I:I,MATCH(BL233,'inkoop ULL tbv EVPN'!H:H,0))</f>
        <v>2</v>
      </c>
      <c r="BP233" s="184">
        <f t="shared" si="140"/>
        <v>2</v>
      </c>
      <c r="BR233" s="180">
        <f>Parameters!$B$12*AG233</f>
        <v>102.77777777777779</v>
      </c>
      <c r="BS233" s="180">
        <f>SUM(Distributievergoedingen!$F$12,Distributievergoedingen!$I$12,Distributievergoedingen!$L$12,Distributievergoedingen!$O$12)*AF233+SUM(Distributievergoedingen!$O$12*AA233+Distributievergoedingen!$R$12+Distributievergoedingen!$U$12+Distributievergoedingen!$X$12)/(MAX(36,12*C233))</f>
        <v>112.77777777777777</v>
      </c>
      <c r="BT233" s="150"/>
      <c r="BU233" s="150">
        <f t="shared" si="141"/>
        <v>215.55555555555554</v>
      </c>
      <c r="BW233" s="522">
        <f t="shared" si="142"/>
        <v>217.55555555555554</v>
      </c>
      <c r="BY233" s="527">
        <f t="shared" si="143"/>
        <v>810.22222222222229</v>
      </c>
      <c r="BZ233" s="181">
        <f t="shared" si="144"/>
        <v>0.78832432432432431</v>
      </c>
      <c r="CA233" s="520" t="b">
        <f t="shared" si="145"/>
        <v>0</v>
      </c>
    </row>
    <row r="234" spans="1:79" s="151" customFormat="1">
      <c r="A234" s="151" t="str">
        <f t="shared" si="124"/>
        <v>3EoKEntryCity3</v>
      </c>
      <c r="B234" s="520" t="str">
        <f t="shared" ref="B234:B297" si="146">A234</f>
        <v>3EoKEntryCity3</v>
      </c>
      <c r="C234" s="179">
        <v>3</v>
      </c>
      <c r="D234" s="179" t="s">
        <v>303</v>
      </c>
      <c r="E234" s="178" t="s">
        <v>45</v>
      </c>
      <c r="F234" s="178" t="s">
        <v>262</v>
      </c>
      <c r="G234" s="185" t="s">
        <v>407</v>
      </c>
      <c r="J234" s="520" t="str">
        <f t="shared" si="125"/>
        <v>EntryCity3</v>
      </c>
      <c r="L234" s="204">
        <f>INDEX(Mapping!$H:$H,MATCH(C$3&amp;C234,Mapping!$B:$B,0))</f>
        <v>1</v>
      </c>
      <c r="M234" s="204" t="str">
        <f>INDEX(Mapping!$H:$H,MATCH(D$3&amp;$D234,Mapping!$B:$B,0))</f>
        <v>EoK</v>
      </c>
      <c r="N234" s="204" t="str">
        <f>INDEX(Mapping!$H:$H,MATCH(E$3&amp;E234,Mapping!$B:$B,0))</f>
        <v>Lite</v>
      </c>
      <c r="O234" s="204" t="str">
        <f>INDEX(Mapping!$H:$H,MATCH(F$3&amp;F234,Mapping!$B:$B,0))</f>
        <v>Metro</v>
      </c>
      <c r="P234" s="204">
        <f>INDEX(Mapping!$H:$H,MATCH(G$3&amp;G234,Mapping!$B:$B,0))</f>
        <v>3</v>
      </c>
      <c r="Q234" s="204" t="str">
        <f>INDEX(Mapping!$H:$H,MATCH(Q$3&amp;$F234,Mapping!$B:$B,0))</f>
        <v>Metro - Regionaal</v>
      </c>
      <c r="R234" s="204" t="str">
        <f>INDEX(Mapping!$H:$H,MATCH("ZM VPN Service Level"&amp;E234,Mapping!$B:$B,0))</f>
        <v>Advanced</v>
      </c>
      <c r="S234" s="139" t="b">
        <f>IF($D234="EoK",INDEX(Mapping!$I:$I,MATCH($G$3&amp;$G234,Mapping!B:B,0)),FALSE)</f>
        <v>0</v>
      </c>
      <c r="T234" s="139"/>
      <c r="U234" s="520" t="str">
        <f t="shared" si="126"/>
        <v>LiteMetro3</v>
      </c>
      <c r="W234" s="521">
        <f>MATCH($J234,'Tarieven ZM'!$B:$B,0)</f>
        <v>10</v>
      </c>
      <c r="X234" s="204">
        <f>INDEX('Tarieven ZM'!$H:$H,$W234)</f>
        <v>1000</v>
      </c>
      <c r="Y234" s="198">
        <f>-INDEX(Parameters!$B:$B,MATCH(Y$3&amp;$C234,Parameters!$A:$A,0))*$X234</f>
        <v>0</v>
      </c>
      <c r="Z234" s="198">
        <f>-INDEX(Parameters!$B:$B,MATCH(Z$3&amp;$C234,Parameters!$A:$A,0))*$X234</f>
        <v>0</v>
      </c>
      <c r="AA234" s="139">
        <f t="shared" si="127"/>
        <v>1000</v>
      </c>
      <c r="AB234" s="205">
        <f>AA234/INDEX(Parameters!$B:$B,MATCH("AfschrijftermijnVVE"&amp;12*$C234,Parameters!$A:$A,0))</f>
        <v>27.777777777777779</v>
      </c>
      <c r="AC234" s="204">
        <f>INDEX('Tarieven ZM'!$G:$G,$W234)</f>
        <v>1000</v>
      </c>
      <c r="AD234" s="198">
        <f>-INDEX(Parameters!$B:$B,MATCH(AD$3&amp;$C234,Parameters!$A:$A,0))*$AC234</f>
        <v>0</v>
      </c>
      <c r="AE234" s="198">
        <f>-INDEX(Parameters!$B:$B,MATCH(AE$3,Parameters!$A:$A,0))*$AC234</f>
        <v>0</v>
      </c>
      <c r="AF234" s="139">
        <f t="shared" si="128"/>
        <v>1000</v>
      </c>
      <c r="AG234" s="522">
        <f t="shared" si="129"/>
        <v>1027.7777777777778</v>
      </c>
      <c r="AH234" s="175"/>
      <c r="AI234" s="523">
        <f>MATCH($U234,'Tarieven W&amp;O'!$B:$B,0)</f>
        <v>38</v>
      </c>
      <c r="AJ234" s="204">
        <f>IF(AI234&lt;&gt;"nvt",INDEX('Tarieven W&amp;O'!$H:$H,$AI234),0)</f>
        <v>0</v>
      </c>
      <c r="AK234" s="204">
        <f>IF(AI234&lt;&gt;"nvt",INDEX('Tarieven W&amp;O'!$I:$I,$AI234),0)</f>
        <v>25</v>
      </c>
      <c r="AL234" s="524">
        <f>IF(AI234&lt;&gt;"nvt",-INDEX(Parameters!$B:$B,MATCH(AL$3,Parameters!$A:$A,0))*(AJ234+AK234),0)</f>
        <v>0</v>
      </c>
      <c r="AM234" s="525"/>
      <c r="AN234" s="139">
        <f t="shared" si="130"/>
        <v>25</v>
      </c>
      <c r="AO234" s="205">
        <f>AN234/INDEX(Parameters!$B:$B,MATCH("AfschrijftermijnVVE"&amp;12*$C234,Parameters!$A:$A,0))</f>
        <v>0.69444444444444442</v>
      </c>
      <c r="AP234" s="139">
        <f t="shared" si="131"/>
        <v>38</v>
      </c>
      <c r="AQ234" s="526">
        <f>IF(AP234&lt;&gt;"nvt",INDEX('Tarieven W&amp;O'!$G:$G,$AP234),0)</f>
        <v>18.47</v>
      </c>
      <c r="AR234" s="251">
        <f>IF($S234,INDEX('Tarieven W&amp;O'!$G:$G,MATCH(N234&amp;R234,'Tarieven W&amp;O'!$B:$B,0)),0)</f>
        <v>0</v>
      </c>
      <c r="AS234" s="205">
        <f>-INDEX(Parameters!$B:$B,MATCH(AS$3,Parameters!$A:$A,0))*(AQ234+AR234)</f>
        <v>0</v>
      </c>
      <c r="AT234" s="205">
        <f>INDEX(hulpblad!$E:$E,MATCH(M234&amp;Q234,hulpblad!$B:$B,0))</f>
        <v>1</v>
      </c>
      <c r="AU234" s="150">
        <f t="shared" si="132"/>
        <v>19.47</v>
      </c>
      <c r="AV234" s="150">
        <f t="shared" si="133"/>
        <v>20.164444444444442</v>
      </c>
      <c r="AX234" s="526">
        <f>Parameters!$B$6*AV234</f>
        <v>0.20164444444444443</v>
      </c>
      <c r="AY234" s="150">
        <v>0</v>
      </c>
      <c r="AZ234" s="150"/>
      <c r="BA234" s="150">
        <f t="shared" si="134"/>
        <v>0.20164444444444443</v>
      </c>
      <c r="BB234" s="150"/>
      <c r="BC234" s="522">
        <f t="shared" si="135"/>
        <v>20.366088888888886</v>
      </c>
      <c r="BD234" s="175"/>
      <c r="BE234" s="527">
        <f t="shared" si="136"/>
        <v>1007.411688888889</v>
      </c>
      <c r="BF234" s="181">
        <f t="shared" si="137"/>
        <v>0.98018434594594595</v>
      </c>
      <c r="BG234" s="520" t="b">
        <f t="shared" si="138"/>
        <v>0</v>
      </c>
      <c r="BI234" s="528" t="s">
        <v>2181</v>
      </c>
      <c r="BL234" s="151" t="str">
        <f t="shared" si="139"/>
        <v>EoKMetro - Regionaal</v>
      </c>
      <c r="BM234" s="529">
        <v>0</v>
      </c>
      <c r="BN234" s="180">
        <f>BM234/INDEX(Parameters!$B:$B,MATCH("AfschrijftermijnVVE"&amp;12*$C234,Parameters!$A:$A,0))</f>
        <v>0</v>
      </c>
      <c r="BO234" s="184">
        <f>INDEX('inkoop ULL tbv EVPN'!I:I,MATCH(BL234,'inkoop ULL tbv EVPN'!H:H,0))</f>
        <v>2</v>
      </c>
      <c r="BP234" s="184">
        <f t="shared" si="140"/>
        <v>2</v>
      </c>
      <c r="BR234" s="180">
        <f>Parameters!$B$12*AG234</f>
        <v>102.77777777777779</v>
      </c>
      <c r="BS234" s="180">
        <f>SUM(Distributievergoedingen!$F$12,Distributievergoedingen!$I$12,Distributievergoedingen!$L$12,Distributievergoedingen!$O$12)*AF234+SUM(Distributievergoedingen!$O$12*AA234+Distributievergoedingen!$R$12+Distributievergoedingen!$U$12+Distributievergoedingen!$X$12)/(MAX(36,12*C234))</f>
        <v>112.77777777777777</v>
      </c>
      <c r="BT234" s="150"/>
      <c r="BU234" s="150">
        <f t="shared" si="141"/>
        <v>215.55555555555554</v>
      </c>
      <c r="BW234" s="522">
        <f t="shared" si="142"/>
        <v>217.55555555555554</v>
      </c>
      <c r="BY234" s="527">
        <f t="shared" si="143"/>
        <v>810.22222222222229</v>
      </c>
      <c r="BZ234" s="181">
        <f t="shared" si="144"/>
        <v>0.78832432432432431</v>
      </c>
      <c r="CA234" s="520" t="b">
        <f t="shared" si="145"/>
        <v>0</v>
      </c>
    </row>
    <row r="235" spans="1:79" s="151" customFormat="1">
      <c r="A235" s="151" t="str">
        <f t="shared" si="124"/>
        <v>3EoKEntryCity4</v>
      </c>
      <c r="B235" s="520" t="str">
        <f t="shared" si="146"/>
        <v>3EoKEntryCity4</v>
      </c>
      <c r="C235" s="179">
        <v>3</v>
      </c>
      <c r="D235" s="179" t="s">
        <v>303</v>
      </c>
      <c r="E235" s="178" t="s">
        <v>45</v>
      </c>
      <c r="F235" s="178" t="s">
        <v>262</v>
      </c>
      <c r="G235" s="185" t="s">
        <v>408</v>
      </c>
      <c r="J235" s="520" t="str">
        <f t="shared" si="125"/>
        <v>EntryCity4</v>
      </c>
      <c r="L235" s="204">
        <f>INDEX(Mapping!$H:$H,MATCH(C$3&amp;C235,Mapping!$B:$B,0))</f>
        <v>1</v>
      </c>
      <c r="M235" s="204" t="str">
        <f>INDEX(Mapping!$H:$H,MATCH(D$3&amp;$D235,Mapping!$B:$B,0))</f>
        <v>EoK</v>
      </c>
      <c r="N235" s="204" t="str">
        <f>INDEX(Mapping!$H:$H,MATCH(E$3&amp;E235,Mapping!$B:$B,0))</f>
        <v>Lite</v>
      </c>
      <c r="O235" s="204" t="str">
        <f>INDEX(Mapping!$H:$H,MATCH(F$3&amp;F235,Mapping!$B:$B,0))</f>
        <v>Metro</v>
      </c>
      <c r="P235" s="204">
        <f>INDEX(Mapping!$H:$H,MATCH(G$3&amp;G235,Mapping!$B:$B,0))</f>
        <v>4</v>
      </c>
      <c r="Q235" s="204" t="str">
        <f>INDEX(Mapping!$H:$H,MATCH(Q$3&amp;$F235,Mapping!$B:$B,0))</f>
        <v>Metro - Regionaal</v>
      </c>
      <c r="R235" s="204" t="str">
        <f>INDEX(Mapping!$H:$H,MATCH("ZM VPN Service Level"&amp;E235,Mapping!$B:$B,0))</f>
        <v>Advanced</v>
      </c>
      <c r="S235" s="139" t="b">
        <f>IF($D235="EoK",INDEX(Mapping!$I:$I,MATCH($G$3&amp;$G235,Mapping!B:B,0)),FALSE)</f>
        <v>0</v>
      </c>
      <c r="T235" s="139"/>
      <c r="U235" s="520" t="str">
        <f t="shared" si="126"/>
        <v>LiteMetro4</v>
      </c>
      <c r="W235" s="521">
        <f>MATCH($J235,'Tarieven ZM'!$B:$B,0)</f>
        <v>11</v>
      </c>
      <c r="X235" s="204">
        <f>INDEX('Tarieven ZM'!$H:$H,$W235)</f>
        <v>1000</v>
      </c>
      <c r="Y235" s="198">
        <f>-INDEX(Parameters!$B:$B,MATCH(Y$3&amp;$C235,Parameters!$A:$A,0))*$X235</f>
        <v>0</v>
      </c>
      <c r="Z235" s="198">
        <f>-INDEX(Parameters!$B:$B,MATCH(Z$3&amp;$C235,Parameters!$A:$A,0))*$X235</f>
        <v>0</v>
      </c>
      <c r="AA235" s="139">
        <f t="shared" si="127"/>
        <v>1000</v>
      </c>
      <c r="AB235" s="205">
        <f>AA235/INDEX(Parameters!$B:$B,MATCH("AfschrijftermijnVVE"&amp;12*$C235,Parameters!$A:$A,0))</f>
        <v>27.777777777777779</v>
      </c>
      <c r="AC235" s="204">
        <f>INDEX('Tarieven ZM'!$G:$G,$W235)</f>
        <v>1000</v>
      </c>
      <c r="AD235" s="198">
        <f>-INDEX(Parameters!$B:$B,MATCH(AD$3&amp;$C235,Parameters!$A:$A,0))*$AC235</f>
        <v>0</v>
      </c>
      <c r="AE235" s="198">
        <f>-INDEX(Parameters!$B:$B,MATCH(AE$3,Parameters!$A:$A,0))*$AC235</f>
        <v>0</v>
      </c>
      <c r="AF235" s="139">
        <f t="shared" si="128"/>
        <v>1000</v>
      </c>
      <c r="AG235" s="522">
        <f t="shared" si="129"/>
        <v>1027.7777777777778</v>
      </c>
      <c r="AH235" s="175"/>
      <c r="AI235" s="523">
        <f>MATCH($U235,'Tarieven W&amp;O'!$B:$B,0)</f>
        <v>39</v>
      </c>
      <c r="AJ235" s="204">
        <f>IF(AI235&lt;&gt;"nvt",INDEX('Tarieven W&amp;O'!$H:$H,$AI235),0)</f>
        <v>0</v>
      </c>
      <c r="AK235" s="204">
        <f>IF(AI235&lt;&gt;"nvt",INDEX('Tarieven W&amp;O'!$I:$I,$AI235),0)</f>
        <v>25</v>
      </c>
      <c r="AL235" s="524">
        <f>IF(AI235&lt;&gt;"nvt",-INDEX(Parameters!$B:$B,MATCH(AL$3,Parameters!$A:$A,0))*(AJ235+AK235),0)</f>
        <v>0</v>
      </c>
      <c r="AM235" s="525"/>
      <c r="AN235" s="139">
        <f t="shared" si="130"/>
        <v>25</v>
      </c>
      <c r="AO235" s="205">
        <f>AN235/INDEX(Parameters!$B:$B,MATCH("AfschrijftermijnVVE"&amp;12*$C235,Parameters!$A:$A,0))</f>
        <v>0.69444444444444442</v>
      </c>
      <c r="AP235" s="139">
        <f t="shared" si="131"/>
        <v>39</v>
      </c>
      <c r="AQ235" s="526">
        <f>IF(AP235&lt;&gt;"nvt",INDEX('Tarieven W&amp;O'!$G:$G,$AP235),0)</f>
        <v>18.47</v>
      </c>
      <c r="AR235" s="251">
        <f>IF($S235,INDEX('Tarieven W&amp;O'!$G:$G,MATCH(N235&amp;R235,'Tarieven W&amp;O'!$B:$B,0)),0)</f>
        <v>0</v>
      </c>
      <c r="AS235" s="205">
        <f>-INDEX(Parameters!$B:$B,MATCH(AS$3,Parameters!$A:$A,0))*(AQ235+AR235)</f>
        <v>0</v>
      </c>
      <c r="AT235" s="205">
        <f>INDEX(hulpblad!$E:$E,MATCH(M235&amp;Q235,hulpblad!$B:$B,0))</f>
        <v>1</v>
      </c>
      <c r="AU235" s="150">
        <f t="shared" si="132"/>
        <v>19.47</v>
      </c>
      <c r="AV235" s="150">
        <f t="shared" si="133"/>
        <v>20.164444444444442</v>
      </c>
      <c r="AX235" s="526">
        <f>Parameters!$B$6*AV235</f>
        <v>0.20164444444444443</v>
      </c>
      <c r="AY235" s="150">
        <v>0</v>
      </c>
      <c r="AZ235" s="150"/>
      <c r="BA235" s="150">
        <f t="shared" si="134"/>
        <v>0.20164444444444443</v>
      </c>
      <c r="BB235" s="150"/>
      <c r="BC235" s="522">
        <f t="shared" si="135"/>
        <v>20.366088888888886</v>
      </c>
      <c r="BD235" s="175"/>
      <c r="BE235" s="527">
        <f t="shared" si="136"/>
        <v>1007.411688888889</v>
      </c>
      <c r="BF235" s="181">
        <f t="shared" si="137"/>
        <v>0.98018434594594595</v>
      </c>
      <c r="BG235" s="520" t="b">
        <f t="shared" si="138"/>
        <v>0</v>
      </c>
      <c r="BI235" s="528" t="s">
        <v>2181</v>
      </c>
      <c r="BL235" s="151" t="str">
        <f t="shared" si="139"/>
        <v>EoKMetro - Regionaal</v>
      </c>
      <c r="BM235" s="529">
        <v>0</v>
      </c>
      <c r="BN235" s="180">
        <f>BM235/INDEX(Parameters!$B:$B,MATCH("AfschrijftermijnVVE"&amp;12*$C235,Parameters!$A:$A,0))</f>
        <v>0</v>
      </c>
      <c r="BO235" s="184">
        <f>INDEX('inkoop ULL tbv EVPN'!I:I,MATCH(BL235,'inkoop ULL tbv EVPN'!H:H,0))</f>
        <v>2</v>
      </c>
      <c r="BP235" s="184">
        <f t="shared" si="140"/>
        <v>2</v>
      </c>
      <c r="BR235" s="180">
        <f>Parameters!$B$12*AG235</f>
        <v>102.77777777777779</v>
      </c>
      <c r="BS235" s="180">
        <f>SUM(Distributievergoedingen!$F$12,Distributievergoedingen!$I$12,Distributievergoedingen!$L$12,Distributievergoedingen!$O$12)*AF235+SUM(Distributievergoedingen!$O$12*AA235+Distributievergoedingen!$R$12+Distributievergoedingen!$U$12+Distributievergoedingen!$X$12)/(MAX(36,12*C235))</f>
        <v>112.77777777777777</v>
      </c>
      <c r="BT235" s="150"/>
      <c r="BU235" s="150">
        <f t="shared" si="141"/>
        <v>215.55555555555554</v>
      </c>
      <c r="BW235" s="522">
        <f t="shared" si="142"/>
        <v>217.55555555555554</v>
      </c>
      <c r="BY235" s="527">
        <f t="shared" si="143"/>
        <v>810.22222222222229</v>
      </c>
      <c r="BZ235" s="181">
        <f t="shared" si="144"/>
        <v>0.78832432432432431</v>
      </c>
      <c r="CA235" s="520" t="b">
        <f t="shared" si="145"/>
        <v>0</v>
      </c>
    </row>
    <row r="236" spans="1:79" s="151" customFormat="1">
      <c r="A236" s="151" t="str">
        <f t="shared" si="124"/>
        <v>3EoKEntryCity5</v>
      </c>
      <c r="B236" s="520" t="str">
        <f t="shared" si="146"/>
        <v>3EoKEntryCity5</v>
      </c>
      <c r="C236" s="179">
        <v>3</v>
      </c>
      <c r="D236" s="179" t="s">
        <v>303</v>
      </c>
      <c r="E236" s="178" t="s">
        <v>45</v>
      </c>
      <c r="F236" s="178" t="s">
        <v>262</v>
      </c>
      <c r="G236" s="185" t="s">
        <v>409</v>
      </c>
      <c r="J236" s="520" t="str">
        <f t="shared" si="125"/>
        <v>EntryCity5</v>
      </c>
      <c r="L236" s="204">
        <f>INDEX(Mapping!$H:$H,MATCH(C$3&amp;C236,Mapping!$B:$B,0))</f>
        <v>1</v>
      </c>
      <c r="M236" s="204" t="str">
        <f>INDEX(Mapping!$H:$H,MATCH(D$3&amp;$D236,Mapping!$B:$B,0))</f>
        <v>EoK</v>
      </c>
      <c r="N236" s="204" t="str">
        <f>INDEX(Mapping!$H:$H,MATCH(E$3&amp;E236,Mapping!$B:$B,0))</f>
        <v>Lite</v>
      </c>
      <c r="O236" s="204" t="str">
        <f>INDEX(Mapping!$H:$H,MATCH(F$3&amp;F236,Mapping!$B:$B,0))</f>
        <v>Metro</v>
      </c>
      <c r="P236" s="204">
        <f>INDEX(Mapping!$H:$H,MATCH(G$3&amp;G236,Mapping!$B:$B,0))</f>
        <v>5</v>
      </c>
      <c r="Q236" s="204" t="str">
        <f>INDEX(Mapping!$H:$H,MATCH(Q$3&amp;$F236,Mapping!$B:$B,0))</f>
        <v>Metro - Regionaal</v>
      </c>
      <c r="R236" s="204" t="str">
        <f>INDEX(Mapping!$H:$H,MATCH("ZM VPN Service Level"&amp;E236,Mapping!$B:$B,0))</f>
        <v>Advanced</v>
      </c>
      <c r="S236" s="139" t="b">
        <f>IF($D236="EoK",INDEX(Mapping!$I:$I,MATCH($G$3&amp;$G236,Mapping!B:B,0)),FALSE)</f>
        <v>0</v>
      </c>
      <c r="T236" s="139"/>
      <c r="U236" s="520" t="str">
        <f t="shared" si="126"/>
        <v>LiteMetro5</v>
      </c>
      <c r="W236" s="521">
        <f>MATCH($J236,'Tarieven ZM'!$B:$B,0)</f>
        <v>12</v>
      </c>
      <c r="X236" s="204">
        <f>INDEX('Tarieven ZM'!$H:$H,$W236)</f>
        <v>1000</v>
      </c>
      <c r="Y236" s="198">
        <f>-INDEX(Parameters!$B:$B,MATCH(Y$3&amp;$C236,Parameters!$A:$A,0))*$X236</f>
        <v>0</v>
      </c>
      <c r="Z236" s="198">
        <f>-INDEX(Parameters!$B:$B,MATCH(Z$3&amp;$C236,Parameters!$A:$A,0))*$X236</f>
        <v>0</v>
      </c>
      <c r="AA236" s="139">
        <f t="shared" si="127"/>
        <v>1000</v>
      </c>
      <c r="AB236" s="205">
        <f>AA236/INDEX(Parameters!$B:$B,MATCH("AfschrijftermijnVVE"&amp;12*$C236,Parameters!$A:$A,0))</f>
        <v>27.777777777777779</v>
      </c>
      <c r="AC236" s="204">
        <f>INDEX('Tarieven ZM'!$G:$G,$W236)</f>
        <v>1000</v>
      </c>
      <c r="AD236" s="198">
        <f>-INDEX(Parameters!$B:$B,MATCH(AD$3&amp;$C236,Parameters!$A:$A,0))*$AC236</f>
        <v>0</v>
      </c>
      <c r="AE236" s="198">
        <f>-INDEX(Parameters!$B:$B,MATCH(AE$3,Parameters!$A:$A,0))*$AC236</f>
        <v>0</v>
      </c>
      <c r="AF236" s="139">
        <f t="shared" si="128"/>
        <v>1000</v>
      </c>
      <c r="AG236" s="522">
        <f t="shared" si="129"/>
        <v>1027.7777777777778</v>
      </c>
      <c r="AH236" s="175"/>
      <c r="AI236" s="523">
        <f>MATCH($U236,'Tarieven W&amp;O'!$B:$B,0)</f>
        <v>40</v>
      </c>
      <c r="AJ236" s="204">
        <f>IF(AI236&lt;&gt;"nvt",INDEX('Tarieven W&amp;O'!$H:$H,$AI236),0)</f>
        <v>0</v>
      </c>
      <c r="AK236" s="204">
        <f>IF(AI236&lt;&gt;"nvt",INDEX('Tarieven W&amp;O'!$I:$I,$AI236),0)</f>
        <v>25</v>
      </c>
      <c r="AL236" s="524">
        <f>IF(AI236&lt;&gt;"nvt",-INDEX(Parameters!$B:$B,MATCH(AL$3,Parameters!$A:$A,0))*(AJ236+AK236),0)</f>
        <v>0</v>
      </c>
      <c r="AM236" s="525"/>
      <c r="AN236" s="139">
        <f t="shared" si="130"/>
        <v>25</v>
      </c>
      <c r="AO236" s="205">
        <f>AN236/INDEX(Parameters!$B:$B,MATCH("AfschrijftermijnVVE"&amp;12*$C236,Parameters!$A:$A,0))</f>
        <v>0.69444444444444442</v>
      </c>
      <c r="AP236" s="139">
        <f t="shared" si="131"/>
        <v>40</v>
      </c>
      <c r="AQ236" s="526">
        <f>IF(AP236&lt;&gt;"nvt",INDEX('Tarieven W&amp;O'!$G:$G,$AP236),0)</f>
        <v>18.47</v>
      </c>
      <c r="AR236" s="251">
        <f>IF($S236,INDEX('Tarieven W&amp;O'!$G:$G,MATCH(N236&amp;R236,'Tarieven W&amp;O'!$B:$B,0)),0)</f>
        <v>0</v>
      </c>
      <c r="AS236" s="205">
        <f>-INDEX(Parameters!$B:$B,MATCH(AS$3,Parameters!$A:$A,0))*(AQ236+AR236)</f>
        <v>0</v>
      </c>
      <c r="AT236" s="205">
        <f>INDEX(hulpblad!$E:$E,MATCH(M236&amp;Q236,hulpblad!$B:$B,0))</f>
        <v>1</v>
      </c>
      <c r="AU236" s="150">
        <f t="shared" si="132"/>
        <v>19.47</v>
      </c>
      <c r="AV236" s="150">
        <f t="shared" si="133"/>
        <v>20.164444444444442</v>
      </c>
      <c r="AX236" s="526">
        <f>Parameters!$B$6*AV236</f>
        <v>0.20164444444444443</v>
      </c>
      <c r="AY236" s="150">
        <v>0</v>
      </c>
      <c r="AZ236" s="150"/>
      <c r="BA236" s="150">
        <f t="shared" si="134"/>
        <v>0.20164444444444443</v>
      </c>
      <c r="BB236" s="150"/>
      <c r="BC236" s="522">
        <f t="shared" si="135"/>
        <v>20.366088888888886</v>
      </c>
      <c r="BD236" s="175"/>
      <c r="BE236" s="527">
        <f t="shared" si="136"/>
        <v>1007.411688888889</v>
      </c>
      <c r="BF236" s="181">
        <f t="shared" si="137"/>
        <v>0.98018434594594595</v>
      </c>
      <c r="BG236" s="520" t="b">
        <f t="shared" si="138"/>
        <v>0</v>
      </c>
      <c r="BI236" s="528" t="s">
        <v>2181</v>
      </c>
      <c r="BL236" s="151" t="str">
        <f t="shared" si="139"/>
        <v>EoKMetro - Regionaal</v>
      </c>
      <c r="BM236" s="529">
        <v>0</v>
      </c>
      <c r="BN236" s="180">
        <f>BM236/INDEX(Parameters!$B:$B,MATCH("AfschrijftermijnVVE"&amp;12*$C236,Parameters!$A:$A,0))</f>
        <v>0</v>
      </c>
      <c r="BO236" s="184">
        <f>INDEX('inkoop ULL tbv EVPN'!I:I,MATCH(BL236,'inkoop ULL tbv EVPN'!H:H,0))</f>
        <v>2</v>
      </c>
      <c r="BP236" s="184">
        <f t="shared" si="140"/>
        <v>2</v>
      </c>
      <c r="BR236" s="180">
        <f>Parameters!$B$12*AG236</f>
        <v>102.77777777777779</v>
      </c>
      <c r="BS236" s="180">
        <f>SUM(Distributievergoedingen!$F$12,Distributievergoedingen!$I$12,Distributievergoedingen!$L$12,Distributievergoedingen!$O$12)*AF236+SUM(Distributievergoedingen!$O$12*AA236+Distributievergoedingen!$R$12+Distributievergoedingen!$U$12+Distributievergoedingen!$X$12)/(MAX(36,12*C236))</f>
        <v>112.77777777777777</v>
      </c>
      <c r="BT236" s="150"/>
      <c r="BU236" s="150">
        <f t="shared" si="141"/>
        <v>215.55555555555554</v>
      </c>
      <c r="BW236" s="522">
        <f t="shared" si="142"/>
        <v>217.55555555555554</v>
      </c>
      <c r="BY236" s="527">
        <f t="shared" si="143"/>
        <v>810.22222222222229</v>
      </c>
      <c r="BZ236" s="181">
        <f t="shared" si="144"/>
        <v>0.78832432432432431</v>
      </c>
      <c r="CA236" s="520" t="b">
        <f t="shared" si="145"/>
        <v>0</v>
      </c>
    </row>
    <row r="237" spans="1:79" s="151" customFormat="1">
      <c r="A237" s="151" t="str">
        <f t="shared" si="124"/>
        <v>3EoKEntryCity6</v>
      </c>
      <c r="B237" s="520" t="str">
        <f t="shared" si="146"/>
        <v>3EoKEntryCity6</v>
      </c>
      <c r="C237" s="179">
        <v>3</v>
      </c>
      <c r="D237" s="179" t="s">
        <v>303</v>
      </c>
      <c r="E237" s="178" t="s">
        <v>45</v>
      </c>
      <c r="F237" s="178" t="s">
        <v>262</v>
      </c>
      <c r="G237" s="185" t="s">
        <v>410</v>
      </c>
      <c r="J237" s="520" t="str">
        <f t="shared" si="125"/>
        <v>EntryCity6</v>
      </c>
      <c r="L237" s="204">
        <f>INDEX(Mapping!$H:$H,MATCH(C$3&amp;C237,Mapping!$B:$B,0))</f>
        <v>1</v>
      </c>
      <c r="M237" s="204" t="str">
        <f>INDEX(Mapping!$H:$H,MATCH(D$3&amp;$D237,Mapping!$B:$B,0))</f>
        <v>EoK</v>
      </c>
      <c r="N237" s="204" t="str">
        <f>INDEX(Mapping!$H:$H,MATCH(E$3&amp;E237,Mapping!$B:$B,0))</f>
        <v>Lite</v>
      </c>
      <c r="O237" s="204" t="str">
        <f>INDEX(Mapping!$H:$H,MATCH(F$3&amp;F237,Mapping!$B:$B,0))</f>
        <v>Metro</v>
      </c>
      <c r="P237" s="204">
        <f>INDEX(Mapping!$H:$H,MATCH(G$3&amp;G237,Mapping!$B:$B,0))</f>
        <v>6</v>
      </c>
      <c r="Q237" s="204" t="str">
        <f>INDEX(Mapping!$H:$H,MATCH(Q$3&amp;$F237,Mapping!$B:$B,0))</f>
        <v>Metro - Regionaal</v>
      </c>
      <c r="R237" s="204" t="str">
        <f>INDEX(Mapping!$H:$H,MATCH("ZM VPN Service Level"&amp;E237,Mapping!$B:$B,0))</f>
        <v>Advanced</v>
      </c>
      <c r="S237" s="139" t="b">
        <f>IF($D237="EoK",INDEX(Mapping!$I:$I,MATCH($G$3&amp;$G237,Mapping!B:B,0)),FALSE)</f>
        <v>0</v>
      </c>
      <c r="T237" s="139"/>
      <c r="U237" s="520" t="str">
        <f t="shared" si="126"/>
        <v>LiteMetro6</v>
      </c>
      <c r="W237" s="521">
        <f>MATCH($J237,'Tarieven ZM'!$B:$B,0)</f>
        <v>13</v>
      </c>
      <c r="X237" s="204">
        <f>INDEX('Tarieven ZM'!$H:$H,$W237)</f>
        <v>1000</v>
      </c>
      <c r="Y237" s="198">
        <f>-INDEX(Parameters!$B:$B,MATCH(Y$3&amp;$C237,Parameters!$A:$A,0))*$X237</f>
        <v>0</v>
      </c>
      <c r="Z237" s="198">
        <f>-INDEX(Parameters!$B:$B,MATCH(Z$3&amp;$C237,Parameters!$A:$A,0))*$X237</f>
        <v>0</v>
      </c>
      <c r="AA237" s="139">
        <f t="shared" si="127"/>
        <v>1000</v>
      </c>
      <c r="AB237" s="205">
        <f>AA237/INDEX(Parameters!$B:$B,MATCH("AfschrijftermijnVVE"&amp;12*$C237,Parameters!$A:$A,0))</f>
        <v>27.777777777777779</v>
      </c>
      <c r="AC237" s="204">
        <f>INDEX('Tarieven ZM'!$G:$G,$W237)</f>
        <v>1000</v>
      </c>
      <c r="AD237" s="198">
        <f>-INDEX(Parameters!$B:$B,MATCH(AD$3&amp;$C237,Parameters!$A:$A,0))*$AC237</f>
        <v>0</v>
      </c>
      <c r="AE237" s="198">
        <f>-INDEX(Parameters!$B:$B,MATCH(AE$3,Parameters!$A:$A,0))*$AC237</f>
        <v>0</v>
      </c>
      <c r="AF237" s="139">
        <f t="shared" si="128"/>
        <v>1000</v>
      </c>
      <c r="AG237" s="522">
        <f t="shared" si="129"/>
        <v>1027.7777777777778</v>
      </c>
      <c r="AH237" s="175"/>
      <c r="AI237" s="523">
        <f>MATCH($U237,'Tarieven W&amp;O'!$B:$B,0)</f>
        <v>41</v>
      </c>
      <c r="AJ237" s="204">
        <f>IF(AI237&lt;&gt;"nvt",INDEX('Tarieven W&amp;O'!$H:$H,$AI237),0)</f>
        <v>0</v>
      </c>
      <c r="AK237" s="204">
        <f>IF(AI237&lt;&gt;"nvt",INDEX('Tarieven W&amp;O'!$I:$I,$AI237),0)</f>
        <v>25</v>
      </c>
      <c r="AL237" s="524">
        <f>IF(AI237&lt;&gt;"nvt",-INDEX(Parameters!$B:$B,MATCH(AL$3,Parameters!$A:$A,0))*(AJ237+AK237),0)</f>
        <v>0</v>
      </c>
      <c r="AM237" s="525"/>
      <c r="AN237" s="139">
        <f t="shared" si="130"/>
        <v>25</v>
      </c>
      <c r="AO237" s="205">
        <f>AN237/INDEX(Parameters!$B:$B,MATCH("AfschrijftermijnVVE"&amp;12*$C237,Parameters!$A:$A,0))</f>
        <v>0.69444444444444442</v>
      </c>
      <c r="AP237" s="139">
        <f t="shared" si="131"/>
        <v>41</v>
      </c>
      <c r="AQ237" s="526">
        <f>IF(AP237&lt;&gt;"nvt",INDEX('Tarieven W&amp;O'!$G:$G,$AP237),0)</f>
        <v>18.47</v>
      </c>
      <c r="AR237" s="251">
        <f>IF($S237,INDEX('Tarieven W&amp;O'!$G:$G,MATCH(N237&amp;R237,'Tarieven W&amp;O'!$B:$B,0)),0)</f>
        <v>0</v>
      </c>
      <c r="AS237" s="205">
        <f>-INDEX(Parameters!$B:$B,MATCH(AS$3,Parameters!$A:$A,0))*(AQ237+AR237)</f>
        <v>0</v>
      </c>
      <c r="AT237" s="205">
        <f>INDEX(hulpblad!$E:$E,MATCH(M237&amp;Q237,hulpblad!$B:$B,0))</f>
        <v>1</v>
      </c>
      <c r="AU237" s="150">
        <f t="shared" si="132"/>
        <v>19.47</v>
      </c>
      <c r="AV237" s="150">
        <f t="shared" si="133"/>
        <v>20.164444444444442</v>
      </c>
      <c r="AX237" s="526">
        <f>Parameters!$B$6*AV237</f>
        <v>0.20164444444444443</v>
      </c>
      <c r="AY237" s="150">
        <v>0</v>
      </c>
      <c r="AZ237" s="150"/>
      <c r="BA237" s="150">
        <f t="shared" si="134"/>
        <v>0.20164444444444443</v>
      </c>
      <c r="BB237" s="150"/>
      <c r="BC237" s="522">
        <f t="shared" si="135"/>
        <v>20.366088888888886</v>
      </c>
      <c r="BD237" s="175"/>
      <c r="BE237" s="527">
        <f t="shared" si="136"/>
        <v>1007.411688888889</v>
      </c>
      <c r="BF237" s="181">
        <f t="shared" si="137"/>
        <v>0.98018434594594595</v>
      </c>
      <c r="BG237" s="520" t="b">
        <f t="shared" si="138"/>
        <v>0</v>
      </c>
      <c r="BI237" s="528" t="s">
        <v>2181</v>
      </c>
      <c r="BL237" s="151" t="str">
        <f t="shared" si="139"/>
        <v>EoKMetro - Regionaal</v>
      </c>
      <c r="BM237" s="529">
        <v>0</v>
      </c>
      <c r="BN237" s="180">
        <f>BM237/INDEX(Parameters!$B:$B,MATCH("AfschrijftermijnVVE"&amp;12*$C237,Parameters!$A:$A,0))</f>
        <v>0</v>
      </c>
      <c r="BO237" s="184">
        <f>INDEX('inkoop ULL tbv EVPN'!I:I,MATCH(BL237,'inkoop ULL tbv EVPN'!H:H,0))</f>
        <v>2</v>
      </c>
      <c r="BP237" s="184">
        <f t="shared" si="140"/>
        <v>2</v>
      </c>
      <c r="BR237" s="180">
        <f>Parameters!$B$12*AG237</f>
        <v>102.77777777777779</v>
      </c>
      <c r="BS237" s="180">
        <f>SUM(Distributievergoedingen!$F$12,Distributievergoedingen!$I$12,Distributievergoedingen!$L$12,Distributievergoedingen!$O$12)*AF237+SUM(Distributievergoedingen!$O$12*AA237+Distributievergoedingen!$R$12+Distributievergoedingen!$U$12+Distributievergoedingen!$X$12)/(MAX(36,12*C237))</f>
        <v>112.77777777777777</v>
      </c>
      <c r="BT237" s="150"/>
      <c r="BU237" s="150">
        <f t="shared" si="141"/>
        <v>215.55555555555554</v>
      </c>
      <c r="BW237" s="522">
        <f t="shared" si="142"/>
        <v>217.55555555555554</v>
      </c>
      <c r="BY237" s="527">
        <f t="shared" si="143"/>
        <v>810.22222222222229</v>
      </c>
      <c r="BZ237" s="181">
        <f t="shared" si="144"/>
        <v>0.78832432432432431</v>
      </c>
      <c r="CA237" s="520" t="b">
        <f t="shared" si="145"/>
        <v>0</v>
      </c>
    </row>
    <row r="238" spans="1:79" s="151" customFormat="1">
      <c r="A238" s="151" t="str">
        <f t="shared" si="124"/>
        <v>3EoKEntryCity8</v>
      </c>
      <c r="B238" s="520" t="str">
        <f t="shared" si="146"/>
        <v>3EoKEntryCity8</v>
      </c>
      <c r="C238" s="179">
        <v>3</v>
      </c>
      <c r="D238" s="179" t="s">
        <v>303</v>
      </c>
      <c r="E238" s="178" t="s">
        <v>45</v>
      </c>
      <c r="F238" s="178" t="s">
        <v>262</v>
      </c>
      <c r="G238" s="185" t="s">
        <v>411</v>
      </c>
      <c r="J238" s="520" t="str">
        <f t="shared" si="125"/>
        <v>EntryCity8</v>
      </c>
      <c r="L238" s="204">
        <f>INDEX(Mapping!$H:$H,MATCH(C$3&amp;C238,Mapping!$B:$B,0))</f>
        <v>1</v>
      </c>
      <c r="M238" s="204" t="str">
        <f>INDEX(Mapping!$H:$H,MATCH(D$3&amp;$D238,Mapping!$B:$B,0))</f>
        <v>EoK</v>
      </c>
      <c r="N238" s="204" t="str">
        <f>INDEX(Mapping!$H:$H,MATCH(E$3&amp;E238,Mapping!$B:$B,0))</f>
        <v>Lite</v>
      </c>
      <c r="O238" s="204" t="str">
        <f>INDEX(Mapping!$H:$H,MATCH(F$3&amp;F238,Mapping!$B:$B,0))</f>
        <v>Metro</v>
      </c>
      <c r="P238" s="204">
        <f>INDEX(Mapping!$H:$H,MATCH(G$3&amp;G238,Mapping!$B:$B,0))</f>
        <v>8</v>
      </c>
      <c r="Q238" s="204" t="str">
        <f>INDEX(Mapping!$H:$H,MATCH(Q$3&amp;$F238,Mapping!$B:$B,0))</f>
        <v>Metro - Regionaal</v>
      </c>
      <c r="R238" s="204" t="str">
        <f>INDEX(Mapping!$H:$H,MATCH("ZM VPN Service Level"&amp;E238,Mapping!$B:$B,0))</f>
        <v>Advanced</v>
      </c>
      <c r="S238" s="139" t="b">
        <f>IF($D238="EoK",INDEX(Mapping!$I:$I,MATCH($G$3&amp;$G238,Mapping!B:B,0)),FALSE)</f>
        <v>0</v>
      </c>
      <c r="T238" s="139"/>
      <c r="U238" s="520" t="str">
        <f t="shared" si="126"/>
        <v>LiteMetro8</v>
      </c>
      <c r="W238" s="521">
        <f>MATCH($J238,'Tarieven ZM'!$B:$B,0)</f>
        <v>14</v>
      </c>
      <c r="X238" s="204">
        <f>INDEX('Tarieven ZM'!$H:$H,$W238)</f>
        <v>1000</v>
      </c>
      <c r="Y238" s="198">
        <f>-INDEX(Parameters!$B:$B,MATCH(Y$3&amp;$C238,Parameters!$A:$A,0))*$X238</f>
        <v>0</v>
      </c>
      <c r="Z238" s="198">
        <f>-INDEX(Parameters!$B:$B,MATCH(Z$3&amp;$C238,Parameters!$A:$A,0))*$X238</f>
        <v>0</v>
      </c>
      <c r="AA238" s="139">
        <f t="shared" si="127"/>
        <v>1000</v>
      </c>
      <c r="AB238" s="205">
        <f>AA238/INDEX(Parameters!$B:$B,MATCH("AfschrijftermijnVVE"&amp;12*$C238,Parameters!$A:$A,0))</f>
        <v>27.777777777777779</v>
      </c>
      <c r="AC238" s="204">
        <f>INDEX('Tarieven ZM'!$G:$G,$W238)</f>
        <v>1000</v>
      </c>
      <c r="AD238" s="198">
        <f>-INDEX(Parameters!$B:$B,MATCH(AD$3&amp;$C238,Parameters!$A:$A,0))*$AC238</f>
        <v>0</v>
      </c>
      <c r="AE238" s="198">
        <f>-INDEX(Parameters!$B:$B,MATCH(AE$3,Parameters!$A:$A,0))*$AC238</f>
        <v>0</v>
      </c>
      <c r="AF238" s="139">
        <f t="shared" si="128"/>
        <v>1000</v>
      </c>
      <c r="AG238" s="522">
        <f t="shared" si="129"/>
        <v>1027.7777777777778</v>
      </c>
      <c r="AH238" s="175"/>
      <c r="AI238" s="523">
        <f>MATCH($U238,'Tarieven W&amp;O'!$B:$B,0)</f>
        <v>42</v>
      </c>
      <c r="AJ238" s="204">
        <f>IF(AI238&lt;&gt;"nvt",INDEX('Tarieven W&amp;O'!$H:$H,$AI238),0)</f>
        <v>0</v>
      </c>
      <c r="AK238" s="204">
        <f>IF(AI238&lt;&gt;"nvt",INDEX('Tarieven W&amp;O'!$I:$I,$AI238),0)</f>
        <v>25</v>
      </c>
      <c r="AL238" s="524">
        <f>IF(AI238&lt;&gt;"nvt",-INDEX(Parameters!$B:$B,MATCH(AL$3,Parameters!$A:$A,0))*(AJ238+AK238),0)</f>
        <v>0</v>
      </c>
      <c r="AM238" s="525"/>
      <c r="AN238" s="139">
        <f t="shared" si="130"/>
        <v>25</v>
      </c>
      <c r="AO238" s="205">
        <f>AN238/INDEX(Parameters!$B:$B,MATCH("AfschrijftermijnVVE"&amp;12*$C238,Parameters!$A:$A,0))</f>
        <v>0.69444444444444442</v>
      </c>
      <c r="AP238" s="139">
        <f t="shared" si="131"/>
        <v>42</v>
      </c>
      <c r="AQ238" s="526">
        <f>IF(AP238&lt;&gt;"nvt",INDEX('Tarieven W&amp;O'!$G:$G,$AP238),0)</f>
        <v>18.47</v>
      </c>
      <c r="AR238" s="251">
        <f>IF($S238,INDEX('Tarieven W&amp;O'!$G:$G,MATCH(N238&amp;R238,'Tarieven W&amp;O'!$B:$B,0)),0)</f>
        <v>0</v>
      </c>
      <c r="AS238" s="205">
        <f>-INDEX(Parameters!$B:$B,MATCH(AS$3,Parameters!$A:$A,0))*(AQ238+AR238)</f>
        <v>0</v>
      </c>
      <c r="AT238" s="205">
        <f>INDEX(hulpblad!$E:$E,MATCH(M238&amp;Q238,hulpblad!$B:$B,0))</f>
        <v>1</v>
      </c>
      <c r="AU238" s="150">
        <f t="shared" si="132"/>
        <v>19.47</v>
      </c>
      <c r="AV238" s="150">
        <f t="shared" si="133"/>
        <v>20.164444444444442</v>
      </c>
      <c r="AX238" s="526">
        <f>Parameters!$B$6*AV238</f>
        <v>0.20164444444444443</v>
      </c>
      <c r="AY238" s="150">
        <v>0</v>
      </c>
      <c r="AZ238" s="150"/>
      <c r="BA238" s="150">
        <f t="shared" si="134"/>
        <v>0.20164444444444443</v>
      </c>
      <c r="BB238" s="150"/>
      <c r="BC238" s="522">
        <f t="shared" si="135"/>
        <v>20.366088888888886</v>
      </c>
      <c r="BD238" s="175"/>
      <c r="BE238" s="527">
        <f t="shared" si="136"/>
        <v>1007.411688888889</v>
      </c>
      <c r="BF238" s="181">
        <f t="shared" si="137"/>
        <v>0.98018434594594595</v>
      </c>
      <c r="BG238" s="520" t="b">
        <f t="shared" si="138"/>
        <v>0</v>
      </c>
      <c r="BI238" s="528" t="s">
        <v>2181</v>
      </c>
      <c r="BL238" s="151" t="str">
        <f t="shared" si="139"/>
        <v>EoKMetro - Regionaal</v>
      </c>
      <c r="BM238" s="529">
        <v>0</v>
      </c>
      <c r="BN238" s="180">
        <f>BM238/INDEX(Parameters!$B:$B,MATCH("AfschrijftermijnVVE"&amp;12*$C238,Parameters!$A:$A,0))</f>
        <v>0</v>
      </c>
      <c r="BO238" s="184">
        <f>INDEX('inkoop ULL tbv EVPN'!I:I,MATCH(BL238,'inkoop ULL tbv EVPN'!H:H,0))</f>
        <v>2</v>
      </c>
      <c r="BP238" s="184">
        <f t="shared" si="140"/>
        <v>2</v>
      </c>
      <c r="BR238" s="180">
        <f>Parameters!$B$12*AG238</f>
        <v>102.77777777777779</v>
      </c>
      <c r="BS238" s="180">
        <f>SUM(Distributievergoedingen!$F$12,Distributievergoedingen!$I$12,Distributievergoedingen!$L$12,Distributievergoedingen!$O$12)*AF238+SUM(Distributievergoedingen!$O$12*AA238+Distributievergoedingen!$R$12+Distributievergoedingen!$U$12+Distributievergoedingen!$X$12)/(MAX(36,12*C238))</f>
        <v>112.77777777777777</v>
      </c>
      <c r="BT238" s="150"/>
      <c r="BU238" s="150">
        <f t="shared" si="141"/>
        <v>215.55555555555554</v>
      </c>
      <c r="BW238" s="522">
        <f t="shared" si="142"/>
        <v>217.55555555555554</v>
      </c>
      <c r="BY238" s="527">
        <f t="shared" si="143"/>
        <v>810.22222222222229</v>
      </c>
      <c r="BZ238" s="181">
        <f t="shared" si="144"/>
        <v>0.78832432432432431</v>
      </c>
      <c r="CA238" s="520" t="b">
        <f t="shared" si="145"/>
        <v>0</v>
      </c>
    </row>
    <row r="239" spans="1:79" s="151" customFormat="1">
      <c r="A239" s="151" t="str">
        <f t="shared" si="124"/>
        <v>3EoKEntryCity10</v>
      </c>
      <c r="B239" s="520" t="str">
        <f t="shared" si="146"/>
        <v>3EoKEntryCity10</v>
      </c>
      <c r="C239" s="179">
        <v>3</v>
      </c>
      <c r="D239" s="179" t="s">
        <v>303</v>
      </c>
      <c r="E239" s="178" t="s">
        <v>45</v>
      </c>
      <c r="F239" s="178" t="s">
        <v>262</v>
      </c>
      <c r="G239" s="185" t="s">
        <v>412</v>
      </c>
      <c r="J239" s="520" t="str">
        <f t="shared" si="125"/>
        <v>EntryCity10</v>
      </c>
      <c r="L239" s="204">
        <f>INDEX(Mapping!$H:$H,MATCH(C$3&amp;C239,Mapping!$B:$B,0))</f>
        <v>1</v>
      </c>
      <c r="M239" s="204" t="str">
        <f>INDEX(Mapping!$H:$H,MATCH(D$3&amp;$D239,Mapping!$B:$B,0))</f>
        <v>EoK</v>
      </c>
      <c r="N239" s="204" t="str">
        <f>INDEX(Mapping!$H:$H,MATCH(E$3&amp;E239,Mapping!$B:$B,0))</f>
        <v>Lite</v>
      </c>
      <c r="O239" s="204" t="str">
        <f>INDEX(Mapping!$H:$H,MATCH(F$3&amp;F239,Mapping!$B:$B,0))</f>
        <v>Metro</v>
      </c>
      <c r="P239" s="204">
        <f>INDEX(Mapping!$H:$H,MATCH(G$3&amp;G239,Mapping!$B:$B,0))</f>
        <v>10</v>
      </c>
      <c r="Q239" s="204" t="str">
        <f>INDEX(Mapping!$H:$H,MATCH(Q$3&amp;$F239,Mapping!$B:$B,0))</f>
        <v>Metro - Regionaal</v>
      </c>
      <c r="R239" s="204" t="str">
        <f>INDEX(Mapping!$H:$H,MATCH("ZM VPN Service Level"&amp;E239,Mapping!$B:$B,0))</f>
        <v>Advanced</v>
      </c>
      <c r="S239" s="139" t="b">
        <f>IF($D239="EoK",INDEX(Mapping!$I:$I,MATCH($G$3&amp;$G239,Mapping!B:B,0)),FALSE)</f>
        <v>0</v>
      </c>
      <c r="T239" s="139"/>
      <c r="U239" s="520" t="str">
        <f t="shared" si="126"/>
        <v>LiteMetro10</v>
      </c>
      <c r="W239" s="521">
        <f>MATCH($J239,'Tarieven ZM'!$B:$B,0)</f>
        <v>15</v>
      </c>
      <c r="X239" s="204">
        <f>INDEX('Tarieven ZM'!$H:$H,$W239)</f>
        <v>1000</v>
      </c>
      <c r="Y239" s="198">
        <f>-INDEX(Parameters!$B:$B,MATCH(Y$3&amp;$C239,Parameters!$A:$A,0))*$X239</f>
        <v>0</v>
      </c>
      <c r="Z239" s="198">
        <f>-INDEX(Parameters!$B:$B,MATCH(Z$3&amp;$C239,Parameters!$A:$A,0))*$X239</f>
        <v>0</v>
      </c>
      <c r="AA239" s="139">
        <f t="shared" si="127"/>
        <v>1000</v>
      </c>
      <c r="AB239" s="205">
        <f>AA239/INDEX(Parameters!$B:$B,MATCH("AfschrijftermijnVVE"&amp;12*$C239,Parameters!$A:$A,0))</f>
        <v>27.777777777777779</v>
      </c>
      <c r="AC239" s="204">
        <f>INDEX('Tarieven ZM'!$G:$G,$W239)</f>
        <v>1000</v>
      </c>
      <c r="AD239" s="198">
        <f>-INDEX(Parameters!$B:$B,MATCH(AD$3&amp;$C239,Parameters!$A:$A,0))*$AC239</f>
        <v>0</v>
      </c>
      <c r="AE239" s="198">
        <f>-INDEX(Parameters!$B:$B,MATCH(AE$3,Parameters!$A:$A,0))*$AC239</f>
        <v>0</v>
      </c>
      <c r="AF239" s="139">
        <f t="shared" si="128"/>
        <v>1000</v>
      </c>
      <c r="AG239" s="522">
        <f t="shared" si="129"/>
        <v>1027.7777777777778</v>
      </c>
      <c r="AH239" s="175"/>
      <c r="AI239" s="523">
        <f>MATCH($U239,'Tarieven W&amp;O'!$B:$B,0)</f>
        <v>43</v>
      </c>
      <c r="AJ239" s="204">
        <f>IF(AI239&lt;&gt;"nvt",INDEX('Tarieven W&amp;O'!$H:$H,$AI239),0)</f>
        <v>0</v>
      </c>
      <c r="AK239" s="204">
        <f>IF(AI239&lt;&gt;"nvt",INDEX('Tarieven W&amp;O'!$I:$I,$AI239),0)</f>
        <v>25</v>
      </c>
      <c r="AL239" s="524">
        <f>IF(AI239&lt;&gt;"nvt",-INDEX(Parameters!$B:$B,MATCH(AL$3,Parameters!$A:$A,0))*(AJ239+AK239),0)</f>
        <v>0</v>
      </c>
      <c r="AM239" s="525"/>
      <c r="AN239" s="139">
        <f t="shared" si="130"/>
        <v>25</v>
      </c>
      <c r="AO239" s="205">
        <f>AN239/INDEX(Parameters!$B:$B,MATCH("AfschrijftermijnVVE"&amp;12*$C239,Parameters!$A:$A,0))</f>
        <v>0.69444444444444442</v>
      </c>
      <c r="AP239" s="139">
        <f t="shared" si="131"/>
        <v>43</v>
      </c>
      <c r="AQ239" s="526">
        <f>IF(AP239&lt;&gt;"nvt",INDEX('Tarieven W&amp;O'!$G:$G,$AP239),0)</f>
        <v>18.47</v>
      </c>
      <c r="AR239" s="251">
        <f>IF($S239,INDEX('Tarieven W&amp;O'!$G:$G,MATCH(N239&amp;R239,'Tarieven W&amp;O'!$B:$B,0)),0)</f>
        <v>0</v>
      </c>
      <c r="AS239" s="205">
        <f>-INDEX(Parameters!$B:$B,MATCH(AS$3,Parameters!$A:$A,0))*(AQ239+AR239)</f>
        <v>0</v>
      </c>
      <c r="AT239" s="205">
        <f>INDEX(hulpblad!$E:$E,MATCH(M239&amp;Q239,hulpblad!$B:$B,0))</f>
        <v>1</v>
      </c>
      <c r="AU239" s="150">
        <f t="shared" si="132"/>
        <v>19.47</v>
      </c>
      <c r="AV239" s="150">
        <f t="shared" si="133"/>
        <v>20.164444444444442</v>
      </c>
      <c r="AX239" s="526">
        <f>Parameters!$B$6*AV239</f>
        <v>0.20164444444444443</v>
      </c>
      <c r="AY239" s="150">
        <v>0</v>
      </c>
      <c r="AZ239" s="150"/>
      <c r="BA239" s="150">
        <f t="shared" si="134"/>
        <v>0.20164444444444443</v>
      </c>
      <c r="BB239" s="150"/>
      <c r="BC239" s="522">
        <f t="shared" si="135"/>
        <v>20.366088888888886</v>
      </c>
      <c r="BD239" s="175"/>
      <c r="BE239" s="527">
        <f t="shared" si="136"/>
        <v>1007.411688888889</v>
      </c>
      <c r="BF239" s="181">
        <f t="shared" si="137"/>
        <v>0.98018434594594595</v>
      </c>
      <c r="BG239" s="520" t="b">
        <f t="shared" si="138"/>
        <v>0</v>
      </c>
      <c r="BI239" s="528" t="s">
        <v>2181</v>
      </c>
      <c r="BL239" s="151" t="str">
        <f t="shared" si="139"/>
        <v>EoKMetro - Regionaal</v>
      </c>
      <c r="BM239" s="529">
        <v>0</v>
      </c>
      <c r="BN239" s="180">
        <f>BM239/INDEX(Parameters!$B:$B,MATCH("AfschrijftermijnVVE"&amp;12*$C239,Parameters!$A:$A,0))</f>
        <v>0</v>
      </c>
      <c r="BO239" s="184">
        <f>INDEX('inkoop ULL tbv EVPN'!I:I,MATCH(BL239,'inkoop ULL tbv EVPN'!H:H,0))</f>
        <v>2</v>
      </c>
      <c r="BP239" s="184">
        <f t="shared" si="140"/>
        <v>2</v>
      </c>
      <c r="BR239" s="180">
        <f>Parameters!$B$12*AG239</f>
        <v>102.77777777777779</v>
      </c>
      <c r="BS239" s="180">
        <f>SUM(Distributievergoedingen!$F$12,Distributievergoedingen!$I$12,Distributievergoedingen!$L$12,Distributievergoedingen!$O$12)*AF239+SUM(Distributievergoedingen!$O$12*AA239+Distributievergoedingen!$R$12+Distributievergoedingen!$U$12+Distributievergoedingen!$X$12)/(MAX(36,12*C239))</f>
        <v>112.77777777777777</v>
      </c>
      <c r="BT239" s="150"/>
      <c r="BU239" s="150">
        <f t="shared" si="141"/>
        <v>215.55555555555554</v>
      </c>
      <c r="BW239" s="522">
        <f t="shared" si="142"/>
        <v>217.55555555555554</v>
      </c>
      <c r="BY239" s="527">
        <f t="shared" si="143"/>
        <v>810.22222222222229</v>
      </c>
      <c r="BZ239" s="181">
        <f t="shared" si="144"/>
        <v>0.78832432432432431</v>
      </c>
      <c r="CA239" s="520" t="b">
        <f t="shared" si="145"/>
        <v>0</v>
      </c>
    </row>
    <row r="240" spans="1:79" s="151" customFormat="1">
      <c r="A240" s="151" t="str">
        <f t="shared" si="124"/>
        <v>3EoKEntryCity15</v>
      </c>
      <c r="B240" s="520" t="str">
        <f t="shared" si="146"/>
        <v>3EoKEntryCity15</v>
      </c>
      <c r="C240" s="179">
        <v>3</v>
      </c>
      <c r="D240" s="179" t="s">
        <v>303</v>
      </c>
      <c r="E240" s="178" t="s">
        <v>45</v>
      </c>
      <c r="F240" s="178" t="s">
        <v>262</v>
      </c>
      <c r="G240" s="185" t="s">
        <v>413</v>
      </c>
      <c r="J240" s="520" t="str">
        <f t="shared" si="125"/>
        <v>EntryCity15</v>
      </c>
      <c r="L240" s="204">
        <f>INDEX(Mapping!$H:$H,MATCH(C$3&amp;C240,Mapping!$B:$B,0))</f>
        <v>1</v>
      </c>
      <c r="M240" s="204" t="str">
        <f>INDEX(Mapping!$H:$H,MATCH(D$3&amp;$D240,Mapping!$B:$B,0))</f>
        <v>EoK</v>
      </c>
      <c r="N240" s="204" t="str">
        <f>INDEX(Mapping!$H:$H,MATCH(E$3&amp;E240,Mapping!$B:$B,0))</f>
        <v>Lite</v>
      </c>
      <c r="O240" s="204" t="str">
        <f>INDEX(Mapping!$H:$H,MATCH(F$3&amp;F240,Mapping!$B:$B,0))</f>
        <v>Metro</v>
      </c>
      <c r="P240" s="204">
        <f>INDEX(Mapping!$H:$H,MATCH(G$3&amp;G240,Mapping!$B:$B,0))</f>
        <v>15</v>
      </c>
      <c r="Q240" s="204" t="str">
        <f>INDEX(Mapping!$H:$H,MATCH(Q$3&amp;$F240,Mapping!$B:$B,0))</f>
        <v>Metro - Regionaal</v>
      </c>
      <c r="R240" s="204" t="str">
        <f>INDEX(Mapping!$H:$H,MATCH("ZM VPN Service Level"&amp;E240,Mapping!$B:$B,0))</f>
        <v>Advanced</v>
      </c>
      <c r="S240" s="139" t="b">
        <f>IF($D240="EoK",INDEX(Mapping!$I:$I,MATCH($G$3&amp;$G240,Mapping!B:B,0)),FALSE)</f>
        <v>0</v>
      </c>
      <c r="T240" s="139"/>
      <c r="U240" s="520" t="str">
        <f t="shared" si="126"/>
        <v>LiteMetro15</v>
      </c>
      <c r="W240" s="521">
        <f>MATCH($J240,'Tarieven ZM'!$B:$B,0)</f>
        <v>16</v>
      </c>
      <c r="X240" s="204">
        <f>INDEX('Tarieven ZM'!$H:$H,$W240)</f>
        <v>1000</v>
      </c>
      <c r="Y240" s="198">
        <f>-INDEX(Parameters!$B:$B,MATCH(Y$3&amp;$C240,Parameters!$A:$A,0))*$X240</f>
        <v>0</v>
      </c>
      <c r="Z240" s="198">
        <f>-INDEX(Parameters!$B:$B,MATCH(Z$3&amp;$C240,Parameters!$A:$A,0))*$X240</f>
        <v>0</v>
      </c>
      <c r="AA240" s="139">
        <f t="shared" si="127"/>
        <v>1000</v>
      </c>
      <c r="AB240" s="205">
        <f>AA240/INDEX(Parameters!$B:$B,MATCH("AfschrijftermijnVVE"&amp;12*$C240,Parameters!$A:$A,0))</f>
        <v>27.777777777777779</v>
      </c>
      <c r="AC240" s="204">
        <f>INDEX('Tarieven ZM'!$G:$G,$W240)</f>
        <v>1000</v>
      </c>
      <c r="AD240" s="198">
        <f>-INDEX(Parameters!$B:$B,MATCH(AD$3&amp;$C240,Parameters!$A:$A,0))*$AC240</f>
        <v>0</v>
      </c>
      <c r="AE240" s="198">
        <f>-INDEX(Parameters!$B:$B,MATCH(AE$3,Parameters!$A:$A,0))*$AC240</f>
        <v>0</v>
      </c>
      <c r="AF240" s="139">
        <f t="shared" si="128"/>
        <v>1000</v>
      </c>
      <c r="AG240" s="522">
        <f t="shared" si="129"/>
        <v>1027.7777777777778</v>
      </c>
      <c r="AH240" s="175"/>
      <c r="AI240" s="523">
        <f>MATCH($U240,'Tarieven W&amp;O'!$B:$B,0)</f>
        <v>44</v>
      </c>
      <c r="AJ240" s="204">
        <f>IF(AI240&lt;&gt;"nvt",INDEX('Tarieven W&amp;O'!$H:$H,$AI240),0)</f>
        <v>0</v>
      </c>
      <c r="AK240" s="204">
        <f>IF(AI240&lt;&gt;"nvt",INDEX('Tarieven W&amp;O'!$I:$I,$AI240),0)</f>
        <v>25</v>
      </c>
      <c r="AL240" s="524">
        <f>IF(AI240&lt;&gt;"nvt",-INDEX(Parameters!$B:$B,MATCH(AL$3,Parameters!$A:$A,0))*(AJ240+AK240),0)</f>
        <v>0</v>
      </c>
      <c r="AM240" s="525"/>
      <c r="AN240" s="139">
        <f t="shared" si="130"/>
        <v>25</v>
      </c>
      <c r="AO240" s="205">
        <f>AN240/INDEX(Parameters!$B:$B,MATCH("AfschrijftermijnVVE"&amp;12*$C240,Parameters!$A:$A,0))</f>
        <v>0.69444444444444442</v>
      </c>
      <c r="AP240" s="139">
        <f t="shared" si="131"/>
        <v>44</v>
      </c>
      <c r="AQ240" s="526">
        <f>IF(AP240&lt;&gt;"nvt",INDEX('Tarieven W&amp;O'!$G:$G,$AP240),0)</f>
        <v>22.24</v>
      </c>
      <c r="AR240" s="251">
        <f>IF($S240,INDEX('Tarieven W&amp;O'!$G:$G,MATCH(N240&amp;R240,'Tarieven W&amp;O'!$B:$B,0)),0)</f>
        <v>0</v>
      </c>
      <c r="AS240" s="205">
        <f>-INDEX(Parameters!$B:$B,MATCH(AS$3,Parameters!$A:$A,0))*(AQ240+AR240)</f>
        <v>0</v>
      </c>
      <c r="AT240" s="205">
        <f>INDEX(hulpblad!$E:$E,MATCH(M240&amp;Q240,hulpblad!$B:$B,0))</f>
        <v>1</v>
      </c>
      <c r="AU240" s="150">
        <f t="shared" si="132"/>
        <v>23.24</v>
      </c>
      <c r="AV240" s="150">
        <f t="shared" si="133"/>
        <v>23.934444444444441</v>
      </c>
      <c r="AX240" s="526">
        <f>Parameters!$B$6*AV240</f>
        <v>0.23934444444444442</v>
      </c>
      <c r="AY240" s="150">
        <v>0</v>
      </c>
      <c r="AZ240" s="150"/>
      <c r="BA240" s="150">
        <f t="shared" si="134"/>
        <v>0.23934444444444442</v>
      </c>
      <c r="BB240" s="150"/>
      <c r="BC240" s="522">
        <f t="shared" si="135"/>
        <v>24.173788888888886</v>
      </c>
      <c r="BD240" s="175"/>
      <c r="BE240" s="527">
        <f t="shared" si="136"/>
        <v>1003.6039888888889</v>
      </c>
      <c r="BF240" s="181">
        <f t="shared" si="137"/>
        <v>0.97647955675675679</v>
      </c>
      <c r="BG240" s="520" t="b">
        <f t="shared" si="138"/>
        <v>0</v>
      </c>
      <c r="BI240" s="528" t="s">
        <v>2181</v>
      </c>
      <c r="BL240" s="151" t="str">
        <f t="shared" si="139"/>
        <v>EoKMetro - Regionaal</v>
      </c>
      <c r="BM240" s="529">
        <v>0</v>
      </c>
      <c r="BN240" s="180">
        <f>BM240/INDEX(Parameters!$B:$B,MATCH("AfschrijftermijnVVE"&amp;12*$C240,Parameters!$A:$A,0))</f>
        <v>0</v>
      </c>
      <c r="BO240" s="184">
        <f>INDEX('inkoop ULL tbv EVPN'!I:I,MATCH(BL240,'inkoop ULL tbv EVPN'!H:H,0))</f>
        <v>2</v>
      </c>
      <c r="BP240" s="184">
        <f t="shared" si="140"/>
        <v>2</v>
      </c>
      <c r="BR240" s="180">
        <f>Parameters!$B$12*AG240</f>
        <v>102.77777777777779</v>
      </c>
      <c r="BS240" s="180">
        <f>SUM(Distributievergoedingen!$F$12,Distributievergoedingen!$I$12,Distributievergoedingen!$L$12,Distributievergoedingen!$O$12)*AF240+SUM(Distributievergoedingen!$O$12*AA240+Distributievergoedingen!$R$12+Distributievergoedingen!$U$12+Distributievergoedingen!$X$12)/(MAX(36,12*C240))</f>
        <v>112.77777777777777</v>
      </c>
      <c r="BT240" s="150"/>
      <c r="BU240" s="150">
        <f t="shared" si="141"/>
        <v>215.55555555555554</v>
      </c>
      <c r="BW240" s="522">
        <f t="shared" si="142"/>
        <v>217.55555555555554</v>
      </c>
      <c r="BY240" s="527">
        <f t="shared" si="143"/>
        <v>810.22222222222229</v>
      </c>
      <c r="BZ240" s="181">
        <f t="shared" si="144"/>
        <v>0.78832432432432431</v>
      </c>
      <c r="CA240" s="520" t="b">
        <f t="shared" si="145"/>
        <v>0</v>
      </c>
    </row>
    <row r="241" spans="1:79" s="151" customFormat="1">
      <c r="A241" s="151" t="str">
        <f t="shared" si="124"/>
        <v>3EoKEntryCity20</v>
      </c>
      <c r="B241" s="520" t="str">
        <f t="shared" si="146"/>
        <v>3EoKEntryCity20</v>
      </c>
      <c r="C241" s="179">
        <v>3</v>
      </c>
      <c r="D241" s="179" t="s">
        <v>303</v>
      </c>
      <c r="E241" s="178" t="s">
        <v>45</v>
      </c>
      <c r="F241" s="178" t="s">
        <v>262</v>
      </c>
      <c r="G241" s="185" t="s">
        <v>414</v>
      </c>
      <c r="J241" s="520" t="str">
        <f t="shared" si="125"/>
        <v>EntryCity20</v>
      </c>
      <c r="L241" s="204">
        <f>INDEX(Mapping!$H:$H,MATCH(C$3&amp;C241,Mapping!$B:$B,0))</f>
        <v>1</v>
      </c>
      <c r="M241" s="204" t="str">
        <f>INDEX(Mapping!$H:$H,MATCH(D$3&amp;$D241,Mapping!$B:$B,0))</f>
        <v>EoK</v>
      </c>
      <c r="N241" s="204" t="str">
        <f>INDEX(Mapping!$H:$H,MATCH(E$3&amp;E241,Mapping!$B:$B,0))</f>
        <v>Lite</v>
      </c>
      <c r="O241" s="204" t="str">
        <f>INDEX(Mapping!$H:$H,MATCH(F$3&amp;F241,Mapping!$B:$B,0))</f>
        <v>Metro</v>
      </c>
      <c r="P241" s="204">
        <f>INDEX(Mapping!$H:$H,MATCH(G$3&amp;G241,Mapping!$B:$B,0))</f>
        <v>20</v>
      </c>
      <c r="Q241" s="204" t="str">
        <f>INDEX(Mapping!$H:$H,MATCH(Q$3&amp;$F241,Mapping!$B:$B,0))</f>
        <v>Metro - Regionaal</v>
      </c>
      <c r="R241" s="204" t="str">
        <f>INDEX(Mapping!$H:$H,MATCH("ZM VPN Service Level"&amp;E241,Mapping!$B:$B,0))</f>
        <v>Advanced</v>
      </c>
      <c r="S241" s="139" t="b">
        <f>IF($D241="EoK",INDEX(Mapping!$I:$I,MATCH($G$3&amp;$G241,Mapping!B:B,0)),FALSE)</f>
        <v>0</v>
      </c>
      <c r="T241" s="139"/>
      <c r="U241" s="520" t="str">
        <f t="shared" si="126"/>
        <v>LiteMetro20</v>
      </c>
      <c r="W241" s="521">
        <f>MATCH($J241,'Tarieven ZM'!$B:$B,0)</f>
        <v>17</v>
      </c>
      <c r="X241" s="204">
        <f>INDEX('Tarieven ZM'!$H:$H,$W241)</f>
        <v>1000</v>
      </c>
      <c r="Y241" s="198">
        <f>-INDEX(Parameters!$B:$B,MATCH(Y$3&amp;$C241,Parameters!$A:$A,0))*$X241</f>
        <v>0</v>
      </c>
      <c r="Z241" s="198">
        <f>-INDEX(Parameters!$B:$B,MATCH(Z$3&amp;$C241,Parameters!$A:$A,0))*$X241</f>
        <v>0</v>
      </c>
      <c r="AA241" s="139">
        <f t="shared" si="127"/>
        <v>1000</v>
      </c>
      <c r="AB241" s="205">
        <f>AA241/INDEX(Parameters!$B:$B,MATCH("AfschrijftermijnVVE"&amp;12*$C241,Parameters!$A:$A,0))</f>
        <v>27.777777777777779</v>
      </c>
      <c r="AC241" s="204">
        <f>INDEX('Tarieven ZM'!$G:$G,$W241)</f>
        <v>1000</v>
      </c>
      <c r="AD241" s="198">
        <f>-INDEX(Parameters!$B:$B,MATCH(AD$3&amp;$C241,Parameters!$A:$A,0))*$AC241</f>
        <v>0</v>
      </c>
      <c r="AE241" s="198">
        <f>-INDEX(Parameters!$B:$B,MATCH(AE$3,Parameters!$A:$A,0))*$AC241</f>
        <v>0</v>
      </c>
      <c r="AF241" s="139">
        <f t="shared" si="128"/>
        <v>1000</v>
      </c>
      <c r="AG241" s="522">
        <f t="shared" si="129"/>
        <v>1027.7777777777778</v>
      </c>
      <c r="AH241" s="175"/>
      <c r="AI241" s="523">
        <f>MATCH($U241,'Tarieven W&amp;O'!$B:$B,0)</f>
        <v>45</v>
      </c>
      <c r="AJ241" s="204">
        <f>IF(AI241&lt;&gt;"nvt",INDEX('Tarieven W&amp;O'!$H:$H,$AI241),0)</f>
        <v>0</v>
      </c>
      <c r="AK241" s="204">
        <f>IF(AI241&lt;&gt;"nvt",INDEX('Tarieven W&amp;O'!$I:$I,$AI241),0)</f>
        <v>25</v>
      </c>
      <c r="AL241" s="524">
        <f>IF(AI241&lt;&gt;"nvt",-INDEX(Parameters!$B:$B,MATCH(AL$3,Parameters!$A:$A,0))*(AJ241+AK241),0)</f>
        <v>0</v>
      </c>
      <c r="AM241" s="525"/>
      <c r="AN241" s="139">
        <f t="shared" si="130"/>
        <v>25</v>
      </c>
      <c r="AO241" s="205">
        <f>AN241/INDEX(Parameters!$B:$B,MATCH("AfschrijftermijnVVE"&amp;12*$C241,Parameters!$A:$A,0))</f>
        <v>0.69444444444444442</v>
      </c>
      <c r="AP241" s="139">
        <f t="shared" si="131"/>
        <v>45</v>
      </c>
      <c r="AQ241" s="526">
        <f>IF(AP241&lt;&gt;"nvt",INDEX('Tarieven W&amp;O'!$G:$G,$AP241),0)</f>
        <v>29.78</v>
      </c>
      <c r="AR241" s="251">
        <f>IF($S241,INDEX('Tarieven W&amp;O'!$G:$G,MATCH(N241&amp;R241,'Tarieven W&amp;O'!$B:$B,0)),0)</f>
        <v>0</v>
      </c>
      <c r="AS241" s="205">
        <f>-INDEX(Parameters!$B:$B,MATCH(AS$3,Parameters!$A:$A,0))*(AQ241+AR241)</f>
        <v>0</v>
      </c>
      <c r="AT241" s="205">
        <f>INDEX(hulpblad!$E:$E,MATCH(M241&amp;Q241,hulpblad!$B:$B,0))</f>
        <v>1</v>
      </c>
      <c r="AU241" s="150">
        <f t="shared" si="132"/>
        <v>30.78</v>
      </c>
      <c r="AV241" s="150">
        <f t="shared" si="133"/>
        <v>31.474444444444444</v>
      </c>
      <c r="AX241" s="526">
        <f>Parameters!$B$6*AV241</f>
        <v>0.31474444444444444</v>
      </c>
      <c r="AY241" s="150">
        <v>0</v>
      </c>
      <c r="AZ241" s="150"/>
      <c r="BA241" s="150">
        <f t="shared" si="134"/>
        <v>0.31474444444444444</v>
      </c>
      <c r="BB241" s="150"/>
      <c r="BC241" s="522">
        <f t="shared" si="135"/>
        <v>31.789188888888887</v>
      </c>
      <c r="BD241" s="175"/>
      <c r="BE241" s="527">
        <f t="shared" si="136"/>
        <v>995.9885888888889</v>
      </c>
      <c r="BF241" s="181">
        <f t="shared" si="137"/>
        <v>0.96906997837837838</v>
      </c>
      <c r="BG241" s="520" t="b">
        <f t="shared" si="138"/>
        <v>0</v>
      </c>
      <c r="BI241" s="528" t="s">
        <v>2181</v>
      </c>
      <c r="BL241" s="151" t="str">
        <f t="shared" si="139"/>
        <v>EoKMetro - Regionaal</v>
      </c>
      <c r="BM241" s="529">
        <v>0</v>
      </c>
      <c r="BN241" s="180">
        <f>BM241/INDEX(Parameters!$B:$B,MATCH("AfschrijftermijnVVE"&amp;12*$C241,Parameters!$A:$A,0))</f>
        <v>0</v>
      </c>
      <c r="BO241" s="184">
        <f>INDEX('inkoop ULL tbv EVPN'!I:I,MATCH(BL241,'inkoop ULL tbv EVPN'!H:H,0))</f>
        <v>2</v>
      </c>
      <c r="BP241" s="184">
        <f t="shared" si="140"/>
        <v>2</v>
      </c>
      <c r="BR241" s="180">
        <f>Parameters!$B$12*AG241</f>
        <v>102.77777777777779</v>
      </c>
      <c r="BS241" s="180">
        <f>SUM(Distributievergoedingen!$F$12,Distributievergoedingen!$I$12,Distributievergoedingen!$L$12,Distributievergoedingen!$O$12)*AF241+SUM(Distributievergoedingen!$O$12*AA241+Distributievergoedingen!$R$12+Distributievergoedingen!$U$12+Distributievergoedingen!$X$12)/(MAX(36,12*C241))</f>
        <v>112.77777777777777</v>
      </c>
      <c r="BT241" s="150"/>
      <c r="BU241" s="150">
        <f t="shared" si="141"/>
        <v>215.55555555555554</v>
      </c>
      <c r="BW241" s="522">
        <f t="shared" si="142"/>
        <v>217.55555555555554</v>
      </c>
      <c r="BY241" s="527">
        <f t="shared" si="143"/>
        <v>810.22222222222229</v>
      </c>
      <c r="BZ241" s="181">
        <f t="shared" si="144"/>
        <v>0.78832432432432431</v>
      </c>
      <c r="CA241" s="520" t="b">
        <f t="shared" si="145"/>
        <v>0</v>
      </c>
    </row>
    <row r="242" spans="1:79" s="151" customFormat="1">
      <c r="A242" s="151" t="str">
        <f t="shared" si="124"/>
        <v>3EoKEntryCity30</v>
      </c>
      <c r="B242" s="520" t="str">
        <f t="shared" si="146"/>
        <v>3EoKEntryCity30</v>
      </c>
      <c r="C242" s="179">
        <v>3</v>
      </c>
      <c r="D242" s="179" t="s">
        <v>303</v>
      </c>
      <c r="E242" s="178" t="s">
        <v>45</v>
      </c>
      <c r="F242" s="178" t="s">
        <v>262</v>
      </c>
      <c r="G242" s="185" t="s">
        <v>415</v>
      </c>
      <c r="J242" s="520" t="str">
        <f t="shared" si="125"/>
        <v>EntryCity30</v>
      </c>
      <c r="L242" s="204">
        <f>INDEX(Mapping!$H:$H,MATCH(C$3&amp;C242,Mapping!$B:$B,0))</f>
        <v>1</v>
      </c>
      <c r="M242" s="204" t="str">
        <f>INDEX(Mapping!$H:$H,MATCH(D$3&amp;$D242,Mapping!$B:$B,0))</f>
        <v>EoK</v>
      </c>
      <c r="N242" s="204" t="str">
        <f>INDEX(Mapping!$H:$H,MATCH(E$3&amp;E242,Mapping!$B:$B,0))</f>
        <v>Lite</v>
      </c>
      <c r="O242" s="204" t="str">
        <f>INDEX(Mapping!$H:$H,MATCH(F$3&amp;F242,Mapping!$B:$B,0))</f>
        <v>Metro</v>
      </c>
      <c r="P242" s="204">
        <f>INDEX(Mapping!$H:$H,MATCH(G$3&amp;G242,Mapping!$B:$B,0))</f>
        <v>30</v>
      </c>
      <c r="Q242" s="204" t="str">
        <f>INDEX(Mapping!$H:$H,MATCH(Q$3&amp;$F242,Mapping!$B:$B,0))</f>
        <v>Metro - Regionaal</v>
      </c>
      <c r="R242" s="204" t="str">
        <f>INDEX(Mapping!$H:$H,MATCH("ZM VPN Service Level"&amp;E242,Mapping!$B:$B,0))</f>
        <v>Advanced</v>
      </c>
      <c r="S242" s="139" t="b">
        <f>IF($D242="EoK",INDEX(Mapping!$I:$I,MATCH($G$3&amp;$G242,Mapping!B:B,0)),FALSE)</f>
        <v>0</v>
      </c>
      <c r="T242" s="139"/>
      <c r="U242" s="520" t="str">
        <f t="shared" si="126"/>
        <v>LiteMetro30</v>
      </c>
      <c r="W242" s="521">
        <f>MATCH($J242,'Tarieven ZM'!$B:$B,0)</f>
        <v>18</v>
      </c>
      <c r="X242" s="204">
        <f>INDEX('Tarieven ZM'!$H:$H,$W242)</f>
        <v>1000</v>
      </c>
      <c r="Y242" s="198">
        <f>-INDEX(Parameters!$B:$B,MATCH(Y$3&amp;$C242,Parameters!$A:$A,0))*$X242</f>
        <v>0</v>
      </c>
      <c r="Z242" s="198">
        <f>-INDEX(Parameters!$B:$B,MATCH(Z$3&amp;$C242,Parameters!$A:$A,0))*$X242</f>
        <v>0</v>
      </c>
      <c r="AA242" s="139">
        <f t="shared" si="127"/>
        <v>1000</v>
      </c>
      <c r="AB242" s="205">
        <f>AA242/INDEX(Parameters!$B:$B,MATCH("AfschrijftermijnVVE"&amp;12*$C242,Parameters!$A:$A,0))</f>
        <v>27.777777777777779</v>
      </c>
      <c r="AC242" s="204">
        <f>INDEX('Tarieven ZM'!$G:$G,$W242)</f>
        <v>1000</v>
      </c>
      <c r="AD242" s="198">
        <f>-INDEX(Parameters!$B:$B,MATCH(AD$3&amp;$C242,Parameters!$A:$A,0))*$AC242</f>
        <v>0</v>
      </c>
      <c r="AE242" s="198">
        <f>-INDEX(Parameters!$B:$B,MATCH(AE$3,Parameters!$A:$A,0))*$AC242</f>
        <v>0</v>
      </c>
      <c r="AF242" s="139">
        <f t="shared" si="128"/>
        <v>1000</v>
      </c>
      <c r="AG242" s="522">
        <f t="shared" si="129"/>
        <v>1027.7777777777778</v>
      </c>
      <c r="AH242" s="175"/>
      <c r="AI242" s="523">
        <f>MATCH($U242,'Tarieven W&amp;O'!$B:$B,0)</f>
        <v>46</v>
      </c>
      <c r="AJ242" s="204">
        <f>IF(AI242&lt;&gt;"nvt",INDEX('Tarieven W&amp;O'!$H:$H,$AI242),0)</f>
        <v>0</v>
      </c>
      <c r="AK242" s="204">
        <f>IF(AI242&lt;&gt;"nvt",INDEX('Tarieven W&amp;O'!$I:$I,$AI242),0)</f>
        <v>25</v>
      </c>
      <c r="AL242" s="524">
        <f>IF(AI242&lt;&gt;"nvt",-INDEX(Parameters!$B:$B,MATCH(AL$3,Parameters!$A:$A,0))*(AJ242+AK242),0)</f>
        <v>0</v>
      </c>
      <c r="AM242" s="525"/>
      <c r="AN242" s="139">
        <f t="shared" si="130"/>
        <v>25</v>
      </c>
      <c r="AO242" s="205">
        <f>AN242/INDEX(Parameters!$B:$B,MATCH("AfschrijftermijnVVE"&amp;12*$C242,Parameters!$A:$A,0))</f>
        <v>0.69444444444444442</v>
      </c>
      <c r="AP242" s="139">
        <f t="shared" si="131"/>
        <v>46</v>
      </c>
      <c r="AQ242" s="526">
        <f>IF(AP242&lt;&gt;"nvt",INDEX('Tarieven W&amp;O'!$G:$G,$AP242),0)</f>
        <v>33.54</v>
      </c>
      <c r="AR242" s="251">
        <f>IF($S242,INDEX('Tarieven W&amp;O'!$G:$G,MATCH(N242&amp;R242,'Tarieven W&amp;O'!$B:$B,0)),0)</f>
        <v>0</v>
      </c>
      <c r="AS242" s="205">
        <f>-INDEX(Parameters!$B:$B,MATCH(AS$3,Parameters!$A:$A,0))*(AQ242+AR242)</f>
        <v>0</v>
      </c>
      <c r="AT242" s="205">
        <f>INDEX(hulpblad!$E:$E,MATCH(M242&amp;Q242,hulpblad!$B:$B,0))</f>
        <v>1</v>
      </c>
      <c r="AU242" s="150">
        <f t="shared" si="132"/>
        <v>34.54</v>
      </c>
      <c r="AV242" s="150">
        <f t="shared" si="133"/>
        <v>35.234444444444442</v>
      </c>
      <c r="AX242" s="526">
        <f>Parameters!$B$6*AV242</f>
        <v>0.3523444444444444</v>
      </c>
      <c r="AY242" s="150">
        <v>0</v>
      </c>
      <c r="AZ242" s="150"/>
      <c r="BA242" s="150">
        <f t="shared" si="134"/>
        <v>0.3523444444444444</v>
      </c>
      <c r="BB242" s="150"/>
      <c r="BC242" s="522">
        <f t="shared" si="135"/>
        <v>35.58678888888889</v>
      </c>
      <c r="BD242" s="175"/>
      <c r="BE242" s="527">
        <f t="shared" si="136"/>
        <v>992.19098888888891</v>
      </c>
      <c r="BF242" s="181">
        <f t="shared" si="137"/>
        <v>0.96537501621621624</v>
      </c>
      <c r="BG242" s="520" t="b">
        <f t="shared" si="138"/>
        <v>0</v>
      </c>
      <c r="BI242" s="528" t="s">
        <v>2181</v>
      </c>
      <c r="BL242" s="151" t="str">
        <f t="shared" si="139"/>
        <v>EoKMetro - Regionaal</v>
      </c>
      <c r="BM242" s="529">
        <v>0</v>
      </c>
      <c r="BN242" s="180">
        <f>BM242/INDEX(Parameters!$B:$B,MATCH("AfschrijftermijnVVE"&amp;12*$C242,Parameters!$A:$A,0))</f>
        <v>0</v>
      </c>
      <c r="BO242" s="184">
        <f>INDEX('inkoop ULL tbv EVPN'!I:I,MATCH(BL242,'inkoop ULL tbv EVPN'!H:H,0))</f>
        <v>2</v>
      </c>
      <c r="BP242" s="184">
        <f t="shared" si="140"/>
        <v>2</v>
      </c>
      <c r="BR242" s="180">
        <f>Parameters!$B$12*AG242</f>
        <v>102.77777777777779</v>
      </c>
      <c r="BS242" s="180">
        <f>SUM(Distributievergoedingen!$F$12,Distributievergoedingen!$I$12,Distributievergoedingen!$L$12,Distributievergoedingen!$O$12)*AF242+SUM(Distributievergoedingen!$O$12*AA242+Distributievergoedingen!$R$12+Distributievergoedingen!$U$12+Distributievergoedingen!$X$12)/(MAX(36,12*C242))</f>
        <v>112.77777777777777</v>
      </c>
      <c r="BT242" s="150"/>
      <c r="BU242" s="150">
        <f t="shared" si="141"/>
        <v>215.55555555555554</v>
      </c>
      <c r="BW242" s="522">
        <f t="shared" si="142"/>
        <v>217.55555555555554</v>
      </c>
      <c r="BY242" s="527">
        <f t="shared" si="143"/>
        <v>810.22222222222229</v>
      </c>
      <c r="BZ242" s="181">
        <f t="shared" si="144"/>
        <v>0.78832432432432431</v>
      </c>
      <c r="CA242" s="520" t="b">
        <f t="shared" si="145"/>
        <v>0</v>
      </c>
    </row>
    <row r="243" spans="1:79" s="151" customFormat="1">
      <c r="A243" s="151" t="str">
        <f t="shared" si="124"/>
        <v>3EoKEntryCity50</v>
      </c>
      <c r="B243" s="520" t="str">
        <f t="shared" si="146"/>
        <v>3EoKEntryCity50</v>
      </c>
      <c r="C243" s="179">
        <v>3</v>
      </c>
      <c r="D243" s="179" t="s">
        <v>303</v>
      </c>
      <c r="E243" s="178" t="s">
        <v>45</v>
      </c>
      <c r="F243" s="178" t="s">
        <v>262</v>
      </c>
      <c r="G243" s="185" t="s">
        <v>416</v>
      </c>
      <c r="J243" s="520" t="str">
        <f t="shared" si="125"/>
        <v>EntryCity50</v>
      </c>
      <c r="L243" s="204">
        <f>INDEX(Mapping!$H:$H,MATCH(C$3&amp;C243,Mapping!$B:$B,0))</f>
        <v>1</v>
      </c>
      <c r="M243" s="204" t="str">
        <f>INDEX(Mapping!$H:$H,MATCH(D$3&amp;$D243,Mapping!$B:$B,0))</f>
        <v>EoK</v>
      </c>
      <c r="N243" s="204" t="str">
        <f>INDEX(Mapping!$H:$H,MATCH(E$3&amp;E243,Mapping!$B:$B,0))</f>
        <v>Lite</v>
      </c>
      <c r="O243" s="204" t="str">
        <f>INDEX(Mapping!$H:$H,MATCH(F$3&amp;F243,Mapping!$B:$B,0))</f>
        <v>Metro</v>
      </c>
      <c r="P243" s="204">
        <f>INDEX(Mapping!$H:$H,MATCH(G$3&amp;G243,Mapping!$B:$B,0))</f>
        <v>50</v>
      </c>
      <c r="Q243" s="204" t="str">
        <f>INDEX(Mapping!$H:$H,MATCH(Q$3&amp;$F243,Mapping!$B:$B,0))</f>
        <v>Metro - Regionaal</v>
      </c>
      <c r="R243" s="204" t="str">
        <f>INDEX(Mapping!$H:$H,MATCH("ZM VPN Service Level"&amp;E243,Mapping!$B:$B,0))</f>
        <v>Advanced</v>
      </c>
      <c r="S243" s="139" t="b">
        <f>IF($D243="EoK",INDEX(Mapping!$I:$I,MATCH($G$3&amp;$G243,Mapping!B:B,0)),FALSE)</f>
        <v>0</v>
      </c>
      <c r="T243" s="139"/>
      <c r="U243" s="520" t="str">
        <f t="shared" si="126"/>
        <v>LiteMetro50</v>
      </c>
      <c r="W243" s="521">
        <f>MATCH($J243,'Tarieven ZM'!$B:$B,0)</f>
        <v>19</v>
      </c>
      <c r="X243" s="204">
        <f>INDEX('Tarieven ZM'!$H:$H,$W243)</f>
        <v>1000</v>
      </c>
      <c r="Y243" s="198">
        <f>-INDEX(Parameters!$B:$B,MATCH(Y$3&amp;$C243,Parameters!$A:$A,0))*$X243</f>
        <v>0</v>
      </c>
      <c r="Z243" s="198">
        <f>-INDEX(Parameters!$B:$B,MATCH(Z$3&amp;$C243,Parameters!$A:$A,0))*$X243</f>
        <v>0</v>
      </c>
      <c r="AA243" s="139">
        <f t="shared" si="127"/>
        <v>1000</v>
      </c>
      <c r="AB243" s="205">
        <f>AA243/INDEX(Parameters!$B:$B,MATCH("AfschrijftermijnVVE"&amp;12*$C243,Parameters!$A:$A,0))</f>
        <v>27.777777777777779</v>
      </c>
      <c r="AC243" s="204">
        <f>INDEX('Tarieven ZM'!$G:$G,$W243)</f>
        <v>1000</v>
      </c>
      <c r="AD243" s="198">
        <f>-INDEX(Parameters!$B:$B,MATCH(AD$3&amp;$C243,Parameters!$A:$A,0))*$AC243</f>
        <v>0</v>
      </c>
      <c r="AE243" s="198">
        <f>-INDEX(Parameters!$B:$B,MATCH(AE$3,Parameters!$A:$A,0))*$AC243</f>
        <v>0</v>
      </c>
      <c r="AF243" s="139">
        <f t="shared" si="128"/>
        <v>1000</v>
      </c>
      <c r="AG243" s="522">
        <f t="shared" si="129"/>
        <v>1027.7777777777778</v>
      </c>
      <c r="AH243" s="175"/>
      <c r="AI243" s="523">
        <f>MATCH($U243,'Tarieven W&amp;O'!$B:$B,0)</f>
        <v>47</v>
      </c>
      <c r="AJ243" s="204">
        <f>IF(AI243&lt;&gt;"nvt",INDEX('Tarieven W&amp;O'!$H:$H,$AI243),0)</f>
        <v>0</v>
      </c>
      <c r="AK243" s="204">
        <f>IF(AI243&lt;&gt;"nvt",INDEX('Tarieven W&amp;O'!$I:$I,$AI243),0)</f>
        <v>25</v>
      </c>
      <c r="AL243" s="524">
        <f>IF(AI243&lt;&gt;"nvt",-INDEX(Parameters!$B:$B,MATCH(AL$3,Parameters!$A:$A,0))*(AJ243+AK243),0)</f>
        <v>0</v>
      </c>
      <c r="AM243" s="525"/>
      <c r="AN243" s="139">
        <f t="shared" si="130"/>
        <v>25</v>
      </c>
      <c r="AO243" s="205">
        <f>AN243/INDEX(Parameters!$B:$B,MATCH("AfschrijftermijnVVE"&amp;12*$C243,Parameters!$A:$A,0))</f>
        <v>0.69444444444444442</v>
      </c>
      <c r="AP243" s="139">
        <f t="shared" si="131"/>
        <v>47</v>
      </c>
      <c r="AQ243" s="526">
        <f>IF(AP243&lt;&gt;"nvt",INDEX('Tarieven W&amp;O'!$G:$G,$AP243),0)</f>
        <v>48.62</v>
      </c>
      <c r="AR243" s="251">
        <f>IF($S243,INDEX('Tarieven W&amp;O'!$G:$G,MATCH(N243&amp;R243,'Tarieven W&amp;O'!$B:$B,0)),0)</f>
        <v>0</v>
      </c>
      <c r="AS243" s="205">
        <f>-INDEX(Parameters!$B:$B,MATCH(AS$3,Parameters!$A:$A,0))*(AQ243+AR243)</f>
        <v>0</v>
      </c>
      <c r="AT243" s="205">
        <f>INDEX(hulpblad!$E:$E,MATCH(M243&amp;Q243,hulpblad!$B:$B,0))</f>
        <v>1</v>
      </c>
      <c r="AU243" s="150">
        <f t="shared" si="132"/>
        <v>49.62</v>
      </c>
      <c r="AV243" s="150">
        <f t="shared" si="133"/>
        <v>50.31444444444444</v>
      </c>
      <c r="AX243" s="526">
        <f>Parameters!$B$6*AV243</f>
        <v>0.50314444444444439</v>
      </c>
      <c r="AY243" s="150">
        <v>0</v>
      </c>
      <c r="AZ243" s="150"/>
      <c r="BA243" s="150">
        <f t="shared" si="134"/>
        <v>0.50314444444444439</v>
      </c>
      <c r="BB243" s="150"/>
      <c r="BC243" s="522">
        <f t="shared" si="135"/>
        <v>50.817588888888885</v>
      </c>
      <c r="BD243" s="175"/>
      <c r="BE243" s="527">
        <f t="shared" si="136"/>
        <v>976.96018888888898</v>
      </c>
      <c r="BF243" s="181">
        <f t="shared" si="137"/>
        <v>0.95055585945945953</v>
      </c>
      <c r="BG243" s="520" t="b">
        <f t="shared" si="138"/>
        <v>0</v>
      </c>
      <c r="BI243" s="528" t="s">
        <v>2181</v>
      </c>
      <c r="BL243" s="151" t="str">
        <f t="shared" si="139"/>
        <v>EoKMetro - Regionaal</v>
      </c>
      <c r="BM243" s="529">
        <v>0</v>
      </c>
      <c r="BN243" s="180">
        <f>BM243/INDEX(Parameters!$B:$B,MATCH("AfschrijftermijnVVE"&amp;12*$C243,Parameters!$A:$A,0))</f>
        <v>0</v>
      </c>
      <c r="BO243" s="184">
        <f>INDEX('inkoop ULL tbv EVPN'!I:I,MATCH(BL243,'inkoop ULL tbv EVPN'!H:H,0))</f>
        <v>2</v>
      </c>
      <c r="BP243" s="184">
        <f t="shared" si="140"/>
        <v>2</v>
      </c>
      <c r="BR243" s="180">
        <f>Parameters!$B$12*AG243</f>
        <v>102.77777777777779</v>
      </c>
      <c r="BS243" s="180">
        <f>SUM(Distributievergoedingen!$F$12,Distributievergoedingen!$I$12,Distributievergoedingen!$L$12,Distributievergoedingen!$O$12)*AF243+SUM(Distributievergoedingen!$O$12*AA243+Distributievergoedingen!$R$12+Distributievergoedingen!$U$12+Distributievergoedingen!$X$12)/(MAX(36,12*C243))</f>
        <v>112.77777777777777</v>
      </c>
      <c r="BT243" s="150"/>
      <c r="BU243" s="150">
        <f t="shared" si="141"/>
        <v>215.55555555555554</v>
      </c>
      <c r="BW243" s="522">
        <f t="shared" si="142"/>
        <v>217.55555555555554</v>
      </c>
      <c r="BY243" s="527">
        <f t="shared" si="143"/>
        <v>810.22222222222229</v>
      </c>
      <c r="BZ243" s="181">
        <f t="shared" si="144"/>
        <v>0.78832432432432431</v>
      </c>
      <c r="CA243" s="520" t="b">
        <f t="shared" si="145"/>
        <v>0</v>
      </c>
    </row>
    <row r="244" spans="1:79" s="151" customFormat="1">
      <c r="A244" s="151" t="str">
        <f t="shared" si="124"/>
        <v>3EoKEntryCity80</v>
      </c>
      <c r="B244" s="520" t="str">
        <f t="shared" si="146"/>
        <v>3EoKEntryCity80</v>
      </c>
      <c r="C244" s="179">
        <v>3</v>
      </c>
      <c r="D244" s="179" t="s">
        <v>303</v>
      </c>
      <c r="E244" s="178" t="s">
        <v>45</v>
      </c>
      <c r="F244" s="178" t="s">
        <v>262</v>
      </c>
      <c r="G244" s="185" t="s">
        <v>417</v>
      </c>
      <c r="J244" s="520" t="str">
        <f t="shared" si="125"/>
        <v>EntryCity80</v>
      </c>
      <c r="L244" s="204">
        <f>INDEX(Mapping!$H:$H,MATCH(C$3&amp;C244,Mapping!$B:$B,0))</f>
        <v>1</v>
      </c>
      <c r="M244" s="204" t="str">
        <f>INDEX(Mapping!$H:$H,MATCH(D$3&amp;$D244,Mapping!$B:$B,0))</f>
        <v>EoK</v>
      </c>
      <c r="N244" s="204" t="str">
        <f>INDEX(Mapping!$H:$H,MATCH(E$3&amp;E244,Mapping!$B:$B,0))</f>
        <v>Lite</v>
      </c>
      <c r="O244" s="204" t="str">
        <f>INDEX(Mapping!$H:$H,MATCH(F$3&amp;F244,Mapping!$B:$B,0))</f>
        <v>Metro</v>
      </c>
      <c r="P244" s="204">
        <f>INDEX(Mapping!$H:$H,MATCH(G$3&amp;G244,Mapping!$B:$B,0))</f>
        <v>80</v>
      </c>
      <c r="Q244" s="204" t="str">
        <f>INDEX(Mapping!$H:$H,MATCH(Q$3&amp;$F244,Mapping!$B:$B,0))</f>
        <v>Metro - Regionaal</v>
      </c>
      <c r="R244" s="204" t="str">
        <f>INDEX(Mapping!$H:$H,MATCH("ZM VPN Service Level"&amp;E244,Mapping!$B:$B,0))</f>
        <v>Advanced</v>
      </c>
      <c r="S244" s="139" t="b">
        <f>IF($D244="EoK",INDEX(Mapping!$I:$I,MATCH($G$3&amp;$G244,Mapping!B:B,0)),FALSE)</f>
        <v>0</v>
      </c>
      <c r="T244" s="139"/>
      <c r="U244" s="520" t="str">
        <f t="shared" si="126"/>
        <v>LiteMetro80</v>
      </c>
      <c r="W244" s="521">
        <f>MATCH($J244,'Tarieven ZM'!$B:$B,0)</f>
        <v>20</v>
      </c>
      <c r="X244" s="204">
        <f>INDEX('Tarieven ZM'!$H:$H,$W244)</f>
        <v>1000</v>
      </c>
      <c r="Y244" s="198">
        <f>-INDEX(Parameters!$B:$B,MATCH(Y$3&amp;$C244,Parameters!$A:$A,0))*$X244</f>
        <v>0</v>
      </c>
      <c r="Z244" s="198">
        <f>-INDEX(Parameters!$B:$B,MATCH(Z$3&amp;$C244,Parameters!$A:$A,0))*$X244</f>
        <v>0</v>
      </c>
      <c r="AA244" s="139">
        <f t="shared" si="127"/>
        <v>1000</v>
      </c>
      <c r="AB244" s="205">
        <f>AA244/INDEX(Parameters!$B:$B,MATCH("AfschrijftermijnVVE"&amp;12*$C244,Parameters!$A:$A,0))</f>
        <v>27.777777777777779</v>
      </c>
      <c r="AC244" s="204">
        <f>INDEX('Tarieven ZM'!$G:$G,$W244)</f>
        <v>1000</v>
      </c>
      <c r="AD244" s="198">
        <f>-INDEX(Parameters!$B:$B,MATCH(AD$3&amp;$C244,Parameters!$A:$A,0))*$AC244</f>
        <v>0</v>
      </c>
      <c r="AE244" s="198">
        <f>-INDEX(Parameters!$B:$B,MATCH(AE$3,Parameters!$A:$A,0))*$AC244</f>
        <v>0</v>
      </c>
      <c r="AF244" s="139">
        <f t="shared" si="128"/>
        <v>1000</v>
      </c>
      <c r="AG244" s="522">
        <f t="shared" si="129"/>
        <v>1027.7777777777778</v>
      </c>
      <c r="AH244" s="175"/>
      <c r="AI244" s="523">
        <f>MATCH($U244,'Tarieven W&amp;O'!$B:$B,0)</f>
        <v>48</v>
      </c>
      <c r="AJ244" s="204">
        <f>IF(AI244&lt;&gt;"nvt",INDEX('Tarieven W&amp;O'!$H:$H,$AI244),0)</f>
        <v>0</v>
      </c>
      <c r="AK244" s="204">
        <f>IF(AI244&lt;&gt;"nvt",INDEX('Tarieven W&amp;O'!$I:$I,$AI244),0)</f>
        <v>25</v>
      </c>
      <c r="AL244" s="524">
        <f>IF(AI244&lt;&gt;"nvt",-INDEX(Parameters!$B:$B,MATCH(AL$3,Parameters!$A:$A,0))*(AJ244+AK244),0)</f>
        <v>0</v>
      </c>
      <c r="AM244" s="525"/>
      <c r="AN244" s="139">
        <f t="shared" si="130"/>
        <v>25</v>
      </c>
      <c r="AO244" s="205">
        <f>AN244/INDEX(Parameters!$B:$B,MATCH("AfschrijftermijnVVE"&amp;12*$C244,Parameters!$A:$A,0))</f>
        <v>0.69444444444444442</v>
      </c>
      <c r="AP244" s="139">
        <f t="shared" si="131"/>
        <v>48</v>
      </c>
      <c r="AQ244" s="526">
        <f>IF(AP244&lt;&gt;"nvt",INDEX('Tarieven W&amp;O'!$G:$G,$AP244),0)</f>
        <v>63.7</v>
      </c>
      <c r="AR244" s="251">
        <f>IF($S244,INDEX('Tarieven W&amp;O'!$G:$G,MATCH(N244&amp;R244,'Tarieven W&amp;O'!$B:$B,0)),0)</f>
        <v>0</v>
      </c>
      <c r="AS244" s="205">
        <f>-INDEX(Parameters!$B:$B,MATCH(AS$3,Parameters!$A:$A,0))*(AQ244+AR244)</f>
        <v>0</v>
      </c>
      <c r="AT244" s="205">
        <f>INDEX(hulpblad!$E:$E,MATCH(M244&amp;Q244,hulpblad!$B:$B,0))</f>
        <v>1</v>
      </c>
      <c r="AU244" s="150">
        <f t="shared" si="132"/>
        <v>64.7</v>
      </c>
      <c r="AV244" s="150">
        <f t="shared" si="133"/>
        <v>65.394444444444446</v>
      </c>
      <c r="AX244" s="526">
        <f>Parameters!$B$6*AV244</f>
        <v>0.65394444444444444</v>
      </c>
      <c r="AY244" s="150">
        <v>0</v>
      </c>
      <c r="AZ244" s="150"/>
      <c r="BA244" s="150">
        <f t="shared" si="134"/>
        <v>0.65394444444444444</v>
      </c>
      <c r="BB244" s="150"/>
      <c r="BC244" s="522">
        <f t="shared" si="135"/>
        <v>66.048388888888894</v>
      </c>
      <c r="BD244" s="175"/>
      <c r="BE244" s="527">
        <f t="shared" si="136"/>
        <v>961.72938888888893</v>
      </c>
      <c r="BF244" s="181">
        <f t="shared" si="137"/>
        <v>0.93573670270270271</v>
      </c>
      <c r="BG244" s="520" t="b">
        <f t="shared" si="138"/>
        <v>0</v>
      </c>
      <c r="BI244" s="528" t="s">
        <v>2181</v>
      </c>
      <c r="BL244" s="151" t="str">
        <f t="shared" si="139"/>
        <v>EoKMetro - Regionaal</v>
      </c>
      <c r="BM244" s="529">
        <v>0</v>
      </c>
      <c r="BN244" s="180">
        <f>BM244/INDEX(Parameters!$B:$B,MATCH("AfschrijftermijnVVE"&amp;12*$C244,Parameters!$A:$A,0))</f>
        <v>0</v>
      </c>
      <c r="BO244" s="184">
        <f>INDEX('inkoop ULL tbv EVPN'!I:I,MATCH(BL244,'inkoop ULL tbv EVPN'!H:H,0))</f>
        <v>2</v>
      </c>
      <c r="BP244" s="184">
        <f t="shared" si="140"/>
        <v>2</v>
      </c>
      <c r="BR244" s="180">
        <f>Parameters!$B$12*AG244</f>
        <v>102.77777777777779</v>
      </c>
      <c r="BS244" s="180">
        <f>SUM(Distributievergoedingen!$F$12,Distributievergoedingen!$I$12,Distributievergoedingen!$L$12,Distributievergoedingen!$O$12)*AF244+SUM(Distributievergoedingen!$O$12*AA244+Distributievergoedingen!$R$12+Distributievergoedingen!$U$12+Distributievergoedingen!$X$12)/(MAX(36,12*C244))</f>
        <v>112.77777777777777</v>
      </c>
      <c r="BT244" s="150"/>
      <c r="BU244" s="150">
        <f t="shared" si="141"/>
        <v>215.55555555555554</v>
      </c>
      <c r="BW244" s="522">
        <f t="shared" si="142"/>
        <v>217.55555555555554</v>
      </c>
      <c r="BY244" s="527">
        <f t="shared" si="143"/>
        <v>810.22222222222229</v>
      </c>
      <c r="BZ244" s="181">
        <f t="shared" si="144"/>
        <v>0.78832432432432431</v>
      </c>
      <c r="CA244" s="520" t="b">
        <f t="shared" si="145"/>
        <v>0</v>
      </c>
    </row>
    <row r="245" spans="1:79" s="151" customFormat="1">
      <c r="A245" s="151" t="str">
        <f t="shared" si="124"/>
        <v>3EoKEntryCity100</v>
      </c>
      <c r="B245" s="520" t="str">
        <f t="shared" si="146"/>
        <v>3EoKEntryCity100</v>
      </c>
      <c r="C245" s="179">
        <v>3</v>
      </c>
      <c r="D245" s="179" t="s">
        <v>303</v>
      </c>
      <c r="E245" s="178" t="s">
        <v>45</v>
      </c>
      <c r="F245" s="178" t="s">
        <v>262</v>
      </c>
      <c r="G245" s="185" t="s">
        <v>418</v>
      </c>
      <c r="J245" s="520" t="str">
        <f t="shared" si="125"/>
        <v>EntryCity100</v>
      </c>
      <c r="L245" s="204">
        <f>INDEX(Mapping!$H:$H,MATCH(C$3&amp;C245,Mapping!$B:$B,0))</f>
        <v>1</v>
      </c>
      <c r="M245" s="204" t="str">
        <f>INDEX(Mapping!$H:$H,MATCH(D$3&amp;$D245,Mapping!$B:$B,0))</f>
        <v>EoK</v>
      </c>
      <c r="N245" s="204" t="str">
        <f>INDEX(Mapping!$H:$H,MATCH(E$3&amp;E245,Mapping!$B:$B,0))</f>
        <v>Lite</v>
      </c>
      <c r="O245" s="204" t="str">
        <f>INDEX(Mapping!$H:$H,MATCH(F$3&amp;F245,Mapping!$B:$B,0))</f>
        <v>Metro</v>
      </c>
      <c r="P245" s="204">
        <f>INDEX(Mapping!$H:$H,MATCH(G$3&amp;G245,Mapping!$B:$B,0))</f>
        <v>100</v>
      </c>
      <c r="Q245" s="204" t="str">
        <f>INDEX(Mapping!$H:$H,MATCH(Q$3&amp;$F245,Mapping!$B:$B,0))</f>
        <v>Metro - Regionaal</v>
      </c>
      <c r="R245" s="204" t="str">
        <f>INDEX(Mapping!$H:$H,MATCH("ZM VPN Service Level"&amp;E245,Mapping!$B:$B,0))</f>
        <v>Advanced</v>
      </c>
      <c r="S245" s="139" t="b">
        <f>IF($D245="EoK",INDEX(Mapping!$I:$I,MATCH($G$3&amp;$G245,Mapping!B:B,0)),FALSE)</f>
        <v>0</v>
      </c>
      <c r="T245" s="139"/>
      <c r="U245" s="520" t="str">
        <f t="shared" si="126"/>
        <v>LiteMetro100</v>
      </c>
      <c r="W245" s="521">
        <f>MATCH($J245,'Tarieven ZM'!$B:$B,0)</f>
        <v>21</v>
      </c>
      <c r="X245" s="204">
        <f>INDEX('Tarieven ZM'!$H:$H,$W245)</f>
        <v>1000</v>
      </c>
      <c r="Y245" s="198">
        <f>-INDEX(Parameters!$B:$B,MATCH(Y$3&amp;$C245,Parameters!$A:$A,0))*$X245</f>
        <v>0</v>
      </c>
      <c r="Z245" s="198">
        <f>-INDEX(Parameters!$B:$B,MATCH(Z$3&amp;$C245,Parameters!$A:$A,0))*$X245</f>
        <v>0</v>
      </c>
      <c r="AA245" s="139">
        <f t="shared" si="127"/>
        <v>1000</v>
      </c>
      <c r="AB245" s="205">
        <f>AA245/INDEX(Parameters!$B:$B,MATCH("AfschrijftermijnVVE"&amp;12*$C245,Parameters!$A:$A,0))</f>
        <v>27.777777777777779</v>
      </c>
      <c r="AC245" s="204">
        <f>INDEX('Tarieven ZM'!$G:$G,$W245)</f>
        <v>1000</v>
      </c>
      <c r="AD245" s="198">
        <f>-INDEX(Parameters!$B:$B,MATCH(AD$3&amp;$C245,Parameters!$A:$A,0))*$AC245</f>
        <v>0</v>
      </c>
      <c r="AE245" s="198">
        <f>-INDEX(Parameters!$B:$B,MATCH(AE$3,Parameters!$A:$A,0))*$AC245</f>
        <v>0</v>
      </c>
      <c r="AF245" s="139">
        <f t="shared" si="128"/>
        <v>1000</v>
      </c>
      <c r="AG245" s="522">
        <f t="shared" si="129"/>
        <v>1027.7777777777778</v>
      </c>
      <c r="AH245" s="175"/>
      <c r="AI245" s="523">
        <f>MATCH($U245,'Tarieven W&amp;O'!$B:$B,0)</f>
        <v>49</v>
      </c>
      <c r="AJ245" s="204">
        <f>IF(AI245&lt;&gt;"nvt",INDEX('Tarieven W&amp;O'!$H:$H,$AI245),0)</f>
        <v>0</v>
      </c>
      <c r="AK245" s="204">
        <f>IF(AI245&lt;&gt;"nvt",INDEX('Tarieven W&amp;O'!$I:$I,$AI245),0)</f>
        <v>25</v>
      </c>
      <c r="AL245" s="524">
        <f>IF(AI245&lt;&gt;"nvt",-INDEX(Parameters!$B:$B,MATCH(AL$3,Parameters!$A:$A,0))*(AJ245+AK245),0)</f>
        <v>0</v>
      </c>
      <c r="AM245" s="525"/>
      <c r="AN245" s="139">
        <f t="shared" si="130"/>
        <v>25</v>
      </c>
      <c r="AO245" s="205">
        <f>AN245/INDEX(Parameters!$B:$B,MATCH("AfschrijftermijnVVE"&amp;12*$C245,Parameters!$A:$A,0))</f>
        <v>0.69444444444444442</v>
      </c>
      <c r="AP245" s="139">
        <f t="shared" si="131"/>
        <v>49</v>
      </c>
      <c r="AQ245" s="526">
        <f>IF(AP245&lt;&gt;"nvt",INDEX('Tarieven W&amp;O'!$G:$G,$AP245),0)</f>
        <v>71.239999999999995</v>
      </c>
      <c r="AR245" s="251">
        <f>IF($S245,INDEX('Tarieven W&amp;O'!$G:$G,MATCH(N245&amp;R245,'Tarieven W&amp;O'!$B:$B,0)),0)</f>
        <v>0</v>
      </c>
      <c r="AS245" s="205">
        <f>-INDEX(Parameters!$B:$B,MATCH(AS$3,Parameters!$A:$A,0))*(AQ245+AR245)</f>
        <v>0</v>
      </c>
      <c r="AT245" s="205">
        <f>INDEX(hulpblad!$E:$E,MATCH(M245&amp;Q245,hulpblad!$B:$B,0))</f>
        <v>1</v>
      </c>
      <c r="AU245" s="150">
        <f t="shared" si="132"/>
        <v>72.239999999999995</v>
      </c>
      <c r="AV245" s="150">
        <f t="shared" si="133"/>
        <v>72.934444444444438</v>
      </c>
      <c r="AX245" s="526">
        <f>Parameters!$B$6*AV245</f>
        <v>0.72934444444444435</v>
      </c>
      <c r="AY245" s="150">
        <v>0</v>
      </c>
      <c r="AZ245" s="150"/>
      <c r="BA245" s="150">
        <f t="shared" si="134"/>
        <v>0.72934444444444435</v>
      </c>
      <c r="BB245" s="150"/>
      <c r="BC245" s="522">
        <f t="shared" si="135"/>
        <v>73.663788888888888</v>
      </c>
      <c r="BD245" s="175"/>
      <c r="BE245" s="527">
        <f t="shared" si="136"/>
        <v>954.11398888888891</v>
      </c>
      <c r="BF245" s="181">
        <f t="shared" si="137"/>
        <v>0.92832712432432429</v>
      </c>
      <c r="BG245" s="520" t="b">
        <f t="shared" si="138"/>
        <v>0</v>
      </c>
      <c r="BI245" s="528" t="s">
        <v>2181</v>
      </c>
      <c r="BL245" s="151" t="str">
        <f t="shared" si="139"/>
        <v>EoKMetro - Regionaal</v>
      </c>
      <c r="BM245" s="529">
        <v>0</v>
      </c>
      <c r="BN245" s="180">
        <f>BM245/INDEX(Parameters!$B:$B,MATCH("AfschrijftermijnVVE"&amp;12*$C245,Parameters!$A:$A,0))</f>
        <v>0</v>
      </c>
      <c r="BO245" s="184">
        <f>INDEX('inkoop ULL tbv EVPN'!I:I,MATCH(BL245,'inkoop ULL tbv EVPN'!H:H,0))</f>
        <v>2</v>
      </c>
      <c r="BP245" s="184">
        <f t="shared" si="140"/>
        <v>2</v>
      </c>
      <c r="BR245" s="180">
        <f>Parameters!$B$12*AG245</f>
        <v>102.77777777777779</v>
      </c>
      <c r="BS245" s="180">
        <f>SUM(Distributievergoedingen!$F$12,Distributievergoedingen!$I$12,Distributievergoedingen!$L$12,Distributievergoedingen!$O$12)*AF245+SUM(Distributievergoedingen!$O$12*AA245+Distributievergoedingen!$R$12+Distributievergoedingen!$U$12+Distributievergoedingen!$X$12)/(MAX(36,12*C245))</f>
        <v>112.77777777777777</v>
      </c>
      <c r="BT245" s="150"/>
      <c r="BU245" s="150">
        <f t="shared" si="141"/>
        <v>215.55555555555554</v>
      </c>
      <c r="BW245" s="522">
        <f t="shared" si="142"/>
        <v>217.55555555555554</v>
      </c>
      <c r="BY245" s="527">
        <f t="shared" si="143"/>
        <v>810.22222222222229</v>
      </c>
      <c r="BZ245" s="181">
        <f t="shared" si="144"/>
        <v>0.78832432432432431</v>
      </c>
      <c r="CA245" s="520" t="b">
        <f t="shared" si="145"/>
        <v>0</v>
      </c>
    </row>
    <row r="246" spans="1:79" s="151" customFormat="1">
      <c r="A246" s="151" t="str">
        <f t="shared" si="124"/>
        <v>3EoKEntryCity200</v>
      </c>
      <c r="B246" s="520" t="str">
        <f t="shared" si="146"/>
        <v>3EoKEntryCity200</v>
      </c>
      <c r="C246" s="179">
        <v>3</v>
      </c>
      <c r="D246" s="179" t="s">
        <v>303</v>
      </c>
      <c r="E246" s="178" t="s">
        <v>45</v>
      </c>
      <c r="F246" s="178" t="s">
        <v>262</v>
      </c>
      <c r="G246" s="185" t="s">
        <v>419</v>
      </c>
      <c r="J246" s="520" t="str">
        <f t="shared" si="125"/>
        <v>EntryCity200</v>
      </c>
      <c r="L246" s="204">
        <f>INDEX(Mapping!$H:$H,MATCH(C$3&amp;C246,Mapping!$B:$B,0))</f>
        <v>1</v>
      </c>
      <c r="M246" s="204" t="str">
        <f>INDEX(Mapping!$H:$H,MATCH(D$3&amp;$D246,Mapping!$B:$B,0))</f>
        <v>EoK</v>
      </c>
      <c r="N246" s="204" t="str">
        <f>INDEX(Mapping!$H:$H,MATCH(E$3&amp;E246,Mapping!$B:$B,0))</f>
        <v>Lite</v>
      </c>
      <c r="O246" s="204" t="str">
        <f>INDEX(Mapping!$H:$H,MATCH(F$3&amp;F246,Mapping!$B:$B,0))</f>
        <v>Metro</v>
      </c>
      <c r="P246" s="204">
        <f>INDEX(Mapping!$H:$H,MATCH(G$3&amp;G246,Mapping!$B:$B,0))</f>
        <v>200</v>
      </c>
      <c r="Q246" s="204" t="str">
        <f>INDEX(Mapping!$H:$H,MATCH(Q$3&amp;$F246,Mapping!$B:$B,0))</f>
        <v>Metro - Regionaal</v>
      </c>
      <c r="R246" s="204" t="str">
        <f>INDEX(Mapping!$H:$H,MATCH("ZM VPN Service Level"&amp;E246,Mapping!$B:$B,0))</f>
        <v>Advanced</v>
      </c>
      <c r="S246" s="139" t="b">
        <f>IF($D246="EoK",INDEX(Mapping!$I:$I,MATCH($G$3&amp;$G246,Mapping!B:B,0)),FALSE)</f>
        <v>0</v>
      </c>
      <c r="T246" s="139"/>
      <c r="U246" s="520" t="str">
        <f t="shared" si="126"/>
        <v>LiteMetro200</v>
      </c>
      <c r="W246" s="521">
        <f>MATCH($J246,'Tarieven ZM'!$B:$B,0)</f>
        <v>22</v>
      </c>
      <c r="X246" s="204">
        <f>INDEX('Tarieven ZM'!$H:$H,$W246)</f>
        <v>1000</v>
      </c>
      <c r="Y246" s="198">
        <f>-INDEX(Parameters!$B:$B,MATCH(Y$3&amp;$C246,Parameters!$A:$A,0))*$X246</f>
        <v>0</v>
      </c>
      <c r="Z246" s="198">
        <f>-INDEX(Parameters!$B:$B,MATCH(Z$3&amp;$C246,Parameters!$A:$A,0))*$X246</f>
        <v>0</v>
      </c>
      <c r="AA246" s="139">
        <f t="shared" si="127"/>
        <v>1000</v>
      </c>
      <c r="AB246" s="205">
        <f>AA246/INDEX(Parameters!$B:$B,MATCH("AfschrijftermijnVVE"&amp;12*$C246,Parameters!$A:$A,0))</f>
        <v>27.777777777777779</v>
      </c>
      <c r="AC246" s="204">
        <f>INDEX('Tarieven ZM'!$G:$G,$W246)</f>
        <v>1000</v>
      </c>
      <c r="AD246" s="198">
        <f>-INDEX(Parameters!$B:$B,MATCH(AD$3&amp;$C246,Parameters!$A:$A,0))*$AC246</f>
        <v>0</v>
      </c>
      <c r="AE246" s="198">
        <f>-INDEX(Parameters!$B:$B,MATCH(AE$3,Parameters!$A:$A,0))*$AC246</f>
        <v>0</v>
      </c>
      <c r="AF246" s="139">
        <f t="shared" si="128"/>
        <v>1000</v>
      </c>
      <c r="AG246" s="522">
        <f t="shared" si="129"/>
        <v>1027.7777777777778</v>
      </c>
      <c r="AH246" s="175"/>
      <c r="AI246" s="523">
        <f>MATCH($U246,'Tarieven W&amp;O'!$B:$B,0)</f>
        <v>50</v>
      </c>
      <c r="AJ246" s="204">
        <f>IF(AI246&lt;&gt;"nvt",INDEX('Tarieven W&amp;O'!$H:$H,$AI246),0)</f>
        <v>0</v>
      </c>
      <c r="AK246" s="204">
        <f>IF(AI246&lt;&gt;"nvt",INDEX('Tarieven W&amp;O'!$I:$I,$AI246),0)</f>
        <v>25</v>
      </c>
      <c r="AL246" s="524">
        <f>IF(AI246&lt;&gt;"nvt",-INDEX(Parameters!$B:$B,MATCH(AL$3,Parameters!$A:$A,0))*(AJ246+AK246),0)</f>
        <v>0</v>
      </c>
      <c r="AM246" s="525"/>
      <c r="AN246" s="139">
        <f t="shared" si="130"/>
        <v>25</v>
      </c>
      <c r="AO246" s="205">
        <f>AN246/INDEX(Parameters!$B:$B,MATCH("AfschrijftermijnVVE"&amp;12*$C246,Parameters!$A:$A,0))</f>
        <v>0.69444444444444442</v>
      </c>
      <c r="AP246" s="139">
        <f t="shared" si="131"/>
        <v>50</v>
      </c>
      <c r="AQ246" s="526">
        <f>IF(AP246&lt;&gt;"nvt",INDEX('Tarieven W&amp;O'!$G:$G,$AP246),0)</f>
        <v>108.93</v>
      </c>
      <c r="AR246" s="251">
        <f>IF($S246,INDEX('Tarieven W&amp;O'!$G:$G,MATCH(N246&amp;R246,'Tarieven W&amp;O'!$B:$B,0)),0)</f>
        <v>0</v>
      </c>
      <c r="AS246" s="205">
        <f>-INDEX(Parameters!$B:$B,MATCH(AS$3,Parameters!$A:$A,0))*(AQ246+AR246)</f>
        <v>0</v>
      </c>
      <c r="AT246" s="205">
        <f>INDEX(hulpblad!$E:$E,MATCH(M246&amp;Q246,hulpblad!$B:$B,0))</f>
        <v>1</v>
      </c>
      <c r="AU246" s="150">
        <f t="shared" si="132"/>
        <v>109.93</v>
      </c>
      <c r="AV246" s="150">
        <f t="shared" si="133"/>
        <v>110.62444444444445</v>
      </c>
      <c r="AX246" s="526">
        <f>Parameters!$B$6*AV246</f>
        <v>1.1062444444444446</v>
      </c>
      <c r="AY246" s="150">
        <v>0</v>
      </c>
      <c r="AZ246" s="150"/>
      <c r="BA246" s="150">
        <f t="shared" si="134"/>
        <v>1.1062444444444446</v>
      </c>
      <c r="BB246" s="150"/>
      <c r="BC246" s="522">
        <f t="shared" si="135"/>
        <v>111.73068888888889</v>
      </c>
      <c r="BD246" s="175"/>
      <c r="BE246" s="527">
        <f t="shared" si="136"/>
        <v>916.04708888888899</v>
      </c>
      <c r="BF246" s="181">
        <f t="shared" si="137"/>
        <v>0.89128905945945947</v>
      </c>
      <c r="BG246" s="520" t="b">
        <f t="shared" si="138"/>
        <v>0</v>
      </c>
      <c r="BI246" s="528" t="s">
        <v>2181</v>
      </c>
      <c r="BL246" s="151" t="str">
        <f t="shared" si="139"/>
        <v>EoKMetro - Regionaal</v>
      </c>
      <c r="BM246" s="529">
        <v>0</v>
      </c>
      <c r="BN246" s="180">
        <f>BM246/INDEX(Parameters!$B:$B,MATCH("AfschrijftermijnVVE"&amp;12*$C246,Parameters!$A:$A,0))</f>
        <v>0</v>
      </c>
      <c r="BO246" s="184">
        <f>INDEX('inkoop ULL tbv EVPN'!I:I,MATCH(BL246,'inkoop ULL tbv EVPN'!H:H,0))</f>
        <v>2</v>
      </c>
      <c r="BP246" s="184">
        <f t="shared" si="140"/>
        <v>2</v>
      </c>
      <c r="BR246" s="180">
        <f>Parameters!$B$12*AG246</f>
        <v>102.77777777777779</v>
      </c>
      <c r="BS246" s="180">
        <f>SUM(Distributievergoedingen!$F$12,Distributievergoedingen!$I$12,Distributievergoedingen!$L$12,Distributievergoedingen!$O$12)*AF246+SUM(Distributievergoedingen!$O$12*AA246+Distributievergoedingen!$R$12+Distributievergoedingen!$U$12+Distributievergoedingen!$X$12)/(MAX(36,12*C246))</f>
        <v>112.77777777777777</v>
      </c>
      <c r="BT246" s="150"/>
      <c r="BU246" s="150">
        <f t="shared" si="141"/>
        <v>215.55555555555554</v>
      </c>
      <c r="BW246" s="522">
        <f t="shared" si="142"/>
        <v>217.55555555555554</v>
      </c>
      <c r="BY246" s="527">
        <f t="shared" si="143"/>
        <v>810.22222222222229</v>
      </c>
      <c r="BZ246" s="181">
        <f t="shared" si="144"/>
        <v>0.78832432432432431</v>
      </c>
      <c r="CA246" s="520" t="b">
        <f t="shared" si="145"/>
        <v>0</v>
      </c>
    </row>
    <row r="247" spans="1:79" s="151" customFormat="1">
      <c r="A247" s="151" t="str">
        <f t="shared" si="124"/>
        <v>3EoKEntryCity300</v>
      </c>
      <c r="B247" s="520" t="str">
        <f t="shared" si="146"/>
        <v>3EoKEntryCity300</v>
      </c>
      <c r="C247" s="179">
        <v>3</v>
      </c>
      <c r="D247" s="179" t="s">
        <v>303</v>
      </c>
      <c r="E247" s="178" t="s">
        <v>45</v>
      </c>
      <c r="F247" s="178" t="s">
        <v>262</v>
      </c>
      <c r="G247" s="185" t="s">
        <v>420</v>
      </c>
      <c r="J247" s="520" t="str">
        <f t="shared" si="125"/>
        <v>EntryCity300</v>
      </c>
      <c r="L247" s="204">
        <f>INDEX(Mapping!$H:$H,MATCH(C$3&amp;C247,Mapping!$B:$B,0))</f>
        <v>1</v>
      </c>
      <c r="M247" s="204" t="str">
        <f>INDEX(Mapping!$H:$H,MATCH(D$3&amp;$D247,Mapping!$B:$B,0))</f>
        <v>EoK</v>
      </c>
      <c r="N247" s="204" t="str">
        <f>INDEX(Mapping!$H:$H,MATCH(E$3&amp;E247,Mapping!$B:$B,0))</f>
        <v>Lite</v>
      </c>
      <c r="O247" s="204" t="str">
        <f>INDEX(Mapping!$H:$H,MATCH(F$3&amp;F247,Mapping!$B:$B,0))</f>
        <v>Metro</v>
      </c>
      <c r="P247" s="204">
        <f>INDEX(Mapping!$H:$H,MATCH(G$3&amp;G247,Mapping!$B:$B,0))</f>
        <v>300</v>
      </c>
      <c r="Q247" s="204" t="str">
        <f>INDEX(Mapping!$H:$H,MATCH(Q$3&amp;$F247,Mapping!$B:$B,0))</f>
        <v>Metro - Regionaal</v>
      </c>
      <c r="R247" s="204" t="str">
        <f>INDEX(Mapping!$H:$H,MATCH("ZM VPN Service Level"&amp;E247,Mapping!$B:$B,0))</f>
        <v>Advanced</v>
      </c>
      <c r="S247" s="139" t="b">
        <f>IF($D247="EoK",INDEX(Mapping!$I:$I,MATCH($G$3&amp;$G247,Mapping!B:B,0)),FALSE)</f>
        <v>0</v>
      </c>
      <c r="T247" s="139"/>
      <c r="U247" s="520" t="str">
        <f t="shared" si="126"/>
        <v>LiteMetro300</v>
      </c>
      <c r="W247" s="521">
        <f>MATCH($J247,'Tarieven ZM'!$B:$B,0)</f>
        <v>23</v>
      </c>
      <c r="X247" s="204">
        <f>INDEX('Tarieven ZM'!$H:$H,$W247)</f>
        <v>1000</v>
      </c>
      <c r="Y247" s="198">
        <f>-INDEX(Parameters!$B:$B,MATCH(Y$3&amp;$C247,Parameters!$A:$A,0))*$X247</f>
        <v>0</v>
      </c>
      <c r="Z247" s="198">
        <f>-INDEX(Parameters!$B:$B,MATCH(Z$3&amp;$C247,Parameters!$A:$A,0))*$X247</f>
        <v>0</v>
      </c>
      <c r="AA247" s="139">
        <f t="shared" si="127"/>
        <v>1000</v>
      </c>
      <c r="AB247" s="205">
        <f>AA247/INDEX(Parameters!$B:$B,MATCH("AfschrijftermijnVVE"&amp;12*$C247,Parameters!$A:$A,0))</f>
        <v>27.777777777777779</v>
      </c>
      <c r="AC247" s="204">
        <f>INDEX('Tarieven ZM'!$G:$G,$W247)</f>
        <v>1000</v>
      </c>
      <c r="AD247" s="198">
        <f>-INDEX(Parameters!$B:$B,MATCH(AD$3&amp;$C247,Parameters!$A:$A,0))*$AC247</f>
        <v>0</v>
      </c>
      <c r="AE247" s="198">
        <f>-INDEX(Parameters!$B:$B,MATCH(AE$3,Parameters!$A:$A,0))*$AC247</f>
        <v>0</v>
      </c>
      <c r="AF247" s="139">
        <f t="shared" si="128"/>
        <v>1000</v>
      </c>
      <c r="AG247" s="522">
        <f t="shared" si="129"/>
        <v>1027.7777777777778</v>
      </c>
      <c r="AH247" s="175"/>
      <c r="AI247" s="523">
        <f>MATCH($U247,'Tarieven W&amp;O'!$B:$B,0)</f>
        <v>51</v>
      </c>
      <c r="AJ247" s="204">
        <f>IF(AI247&lt;&gt;"nvt",INDEX('Tarieven W&amp;O'!$H:$H,$AI247),0)</f>
        <v>0</v>
      </c>
      <c r="AK247" s="204">
        <f>IF(AI247&lt;&gt;"nvt",INDEX('Tarieven W&amp;O'!$I:$I,$AI247),0)</f>
        <v>25</v>
      </c>
      <c r="AL247" s="524">
        <f>IF(AI247&lt;&gt;"nvt",-INDEX(Parameters!$B:$B,MATCH(AL$3,Parameters!$A:$A,0))*(AJ247+AK247),0)</f>
        <v>0</v>
      </c>
      <c r="AM247" s="525"/>
      <c r="AN247" s="139">
        <f t="shared" si="130"/>
        <v>25</v>
      </c>
      <c r="AO247" s="205">
        <f>AN247/INDEX(Parameters!$B:$B,MATCH("AfschrijftermijnVVE"&amp;12*$C247,Parameters!$A:$A,0))</f>
        <v>0.69444444444444442</v>
      </c>
      <c r="AP247" s="139">
        <f t="shared" si="131"/>
        <v>51</v>
      </c>
      <c r="AQ247" s="526">
        <f>IF(AP247&lt;&gt;"nvt",INDEX('Tarieven W&amp;O'!$G:$G,$AP247),0)</f>
        <v>127.77</v>
      </c>
      <c r="AR247" s="251">
        <f>IF($S247,INDEX('Tarieven W&amp;O'!$G:$G,MATCH(N247&amp;R247,'Tarieven W&amp;O'!$B:$B,0)),0)</f>
        <v>0</v>
      </c>
      <c r="AS247" s="205">
        <f>-INDEX(Parameters!$B:$B,MATCH(AS$3,Parameters!$A:$A,0))*(AQ247+AR247)</f>
        <v>0</v>
      </c>
      <c r="AT247" s="205">
        <f>INDEX(hulpblad!$E:$E,MATCH(M247&amp;Q247,hulpblad!$B:$B,0))</f>
        <v>1</v>
      </c>
      <c r="AU247" s="150">
        <f t="shared" si="132"/>
        <v>128.76999999999998</v>
      </c>
      <c r="AV247" s="150">
        <f t="shared" si="133"/>
        <v>129.46444444444444</v>
      </c>
      <c r="AX247" s="526">
        <f>Parameters!$B$6*AV247</f>
        <v>1.2946444444444445</v>
      </c>
      <c r="AY247" s="150">
        <v>0</v>
      </c>
      <c r="AZ247" s="150"/>
      <c r="BA247" s="150">
        <f t="shared" si="134"/>
        <v>1.2946444444444445</v>
      </c>
      <c r="BB247" s="150"/>
      <c r="BC247" s="522">
        <f t="shared" si="135"/>
        <v>130.7590888888889</v>
      </c>
      <c r="BD247" s="175"/>
      <c r="BE247" s="527">
        <f t="shared" si="136"/>
        <v>897.01868888888896</v>
      </c>
      <c r="BF247" s="181">
        <f t="shared" si="137"/>
        <v>0.87277494054054061</v>
      </c>
      <c r="BG247" s="520" t="b">
        <f t="shared" si="138"/>
        <v>0</v>
      </c>
      <c r="BI247" s="528" t="s">
        <v>2181</v>
      </c>
      <c r="BL247" s="151" t="str">
        <f t="shared" si="139"/>
        <v>EoKMetro - Regionaal</v>
      </c>
      <c r="BM247" s="529">
        <v>0</v>
      </c>
      <c r="BN247" s="180">
        <f>BM247/INDEX(Parameters!$B:$B,MATCH("AfschrijftermijnVVE"&amp;12*$C247,Parameters!$A:$A,0))</f>
        <v>0</v>
      </c>
      <c r="BO247" s="184">
        <f>INDEX('inkoop ULL tbv EVPN'!I:I,MATCH(BL247,'inkoop ULL tbv EVPN'!H:H,0))</f>
        <v>2</v>
      </c>
      <c r="BP247" s="184">
        <f t="shared" si="140"/>
        <v>2</v>
      </c>
      <c r="BR247" s="180">
        <f>Parameters!$B$12*AG247</f>
        <v>102.77777777777779</v>
      </c>
      <c r="BS247" s="180">
        <f>SUM(Distributievergoedingen!$F$12,Distributievergoedingen!$I$12,Distributievergoedingen!$L$12,Distributievergoedingen!$O$12)*AF247+SUM(Distributievergoedingen!$O$12*AA247+Distributievergoedingen!$R$12+Distributievergoedingen!$U$12+Distributievergoedingen!$X$12)/(MAX(36,12*C247))</f>
        <v>112.77777777777777</v>
      </c>
      <c r="BT247" s="150"/>
      <c r="BU247" s="150">
        <f t="shared" si="141"/>
        <v>215.55555555555554</v>
      </c>
      <c r="BW247" s="522">
        <f t="shared" si="142"/>
        <v>217.55555555555554</v>
      </c>
      <c r="BY247" s="527">
        <f t="shared" si="143"/>
        <v>810.22222222222229</v>
      </c>
      <c r="BZ247" s="181">
        <f t="shared" si="144"/>
        <v>0.78832432432432431</v>
      </c>
      <c r="CA247" s="520" t="b">
        <f t="shared" si="145"/>
        <v>0</v>
      </c>
    </row>
    <row r="248" spans="1:79" s="151" customFormat="1">
      <c r="A248" s="151" t="str">
        <f t="shared" si="124"/>
        <v>3EoKEntryCity500</v>
      </c>
      <c r="B248" s="520" t="str">
        <f t="shared" si="146"/>
        <v>3EoKEntryCity500</v>
      </c>
      <c r="C248" s="179">
        <v>3</v>
      </c>
      <c r="D248" s="179" t="s">
        <v>303</v>
      </c>
      <c r="E248" s="178" t="s">
        <v>45</v>
      </c>
      <c r="F248" s="178" t="s">
        <v>262</v>
      </c>
      <c r="G248" s="185" t="s">
        <v>421</v>
      </c>
      <c r="J248" s="520" t="str">
        <f t="shared" si="125"/>
        <v>EntryCity500</v>
      </c>
      <c r="L248" s="204">
        <f>INDEX(Mapping!$H:$H,MATCH(C$3&amp;C248,Mapping!$B:$B,0))</f>
        <v>1</v>
      </c>
      <c r="M248" s="204" t="str">
        <f>INDEX(Mapping!$H:$H,MATCH(D$3&amp;$D248,Mapping!$B:$B,0))</f>
        <v>EoK</v>
      </c>
      <c r="N248" s="204" t="str">
        <f>INDEX(Mapping!$H:$H,MATCH(E$3&amp;E248,Mapping!$B:$B,0))</f>
        <v>Lite</v>
      </c>
      <c r="O248" s="204" t="str">
        <f>INDEX(Mapping!$H:$H,MATCH(F$3&amp;F248,Mapping!$B:$B,0))</f>
        <v>Metro</v>
      </c>
      <c r="P248" s="204">
        <f>INDEX(Mapping!$H:$H,MATCH(G$3&amp;G248,Mapping!$B:$B,0))</f>
        <v>500</v>
      </c>
      <c r="Q248" s="204" t="str">
        <f>INDEX(Mapping!$H:$H,MATCH(Q$3&amp;$F248,Mapping!$B:$B,0))</f>
        <v>Metro - Regionaal</v>
      </c>
      <c r="R248" s="204" t="str">
        <f>INDEX(Mapping!$H:$H,MATCH("ZM VPN Service Level"&amp;E248,Mapping!$B:$B,0))</f>
        <v>Advanced</v>
      </c>
      <c r="S248" s="139" t="b">
        <f>IF($D248="EoK",INDEX(Mapping!$I:$I,MATCH($G$3&amp;$G248,Mapping!B:B,0)),FALSE)</f>
        <v>0</v>
      </c>
      <c r="T248" s="139"/>
      <c r="U248" s="520" t="str">
        <f t="shared" si="126"/>
        <v>LiteMetro500</v>
      </c>
      <c r="W248" s="521">
        <f>MATCH($J248,'Tarieven ZM'!$B:$B,0)</f>
        <v>24</v>
      </c>
      <c r="X248" s="204">
        <f>INDEX('Tarieven ZM'!$H:$H,$W248)</f>
        <v>1000</v>
      </c>
      <c r="Y248" s="198">
        <f>-INDEX(Parameters!$B:$B,MATCH(Y$3&amp;$C248,Parameters!$A:$A,0))*$X248</f>
        <v>0</v>
      </c>
      <c r="Z248" s="198">
        <f>-INDEX(Parameters!$B:$B,MATCH(Z$3&amp;$C248,Parameters!$A:$A,0))*$X248</f>
        <v>0</v>
      </c>
      <c r="AA248" s="139">
        <f t="shared" si="127"/>
        <v>1000</v>
      </c>
      <c r="AB248" s="205">
        <f>AA248/INDEX(Parameters!$B:$B,MATCH("AfschrijftermijnVVE"&amp;12*$C248,Parameters!$A:$A,0))</f>
        <v>27.777777777777779</v>
      </c>
      <c r="AC248" s="204">
        <f>INDEX('Tarieven ZM'!$G:$G,$W248)</f>
        <v>1000</v>
      </c>
      <c r="AD248" s="198">
        <f>-INDEX(Parameters!$B:$B,MATCH(AD$3&amp;$C248,Parameters!$A:$A,0))*$AC248</f>
        <v>0</v>
      </c>
      <c r="AE248" s="198">
        <f>-INDEX(Parameters!$B:$B,MATCH(AE$3,Parameters!$A:$A,0))*$AC248</f>
        <v>0</v>
      </c>
      <c r="AF248" s="139">
        <f t="shared" si="128"/>
        <v>1000</v>
      </c>
      <c r="AG248" s="522">
        <f t="shared" si="129"/>
        <v>1027.7777777777778</v>
      </c>
      <c r="AH248" s="175"/>
      <c r="AI248" s="523">
        <f>MATCH($U248,'Tarieven W&amp;O'!$B:$B,0)</f>
        <v>52</v>
      </c>
      <c r="AJ248" s="204">
        <f>IF(AI248&lt;&gt;"nvt",INDEX('Tarieven W&amp;O'!$H:$H,$AI248),0)</f>
        <v>0</v>
      </c>
      <c r="AK248" s="204">
        <f>IF(AI248&lt;&gt;"nvt",INDEX('Tarieven W&amp;O'!$I:$I,$AI248),0)</f>
        <v>25</v>
      </c>
      <c r="AL248" s="524">
        <f>IF(AI248&lt;&gt;"nvt",-INDEX(Parameters!$B:$B,MATCH(AL$3,Parameters!$A:$A,0))*(AJ248+AK248),0)</f>
        <v>0</v>
      </c>
      <c r="AM248" s="525"/>
      <c r="AN248" s="139">
        <f t="shared" si="130"/>
        <v>25</v>
      </c>
      <c r="AO248" s="205">
        <f>AN248/INDEX(Parameters!$B:$B,MATCH("AfschrijftermijnVVE"&amp;12*$C248,Parameters!$A:$A,0))</f>
        <v>0.69444444444444442</v>
      </c>
      <c r="AP248" s="139">
        <f t="shared" si="131"/>
        <v>52</v>
      </c>
      <c r="AQ248" s="526">
        <f>IF(AP248&lt;&gt;"nvt",INDEX('Tarieven W&amp;O'!$G:$G,$AP248),0)</f>
        <v>161.69</v>
      </c>
      <c r="AR248" s="251">
        <f>IF($S248,INDEX('Tarieven W&amp;O'!$G:$G,MATCH(N248&amp;R248,'Tarieven W&amp;O'!$B:$B,0)),0)</f>
        <v>0</v>
      </c>
      <c r="AS248" s="205">
        <f>-INDEX(Parameters!$B:$B,MATCH(AS$3,Parameters!$A:$A,0))*(AQ248+AR248)</f>
        <v>0</v>
      </c>
      <c r="AT248" s="205">
        <f>INDEX(hulpblad!$E:$E,MATCH(M248&amp;Q248,hulpblad!$B:$B,0))</f>
        <v>1</v>
      </c>
      <c r="AU248" s="150">
        <f t="shared" si="132"/>
        <v>162.69</v>
      </c>
      <c r="AV248" s="150">
        <f t="shared" si="133"/>
        <v>163.38444444444445</v>
      </c>
      <c r="AX248" s="526">
        <f>Parameters!$B$6*AV248</f>
        <v>1.6338444444444447</v>
      </c>
      <c r="AY248" s="150">
        <v>0</v>
      </c>
      <c r="AZ248" s="150"/>
      <c r="BA248" s="150">
        <f t="shared" si="134"/>
        <v>1.6338444444444447</v>
      </c>
      <c r="BB248" s="150"/>
      <c r="BC248" s="522">
        <f t="shared" si="135"/>
        <v>165.01828888888889</v>
      </c>
      <c r="BD248" s="175"/>
      <c r="BE248" s="527">
        <f t="shared" si="136"/>
        <v>862.75948888888888</v>
      </c>
      <c r="BF248" s="181">
        <f t="shared" si="137"/>
        <v>0.83944166486486482</v>
      </c>
      <c r="BG248" s="520" t="b">
        <f t="shared" si="138"/>
        <v>0</v>
      </c>
      <c r="BI248" s="528" t="s">
        <v>2181</v>
      </c>
      <c r="BL248" s="151" t="str">
        <f t="shared" si="139"/>
        <v>EoKMetro - Regionaal</v>
      </c>
      <c r="BM248" s="529">
        <v>0</v>
      </c>
      <c r="BN248" s="180">
        <f>BM248/INDEX(Parameters!$B:$B,MATCH("AfschrijftermijnVVE"&amp;12*$C248,Parameters!$A:$A,0))</f>
        <v>0</v>
      </c>
      <c r="BO248" s="184">
        <f>INDEX('inkoop ULL tbv EVPN'!I:I,MATCH(BL248,'inkoop ULL tbv EVPN'!H:H,0))</f>
        <v>2</v>
      </c>
      <c r="BP248" s="184">
        <f t="shared" si="140"/>
        <v>2</v>
      </c>
      <c r="BR248" s="180">
        <f>Parameters!$B$12*AG248</f>
        <v>102.77777777777779</v>
      </c>
      <c r="BS248" s="180">
        <f>SUM(Distributievergoedingen!$F$12,Distributievergoedingen!$I$12,Distributievergoedingen!$L$12,Distributievergoedingen!$O$12)*AF248+SUM(Distributievergoedingen!$O$12*AA248+Distributievergoedingen!$R$12+Distributievergoedingen!$U$12+Distributievergoedingen!$X$12)/(MAX(36,12*C248))</f>
        <v>112.77777777777777</v>
      </c>
      <c r="BT248" s="150"/>
      <c r="BU248" s="150">
        <f t="shared" si="141"/>
        <v>215.55555555555554</v>
      </c>
      <c r="BW248" s="522">
        <f t="shared" si="142"/>
        <v>217.55555555555554</v>
      </c>
      <c r="BY248" s="527">
        <f t="shared" si="143"/>
        <v>810.22222222222229</v>
      </c>
      <c r="BZ248" s="181">
        <f t="shared" si="144"/>
        <v>0.78832432432432431</v>
      </c>
      <c r="CA248" s="520" t="b">
        <f t="shared" si="145"/>
        <v>0</v>
      </c>
    </row>
    <row r="249" spans="1:79" s="151" customFormat="1">
      <c r="A249" s="151" t="str">
        <f t="shared" si="124"/>
        <v>3EoKEntryCity800</v>
      </c>
      <c r="B249" s="520" t="str">
        <f t="shared" si="146"/>
        <v>3EoKEntryCity800</v>
      </c>
      <c r="C249" s="179">
        <v>3</v>
      </c>
      <c r="D249" s="179" t="s">
        <v>303</v>
      </c>
      <c r="E249" s="178" t="s">
        <v>45</v>
      </c>
      <c r="F249" s="178" t="s">
        <v>262</v>
      </c>
      <c r="G249" s="185" t="s">
        <v>422</v>
      </c>
      <c r="J249" s="520" t="str">
        <f t="shared" si="125"/>
        <v>EntryCity800</v>
      </c>
      <c r="L249" s="204">
        <f>INDEX(Mapping!$H:$H,MATCH(C$3&amp;C249,Mapping!$B:$B,0))</f>
        <v>1</v>
      </c>
      <c r="M249" s="204" t="str">
        <f>INDEX(Mapping!$H:$H,MATCH(D$3&amp;$D249,Mapping!$B:$B,0))</f>
        <v>EoK</v>
      </c>
      <c r="N249" s="204" t="str">
        <f>INDEX(Mapping!$H:$H,MATCH(E$3&amp;E249,Mapping!$B:$B,0))</f>
        <v>Lite</v>
      </c>
      <c r="O249" s="204" t="str">
        <f>INDEX(Mapping!$H:$H,MATCH(F$3&amp;F249,Mapping!$B:$B,0))</f>
        <v>Metro</v>
      </c>
      <c r="P249" s="204">
        <f>INDEX(Mapping!$H:$H,MATCH(G$3&amp;G249,Mapping!$B:$B,0))</f>
        <v>800</v>
      </c>
      <c r="Q249" s="204" t="str">
        <f>INDEX(Mapping!$H:$H,MATCH(Q$3&amp;$F249,Mapping!$B:$B,0))</f>
        <v>Metro - Regionaal</v>
      </c>
      <c r="R249" s="204" t="str">
        <f>INDEX(Mapping!$H:$H,MATCH("ZM VPN Service Level"&amp;E249,Mapping!$B:$B,0))</f>
        <v>Advanced</v>
      </c>
      <c r="S249" s="139" t="b">
        <f>IF($D249="EoK",INDEX(Mapping!$I:$I,MATCH($G$3&amp;$G249,Mapping!B:B,0)),FALSE)</f>
        <v>0</v>
      </c>
      <c r="T249" s="139"/>
      <c r="U249" s="520" t="str">
        <f t="shared" si="126"/>
        <v>LiteMetro800</v>
      </c>
      <c r="W249" s="521">
        <f>MATCH($J249,'Tarieven ZM'!$B:$B,0)</f>
        <v>25</v>
      </c>
      <c r="X249" s="204">
        <f>INDEX('Tarieven ZM'!$H:$H,$W249)</f>
        <v>1000</v>
      </c>
      <c r="Y249" s="198">
        <f>-INDEX(Parameters!$B:$B,MATCH(Y$3&amp;$C249,Parameters!$A:$A,0))*$X249</f>
        <v>0</v>
      </c>
      <c r="Z249" s="198">
        <f>-INDEX(Parameters!$B:$B,MATCH(Z$3&amp;$C249,Parameters!$A:$A,0))*$X249</f>
        <v>0</v>
      </c>
      <c r="AA249" s="139">
        <f t="shared" si="127"/>
        <v>1000</v>
      </c>
      <c r="AB249" s="205">
        <f>AA249/INDEX(Parameters!$B:$B,MATCH("AfschrijftermijnVVE"&amp;12*$C249,Parameters!$A:$A,0))</f>
        <v>27.777777777777779</v>
      </c>
      <c r="AC249" s="204">
        <f>INDEX('Tarieven ZM'!$G:$G,$W249)</f>
        <v>1000</v>
      </c>
      <c r="AD249" s="198">
        <f>-INDEX(Parameters!$B:$B,MATCH(AD$3&amp;$C249,Parameters!$A:$A,0))*$AC249</f>
        <v>0</v>
      </c>
      <c r="AE249" s="198">
        <f>-INDEX(Parameters!$B:$B,MATCH(AE$3,Parameters!$A:$A,0))*$AC249</f>
        <v>0</v>
      </c>
      <c r="AF249" s="139">
        <f t="shared" si="128"/>
        <v>1000</v>
      </c>
      <c r="AG249" s="522">
        <f t="shared" si="129"/>
        <v>1027.7777777777778</v>
      </c>
      <c r="AH249" s="175"/>
      <c r="AI249" s="523">
        <f>MATCH($U249,'Tarieven W&amp;O'!$B:$B,0)</f>
        <v>53</v>
      </c>
      <c r="AJ249" s="204">
        <f>IF(AI249&lt;&gt;"nvt",INDEX('Tarieven W&amp;O'!$H:$H,$AI249),0)</f>
        <v>0</v>
      </c>
      <c r="AK249" s="204">
        <f>IF(AI249&lt;&gt;"nvt",INDEX('Tarieven W&amp;O'!$I:$I,$AI249),0)</f>
        <v>25</v>
      </c>
      <c r="AL249" s="524">
        <f>IF(AI249&lt;&gt;"nvt",-INDEX(Parameters!$B:$B,MATCH(AL$3,Parameters!$A:$A,0))*(AJ249+AK249),0)</f>
        <v>0</v>
      </c>
      <c r="AM249" s="525"/>
      <c r="AN249" s="139">
        <f t="shared" si="130"/>
        <v>25</v>
      </c>
      <c r="AO249" s="205">
        <f>AN249/INDEX(Parameters!$B:$B,MATCH("AfschrijftermijnVVE"&amp;12*$C249,Parameters!$A:$A,0))</f>
        <v>0.69444444444444442</v>
      </c>
      <c r="AP249" s="139">
        <f t="shared" si="131"/>
        <v>53</v>
      </c>
      <c r="AQ249" s="526">
        <f>IF(AP249&lt;&gt;"nvt",INDEX('Tarieven W&amp;O'!$G:$G,$AP249),0)</f>
        <v>184.31</v>
      </c>
      <c r="AR249" s="251">
        <f>IF($S249,INDEX('Tarieven W&amp;O'!$G:$G,MATCH(N249&amp;R249,'Tarieven W&amp;O'!$B:$B,0)),0)</f>
        <v>0</v>
      </c>
      <c r="AS249" s="205">
        <f>-INDEX(Parameters!$B:$B,MATCH(AS$3,Parameters!$A:$A,0))*(AQ249+AR249)</f>
        <v>0</v>
      </c>
      <c r="AT249" s="205">
        <f>INDEX(hulpblad!$E:$E,MATCH(M249&amp;Q249,hulpblad!$B:$B,0))</f>
        <v>1</v>
      </c>
      <c r="AU249" s="150">
        <f t="shared" si="132"/>
        <v>185.31</v>
      </c>
      <c r="AV249" s="150">
        <f t="shared" si="133"/>
        <v>186.00444444444446</v>
      </c>
      <c r="AX249" s="526">
        <f>Parameters!$B$6*AV249</f>
        <v>1.8600444444444446</v>
      </c>
      <c r="AY249" s="150">
        <v>0</v>
      </c>
      <c r="AZ249" s="150"/>
      <c r="BA249" s="150">
        <f t="shared" si="134"/>
        <v>1.8600444444444446</v>
      </c>
      <c r="BB249" s="150"/>
      <c r="BC249" s="522">
        <f t="shared" si="135"/>
        <v>187.8644888888889</v>
      </c>
      <c r="BD249" s="175"/>
      <c r="BE249" s="527">
        <f t="shared" si="136"/>
        <v>839.91328888888893</v>
      </c>
      <c r="BF249" s="181">
        <f t="shared" si="137"/>
        <v>0.8172129297297297</v>
      </c>
      <c r="BG249" s="520" t="b">
        <f t="shared" si="138"/>
        <v>0</v>
      </c>
      <c r="BI249" s="528" t="s">
        <v>2181</v>
      </c>
      <c r="BL249" s="151" t="str">
        <f t="shared" si="139"/>
        <v>EoKMetro - Regionaal</v>
      </c>
      <c r="BM249" s="529">
        <v>0</v>
      </c>
      <c r="BN249" s="180">
        <f>BM249/INDEX(Parameters!$B:$B,MATCH("AfschrijftermijnVVE"&amp;12*$C249,Parameters!$A:$A,0))</f>
        <v>0</v>
      </c>
      <c r="BO249" s="184">
        <f>INDEX('inkoop ULL tbv EVPN'!I:I,MATCH(BL249,'inkoop ULL tbv EVPN'!H:H,0))</f>
        <v>2</v>
      </c>
      <c r="BP249" s="184">
        <f t="shared" si="140"/>
        <v>2</v>
      </c>
      <c r="BR249" s="180">
        <f>Parameters!$B$12*AG249</f>
        <v>102.77777777777779</v>
      </c>
      <c r="BS249" s="180">
        <f>SUM(Distributievergoedingen!$F$12,Distributievergoedingen!$I$12,Distributievergoedingen!$L$12,Distributievergoedingen!$O$12)*AF249+SUM(Distributievergoedingen!$O$12*AA249+Distributievergoedingen!$R$12+Distributievergoedingen!$U$12+Distributievergoedingen!$X$12)/(MAX(36,12*C249))</f>
        <v>112.77777777777777</v>
      </c>
      <c r="BT249" s="150"/>
      <c r="BU249" s="150">
        <f t="shared" si="141"/>
        <v>215.55555555555554</v>
      </c>
      <c r="BW249" s="522">
        <f t="shared" si="142"/>
        <v>217.55555555555554</v>
      </c>
      <c r="BY249" s="527">
        <f t="shared" si="143"/>
        <v>810.22222222222229</v>
      </c>
      <c r="BZ249" s="181">
        <f t="shared" si="144"/>
        <v>0.78832432432432431</v>
      </c>
      <c r="CA249" s="520" t="b">
        <f t="shared" si="145"/>
        <v>0</v>
      </c>
    </row>
    <row r="250" spans="1:79" s="151" customFormat="1">
      <c r="A250" s="151" t="str">
        <f t="shared" si="124"/>
        <v>3EoKEntryCity1000</v>
      </c>
      <c r="B250" s="520" t="str">
        <f t="shared" si="146"/>
        <v>3EoKEntryCity1000</v>
      </c>
      <c r="C250" s="179">
        <v>3</v>
      </c>
      <c r="D250" s="179" t="s">
        <v>303</v>
      </c>
      <c r="E250" s="178" t="s">
        <v>45</v>
      </c>
      <c r="F250" s="178" t="s">
        <v>262</v>
      </c>
      <c r="G250" s="185" t="s">
        <v>423</v>
      </c>
      <c r="J250" s="520" t="str">
        <f t="shared" si="125"/>
        <v>EntryCity1000</v>
      </c>
      <c r="L250" s="204">
        <f>INDEX(Mapping!$H:$H,MATCH(C$3&amp;C250,Mapping!$B:$B,0))</f>
        <v>1</v>
      </c>
      <c r="M250" s="204" t="str">
        <f>INDEX(Mapping!$H:$H,MATCH(D$3&amp;$D250,Mapping!$B:$B,0))</f>
        <v>EoK</v>
      </c>
      <c r="N250" s="204" t="str">
        <f>INDEX(Mapping!$H:$H,MATCH(E$3&amp;E250,Mapping!$B:$B,0))</f>
        <v>Lite</v>
      </c>
      <c r="O250" s="204" t="str">
        <f>INDEX(Mapping!$H:$H,MATCH(F$3&amp;F250,Mapping!$B:$B,0))</f>
        <v>Metro</v>
      </c>
      <c r="P250" s="204">
        <f>INDEX(Mapping!$H:$H,MATCH(G$3&amp;G250,Mapping!$B:$B,0))</f>
        <v>1000</v>
      </c>
      <c r="Q250" s="204" t="str">
        <f>INDEX(Mapping!$H:$H,MATCH(Q$3&amp;$F250,Mapping!$B:$B,0))</f>
        <v>Metro - Regionaal</v>
      </c>
      <c r="R250" s="204" t="str">
        <f>INDEX(Mapping!$H:$H,MATCH("ZM VPN Service Level"&amp;E250,Mapping!$B:$B,0))</f>
        <v>Advanced</v>
      </c>
      <c r="S250" s="139" t="b">
        <f>IF($D250="EoK",INDEX(Mapping!$I:$I,MATCH($G$3&amp;$G250,Mapping!B:B,0)),FALSE)</f>
        <v>0</v>
      </c>
      <c r="T250" s="139"/>
      <c r="U250" s="520" t="str">
        <f t="shared" si="126"/>
        <v>LiteMetro1000</v>
      </c>
      <c r="W250" s="521">
        <f>MATCH($J250,'Tarieven ZM'!$B:$B,0)</f>
        <v>26</v>
      </c>
      <c r="X250" s="204">
        <f>INDEX('Tarieven ZM'!$H:$H,$W250)</f>
        <v>1000</v>
      </c>
      <c r="Y250" s="198">
        <f>-INDEX(Parameters!$B:$B,MATCH(Y$3&amp;$C250,Parameters!$A:$A,0))*$X250</f>
        <v>0</v>
      </c>
      <c r="Z250" s="198">
        <f>-INDEX(Parameters!$B:$B,MATCH(Z$3&amp;$C250,Parameters!$A:$A,0))*$X250</f>
        <v>0</v>
      </c>
      <c r="AA250" s="139">
        <f t="shared" si="127"/>
        <v>1000</v>
      </c>
      <c r="AB250" s="205">
        <f>AA250/INDEX(Parameters!$B:$B,MATCH("AfschrijftermijnVVE"&amp;12*$C250,Parameters!$A:$A,0))</f>
        <v>27.777777777777779</v>
      </c>
      <c r="AC250" s="204">
        <f>INDEX('Tarieven ZM'!$G:$G,$W250)</f>
        <v>1000</v>
      </c>
      <c r="AD250" s="198">
        <f>-INDEX(Parameters!$B:$B,MATCH(AD$3&amp;$C250,Parameters!$A:$A,0))*$AC250</f>
        <v>0</v>
      </c>
      <c r="AE250" s="198">
        <f>-INDEX(Parameters!$B:$B,MATCH(AE$3,Parameters!$A:$A,0))*$AC250</f>
        <v>0</v>
      </c>
      <c r="AF250" s="139">
        <f t="shared" si="128"/>
        <v>1000</v>
      </c>
      <c r="AG250" s="522">
        <f t="shared" si="129"/>
        <v>1027.7777777777778</v>
      </c>
      <c r="AH250" s="175"/>
      <c r="AI250" s="523">
        <f>MATCH($U250,'Tarieven W&amp;O'!$B:$B,0)</f>
        <v>54</v>
      </c>
      <c r="AJ250" s="204">
        <f>IF(AI250&lt;&gt;"nvt",INDEX('Tarieven W&amp;O'!$H:$H,$AI250),0)</f>
        <v>0</v>
      </c>
      <c r="AK250" s="204">
        <f>IF(AI250&lt;&gt;"nvt",INDEX('Tarieven W&amp;O'!$I:$I,$AI250),0)</f>
        <v>25</v>
      </c>
      <c r="AL250" s="524">
        <f>IF(AI250&lt;&gt;"nvt",-INDEX(Parameters!$B:$B,MATCH(AL$3,Parameters!$A:$A,0))*(AJ250+AK250),0)</f>
        <v>0</v>
      </c>
      <c r="AM250" s="525"/>
      <c r="AN250" s="139">
        <f t="shared" si="130"/>
        <v>25</v>
      </c>
      <c r="AO250" s="205">
        <f>AN250/INDEX(Parameters!$B:$B,MATCH("AfschrijftermijnVVE"&amp;12*$C250,Parameters!$A:$A,0))</f>
        <v>0.69444444444444442</v>
      </c>
      <c r="AP250" s="139">
        <f t="shared" si="131"/>
        <v>54</v>
      </c>
      <c r="AQ250" s="526">
        <f>IF(AP250&lt;&gt;"nvt",INDEX('Tarieven W&amp;O'!$G:$G,$AP250),0)</f>
        <v>203.15</v>
      </c>
      <c r="AR250" s="251">
        <f>IF($S250,INDEX('Tarieven W&amp;O'!$G:$G,MATCH(N250&amp;R250,'Tarieven W&amp;O'!$B:$B,0)),0)</f>
        <v>0</v>
      </c>
      <c r="AS250" s="205">
        <f>-INDEX(Parameters!$B:$B,MATCH(AS$3,Parameters!$A:$A,0))*(AQ250+AR250)</f>
        <v>0</v>
      </c>
      <c r="AT250" s="205">
        <f>INDEX(hulpblad!$E:$E,MATCH(M250&amp;Q250,hulpblad!$B:$B,0))</f>
        <v>1</v>
      </c>
      <c r="AU250" s="150">
        <f t="shared" si="132"/>
        <v>204.15</v>
      </c>
      <c r="AV250" s="150">
        <f t="shared" si="133"/>
        <v>204.84444444444446</v>
      </c>
      <c r="AX250" s="526">
        <f>Parameters!$B$6*AV250</f>
        <v>2.0484444444444447</v>
      </c>
      <c r="AY250" s="150">
        <v>0</v>
      </c>
      <c r="AZ250" s="150"/>
      <c r="BA250" s="150">
        <f t="shared" si="134"/>
        <v>2.0484444444444447</v>
      </c>
      <c r="BB250" s="150"/>
      <c r="BC250" s="522">
        <f t="shared" si="135"/>
        <v>206.8928888888889</v>
      </c>
      <c r="BD250" s="175"/>
      <c r="BE250" s="527">
        <f t="shared" si="136"/>
        <v>820.8848888888889</v>
      </c>
      <c r="BF250" s="181">
        <f t="shared" si="137"/>
        <v>0.79869881081081073</v>
      </c>
      <c r="BG250" s="520" t="b">
        <f t="shared" si="138"/>
        <v>0</v>
      </c>
      <c r="BI250" s="528" t="s">
        <v>2181</v>
      </c>
      <c r="BL250" s="151" t="str">
        <f t="shared" si="139"/>
        <v>EoKMetro - Regionaal</v>
      </c>
      <c r="BM250" s="529">
        <v>0</v>
      </c>
      <c r="BN250" s="180">
        <f>BM250/INDEX(Parameters!$B:$B,MATCH("AfschrijftermijnVVE"&amp;12*$C250,Parameters!$A:$A,0))</f>
        <v>0</v>
      </c>
      <c r="BO250" s="184">
        <f>INDEX('inkoop ULL tbv EVPN'!I:I,MATCH(BL250,'inkoop ULL tbv EVPN'!H:H,0))</f>
        <v>2</v>
      </c>
      <c r="BP250" s="184">
        <f t="shared" si="140"/>
        <v>2</v>
      </c>
      <c r="BR250" s="180">
        <f>Parameters!$B$12*AG250</f>
        <v>102.77777777777779</v>
      </c>
      <c r="BS250" s="180">
        <f>SUM(Distributievergoedingen!$F$12,Distributievergoedingen!$I$12,Distributievergoedingen!$L$12,Distributievergoedingen!$O$12)*AF250+SUM(Distributievergoedingen!$O$12*AA250+Distributievergoedingen!$R$12+Distributievergoedingen!$U$12+Distributievergoedingen!$X$12)/(MAX(36,12*C250))</f>
        <v>112.77777777777777</v>
      </c>
      <c r="BT250" s="150"/>
      <c r="BU250" s="150">
        <f t="shared" si="141"/>
        <v>215.55555555555554</v>
      </c>
      <c r="BW250" s="522">
        <f t="shared" si="142"/>
        <v>217.55555555555554</v>
      </c>
      <c r="BY250" s="527">
        <f t="shared" si="143"/>
        <v>810.22222222222229</v>
      </c>
      <c r="BZ250" s="181">
        <f t="shared" si="144"/>
        <v>0.78832432432432431</v>
      </c>
      <c r="CA250" s="520" t="b">
        <f t="shared" si="145"/>
        <v>0</v>
      </c>
    </row>
    <row r="251" spans="1:79" s="151" customFormat="1">
      <c r="A251" s="151" t="str">
        <f t="shared" si="124"/>
        <v>3EoKEntryRegionaal1</v>
      </c>
      <c r="B251" s="520" t="str">
        <f t="shared" si="146"/>
        <v>3EoKEntryRegionaal1</v>
      </c>
      <c r="C251" s="179">
        <v>3</v>
      </c>
      <c r="D251" s="179" t="s">
        <v>303</v>
      </c>
      <c r="E251" s="178" t="s">
        <v>45</v>
      </c>
      <c r="F251" s="178" t="s">
        <v>265</v>
      </c>
      <c r="G251" s="185" t="s">
        <v>362</v>
      </c>
      <c r="J251" s="520" t="str">
        <f t="shared" si="125"/>
        <v>EntryRegionaal1</v>
      </c>
      <c r="L251" s="204">
        <f>INDEX(Mapping!$H:$H,MATCH(C$3&amp;C251,Mapping!$B:$B,0))</f>
        <v>1</v>
      </c>
      <c r="M251" s="204" t="str">
        <f>INDEX(Mapping!$H:$H,MATCH(D$3&amp;$D251,Mapping!$B:$B,0))</f>
        <v>EoK</v>
      </c>
      <c r="N251" s="204" t="str">
        <f>INDEX(Mapping!$H:$H,MATCH(E$3&amp;E251,Mapping!$B:$B,0))</f>
        <v>Lite</v>
      </c>
      <c r="O251" s="204" t="str">
        <f>INDEX(Mapping!$H:$H,MATCH(F$3&amp;F251,Mapping!$B:$B,0))</f>
        <v>Metro</v>
      </c>
      <c r="P251" s="204">
        <f>INDEX(Mapping!$H:$H,MATCH(G$3&amp;G251,Mapping!$B:$B,0))</f>
        <v>1</v>
      </c>
      <c r="Q251" s="204" t="str">
        <f>INDEX(Mapping!$H:$H,MATCH(Q$3&amp;$F251,Mapping!$B:$B,0))</f>
        <v>Metro - Nationaal</v>
      </c>
      <c r="R251" s="204" t="str">
        <f>INDEX(Mapping!$H:$H,MATCH("ZM VPN Service Level"&amp;E251,Mapping!$B:$B,0))</f>
        <v>Advanced</v>
      </c>
      <c r="S251" s="139" t="b">
        <f>IF($D251="EoK",INDEX(Mapping!$I:$I,MATCH($G$3&amp;$G251,Mapping!B:B,0)),FALSE)</f>
        <v>1</v>
      </c>
      <c r="T251" s="139"/>
      <c r="U251" s="520" t="str">
        <f t="shared" si="126"/>
        <v>LiteMetro1</v>
      </c>
      <c r="W251" s="521">
        <f>MATCH($J251,'Tarieven ZM'!$B:$B,0)</f>
        <v>27</v>
      </c>
      <c r="X251" s="204">
        <f>INDEX('Tarieven ZM'!$H:$H,$W251)</f>
        <v>1000</v>
      </c>
      <c r="Y251" s="198">
        <f>-INDEX(Parameters!$B:$B,MATCH(Y$3&amp;$C251,Parameters!$A:$A,0))*$X251</f>
        <v>0</v>
      </c>
      <c r="Z251" s="198">
        <f>-INDEX(Parameters!$B:$B,MATCH(Z$3&amp;$C251,Parameters!$A:$A,0))*$X251</f>
        <v>0</v>
      </c>
      <c r="AA251" s="139">
        <f t="shared" si="127"/>
        <v>1000</v>
      </c>
      <c r="AB251" s="205">
        <f>AA251/INDEX(Parameters!$B:$B,MATCH("AfschrijftermijnVVE"&amp;12*$C251,Parameters!$A:$A,0))</f>
        <v>27.777777777777779</v>
      </c>
      <c r="AC251" s="204">
        <f>INDEX('Tarieven ZM'!$G:$G,$W251)</f>
        <v>1000</v>
      </c>
      <c r="AD251" s="198">
        <f>-INDEX(Parameters!$B:$B,MATCH(AD$3&amp;$C251,Parameters!$A:$A,0))*$AC251</f>
        <v>0</v>
      </c>
      <c r="AE251" s="198">
        <f>-INDEX(Parameters!$B:$B,MATCH(AE$3,Parameters!$A:$A,0))*$AC251</f>
        <v>0</v>
      </c>
      <c r="AF251" s="139">
        <f t="shared" si="128"/>
        <v>1000</v>
      </c>
      <c r="AG251" s="522">
        <f t="shared" si="129"/>
        <v>1027.7777777777778</v>
      </c>
      <c r="AH251" s="175"/>
      <c r="AI251" s="523">
        <f>MATCH($U251,'Tarieven W&amp;O'!$B:$B,0)</f>
        <v>36</v>
      </c>
      <c r="AJ251" s="204">
        <f>IF(AI251&lt;&gt;"nvt",INDEX('Tarieven W&amp;O'!$H:$H,$AI251),0)</f>
        <v>0</v>
      </c>
      <c r="AK251" s="204">
        <f>IF(AI251&lt;&gt;"nvt",INDEX('Tarieven W&amp;O'!$I:$I,$AI251),0)</f>
        <v>25</v>
      </c>
      <c r="AL251" s="524">
        <f>IF(AI251&lt;&gt;"nvt",-INDEX(Parameters!$B:$B,MATCH(AL$3,Parameters!$A:$A,0))*(AJ251+AK251),0)</f>
        <v>0</v>
      </c>
      <c r="AM251" s="525"/>
      <c r="AN251" s="139">
        <f t="shared" si="130"/>
        <v>25</v>
      </c>
      <c r="AO251" s="205">
        <f>AN251/INDEX(Parameters!$B:$B,MATCH("AfschrijftermijnVVE"&amp;12*$C251,Parameters!$A:$A,0))</f>
        <v>0.69444444444444442</v>
      </c>
      <c r="AP251" s="139">
        <f t="shared" si="131"/>
        <v>36</v>
      </c>
      <c r="AQ251" s="526">
        <f>IF(AP251&lt;&gt;"nvt",INDEX('Tarieven W&amp;O'!$G:$G,$AP251),0)</f>
        <v>14.29</v>
      </c>
      <c r="AR251" s="251">
        <f>IF($S251,INDEX('Tarieven W&amp;O'!$G:$G,MATCH(N251&amp;R251,'Tarieven W&amp;O'!$B:$B,0)),0)</f>
        <v>5.25</v>
      </c>
      <c r="AS251" s="205">
        <f>-INDEX(Parameters!$B:$B,MATCH(AS$3,Parameters!$A:$A,0))*(AQ251+AR251)</f>
        <v>0</v>
      </c>
      <c r="AT251" s="205">
        <f>INDEX(hulpblad!$E:$E,MATCH(M251&amp;Q251,hulpblad!$B:$B,0))</f>
        <v>2</v>
      </c>
      <c r="AU251" s="150">
        <f t="shared" si="132"/>
        <v>21.54</v>
      </c>
      <c r="AV251" s="150">
        <f t="shared" si="133"/>
        <v>22.234444444444442</v>
      </c>
      <c r="AX251" s="526">
        <f>Parameters!$B$6*AV251</f>
        <v>0.22234444444444443</v>
      </c>
      <c r="AY251" s="150">
        <v>0</v>
      </c>
      <c r="AZ251" s="150"/>
      <c r="BA251" s="150">
        <f t="shared" si="134"/>
        <v>0.22234444444444443</v>
      </c>
      <c r="BB251" s="150"/>
      <c r="BC251" s="522">
        <f t="shared" si="135"/>
        <v>22.456788888888887</v>
      </c>
      <c r="BD251" s="175"/>
      <c r="BE251" s="527">
        <f t="shared" si="136"/>
        <v>1005.3209888888889</v>
      </c>
      <c r="BF251" s="181">
        <f t="shared" si="137"/>
        <v>0.9781501513513513</v>
      </c>
      <c r="BG251" s="520" t="b">
        <f t="shared" si="138"/>
        <v>0</v>
      </c>
      <c r="BI251" s="528" t="s">
        <v>2181</v>
      </c>
      <c r="BL251" s="151" t="str">
        <f t="shared" si="139"/>
        <v>EoKMetro - Nationaal</v>
      </c>
      <c r="BM251" s="529">
        <v>0</v>
      </c>
      <c r="BN251" s="180">
        <f>BM251/INDEX(Parameters!$B:$B,MATCH("AfschrijftermijnVVE"&amp;12*$C251,Parameters!$A:$A,0))</f>
        <v>0</v>
      </c>
      <c r="BO251" s="184">
        <f>INDEX('inkoop ULL tbv EVPN'!I:I,MATCH(BL251,'inkoop ULL tbv EVPN'!H:H,0))</f>
        <v>2</v>
      </c>
      <c r="BP251" s="184">
        <f t="shared" si="140"/>
        <v>2</v>
      </c>
      <c r="BR251" s="180">
        <f>Parameters!$B$12*AG251</f>
        <v>102.77777777777779</v>
      </c>
      <c r="BS251" s="180">
        <f>SUM(Distributievergoedingen!$F$12,Distributievergoedingen!$I$12,Distributievergoedingen!$L$12,Distributievergoedingen!$O$12)*AF251+SUM(Distributievergoedingen!$O$12*AA251+Distributievergoedingen!$R$12+Distributievergoedingen!$U$12+Distributievergoedingen!$X$12)/(MAX(36,12*C251))</f>
        <v>112.77777777777777</v>
      </c>
      <c r="BT251" s="150"/>
      <c r="BU251" s="150">
        <f t="shared" si="141"/>
        <v>215.55555555555554</v>
      </c>
      <c r="BW251" s="522">
        <f t="shared" si="142"/>
        <v>217.55555555555554</v>
      </c>
      <c r="BY251" s="527">
        <f t="shared" si="143"/>
        <v>810.22222222222229</v>
      </c>
      <c r="BZ251" s="181">
        <f t="shared" si="144"/>
        <v>0.78832432432432431</v>
      </c>
      <c r="CA251" s="520" t="b">
        <f t="shared" si="145"/>
        <v>0</v>
      </c>
    </row>
    <row r="252" spans="1:79" s="151" customFormat="1">
      <c r="A252" s="151" t="str">
        <f t="shared" si="124"/>
        <v>3EoKEntryRegionaal2</v>
      </c>
      <c r="B252" s="520" t="str">
        <f t="shared" si="146"/>
        <v>3EoKEntryRegionaal2</v>
      </c>
      <c r="C252" s="179">
        <v>3</v>
      </c>
      <c r="D252" s="179" t="s">
        <v>303</v>
      </c>
      <c r="E252" s="178" t="s">
        <v>45</v>
      </c>
      <c r="F252" s="178" t="s">
        <v>265</v>
      </c>
      <c r="G252" s="185" t="s">
        <v>363</v>
      </c>
      <c r="J252" s="520" t="str">
        <f t="shared" si="125"/>
        <v>EntryRegionaal2</v>
      </c>
      <c r="L252" s="204">
        <f>INDEX(Mapping!$H:$H,MATCH(C$3&amp;C252,Mapping!$B:$B,0))</f>
        <v>1</v>
      </c>
      <c r="M252" s="204" t="str">
        <f>INDEX(Mapping!$H:$H,MATCH(D$3&amp;$D252,Mapping!$B:$B,0))</f>
        <v>EoK</v>
      </c>
      <c r="N252" s="204" t="str">
        <f>INDEX(Mapping!$H:$H,MATCH(E$3&amp;E252,Mapping!$B:$B,0))</f>
        <v>Lite</v>
      </c>
      <c r="O252" s="204" t="str">
        <f>INDEX(Mapping!$H:$H,MATCH(F$3&amp;F252,Mapping!$B:$B,0))</f>
        <v>Metro</v>
      </c>
      <c r="P252" s="204">
        <f>INDEX(Mapping!$H:$H,MATCH(G$3&amp;G252,Mapping!$B:$B,0))</f>
        <v>2</v>
      </c>
      <c r="Q252" s="204" t="str">
        <f>INDEX(Mapping!$H:$H,MATCH(Q$3&amp;$F252,Mapping!$B:$B,0))</f>
        <v>Metro - Nationaal</v>
      </c>
      <c r="R252" s="204" t="str">
        <f>INDEX(Mapping!$H:$H,MATCH("ZM VPN Service Level"&amp;E252,Mapping!$B:$B,0))</f>
        <v>Advanced</v>
      </c>
      <c r="S252" s="139" t="b">
        <f>IF($D252="EoK",INDEX(Mapping!$I:$I,MATCH($G$3&amp;$G252,Mapping!B:B,0)),FALSE)</f>
        <v>1</v>
      </c>
      <c r="T252" s="139"/>
      <c r="U252" s="520" t="str">
        <f t="shared" si="126"/>
        <v>LiteMetro2</v>
      </c>
      <c r="W252" s="521">
        <f>MATCH($J252,'Tarieven ZM'!$B:$B,0)</f>
        <v>28</v>
      </c>
      <c r="X252" s="204">
        <f>INDEX('Tarieven ZM'!$H:$H,$W252)</f>
        <v>1000</v>
      </c>
      <c r="Y252" s="198">
        <f>-INDEX(Parameters!$B:$B,MATCH(Y$3&amp;$C252,Parameters!$A:$A,0))*$X252</f>
        <v>0</v>
      </c>
      <c r="Z252" s="198">
        <f>-INDEX(Parameters!$B:$B,MATCH(Z$3&amp;$C252,Parameters!$A:$A,0))*$X252</f>
        <v>0</v>
      </c>
      <c r="AA252" s="139">
        <f t="shared" si="127"/>
        <v>1000</v>
      </c>
      <c r="AB252" s="205">
        <f>AA252/INDEX(Parameters!$B:$B,MATCH("AfschrijftermijnVVE"&amp;12*$C252,Parameters!$A:$A,0))</f>
        <v>27.777777777777779</v>
      </c>
      <c r="AC252" s="204">
        <f>INDEX('Tarieven ZM'!$G:$G,$W252)</f>
        <v>1000</v>
      </c>
      <c r="AD252" s="198">
        <f>-INDEX(Parameters!$B:$B,MATCH(AD$3&amp;$C252,Parameters!$A:$A,0))*$AC252</f>
        <v>0</v>
      </c>
      <c r="AE252" s="198">
        <f>-INDEX(Parameters!$B:$B,MATCH(AE$3,Parameters!$A:$A,0))*$AC252</f>
        <v>0</v>
      </c>
      <c r="AF252" s="139">
        <f t="shared" si="128"/>
        <v>1000</v>
      </c>
      <c r="AG252" s="522">
        <f t="shared" si="129"/>
        <v>1027.7777777777778</v>
      </c>
      <c r="AH252" s="175"/>
      <c r="AI252" s="523">
        <f>MATCH($U252,'Tarieven W&amp;O'!$B:$B,0)</f>
        <v>37</v>
      </c>
      <c r="AJ252" s="204">
        <f>IF(AI252&lt;&gt;"nvt",INDEX('Tarieven W&amp;O'!$H:$H,$AI252),0)</f>
        <v>0</v>
      </c>
      <c r="AK252" s="204">
        <f>IF(AI252&lt;&gt;"nvt",INDEX('Tarieven W&amp;O'!$I:$I,$AI252),0)</f>
        <v>25</v>
      </c>
      <c r="AL252" s="524">
        <f>IF(AI252&lt;&gt;"nvt",-INDEX(Parameters!$B:$B,MATCH(AL$3,Parameters!$A:$A,0))*(AJ252+AK252),0)</f>
        <v>0</v>
      </c>
      <c r="AM252" s="525"/>
      <c r="AN252" s="139">
        <f t="shared" si="130"/>
        <v>25</v>
      </c>
      <c r="AO252" s="205">
        <f>AN252/INDEX(Parameters!$B:$B,MATCH("AfschrijftermijnVVE"&amp;12*$C252,Parameters!$A:$A,0))</f>
        <v>0.69444444444444442</v>
      </c>
      <c r="AP252" s="139">
        <f t="shared" si="131"/>
        <v>37</v>
      </c>
      <c r="AQ252" s="526">
        <f>IF(AP252&lt;&gt;"nvt",INDEX('Tarieven W&amp;O'!$G:$G,$AP252),0)</f>
        <v>16.55</v>
      </c>
      <c r="AR252" s="251">
        <f>IF($S252,INDEX('Tarieven W&amp;O'!$G:$G,MATCH(N252&amp;R252,'Tarieven W&amp;O'!$B:$B,0)),0)</f>
        <v>5.25</v>
      </c>
      <c r="AS252" s="205">
        <f>-INDEX(Parameters!$B:$B,MATCH(AS$3,Parameters!$A:$A,0))*(AQ252+AR252)</f>
        <v>0</v>
      </c>
      <c r="AT252" s="205">
        <f>INDEX(hulpblad!$E:$E,MATCH(M252&amp;Q252,hulpblad!$B:$B,0))</f>
        <v>2</v>
      </c>
      <c r="AU252" s="150">
        <f t="shared" si="132"/>
        <v>23.8</v>
      </c>
      <c r="AV252" s="150">
        <f t="shared" si="133"/>
        <v>24.494444444444444</v>
      </c>
      <c r="AX252" s="526">
        <f>Parameters!$B$6*AV252</f>
        <v>0.24494444444444444</v>
      </c>
      <c r="AY252" s="150">
        <v>0</v>
      </c>
      <c r="AZ252" s="150"/>
      <c r="BA252" s="150">
        <f t="shared" si="134"/>
        <v>0.24494444444444444</v>
      </c>
      <c r="BB252" s="150"/>
      <c r="BC252" s="522">
        <f t="shared" si="135"/>
        <v>24.73938888888889</v>
      </c>
      <c r="BD252" s="175"/>
      <c r="BE252" s="527">
        <f t="shared" si="136"/>
        <v>1003.0383888888889</v>
      </c>
      <c r="BF252" s="181">
        <f t="shared" si="137"/>
        <v>0.97592924324324326</v>
      </c>
      <c r="BG252" s="520" t="b">
        <f t="shared" si="138"/>
        <v>0</v>
      </c>
      <c r="BI252" s="528" t="s">
        <v>2181</v>
      </c>
      <c r="BL252" s="151" t="str">
        <f t="shared" si="139"/>
        <v>EoKMetro - Nationaal</v>
      </c>
      <c r="BM252" s="529">
        <v>0</v>
      </c>
      <c r="BN252" s="180">
        <f>BM252/INDEX(Parameters!$B:$B,MATCH("AfschrijftermijnVVE"&amp;12*$C252,Parameters!$A:$A,0))</f>
        <v>0</v>
      </c>
      <c r="BO252" s="184">
        <f>INDEX('inkoop ULL tbv EVPN'!I:I,MATCH(BL252,'inkoop ULL tbv EVPN'!H:H,0))</f>
        <v>2</v>
      </c>
      <c r="BP252" s="184">
        <f t="shared" si="140"/>
        <v>2</v>
      </c>
      <c r="BR252" s="180">
        <f>Parameters!$B$12*AG252</f>
        <v>102.77777777777779</v>
      </c>
      <c r="BS252" s="180">
        <f>SUM(Distributievergoedingen!$F$12,Distributievergoedingen!$I$12,Distributievergoedingen!$L$12,Distributievergoedingen!$O$12)*AF252+SUM(Distributievergoedingen!$O$12*AA252+Distributievergoedingen!$R$12+Distributievergoedingen!$U$12+Distributievergoedingen!$X$12)/(MAX(36,12*C252))</f>
        <v>112.77777777777777</v>
      </c>
      <c r="BT252" s="150"/>
      <c r="BU252" s="150">
        <f t="shared" si="141"/>
        <v>215.55555555555554</v>
      </c>
      <c r="BW252" s="522">
        <f t="shared" si="142"/>
        <v>217.55555555555554</v>
      </c>
      <c r="BY252" s="527">
        <f t="shared" si="143"/>
        <v>810.22222222222229</v>
      </c>
      <c r="BZ252" s="181">
        <f t="shared" si="144"/>
        <v>0.78832432432432431</v>
      </c>
      <c r="CA252" s="520" t="b">
        <f t="shared" si="145"/>
        <v>0</v>
      </c>
    </row>
    <row r="253" spans="1:79" s="151" customFormat="1">
      <c r="A253" s="151" t="str">
        <f t="shared" si="124"/>
        <v>3EoKEntryRegionaal3</v>
      </c>
      <c r="B253" s="520" t="str">
        <f t="shared" si="146"/>
        <v>3EoKEntryRegionaal3</v>
      </c>
      <c r="C253" s="179">
        <v>3</v>
      </c>
      <c r="D253" s="179" t="s">
        <v>303</v>
      </c>
      <c r="E253" s="178" t="s">
        <v>45</v>
      </c>
      <c r="F253" s="178" t="s">
        <v>265</v>
      </c>
      <c r="G253" s="185" t="s">
        <v>407</v>
      </c>
      <c r="J253" s="520" t="str">
        <f t="shared" si="125"/>
        <v>EntryRegionaal3</v>
      </c>
      <c r="L253" s="204">
        <f>INDEX(Mapping!$H:$H,MATCH(C$3&amp;C253,Mapping!$B:$B,0))</f>
        <v>1</v>
      </c>
      <c r="M253" s="204" t="str">
        <f>INDEX(Mapping!$H:$H,MATCH(D$3&amp;$D253,Mapping!$B:$B,0))</f>
        <v>EoK</v>
      </c>
      <c r="N253" s="204" t="str">
        <f>INDEX(Mapping!$H:$H,MATCH(E$3&amp;E253,Mapping!$B:$B,0))</f>
        <v>Lite</v>
      </c>
      <c r="O253" s="204" t="str">
        <f>INDEX(Mapping!$H:$H,MATCH(F$3&amp;F253,Mapping!$B:$B,0))</f>
        <v>Metro</v>
      </c>
      <c r="P253" s="204">
        <f>INDEX(Mapping!$H:$H,MATCH(G$3&amp;G253,Mapping!$B:$B,0))</f>
        <v>3</v>
      </c>
      <c r="Q253" s="204" t="str">
        <f>INDEX(Mapping!$H:$H,MATCH(Q$3&amp;$F253,Mapping!$B:$B,0))</f>
        <v>Metro - Nationaal</v>
      </c>
      <c r="R253" s="204" t="str">
        <f>INDEX(Mapping!$H:$H,MATCH("ZM VPN Service Level"&amp;E253,Mapping!$B:$B,0))</f>
        <v>Advanced</v>
      </c>
      <c r="S253" s="139" t="b">
        <f>IF($D253="EoK",INDEX(Mapping!$I:$I,MATCH($G$3&amp;$G253,Mapping!B:B,0)),FALSE)</f>
        <v>0</v>
      </c>
      <c r="T253" s="139"/>
      <c r="U253" s="520" t="str">
        <f t="shared" si="126"/>
        <v>LiteMetro3</v>
      </c>
      <c r="W253" s="521">
        <f>MATCH($J253,'Tarieven ZM'!$B:$B,0)</f>
        <v>29</v>
      </c>
      <c r="X253" s="204">
        <f>INDEX('Tarieven ZM'!$H:$H,$W253)</f>
        <v>1000</v>
      </c>
      <c r="Y253" s="198">
        <f>-INDEX(Parameters!$B:$B,MATCH(Y$3&amp;$C253,Parameters!$A:$A,0))*$X253</f>
        <v>0</v>
      </c>
      <c r="Z253" s="198">
        <f>-INDEX(Parameters!$B:$B,MATCH(Z$3&amp;$C253,Parameters!$A:$A,0))*$X253</f>
        <v>0</v>
      </c>
      <c r="AA253" s="139">
        <f t="shared" si="127"/>
        <v>1000</v>
      </c>
      <c r="AB253" s="205">
        <f>AA253/INDEX(Parameters!$B:$B,MATCH("AfschrijftermijnVVE"&amp;12*$C253,Parameters!$A:$A,0))</f>
        <v>27.777777777777779</v>
      </c>
      <c r="AC253" s="204">
        <f>INDEX('Tarieven ZM'!$G:$G,$W253)</f>
        <v>1000</v>
      </c>
      <c r="AD253" s="198">
        <f>-INDEX(Parameters!$B:$B,MATCH(AD$3&amp;$C253,Parameters!$A:$A,0))*$AC253</f>
        <v>0</v>
      </c>
      <c r="AE253" s="198">
        <f>-INDEX(Parameters!$B:$B,MATCH(AE$3,Parameters!$A:$A,0))*$AC253</f>
        <v>0</v>
      </c>
      <c r="AF253" s="139">
        <f t="shared" si="128"/>
        <v>1000</v>
      </c>
      <c r="AG253" s="522">
        <f t="shared" si="129"/>
        <v>1027.7777777777778</v>
      </c>
      <c r="AH253" s="175"/>
      <c r="AI253" s="523">
        <f>MATCH($U253,'Tarieven W&amp;O'!$B:$B,0)</f>
        <v>38</v>
      </c>
      <c r="AJ253" s="204">
        <f>IF(AI253&lt;&gt;"nvt",INDEX('Tarieven W&amp;O'!$H:$H,$AI253),0)</f>
        <v>0</v>
      </c>
      <c r="AK253" s="204">
        <f>IF(AI253&lt;&gt;"nvt",INDEX('Tarieven W&amp;O'!$I:$I,$AI253),0)</f>
        <v>25</v>
      </c>
      <c r="AL253" s="524">
        <f>IF(AI253&lt;&gt;"nvt",-INDEX(Parameters!$B:$B,MATCH(AL$3,Parameters!$A:$A,0))*(AJ253+AK253),0)</f>
        <v>0</v>
      </c>
      <c r="AM253" s="525"/>
      <c r="AN253" s="139">
        <f t="shared" si="130"/>
        <v>25</v>
      </c>
      <c r="AO253" s="205">
        <f>AN253/INDEX(Parameters!$B:$B,MATCH("AfschrijftermijnVVE"&amp;12*$C253,Parameters!$A:$A,0))</f>
        <v>0.69444444444444442</v>
      </c>
      <c r="AP253" s="139">
        <f t="shared" si="131"/>
        <v>38</v>
      </c>
      <c r="AQ253" s="526">
        <f>IF(AP253&lt;&gt;"nvt",INDEX('Tarieven W&amp;O'!$G:$G,$AP253),0)</f>
        <v>18.47</v>
      </c>
      <c r="AR253" s="251">
        <f>IF($S253,INDEX('Tarieven W&amp;O'!$G:$G,MATCH(N253&amp;R253,'Tarieven W&amp;O'!$B:$B,0)),0)</f>
        <v>0</v>
      </c>
      <c r="AS253" s="205">
        <f>-INDEX(Parameters!$B:$B,MATCH(AS$3,Parameters!$A:$A,0))*(AQ253+AR253)</f>
        <v>0</v>
      </c>
      <c r="AT253" s="205">
        <f>INDEX(hulpblad!$E:$E,MATCH(M253&amp;Q253,hulpblad!$B:$B,0))</f>
        <v>2</v>
      </c>
      <c r="AU253" s="150">
        <f t="shared" si="132"/>
        <v>20.47</v>
      </c>
      <c r="AV253" s="150">
        <f t="shared" si="133"/>
        <v>21.164444444444442</v>
      </c>
      <c r="AX253" s="526">
        <f>Parameters!$B$6*AV253</f>
        <v>0.21164444444444441</v>
      </c>
      <c r="AY253" s="150">
        <v>0</v>
      </c>
      <c r="AZ253" s="150"/>
      <c r="BA253" s="150">
        <f t="shared" si="134"/>
        <v>0.21164444444444441</v>
      </c>
      <c r="BB253" s="150"/>
      <c r="BC253" s="522">
        <f t="shared" si="135"/>
        <v>21.376088888888887</v>
      </c>
      <c r="BD253" s="175"/>
      <c r="BE253" s="527">
        <f t="shared" si="136"/>
        <v>1006.4016888888889</v>
      </c>
      <c r="BF253" s="181">
        <f t="shared" si="137"/>
        <v>0.97920164324324321</v>
      </c>
      <c r="BG253" s="520" t="b">
        <f t="shared" si="138"/>
        <v>0</v>
      </c>
      <c r="BI253" s="528" t="s">
        <v>2181</v>
      </c>
      <c r="BL253" s="151" t="str">
        <f t="shared" si="139"/>
        <v>EoKMetro - Nationaal</v>
      </c>
      <c r="BM253" s="529">
        <v>0</v>
      </c>
      <c r="BN253" s="180">
        <f>BM253/INDEX(Parameters!$B:$B,MATCH("AfschrijftermijnVVE"&amp;12*$C253,Parameters!$A:$A,0))</f>
        <v>0</v>
      </c>
      <c r="BO253" s="184">
        <f>INDEX('inkoop ULL tbv EVPN'!I:I,MATCH(BL253,'inkoop ULL tbv EVPN'!H:H,0))</f>
        <v>2</v>
      </c>
      <c r="BP253" s="184">
        <f t="shared" si="140"/>
        <v>2</v>
      </c>
      <c r="BR253" s="180">
        <f>Parameters!$B$12*AG253</f>
        <v>102.77777777777779</v>
      </c>
      <c r="BS253" s="180">
        <f>SUM(Distributievergoedingen!$F$12,Distributievergoedingen!$I$12,Distributievergoedingen!$L$12,Distributievergoedingen!$O$12)*AF253+SUM(Distributievergoedingen!$O$12*AA253+Distributievergoedingen!$R$12+Distributievergoedingen!$U$12+Distributievergoedingen!$X$12)/(MAX(36,12*C253))</f>
        <v>112.77777777777777</v>
      </c>
      <c r="BT253" s="150"/>
      <c r="BU253" s="150">
        <f t="shared" si="141"/>
        <v>215.55555555555554</v>
      </c>
      <c r="BW253" s="522">
        <f t="shared" si="142"/>
        <v>217.55555555555554</v>
      </c>
      <c r="BY253" s="527">
        <f t="shared" si="143"/>
        <v>810.22222222222229</v>
      </c>
      <c r="BZ253" s="181">
        <f t="shared" si="144"/>
        <v>0.78832432432432431</v>
      </c>
      <c r="CA253" s="520" t="b">
        <f t="shared" si="145"/>
        <v>0</v>
      </c>
    </row>
    <row r="254" spans="1:79" s="151" customFormat="1">
      <c r="A254" s="151" t="str">
        <f t="shared" si="124"/>
        <v>3EoKEntryRegionaal4</v>
      </c>
      <c r="B254" s="520" t="str">
        <f t="shared" si="146"/>
        <v>3EoKEntryRegionaal4</v>
      </c>
      <c r="C254" s="179">
        <v>3</v>
      </c>
      <c r="D254" s="179" t="s">
        <v>303</v>
      </c>
      <c r="E254" s="178" t="s">
        <v>45</v>
      </c>
      <c r="F254" s="178" t="s">
        <v>265</v>
      </c>
      <c r="G254" s="185" t="s">
        <v>408</v>
      </c>
      <c r="J254" s="520" t="str">
        <f t="shared" si="125"/>
        <v>EntryRegionaal4</v>
      </c>
      <c r="L254" s="204">
        <f>INDEX(Mapping!$H:$H,MATCH(C$3&amp;C254,Mapping!$B:$B,0))</f>
        <v>1</v>
      </c>
      <c r="M254" s="204" t="str">
        <f>INDEX(Mapping!$H:$H,MATCH(D$3&amp;$D254,Mapping!$B:$B,0))</f>
        <v>EoK</v>
      </c>
      <c r="N254" s="204" t="str">
        <f>INDEX(Mapping!$H:$H,MATCH(E$3&amp;E254,Mapping!$B:$B,0))</f>
        <v>Lite</v>
      </c>
      <c r="O254" s="204" t="str">
        <f>INDEX(Mapping!$H:$H,MATCH(F$3&amp;F254,Mapping!$B:$B,0))</f>
        <v>Metro</v>
      </c>
      <c r="P254" s="204">
        <f>INDEX(Mapping!$H:$H,MATCH(G$3&amp;G254,Mapping!$B:$B,0))</f>
        <v>4</v>
      </c>
      <c r="Q254" s="204" t="str">
        <f>INDEX(Mapping!$H:$H,MATCH(Q$3&amp;$F254,Mapping!$B:$B,0))</f>
        <v>Metro - Nationaal</v>
      </c>
      <c r="R254" s="204" t="str">
        <f>INDEX(Mapping!$H:$H,MATCH("ZM VPN Service Level"&amp;E254,Mapping!$B:$B,0))</f>
        <v>Advanced</v>
      </c>
      <c r="S254" s="139" t="b">
        <f>IF($D254="EoK",INDEX(Mapping!$I:$I,MATCH($G$3&amp;$G254,Mapping!B:B,0)),FALSE)</f>
        <v>0</v>
      </c>
      <c r="T254" s="139"/>
      <c r="U254" s="520" t="str">
        <f t="shared" si="126"/>
        <v>LiteMetro4</v>
      </c>
      <c r="W254" s="521">
        <f>MATCH($J254,'Tarieven ZM'!$B:$B,0)</f>
        <v>30</v>
      </c>
      <c r="X254" s="204">
        <f>INDEX('Tarieven ZM'!$H:$H,$W254)</f>
        <v>1000</v>
      </c>
      <c r="Y254" s="198">
        <f>-INDEX(Parameters!$B:$B,MATCH(Y$3&amp;$C254,Parameters!$A:$A,0))*$X254</f>
        <v>0</v>
      </c>
      <c r="Z254" s="198">
        <f>-INDEX(Parameters!$B:$B,MATCH(Z$3&amp;$C254,Parameters!$A:$A,0))*$X254</f>
        <v>0</v>
      </c>
      <c r="AA254" s="139">
        <f t="shared" si="127"/>
        <v>1000</v>
      </c>
      <c r="AB254" s="205">
        <f>AA254/INDEX(Parameters!$B:$B,MATCH("AfschrijftermijnVVE"&amp;12*$C254,Parameters!$A:$A,0))</f>
        <v>27.777777777777779</v>
      </c>
      <c r="AC254" s="204">
        <f>INDEX('Tarieven ZM'!$G:$G,$W254)</f>
        <v>1000</v>
      </c>
      <c r="AD254" s="198">
        <f>-INDEX(Parameters!$B:$B,MATCH(AD$3&amp;$C254,Parameters!$A:$A,0))*$AC254</f>
        <v>0</v>
      </c>
      <c r="AE254" s="198">
        <f>-INDEX(Parameters!$B:$B,MATCH(AE$3,Parameters!$A:$A,0))*$AC254</f>
        <v>0</v>
      </c>
      <c r="AF254" s="139">
        <f t="shared" si="128"/>
        <v>1000</v>
      </c>
      <c r="AG254" s="522">
        <f t="shared" si="129"/>
        <v>1027.7777777777778</v>
      </c>
      <c r="AH254" s="175"/>
      <c r="AI254" s="523">
        <f>MATCH($U254,'Tarieven W&amp;O'!$B:$B,0)</f>
        <v>39</v>
      </c>
      <c r="AJ254" s="204">
        <f>IF(AI254&lt;&gt;"nvt",INDEX('Tarieven W&amp;O'!$H:$H,$AI254),0)</f>
        <v>0</v>
      </c>
      <c r="AK254" s="204">
        <f>IF(AI254&lt;&gt;"nvt",INDEX('Tarieven W&amp;O'!$I:$I,$AI254),0)</f>
        <v>25</v>
      </c>
      <c r="AL254" s="524">
        <f>IF(AI254&lt;&gt;"nvt",-INDEX(Parameters!$B:$B,MATCH(AL$3,Parameters!$A:$A,0))*(AJ254+AK254),0)</f>
        <v>0</v>
      </c>
      <c r="AM254" s="525"/>
      <c r="AN254" s="139">
        <f t="shared" si="130"/>
        <v>25</v>
      </c>
      <c r="AO254" s="205">
        <f>AN254/INDEX(Parameters!$B:$B,MATCH("AfschrijftermijnVVE"&amp;12*$C254,Parameters!$A:$A,0))</f>
        <v>0.69444444444444442</v>
      </c>
      <c r="AP254" s="139">
        <f t="shared" si="131"/>
        <v>39</v>
      </c>
      <c r="AQ254" s="526">
        <f>IF(AP254&lt;&gt;"nvt",INDEX('Tarieven W&amp;O'!$G:$G,$AP254),0)</f>
        <v>18.47</v>
      </c>
      <c r="AR254" s="251">
        <f>IF($S254,INDEX('Tarieven W&amp;O'!$G:$G,MATCH(N254&amp;R254,'Tarieven W&amp;O'!$B:$B,0)),0)</f>
        <v>0</v>
      </c>
      <c r="AS254" s="205">
        <f>-INDEX(Parameters!$B:$B,MATCH(AS$3,Parameters!$A:$A,0))*(AQ254+AR254)</f>
        <v>0</v>
      </c>
      <c r="AT254" s="205">
        <f>INDEX(hulpblad!$E:$E,MATCH(M254&amp;Q254,hulpblad!$B:$B,0))</f>
        <v>2</v>
      </c>
      <c r="AU254" s="150">
        <f t="shared" si="132"/>
        <v>20.47</v>
      </c>
      <c r="AV254" s="150">
        <f t="shared" si="133"/>
        <v>21.164444444444442</v>
      </c>
      <c r="AX254" s="526">
        <f>Parameters!$B$6*AV254</f>
        <v>0.21164444444444441</v>
      </c>
      <c r="AY254" s="150">
        <v>0</v>
      </c>
      <c r="AZ254" s="150"/>
      <c r="BA254" s="150">
        <f t="shared" si="134"/>
        <v>0.21164444444444441</v>
      </c>
      <c r="BB254" s="150"/>
      <c r="BC254" s="522">
        <f t="shared" si="135"/>
        <v>21.376088888888887</v>
      </c>
      <c r="BD254" s="175"/>
      <c r="BE254" s="527">
        <f t="shared" si="136"/>
        <v>1006.4016888888889</v>
      </c>
      <c r="BF254" s="181">
        <f t="shared" si="137"/>
        <v>0.97920164324324321</v>
      </c>
      <c r="BG254" s="520" t="b">
        <f t="shared" si="138"/>
        <v>0</v>
      </c>
      <c r="BI254" s="528" t="s">
        <v>2181</v>
      </c>
      <c r="BL254" s="151" t="str">
        <f t="shared" si="139"/>
        <v>EoKMetro - Nationaal</v>
      </c>
      <c r="BM254" s="529">
        <v>0</v>
      </c>
      <c r="BN254" s="180">
        <f>BM254/INDEX(Parameters!$B:$B,MATCH("AfschrijftermijnVVE"&amp;12*$C254,Parameters!$A:$A,0))</f>
        <v>0</v>
      </c>
      <c r="BO254" s="184">
        <f>INDEX('inkoop ULL tbv EVPN'!I:I,MATCH(BL254,'inkoop ULL tbv EVPN'!H:H,0))</f>
        <v>2</v>
      </c>
      <c r="BP254" s="184">
        <f t="shared" si="140"/>
        <v>2</v>
      </c>
      <c r="BR254" s="180">
        <f>Parameters!$B$12*AG254</f>
        <v>102.77777777777779</v>
      </c>
      <c r="BS254" s="180">
        <f>SUM(Distributievergoedingen!$F$12,Distributievergoedingen!$I$12,Distributievergoedingen!$L$12,Distributievergoedingen!$O$12)*AF254+SUM(Distributievergoedingen!$O$12*AA254+Distributievergoedingen!$R$12+Distributievergoedingen!$U$12+Distributievergoedingen!$X$12)/(MAX(36,12*C254))</f>
        <v>112.77777777777777</v>
      </c>
      <c r="BT254" s="150"/>
      <c r="BU254" s="150">
        <f t="shared" si="141"/>
        <v>215.55555555555554</v>
      </c>
      <c r="BW254" s="522">
        <f t="shared" si="142"/>
        <v>217.55555555555554</v>
      </c>
      <c r="BY254" s="527">
        <f t="shared" si="143"/>
        <v>810.22222222222229</v>
      </c>
      <c r="BZ254" s="181">
        <f t="shared" si="144"/>
        <v>0.78832432432432431</v>
      </c>
      <c r="CA254" s="520" t="b">
        <f t="shared" si="145"/>
        <v>0</v>
      </c>
    </row>
    <row r="255" spans="1:79" s="151" customFormat="1">
      <c r="A255" s="151" t="str">
        <f t="shared" si="124"/>
        <v>3EoKEntryRegionaal5</v>
      </c>
      <c r="B255" s="520" t="str">
        <f t="shared" si="146"/>
        <v>3EoKEntryRegionaal5</v>
      </c>
      <c r="C255" s="179">
        <v>3</v>
      </c>
      <c r="D255" s="179" t="s">
        <v>303</v>
      </c>
      <c r="E255" s="178" t="s">
        <v>45</v>
      </c>
      <c r="F255" s="178" t="s">
        <v>265</v>
      </c>
      <c r="G255" s="185" t="s">
        <v>409</v>
      </c>
      <c r="J255" s="520" t="str">
        <f t="shared" si="125"/>
        <v>EntryRegionaal5</v>
      </c>
      <c r="L255" s="204">
        <f>INDEX(Mapping!$H:$H,MATCH(C$3&amp;C255,Mapping!$B:$B,0))</f>
        <v>1</v>
      </c>
      <c r="M255" s="204" t="str">
        <f>INDEX(Mapping!$H:$H,MATCH(D$3&amp;$D255,Mapping!$B:$B,0))</f>
        <v>EoK</v>
      </c>
      <c r="N255" s="204" t="str">
        <f>INDEX(Mapping!$H:$H,MATCH(E$3&amp;E255,Mapping!$B:$B,0))</f>
        <v>Lite</v>
      </c>
      <c r="O255" s="204" t="str">
        <f>INDEX(Mapping!$H:$H,MATCH(F$3&amp;F255,Mapping!$B:$B,0))</f>
        <v>Metro</v>
      </c>
      <c r="P255" s="204">
        <f>INDEX(Mapping!$H:$H,MATCH(G$3&amp;G255,Mapping!$B:$B,0))</f>
        <v>5</v>
      </c>
      <c r="Q255" s="204" t="str">
        <f>INDEX(Mapping!$H:$H,MATCH(Q$3&amp;$F255,Mapping!$B:$B,0))</f>
        <v>Metro - Nationaal</v>
      </c>
      <c r="R255" s="204" t="str">
        <f>INDEX(Mapping!$H:$H,MATCH("ZM VPN Service Level"&amp;E255,Mapping!$B:$B,0))</f>
        <v>Advanced</v>
      </c>
      <c r="S255" s="139" t="b">
        <f>IF($D255="EoK",INDEX(Mapping!$I:$I,MATCH($G$3&amp;$G255,Mapping!B:B,0)),FALSE)</f>
        <v>0</v>
      </c>
      <c r="T255" s="139"/>
      <c r="U255" s="520" t="str">
        <f t="shared" si="126"/>
        <v>LiteMetro5</v>
      </c>
      <c r="W255" s="521">
        <f>MATCH($J255,'Tarieven ZM'!$B:$B,0)</f>
        <v>31</v>
      </c>
      <c r="X255" s="204">
        <f>INDEX('Tarieven ZM'!$H:$H,$W255)</f>
        <v>1000</v>
      </c>
      <c r="Y255" s="198">
        <f>-INDEX(Parameters!$B:$B,MATCH(Y$3&amp;$C255,Parameters!$A:$A,0))*$X255</f>
        <v>0</v>
      </c>
      <c r="Z255" s="198">
        <f>-INDEX(Parameters!$B:$B,MATCH(Z$3&amp;$C255,Parameters!$A:$A,0))*$X255</f>
        <v>0</v>
      </c>
      <c r="AA255" s="139">
        <f t="shared" si="127"/>
        <v>1000</v>
      </c>
      <c r="AB255" s="205">
        <f>AA255/INDEX(Parameters!$B:$B,MATCH("AfschrijftermijnVVE"&amp;12*$C255,Parameters!$A:$A,0))</f>
        <v>27.777777777777779</v>
      </c>
      <c r="AC255" s="204">
        <f>INDEX('Tarieven ZM'!$G:$G,$W255)</f>
        <v>1000</v>
      </c>
      <c r="AD255" s="198">
        <f>-INDEX(Parameters!$B:$B,MATCH(AD$3&amp;$C255,Parameters!$A:$A,0))*$AC255</f>
        <v>0</v>
      </c>
      <c r="AE255" s="198">
        <f>-INDEX(Parameters!$B:$B,MATCH(AE$3,Parameters!$A:$A,0))*$AC255</f>
        <v>0</v>
      </c>
      <c r="AF255" s="139">
        <f t="shared" si="128"/>
        <v>1000</v>
      </c>
      <c r="AG255" s="522">
        <f t="shared" si="129"/>
        <v>1027.7777777777778</v>
      </c>
      <c r="AH255" s="175"/>
      <c r="AI255" s="523">
        <f>MATCH($U255,'Tarieven W&amp;O'!$B:$B,0)</f>
        <v>40</v>
      </c>
      <c r="AJ255" s="204">
        <f>IF(AI255&lt;&gt;"nvt",INDEX('Tarieven W&amp;O'!$H:$H,$AI255),0)</f>
        <v>0</v>
      </c>
      <c r="AK255" s="204">
        <f>IF(AI255&lt;&gt;"nvt",INDEX('Tarieven W&amp;O'!$I:$I,$AI255),0)</f>
        <v>25</v>
      </c>
      <c r="AL255" s="524">
        <f>IF(AI255&lt;&gt;"nvt",-INDEX(Parameters!$B:$B,MATCH(AL$3,Parameters!$A:$A,0))*(AJ255+AK255),0)</f>
        <v>0</v>
      </c>
      <c r="AM255" s="525"/>
      <c r="AN255" s="139">
        <f t="shared" si="130"/>
        <v>25</v>
      </c>
      <c r="AO255" s="205">
        <f>AN255/INDEX(Parameters!$B:$B,MATCH("AfschrijftermijnVVE"&amp;12*$C255,Parameters!$A:$A,0))</f>
        <v>0.69444444444444442</v>
      </c>
      <c r="AP255" s="139">
        <f t="shared" si="131"/>
        <v>40</v>
      </c>
      <c r="AQ255" s="526">
        <f>IF(AP255&lt;&gt;"nvt",INDEX('Tarieven W&amp;O'!$G:$G,$AP255),0)</f>
        <v>18.47</v>
      </c>
      <c r="AR255" s="251">
        <f>IF($S255,INDEX('Tarieven W&amp;O'!$G:$G,MATCH(N255&amp;R255,'Tarieven W&amp;O'!$B:$B,0)),0)</f>
        <v>0</v>
      </c>
      <c r="AS255" s="205">
        <f>-INDEX(Parameters!$B:$B,MATCH(AS$3,Parameters!$A:$A,0))*(AQ255+AR255)</f>
        <v>0</v>
      </c>
      <c r="AT255" s="205">
        <f>INDEX(hulpblad!$E:$E,MATCH(M255&amp;Q255,hulpblad!$B:$B,0))</f>
        <v>2</v>
      </c>
      <c r="AU255" s="150">
        <f t="shared" si="132"/>
        <v>20.47</v>
      </c>
      <c r="AV255" s="150">
        <f t="shared" si="133"/>
        <v>21.164444444444442</v>
      </c>
      <c r="AX255" s="526">
        <f>Parameters!$B$6*AV255</f>
        <v>0.21164444444444441</v>
      </c>
      <c r="AY255" s="150">
        <v>0</v>
      </c>
      <c r="AZ255" s="150"/>
      <c r="BA255" s="150">
        <f t="shared" si="134"/>
        <v>0.21164444444444441</v>
      </c>
      <c r="BB255" s="150"/>
      <c r="BC255" s="522">
        <f t="shared" si="135"/>
        <v>21.376088888888887</v>
      </c>
      <c r="BD255" s="175"/>
      <c r="BE255" s="527">
        <f t="shared" si="136"/>
        <v>1006.4016888888889</v>
      </c>
      <c r="BF255" s="181">
        <f t="shared" si="137"/>
        <v>0.97920164324324321</v>
      </c>
      <c r="BG255" s="520" t="b">
        <f t="shared" si="138"/>
        <v>0</v>
      </c>
      <c r="BI255" s="528" t="s">
        <v>2181</v>
      </c>
      <c r="BL255" s="151" t="str">
        <f t="shared" si="139"/>
        <v>EoKMetro - Nationaal</v>
      </c>
      <c r="BM255" s="529">
        <v>0</v>
      </c>
      <c r="BN255" s="180">
        <f>BM255/INDEX(Parameters!$B:$B,MATCH("AfschrijftermijnVVE"&amp;12*$C255,Parameters!$A:$A,0))</f>
        <v>0</v>
      </c>
      <c r="BO255" s="184">
        <f>INDEX('inkoop ULL tbv EVPN'!I:I,MATCH(BL255,'inkoop ULL tbv EVPN'!H:H,0))</f>
        <v>2</v>
      </c>
      <c r="BP255" s="184">
        <f t="shared" si="140"/>
        <v>2</v>
      </c>
      <c r="BR255" s="180">
        <f>Parameters!$B$12*AG255</f>
        <v>102.77777777777779</v>
      </c>
      <c r="BS255" s="180">
        <f>SUM(Distributievergoedingen!$F$12,Distributievergoedingen!$I$12,Distributievergoedingen!$L$12,Distributievergoedingen!$O$12)*AF255+SUM(Distributievergoedingen!$O$12*AA255+Distributievergoedingen!$R$12+Distributievergoedingen!$U$12+Distributievergoedingen!$X$12)/(MAX(36,12*C255))</f>
        <v>112.77777777777777</v>
      </c>
      <c r="BT255" s="150"/>
      <c r="BU255" s="150">
        <f t="shared" si="141"/>
        <v>215.55555555555554</v>
      </c>
      <c r="BW255" s="522">
        <f t="shared" si="142"/>
        <v>217.55555555555554</v>
      </c>
      <c r="BY255" s="527">
        <f t="shared" si="143"/>
        <v>810.22222222222229</v>
      </c>
      <c r="BZ255" s="181">
        <f t="shared" si="144"/>
        <v>0.78832432432432431</v>
      </c>
      <c r="CA255" s="520" t="b">
        <f t="shared" si="145"/>
        <v>0</v>
      </c>
    </row>
    <row r="256" spans="1:79" s="151" customFormat="1">
      <c r="A256" s="151" t="str">
        <f t="shared" si="124"/>
        <v>3EoKEntryRegionaal6</v>
      </c>
      <c r="B256" s="520" t="str">
        <f t="shared" si="146"/>
        <v>3EoKEntryRegionaal6</v>
      </c>
      <c r="C256" s="179">
        <v>3</v>
      </c>
      <c r="D256" s="179" t="s">
        <v>303</v>
      </c>
      <c r="E256" s="178" t="s">
        <v>45</v>
      </c>
      <c r="F256" s="178" t="s">
        <v>265</v>
      </c>
      <c r="G256" s="185" t="s">
        <v>410</v>
      </c>
      <c r="J256" s="520" t="str">
        <f t="shared" si="125"/>
        <v>EntryRegionaal6</v>
      </c>
      <c r="L256" s="204">
        <f>INDEX(Mapping!$H:$H,MATCH(C$3&amp;C256,Mapping!$B:$B,0))</f>
        <v>1</v>
      </c>
      <c r="M256" s="204" t="str">
        <f>INDEX(Mapping!$H:$H,MATCH(D$3&amp;$D256,Mapping!$B:$B,0))</f>
        <v>EoK</v>
      </c>
      <c r="N256" s="204" t="str">
        <f>INDEX(Mapping!$H:$H,MATCH(E$3&amp;E256,Mapping!$B:$B,0))</f>
        <v>Lite</v>
      </c>
      <c r="O256" s="204" t="str">
        <f>INDEX(Mapping!$H:$H,MATCH(F$3&amp;F256,Mapping!$B:$B,0))</f>
        <v>Metro</v>
      </c>
      <c r="P256" s="204">
        <f>INDEX(Mapping!$H:$H,MATCH(G$3&amp;G256,Mapping!$B:$B,0))</f>
        <v>6</v>
      </c>
      <c r="Q256" s="204" t="str">
        <f>INDEX(Mapping!$H:$H,MATCH(Q$3&amp;$F256,Mapping!$B:$B,0))</f>
        <v>Metro - Nationaal</v>
      </c>
      <c r="R256" s="204" t="str">
        <f>INDEX(Mapping!$H:$H,MATCH("ZM VPN Service Level"&amp;E256,Mapping!$B:$B,0))</f>
        <v>Advanced</v>
      </c>
      <c r="S256" s="139" t="b">
        <f>IF($D256="EoK",INDEX(Mapping!$I:$I,MATCH($G$3&amp;$G256,Mapping!B:B,0)),FALSE)</f>
        <v>0</v>
      </c>
      <c r="T256" s="139"/>
      <c r="U256" s="520" t="str">
        <f t="shared" si="126"/>
        <v>LiteMetro6</v>
      </c>
      <c r="W256" s="521">
        <f>MATCH($J256,'Tarieven ZM'!$B:$B,0)</f>
        <v>32</v>
      </c>
      <c r="X256" s="204">
        <f>INDEX('Tarieven ZM'!$H:$H,$W256)</f>
        <v>1000</v>
      </c>
      <c r="Y256" s="198">
        <f>-INDEX(Parameters!$B:$B,MATCH(Y$3&amp;$C256,Parameters!$A:$A,0))*$X256</f>
        <v>0</v>
      </c>
      <c r="Z256" s="198">
        <f>-INDEX(Parameters!$B:$B,MATCH(Z$3&amp;$C256,Parameters!$A:$A,0))*$X256</f>
        <v>0</v>
      </c>
      <c r="AA256" s="139">
        <f t="shared" si="127"/>
        <v>1000</v>
      </c>
      <c r="AB256" s="205">
        <f>AA256/INDEX(Parameters!$B:$B,MATCH("AfschrijftermijnVVE"&amp;12*$C256,Parameters!$A:$A,0))</f>
        <v>27.777777777777779</v>
      </c>
      <c r="AC256" s="204">
        <f>INDEX('Tarieven ZM'!$G:$G,$W256)</f>
        <v>1000</v>
      </c>
      <c r="AD256" s="198">
        <f>-INDEX(Parameters!$B:$B,MATCH(AD$3&amp;$C256,Parameters!$A:$A,0))*$AC256</f>
        <v>0</v>
      </c>
      <c r="AE256" s="198">
        <f>-INDEX(Parameters!$B:$B,MATCH(AE$3,Parameters!$A:$A,0))*$AC256</f>
        <v>0</v>
      </c>
      <c r="AF256" s="139">
        <f t="shared" si="128"/>
        <v>1000</v>
      </c>
      <c r="AG256" s="522">
        <f t="shared" si="129"/>
        <v>1027.7777777777778</v>
      </c>
      <c r="AH256" s="175"/>
      <c r="AI256" s="523">
        <f>MATCH($U256,'Tarieven W&amp;O'!$B:$B,0)</f>
        <v>41</v>
      </c>
      <c r="AJ256" s="204">
        <f>IF(AI256&lt;&gt;"nvt",INDEX('Tarieven W&amp;O'!$H:$H,$AI256),0)</f>
        <v>0</v>
      </c>
      <c r="AK256" s="204">
        <f>IF(AI256&lt;&gt;"nvt",INDEX('Tarieven W&amp;O'!$I:$I,$AI256),0)</f>
        <v>25</v>
      </c>
      <c r="AL256" s="524">
        <f>IF(AI256&lt;&gt;"nvt",-INDEX(Parameters!$B:$B,MATCH(AL$3,Parameters!$A:$A,0))*(AJ256+AK256),0)</f>
        <v>0</v>
      </c>
      <c r="AM256" s="525"/>
      <c r="AN256" s="139">
        <f t="shared" si="130"/>
        <v>25</v>
      </c>
      <c r="AO256" s="205">
        <f>AN256/INDEX(Parameters!$B:$B,MATCH("AfschrijftermijnVVE"&amp;12*$C256,Parameters!$A:$A,0))</f>
        <v>0.69444444444444442</v>
      </c>
      <c r="AP256" s="139">
        <f t="shared" si="131"/>
        <v>41</v>
      </c>
      <c r="AQ256" s="526">
        <f>IF(AP256&lt;&gt;"nvt",INDEX('Tarieven W&amp;O'!$G:$G,$AP256),0)</f>
        <v>18.47</v>
      </c>
      <c r="AR256" s="251">
        <f>IF($S256,INDEX('Tarieven W&amp;O'!$G:$G,MATCH(N256&amp;R256,'Tarieven W&amp;O'!$B:$B,0)),0)</f>
        <v>0</v>
      </c>
      <c r="AS256" s="205">
        <f>-INDEX(Parameters!$B:$B,MATCH(AS$3,Parameters!$A:$A,0))*(AQ256+AR256)</f>
        <v>0</v>
      </c>
      <c r="AT256" s="205">
        <f>INDEX(hulpblad!$E:$E,MATCH(M256&amp;Q256,hulpblad!$B:$B,0))</f>
        <v>2</v>
      </c>
      <c r="AU256" s="150">
        <f t="shared" si="132"/>
        <v>20.47</v>
      </c>
      <c r="AV256" s="150">
        <f t="shared" si="133"/>
        <v>21.164444444444442</v>
      </c>
      <c r="AX256" s="526">
        <f>Parameters!$B$6*AV256</f>
        <v>0.21164444444444441</v>
      </c>
      <c r="AY256" s="150">
        <v>0</v>
      </c>
      <c r="AZ256" s="150"/>
      <c r="BA256" s="150">
        <f t="shared" si="134"/>
        <v>0.21164444444444441</v>
      </c>
      <c r="BB256" s="150"/>
      <c r="BC256" s="522">
        <f t="shared" si="135"/>
        <v>21.376088888888887</v>
      </c>
      <c r="BD256" s="175"/>
      <c r="BE256" s="527">
        <f t="shared" si="136"/>
        <v>1006.4016888888889</v>
      </c>
      <c r="BF256" s="181">
        <f t="shared" si="137"/>
        <v>0.97920164324324321</v>
      </c>
      <c r="BG256" s="520" t="b">
        <f t="shared" si="138"/>
        <v>0</v>
      </c>
      <c r="BI256" s="528" t="s">
        <v>2181</v>
      </c>
      <c r="BL256" s="151" t="str">
        <f t="shared" si="139"/>
        <v>EoKMetro - Nationaal</v>
      </c>
      <c r="BM256" s="529">
        <v>0</v>
      </c>
      <c r="BN256" s="180">
        <f>BM256/INDEX(Parameters!$B:$B,MATCH("AfschrijftermijnVVE"&amp;12*$C256,Parameters!$A:$A,0))</f>
        <v>0</v>
      </c>
      <c r="BO256" s="184">
        <f>INDEX('inkoop ULL tbv EVPN'!I:I,MATCH(BL256,'inkoop ULL tbv EVPN'!H:H,0))</f>
        <v>2</v>
      </c>
      <c r="BP256" s="184">
        <f t="shared" si="140"/>
        <v>2</v>
      </c>
      <c r="BR256" s="180">
        <f>Parameters!$B$12*AG256</f>
        <v>102.77777777777779</v>
      </c>
      <c r="BS256" s="180">
        <f>SUM(Distributievergoedingen!$F$12,Distributievergoedingen!$I$12,Distributievergoedingen!$L$12,Distributievergoedingen!$O$12)*AF256+SUM(Distributievergoedingen!$O$12*AA256+Distributievergoedingen!$R$12+Distributievergoedingen!$U$12+Distributievergoedingen!$X$12)/(MAX(36,12*C256))</f>
        <v>112.77777777777777</v>
      </c>
      <c r="BT256" s="150"/>
      <c r="BU256" s="150">
        <f t="shared" si="141"/>
        <v>215.55555555555554</v>
      </c>
      <c r="BW256" s="522">
        <f t="shared" si="142"/>
        <v>217.55555555555554</v>
      </c>
      <c r="BY256" s="527">
        <f t="shared" si="143"/>
        <v>810.22222222222229</v>
      </c>
      <c r="BZ256" s="181">
        <f t="shared" si="144"/>
        <v>0.78832432432432431</v>
      </c>
      <c r="CA256" s="520" t="b">
        <f t="shared" si="145"/>
        <v>0</v>
      </c>
    </row>
    <row r="257" spans="1:79" s="151" customFormat="1">
      <c r="A257" s="151" t="str">
        <f t="shared" si="124"/>
        <v>3EoKEntryRegionaal8</v>
      </c>
      <c r="B257" s="520" t="str">
        <f t="shared" si="146"/>
        <v>3EoKEntryRegionaal8</v>
      </c>
      <c r="C257" s="179">
        <v>3</v>
      </c>
      <c r="D257" s="179" t="s">
        <v>303</v>
      </c>
      <c r="E257" s="178" t="s">
        <v>45</v>
      </c>
      <c r="F257" s="178" t="s">
        <v>265</v>
      </c>
      <c r="G257" s="185" t="s">
        <v>411</v>
      </c>
      <c r="J257" s="520" t="str">
        <f t="shared" si="125"/>
        <v>EntryRegionaal8</v>
      </c>
      <c r="L257" s="204">
        <f>INDEX(Mapping!$H:$H,MATCH(C$3&amp;C257,Mapping!$B:$B,0))</f>
        <v>1</v>
      </c>
      <c r="M257" s="204" t="str">
        <f>INDEX(Mapping!$H:$H,MATCH(D$3&amp;$D257,Mapping!$B:$B,0))</f>
        <v>EoK</v>
      </c>
      <c r="N257" s="204" t="str">
        <f>INDEX(Mapping!$H:$H,MATCH(E$3&amp;E257,Mapping!$B:$B,0))</f>
        <v>Lite</v>
      </c>
      <c r="O257" s="204" t="str">
        <f>INDEX(Mapping!$H:$H,MATCH(F$3&amp;F257,Mapping!$B:$B,0))</f>
        <v>Metro</v>
      </c>
      <c r="P257" s="204">
        <f>INDEX(Mapping!$H:$H,MATCH(G$3&amp;G257,Mapping!$B:$B,0))</f>
        <v>8</v>
      </c>
      <c r="Q257" s="204" t="str">
        <f>INDEX(Mapping!$H:$H,MATCH(Q$3&amp;$F257,Mapping!$B:$B,0))</f>
        <v>Metro - Nationaal</v>
      </c>
      <c r="R257" s="204" t="str">
        <f>INDEX(Mapping!$H:$H,MATCH("ZM VPN Service Level"&amp;E257,Mapping!$B:$B,0))</f>
        <v>Advanced</v>
      </c>
      <c r="S257" s="139" t="b">
        <f>IF($D257="EoK",INDEX(Mapping!$I:$I,MATCH($G$3&amp;$G257,Mapping!B:B,0)),FALSE)</f>
        <v>0</v>
      </c>
      <c r="T257" s="139"/>
      <c r="U257" s="520" t="str">
        <f t="shared" si="126"/>
        <v>LiteMetro8</v>
      </c>
      <c r="W257" s="521">
        <f>MATCH($J257,'Tarieven ZM'!$B:$B,0)</f>
        <v>33</v>
      </c>
      <c r="X257" s="204">
        <f>INDEX('Tarieven ZM'!$H:$H,$W257)</f>
        <v>1000</v>
      </c>
      <c r="Y257" s="198">
        <f>-INDEX(Parameters!$B:$B,MATCH(Y$3&amp;$C257,Parameters!$A:$A,0))*$X257</f>
        <v>0</v>
      </c>
      <c r="Z257" s="198">
        <f>-INDEX(Parameters!$B:$B,MATCH(Z$3&amp;$C257,Parameters!$A:$A,0))*$X257</f>
        <v>0</v>
      </c>
      <c r="AA257" s="139">
        <f t="shared" si="127"/>
        <v>1000</v>
      </c>
      <c r="AB257" s="205">
        <f>AA257/INDEX(Parameters!$B:$B,MATCH("AfschrijftermijnVVE"&amp;12*$C257,Parameters!$A:$A,0))</f>
        <v>27.777777777777779</v>
      </c>
      <c r="AC257" s="204">
        <f>INDEX('Tarieven ZM'!$G:$G,$W257)</f>
        <v>1000</v>
      </c>
      <c r="AD257" s="198">
        <f>-INDEX(Parameters!$B:$B,MATCH(AD$3&amp;$C257,Parameters!$A:$A,0))*$AC257</f>
        <v>0</v>
      </c>
      <c r="AE257" s="198">
        <f>-INDEX(Parameters!$B:$B,MATCH(AE$3,Parameters!$A:$A,0))*$AC257</f>
        <v>0</v>
      </c>
      <c r="AF257" s="139">
        <f t="shared" si="128"/>
        <v>1000</v>
      </c>
      <c r="AG257" s="522">
        <f t="shared" si="129"/>
        <v>1027.7777777777778</v>
      </c>
      <c r="AH257" s="175"/>
      <c r="AI257" s="523">
        <f>MATCH($U257,'Tarieven W&amp;O'!$B:$B,0)</f>
        <v>42</v>
      </c>
      <c r="AJ257" s="204">
        <f>IF(AI257&lt;&gt;"nvt",INDEX('Tarieven W&amp;O'!$H:$H,$AI257),0)</f>
        <v>0</v>
      </c>
      <c r="AK257" s="204">
        <f>IF(AI257&lt;&gt;"nvt",INDEX('Tarieven W&amp;O'!$I:$I,$AI257),0)</f>
        <v>25</v>
      </c>
      <c r="AL257" s="524">
        <f>IF(AI257&lt;&gt;"nvt",-INDEX(Parameters!$B:$B,MATCH(AL$3,Parameters!$A:$A,0))*(AJ257+AK257),0)</f>
        <v>0</v>
      </c>
      <c r="AM257" s="525"/>
      <c r="AN257" s="139">
        <f t="shared" si="130"/>
        <v>25</v>
      </c>
      <c r="AO257" s="205">
        <f>AN257/INDEX(Parameters!$B:$B,MATCH("AfschrijftermijnVVE"&amp;12*$C257,Parameters!$A:$A,0))</f>
        <v>0.69444444444444442</v>
      </c>
      <c r="AP257" s="139">
        <f t="shared" si="131"/>
        <v>42</v>
      </c>
      <c r="AQ257" s="526">
        <f>IF(AP257&lt;&gt;"nvt",INDEX('Tarieven W&amp;O'!$G:$G,$AP257),0)</f>
        <v>18.47</v>
      </c>
      <c r="AR257" s="251">
        <f>IF($S257,INDEX('Tarieven W&amp;O'!$G:$G,MATCH(N257&amp;R257,'Tarieven W&amp;O'!$B:$B,0)),0)</f>
        <v>0</v>
      </c>
      <c r="AS257" s="205">
        <f>-INDEX(Parameters!$B:$B,MATCH(AS$3,Parameters!$A:$A,0))*(AQ257+AR257)</f>
        <v>0</v>
      </c>
      <c r="AT257" s="205">
        <f>INDEX(hulpblad!$E:$E,MATCH(M257&amp;Q257,hulpblad!$B:$B,0))</f>
        <v>2</v>
      </c>
      <c r="AU257" s="150">
        <f t="shared" si="132"/>
        <v>20.47</v>
      </c>
      <c r="AV257" s="150">
        <f t="shared" si="133"/>
        <v>21.164444444444442</v>
      </c>
      <c r="AX257" s="526">
        <f>Parameters!$B$6*AV257</f>
        <v>0.21164444444444441</v>
      </c>
      <c r="AY257" s="150">
        <v>0</v>
      </c>
      <c r="AZ257" s="150"/>
      <c r="BA257" s="150">
        <f t="shared" si="134"/>
        <v>0.21164444444444441</v>
      </c>
      <c r="BB257" s="150"/>
      <c r="BC257" s="522">
        <f t="shared" si="135"/>
        <v>21.376088888888887</v>
      </c>
      <c r="BD257" s="175"/>
      <c r="BE257" s="527">
        <f t="shared" si="136"/>
        <v>1006.4016888888889</v>
      </c>
      <c r="BF257" s="181">
        <f t="shared" si="137"/>
        <v>0.97920164324324321</v>
      </c>
      <c r="BG257" s="520" t="b">
        <f t="shared" si="138"/>
        <v>0</v>
      </c>
      <c r="BI257" s="528" t="s">
        <v>2181</v>
      </c>
      <c r="BL257" s="151" t="str">
        <f t="shared" si="139"/>
        <v>EoKMetro - Nationaal</v>
      </c>
      <c r="BM257" s="529">
        <v>0</v>
      </c>
      <c r="BN257" s="180">
        <f>BM257/INDEX(Parameters!$B:$B,MATCH("AfschrijftermijnVVE"&amp;12*$C257,Parameters!$A:$A,0))</f>
        <v>0</v>
      </c>
      <c r="BO257" s="184">
        <f>INDEX('inkoop ULL tbv EVPN'!I:I,MATCH(BL257,'inkoop ULL tbv EVPN'!H:H,0))</f>
        <v>2</v>
      </c>
      <c r="BP257" s="184">
        <f t="shared" si="140"/>
        <v>2</v>
      </c>
      <c r="BR257" s="180">
        <f>Parameters!$B$12*AG257</f>
        <v>102.77777777777779</v>
      </c>
      <c r="BS257" s="180">
        <f>SUM(Distributievergoedingen!$F$12,Distributievergoedingen!$I$12,Distributievergoedingen!$L$12,Distributievergoedingen!$O$12)*AF257+SUM(Distributievergoedingen!$O$12*AA257+Distributievergoedingen!$R$12+Distributievergoedingen!$U$12+Distributievergoedingen!$X$12)/(MAX(36,12*C257))</f>
        <v>112.77777777777777</v>
      </c>
      <c r="BT257" s="150"/>
      <c r="BU257" s="150">
        <f t="shared" si="141"/>
        <v>215.55555555555554</v>
      </c>
      <c r="BW257" s="522">
        <f t="shared" si="142"/>
        <v>217.55555555555554</v>
      </c>
      <c r="BY257" s="527">
        <f t="shared" si="143"/>
        <v>810.22222222222229</v>
      </c>
      <c r="BZ257" s="181">
        <f t="shared" si="144"/>
        <v>0.78832432432432431</v>
      </c>
      <c r="CA257" s="520" t="b">
        <f t="shared" si="145"/>
        <v>0</v>
      </c>
    </row>
    <row r="258" spans="1:79" s="151" customFormat="1">
      <c r="A258" s="151" t="str">
        <f t="shared" si="124"/>
        <v>3EoKEntryRegionaal10</v>
      </c>
      <c r="B258" s="520" t="str">
        <f t="shared" si="146"/>
        <v>3EoKEntryRegionaal10</v>
      </c>
      <c r="C258" s="179">
        <v>3</v>
      </c>
      <c r="D258" s="179" t="s">
        <v>303</v>
      </c>
      <c r="E258" s="178" t="s">
        <v>45</v>
      </c>
      <c r="F258" s="178" t="s">
        <v>265</v>
      </c>
      <c r="G258" s="185" t="s">
        <v>412</v>
      </c>
      <c r="J258" s="520" t="str">
        <f t="shared" si="125"/>
        <v>EntryRegionaal10</v>
      </c>
      <c r="L258" s="204">
        <f>INDEX(Mapping!$H:$H,MATCH(C$3&amp;C258,Mapping!$B:$B,0))</f>
        <v>1</v>
      </c>
      <c r="M258" s="204" t="str">
        <f>INDEX(Mapping!$H:$H,MATCH(D$3&amp;$D258,Mapping!$B:$B,0))</f>
        <v>EoK</v>
      </c>
      <c r="N258" s="204" t="str">
        <f>INDEX(Mapping!$H:$H,MATCH(E$3&amp;E258,Mapping!$B:$B,0))</f>
        <v>Lite</v>
      </c>
      <c r="O258" s="204" t="str">
        <f>INDEX(Mapping!$H:$H,MATCH(F$3&amp;F258,Mapping!$B:$B,0))</f>
        <v>Metro</v>
      </c>
      <c r="P258" s="204">
        <f>INDEX(Mapping!$H:$H,MATCH(G$3&amp;G258,Mapping!$B:$B,0))</f>
        <v>10</v>
      </c>
      <c r="Q258" s="204" t="str">
        <f>INDEX(Mapping!$H:$H,MATCH(Q$3&amp;$F258,Mapping!$B:$B,0))</f>
        <v>Metro - Nationaal</v>
      </c>
      <c r="R258" s="204" t="str">
        <f>INDEX(Mapping!$H:$H,MATCH("ZM VPN Service Level"&amp;E258,Mapping!$B:$B,0))</f>
        <v>Advanced</v>
      </c>
      <c r="S258" s="139" t="b">
        <f>IF($D258="EoK",INDEX(Mapping!$I:$I,MATCH($G$3&amp;$G258,Mapping!B:B,0)),FALSE)</f>
        <v>0</v>
      </c>
      <c r="T258" s="139"/>
      <c r="U258" s="520" t="str">
        <f t="shared" si="126"/>
        <v>LiteMetro10</v>
      </c>
      <c r="W258" s="521">
        <f>MATCH($J258,'Tarieven ZM'!$B:$B,0)</f>
        <v>34</v>
      </c>
      <c r="X258" s="204">
        <f>INDEX('Tarieven ZM'!$H:$H,$W258)</f>
        <v>1000</v>
      </c>
      <c r="Y258" s="198">
        <f>-INDEX(Parameters!$B:$B,MATCH(Y$3&amp;$C258,Parameters!$A:$A,0))*$X258</f>
        <v>0</v>
      </c>
      <c r="Z258" s="198">
        <f>-INDEX(Parameters!$B:$B,MATCH(Z$3&amp;$C258,Parameters!$A:$A,0))*$X258</f>
        <v>0</v>
      </c>
      <c r="AA258" s="139">
        <f t="shared" si="127"/>
        <v>1000</v>
      </c>
      <c r="AB258" s="205">
        <f>AA258/INDEX(Parameters!$B:$B,MATCH("AfschrijftermijnVVE"&amp;12*$C258,Parameters!$A:$A,0))</f>
        <v>27.777777777777779</v>
      </c>
      <c r="AC258" s="204">
        <f>INDEX('Tarieven ZM'!$G:$G,$W258)</f>
        <v>1000</v>
      </c>
      <c r="AD258" s="198">
        <f>-INDEX(Parameters!$B:$B,MATCH(AD$3&amp;$C258,Parameters!$A:$A,0))*$AC258</f>
        <v>0</v>
      </c>
      <c r="AE258" s="198">
        <f>-INDEX(Parameters!$B:$B,MATCH(AE$3,Parameters!$A:$A,0))*$AC258</f>
        <v>0</v>
      </c>
      <c r="AF258" s="139">
        <f t="shared" si="128"/>
        <v>1000</v>
      </c>
      <c r="AG258" s="522">
        <f t="shared" si="129"/>
        <v>1027.7777777777778</v>
      </c>
      <c r="AH258" s="175"/>
      <c r="AI258" s="523">
        <f>MATCH($U258,'Tarieven W&amp;O'!$B:$B,0)</f>
        <v>43</v>
      </c>
      <c r="AJ258" s="204">
        <f>IF(AI258&lt;&gt;"nvt",INDEX('Tarieven W&amp;O'!$H:$H,$AI258),0)</f>
        <v>0</v>
      </c>
      <c r="AK258" s="204">
        <f>IF(AI258&lt;&gt;"nvt",INDEX('Tarieven W&amp;O'!$I:$I,$AI258),0)</f>
        <v>25</v>
      </c>
      <c r="AL258" s="524">
        <f>IF(AI258&lt;&gt;"nvt",-INDEX(Parameters!$B:$B,MATCH(AL$3,Parameters!$A:$A,0))*(AJ258+AK258),0)</f>
        <v>0</v>
      </c>
      <c r="AM258" s="525"/>
      <c r="AN258" s="139">
        <f t="shared" si="130"/>
        <v>25</v>
      </c>
      <c r="AO258" s="205">
        <f>AN258/INDEX(Parameters!$B:$B,MATCH("AfschrijftermijnVVE"&amp;12*$C258,Parameters!$A:$A,0))</f>
        <v>0.69444444444444442</v>
      </c>
      <c r="AP258" s="139">
        <f t="shared" si="131"/>
        <v>43</v>
      </c>
      <c r="AQ258" s="526">
        <f>IF(AP258&lt;&gt;"nvt",INDEX('Tarieven W&amp;O'!$G:$G,$AP258),0)</f>
        <v>18.47</v>
      </c>
      <c r="AR258" s="251">
        <f>IF($S258,INDEX('Tarieven W&amp;O'!$G:$G,MATCH(N258&amp;R258,'Tarieven W&amp;O'!$B:$B,0)),0)</f>
        <v>0</v>
      </c>
      <c r="AS258" s="205">
        <f>-INDEX(Parameters!$B:$B,MATCH(AS$3,Parameters!$A:$A,0))*(AQ258+AR258)</f>
        <v>0</v>
      </c>
      <c r="AT258" s="205">
        <f>INDEX(hulpblad!$E:$E,MATCH(M258&amp;Q258,hulpblad!$B:$B,0))</f>
        <v>2</v>
      </c>
      <c r="AU258" s="150">
        <f t="shared" si="132"/>
        <v>20.47</v>
      </c>
      <c r="AV258" s="150">
        <f t="shared" si="133"/>
        <v>21.164444444444442</v>
      </c>
      <c r="AX258" s="526">
        <f>Parameters!$B$6*AV258</f>
        <v>0.21164444444444441</v>
      </c>
      <c r="AY258" s="150">
        <v>0</v>
      </c>
      <c r="AZ258" s="150"/>
      <c r="BA258" s="150">
        <f t="shared" si="134"/>
        <v>0.21164444444444441</v>
      </c>
      <c r="BB258" s="150"/>
      <c r="BC258" s="522">
        <f t="shared" si="135"/>
        <v>21.376088888888887</v>
      </c>
      <c r="BD258" s="175"/>
      <c r="BE258" s="527">
        <f t="shared" si="136"/>
        <v>1006.4016888888889</v>
      </c>
      <c r="BF258" s="181">
        <f t="shared" si="137"/>
        <v>0.97920164324324321</v>
      </c>
      <c r="BG258" s="520" t="b">
        <f t="shared" si="138"/>
        <v>0</v>
      </c>
      <c r="BI258" s="528" t="s">
        <v>2181</v>
      </c>
      <c r="BL258" s="151" t="str">
        <f t="shared" si="139"/>
        <v>EoKMetro - Nationaal</v>
      </c>
      <c r="BM258" s="529">
        <v>0</v>
      </c>
      <c r="BN258" s="180">
        <f>BM258/INDEX(Parameters!$B:$B,MATCH("AfschrijftermijnVVE"&amp;12*$C258,Parameters!$A:$A,0))</f>
        <v>0</v>
      </c>
      <c r="BO258" s="184">
        <f>INDEX('inkoop ULL tbv EVPN'!I:I,MATCH(BL258,'inkoop ULL tbv EVPN'!H:H,0))</f>
        <v>2</v>
      </c>
      <c r="BP258" s="184">
        <f t="shared" si="140"/>
        <v>2</v>
      </c>
      <c r="BR258" s="180">
        <f>Parameters!$B$12*AG258</f>
        <v>102.77777777777779</v>
      </c>
      <c r="BS258" s="180">
        <f>SUM(Distributievergoedingen!$F$12,Distributievergoedingen!$I$12,Distributievergoedingen!$L$12,Distributievergoedingen!$O$12)*AF258+SUM(Distributievergoedingen!$O$12*AA258+Distributievergoedingen!$R$12+Distributievergoedingen!$U$12+Distributievergoedingen!$X$12)/(MAX(36,12*C258))</f>
        <v>112.77777777777777</v>
      </c>
      <c r="BT258" s="150"/>
      <c r="BU258" s="150">
        <f t="shared" si="141"/>
        <v>215.55555555555554</v>
      </c>
      <c r="BW258" s="522">
        <f t="shared" si="142"/>
        <v>217.55555555555554</v>
      </c>
      <c r="BY258" s="527">
        <f t="shared" si="143"/>
        <v>810.22222222222229</v>
      </c>
      <c r="BZ258" s="181">
        <f t="shared" si="144"/>
        <v>0.78832432432432431</v>
      </c>
      <c r="CA258" s="520" t="b">
        <f t="shared" si="145"/>
        <v>0</v>
      </c>
    </row>
    <row r="259" spans="1:79" s="151" customFormat="1">
      <c r="A259" s="151" t="str">
        <f t="shared" si="124"/>
        <v>3EoKEntryRegionaal15</v>
      </c>
      <c r="B259" s="520" t="str">
        <f t="shared" si="146"/>
        <v>3EoKEntryRegionaal15</v>
      </c>
      <c r="C259" s="179">
        <v>3</v>
      </c>
      <c r="D259" s="179" t="s">
        <v>303</v>
      </c>
      <c r="E259" s="178" t="s">
        <v>45</v>
      </c>
      <c r="F259" s="178" t="s">
        <v>265</v>
      </c>
      <c r="G259" s="185" t="s">
        <v>413</v>
      </c>
      <c r="J259" s="520" t="str">
        <f t="shared" si="125"/>
        <v>EntryRegionaal15</v>
      </c>
      <c r="L259" s="204">
        <f>INDEX(Mapping!$H:$H,MATCH(C$3&amp;C259,Mapping!$B:$B,0))</f>
        <v>1</v>
      </c>
      <c r="M259" s="204" t="str">
        <f>INDEX(Mapping!$H:$H,MATCH(D$3&amp;$D259,Mapping!$B:$B,0))</f>
        <v>EoK</v>
      </c>
      <c r="N259" s="204" t="str">
        <f>INDEX(Mapping!$H:$H,MATCH(E$3&amp;E259,Mapping!$B:$B,0))</f>
        <v>Lite</v>
      </c>
      <c r="O259" s="204" t="str">
        <f>INDEX(Mapping!$H:$H,MATCH(F$3&amp;F259,Mapping!$B:$B,0))</f>
        <v>Metro</v>
      </c>
      <c r="P259" s="204">
        <f>INDEX(Mapping!$H:$H,MATCH(G$3&amp;G259,Mapping!$B:$B,0))</f>
        <v>15</v>
      </c>
      <c r="Q259" s="204" t="str">
        <f>INDEX(Mapping!$H:$H,MATCH(Q$3&amp;$F259,Mapping!$B:$B,0))</f>
        <v>Metro - Nationaal</v>
      </c>
      <c r="R259" s="204" t="str">
        <f>INDEX(Mapping!$H:$H,MATCH("ZM VPN Service Level"&amp;E259,Mapping!$B:$B,0))</f>
        <v>Advanced</v>
      </c>
      <c r="S259" s="139" t="b">
        <f>IF($D259="EoK",INDEX(Mapping!$I:$I,MATCH($G$3&amp;$G259,Mapping!B:B,0)),FALSE)</f>
        <v>0</v>
      </c>
      <c r="T259" s="139"/>
      <c r="U259" s="520" t="str">
        <f t="shared" si="126"/>
        <v>LiteMetro15</v>
      </c>
      <c r="W259" s="521">
        <f>MATCH($J259,'Tarieven ZM'!$B:$B,0)</f>
        <v>35</v>
      </c>
      <c r="X259" s="204">
        <f>INDEX('Tarieven ZM'!$H:$H,$W259)</f>
        <v>1000</v>
      </c>
      <c r="Y259" s="198">
        <f>-INDEX(Parameters!$B:$B,MATCH(Y$3&amp;$C259,Parameters!$A:$A,0))*$X259</f>
        <v>0</v>
      </c>
      <c r="Z259" s="198">
        <f>-INDEX(Parameters!$B:$B,MATCH(Z$3&amp;$C259,Parameters!$A:$A,0))*$X259</f>
        <v>0</v>
      </c>
      <c r="AA259" s="139">
        <f t="shared" si="127"/>
        <v>1000</v>
      </c>
      <c r="AB259" s="205">
        <f>AA259/INDEX(Parameters!$B:$B,MATCH("AfschrijftermijnVVE"&amp;12*$C259,Parameters!$A:$A,0))</f>
        <v>27.777777777777779</v>
      </c>
      <c r="AC259" s="204">
        <f>INDEX('Tarieven ZM'!$G:$G,$W259)</f>
        <v>1000</v>
      </c>
      <c r="AD259" s="198">
        <f>-INDEX(Parameters!$B:$B,MATCH(AD$3&amp;$C259,Parameters!$A:$A,0))*$AC259</f>
        <v>0</v>
      </c>
      <c r="AE259" s="198">
        <f>-INDEX(Parameters!$B:$B,MATCH(AE$3,Parameters!$A:$A,0))*$AC259</f>
        <v>0</v>
      </c>
      <c r="AF259" s="139">
        <f t="shared" si="128"/>
        <v>1000</v>
      </c>
      <c r="AG259" s="522">
        <f t="shared" si="129"/>
        <v>1027.7777777777778</v>
      </c>
      <c r="AH259" s="175"/>
      <c r="AI259" s="523">
        <f>MATCH($U259,'Tarieven W&amp;O'!$B:$B,0)</f>
        <v>44</v>
      </c>
      <c r="AJ259" s="204">
        <f>IF(AI259&lt;&gt;"nvt",INDEX('Tarieven W&amp;O'!$H:$H,$AI259),0)</f>
        <v>0</v>
      </c>
      <c r="AK259" s="204">
        <f>IF(AI259&lt;&gt;"nvt",INDEX('Tarieven W&amp;O'!$I:$I,$AI259),0)</f>
        <v>25</v>
      </c>
      <c r="AL259" s="524">
        <f>IF(AI259&lt;&gt;"nvt",-INDEX(Parameters!$B:$B,MATCH(AL$3,Parameters!$A:$A,0))*(AJ259+AK259),0)</f>
        <v>0</v>
      </c>
      <c r="AM259" s="525"/>
      <c r="AN259" s="139">
        <f t="shared" si="130"/>
        <v>25</v>
      </c>
      <c r="AO259" s="205">
        <f>AN259/INDEX(Parameters!$B:$B,MATCH("AfschrijftermijnVVE"&amp;12*$C259,Parameters!$A:$A,0))</f>
        <v>0.69444444444444442</v>
      </c>
      <c r="AP259" s="139">
        <f t="shared" si="131"/>
        <v>44</v>
      </c>
      <c r="AQ259" s="526">
        <f>IF(AP259&lt;&gt;"nvt",INDEX('Tarieven W&amp;O'!$G:$G,$AP259),0)</f>
        <v>22.24</v>
      </c>
      <c r="AR259" s="251">
        <f>IF($S259,INDEX('Tarieven W&amp;O'!$G:$G,MATCH(N259&amp;R259,'Tarieven W&amp;O'!$B:$B,0)),0)</f>
        <v>0</v>
      </c>
      <c r="AS259" s="205">
        <f>-INDEX(Parameters!$B:$B,MATCH(AS$3,Parameters!$A:$A,0))*(AQ259+AR259)</f>
        <v>0</v>
      </c>
      <c r="AT259" s="205">
        <f>INDEX(hulpblad!$E:$E,MATCH(M259&amp;Q259,hulpblad!$B:$B,0))</f>
        <v>2</v>
      </c>
      <c r="AU259" s="150">
        <f t="shared" si="132"/>
        <v>24.24</v>
      </c>
      <c r="AV259" s="150">
        <f t="shared" si="133"/>
        <v>24.934444444444441</v>
      </c>
      <c r="AX259" s="526">
        <f>Parameters!$B$6*AV259</f>
        <v>0.24934444444444442</v>
      </c>
      <c r="AY259" s="150">
        <v>0</v>
      </c>
      <c r="AZ259" s="150"/>
      <c r="BA259" s="150">
        <f t="shared" si="134"/>
        <v>0.24934444444444442</v>
      </c>
      <c r="BB259" s="150"/>
      <c r="BC259" s="522">
        <f t="shared" si="135"/>
        <v>25.183788888888884</v>
      </c>
      <c r="BD259" s="175"/>
      <c r="BE259" s="527">
        <f t="shared" si="136"/>
        <v>1002.5939888888889</v>
      </c>
      <c r="BF259" s="181">
        <f t="shared" si="137"/>
        <v>0.97549685405405406</v>
      </c>
      <c r="BG259" s="520" t="b">
        <f t="shared" si="138"/>
        <v>0</v>
      </c>
      <c r="BI259" s="528" t="s">
        <v>2181</v>
      </c>
      <c r="BL259" s="151" t="str">
        <f t="shared" si="139"/>
        <v>EoKMetro - Nationaal</v>
      </c>
      <c r="BM259" s="529">
        <v>0</v>
      </c>
      <c r="BN259" s="180">
        <f>BM259/INDEX(Parameters!$B:$B,MATCH("AfschrijftermijnVVE"&amp;12*$C259,Parameters!$A:$A,0))</f>
        <v>0</v>
      </c>
      <c r="BO259" s="184">
        <f>INDEX('inkoop ULL tbv EVPN'!I:I,MATCH(BL259,'inkoop ULL tbv EVPN'!H:H,0))</f>
        <v>2</v>
      </c>
      <c r="BP259" s="184">
        <f t="shared" si="140"/>
        <v>2</v>
      </c>
      <c r="BR259" s="180">
        <f>Parameters!$B$12*AG259</f>
        <v>102.77777777777779</v>
      </c>
      <c r="BS259" s="180">
        <f>SUM(Distributievergoedingen!$F$12,Distributievergoedingen!$I$12,Distributievergoedingen!$L$12,Distributievergoedingen!$O$12)*AF259+SUM(Distributievergoedingen!$O$12*AA259+Distributievergoedingen!$R$12+Distributievergoedingen!$U$12+Distributievergoedingen!$X$12)/(MAX(36,12*C259))</f>
        <v>112.77777777777777</v>
      </c>
      <c r="BT259" s="150"/>
      <c r="BU259" s="150">
        <f t="shared" si="141"/>
        <v>215.55555555555554</v>
      </c>
      <c r="BW259" s="522">
        <f t="shared" si="142"/>
        <v>217.55555555555554</v>
      </c>
      <c r="BY259" s="527">
        <f t="shared" si="143"/>
        <v>810.22222222222229</v>
      </c>
      <c r="BZ259" s="181">
        <f t="shared" si="144"/>
        <v>0.78832432432432431</v>
      </c>
      <c r="CA259" s="520" t="b">
        <f t="shared" si="145"/>
        <v>0</v>
      </c>
    </row>
    <row r="260" spans="1:79" s="151" customFormat="1">
      <c r="A260" s="151" t="str">
        <f t="shared" si="124"/>
        <v>3EoKEntryRegionaal20</v>
      </c>
      <c r="B260" s="520" t="str">
        <f t="shared" si="146"/>
        <v>3EoKEntryRegionaal20</v>
      </c>
      <c r="C260" s="179">
        <v>3</v>
      </c>
      <c r="D260" s="179" t="s">
        <v>303</v>
      </c>
      <c r="E260" s="178" t="s">
        <v>45</v>
      </c>
      <c r="F260" s="178" t="s">
        <v>265</v>
      </c>
      <c r="G260" s="185" t="s">
        <v>414</v>
      </c>
      <c r="J260" s="520" t="str">
        <f t="shared" si="125"/>
        <v>EntryRegionaal20</v>
      </c>
      <c r="L260" s="204">
        <f>INDEX(Mapping!$H:$H,MATCH(C$3&amp;C260,Mapping!$B:$B,0))</f>
        <v>1</v>
      </c>
      <c r="M260" s="204" t="str">
        <f>INDEX(Mapping!$H:$H,MATCH(D$3&amp;$D260,Mapping!$B:$B,0))</f>
        <v>EoK</v>
      </c>
      <c r="N260" s="204" t="str">
        <f>INDEX(Mapping!$H:$H,MATCH(E$3&amp;E260,Mapping!$B:$B,0))</f>
        <v>Lite</v>
      </c>
      <c r="O260" s="204" t="str">
        <f>INDEX(Mapping!$H:$H,MATCH(F$3&amp;F260,Mapping!$B:$B,0))</f>
        <v>Metro</v>
      </c>
      <c r="P260" s="204">
        <f>INDEX(Mapping!$H:$H,MATCH(G$3&amp;G260,Mapping!$B:$B,0))</f>
        <v>20</v>
      </c>
      <c r="Q260" s="204" t="str">
        <f>INDEX(Mapping!$H:$H,MATCH(Q$3&amp;$F260,Mapping!$B:$B,0))</f>
        <v>Metro - Nationaal</v>
      </c>
      <c r="R260" s="204" t="str">
        <f>INDEX(Mapping!$H:$H,MATCH("ZM VPN Service Level"&amp;E260,Mapping!$B:$B,0))</f>
        <v>Advanced</v>
      </c>
      <c r="S260" s="139" t="b">
        <f>IF($D260="EoK",INDEX(Mapping!$I:$I,MATCH($G$3&amp;$G260,Mapping!B:B,0)),FALSE)</f>
        <v>0</v>
      </c>
      <c r="T260" s="139"/>
      <c r="U260" s="520" t="str">
        <f t="shared" si="126"/>
        <v>LiteMetro20</v>
      </c>
      <c r="W260" s="521">
        <f>MATCH($J260,'Tarieven ZM'!$B:$B,0)</f>
        <v>36</v>
      </c>
      <c r="X260" s="204">
        <f>INDEX('Tarieven ZM'!$H:$H,$W260)</f>
        <v>1000</v>
      </c>
      <c r="Y260" s="198">
        <f>-INDEX(Parameters!$B:$B,MATCH(Y$3&amp;$C260,Parameters!$A:$A,0))*$X260</f>
        <v>0</v>
      </c>
      <c r="Z260" s="198">
        <f>-INDEX(Parameters!$B:$B,MATCH(Z$3&amp;$C260,Parameters!$A:$A,0))*$X260</f>
        <v>0</v>
      </c>
      <c r="AA260" s="139">
        <f t="shared" si="127"/>
        <v>1000</v>
      </c>
      <c r="AB260" s="205">
        <f>AA260/INDEX(Parameters!$B:$B,MATCH("AfschrijftermijnVVE"&amp;12*$C260,Parameters!$A:$A,0))</f>
        <v>27.777777777777779</v>
      </c>
      <c r="AC260" s="204">
        <f>INDEX('Tarieven ZM'!$G:$G,$W260)</f>
        <v>1000</v>
      </c>
      <c r="AD260" s="198">
        <f>-INDEX(Parameters!$B:$B,MATCH(AD$3&amp;$C260,Parameters!$A:$A,0))*$AC260</f>
        <v>0</v>
      </c>
      <c r="AE260" s="198">
        <f>-INDEX(Parameters!$B:$B,MATCH(AE$3,Parameters!$A:$A,0))*$AC260</f>
        <v>0</v>
      </c>
      <c r="AF260" s="139">
        <f t="shared" si="128"/>
        <v>1000</v>
      </c>
      <c r="AG260" s="522">
        <f t="shared" si="129"/>
        <v>1027.7777777777778</v>
      </c>
      <c r="AH260" s="175"/>
      <c r="AI260" s="523">
        <f>MATCH($U260,'Tarieven W&amp;O'!$B:$B,0)</f>
        <v>45</v>
      </c>
      <c r="AJ260" s="204">
        <f>IF(AI260&lt;&gt;"nvt",INDEX('Tarieven W&amp;O'!$H:$H,$AI260),0)</f>
        <v>0</v>
      </c>
      <c r="AK260" s="204">
        <f>IF(AI260&lt;&gt;"nvt",INDEX('Tarieven W&amp;O'!$I:$I,$AI260),0)</f>
        <v>25</v>
      </c>
      <c r="AL260" s="524">
        <f>IF(AI260&lt;&gt;"nvt",-INDEX(Parameters!$B:$B,MATCH(AL$3,Parameters!$A:$A,0))*(AJ260+AK260),0)</f>
        <v>0</v>
      </c>
      <c r="AM260" s="525"/>
      <c r="AN260" s="139">
        <f t="shared" si="130"/>
        <v>25</v>
      </c>
      <c r="AO260" s="205">
        <f>AN260/INDEX(Parameters!$B:$B,MATCH("AfschrijftermijnVVE"&amp;12*$C260,Parameters!$A:$A,0))</f>
        <v>0.69444444444444442</v>
      </c>
      <c r="AP260" s="139">
        <f t="shared" si="131"/>
        <v>45</v>
      </c>
      <c r="AQ260" s="526">
        <f>IF(AP260&lt;&gt;"nvt",INDEX('Tarieven W&amp;O'!$G:$G,$AP260),0)</f>
        <v>29.78</v>
      </c>
      <c r="AR260" s="251">
        <f>IF($S260,INDEX('Tarieven W&amp;O'!$G:$G,MATCH(N260&amp;R260,'Tarieven W&amp;O'!$B:$B,0)),0)</f>
        <v>0</v>
      </c>
      <c r="AS260" s="205">
        <f>-INDEX(Parameters!$B:$B,MATCH(AS$3,Parameters!$A:$A,0))*(AQ260+AR260)</f>
        <v>0</v>
      </c>
      <c r="AT260" s="205">
        <f>INDEX(hulpblad!$E:$E,MATCH(M260&amp;Q260,hulpblad!$B:$B,0))</f>
        <v>2</v>
      </c>
      <c r="AU260" s="150">
        <f t="shared" si="132"/>
        <v>31.78</v>
      </c>
      <c r="AV260" s="150">
        <f t="shared" si="133"/>
        <v>32.474444444444444</v>
      </c>
      <c r="AX260" s="526">
        <f>Parameters!$B$6*AV260</f>
        <v>0.32474444444444445</v>
      </c>
      <c r="AY260" s="150">
        <v>0</v>
      </c>
      <c r="AZ260" s="150"/>
      <c r="BA260" s="150">
        <f t="shared" si="134"/>
        <v>0.32474444444444445</v>
      </c>
      <c r="BB260" s="150"/>
      <c r="BC260" s="522">
        <f t="shared" si="135"/>
        <v>32.799188888888885</v>
      </c>
      <c r="BD260" s="175"/>
      <c r="BE260" s="527">
        <f t="shared" si="136"/>
        <v>994.97858888888891</v>
      </c>
      <c r="BF260" s="181">
        <f t="shared" si="137"/>
        <v>0.96808727567567565</v>
      </c>
      <c r="BG260" s="520" t="b">
        <f t="shared" si="138"/>
        <v>0</v>
      </c>
      <c r="BI260" s="528" t="s">
        <v>2181</v>
      </c>
      <c r="BL260" s="151" t="str">
        <f t="shared" si="139"/>
        <v>EoKMetro - Nationaal</v>
      </c>
      <c r="BM260" s="529">
        <v>0</v>
      </c>
      <c r="BN260" s="180">
        <f>BM260/INDEX(Parameters!$B:$B,MATCH("AfschrijftermijnVVE"&amp;12*$C260,Parameters!$A:$A,0))</f>
        <v>0</v>
      </c>
      <c r="BO260" s="184">
        <f>INDEX('inkoop ULL tbv EVPN'!I:I,MATCH(BL260,'inkoop ULL tbv EVPN'!H:H,0))</f>
        <v>2</v>
      </c>
      <c r="BP260" s="184">
        <f t="shared" si="140"/>
        <v>2</v>
      </c>
      <c r="BR260" s="180">
        <f>Parameters!$B$12*AG260</f>
        <v>102.77777777777779</v>
      </c>
      <c r="BS260" s="180">
        <f>SUM(Distributievergoedingen!$F$12,Distributievergoedingen!$I$12,Distributievergoedingen!$L$12,Distributievergoedingen!$O$12)*AF260+SUM(Distributievergoedingen!$O$12*AA260+Distributievergoedingen!$R$12+Distributievergoedingen!$U$12+Distributievergoedingen!$X$12)/(MAX(36,12*C260))</f>
        <v>112.77777777777777</v>
      </c>
      <c r="BT260" s="150"/>
      <c r="BU260" s="150">
        <f t="shared" si="141"/>
        <v>215.55555555555554</v>
      </c>
      <c r="BW260" s="522">
        <f t="shared" si="142"/>
        <v>217.55555555555554</v>
      </c>
      <c r="BY260" s="527">
        <f t="shared" si="143"/>
        <v>810.22222222222229</v>
      </c>
      <c r="BZ260" s="181">
        <f t="shared" si="144"/>
        <v>0.78832432432432431</v>
      </c>
      <c r="CA260" s="520" t="b">
        <f t="shared" si="145"/>
        <v>0</v>
      </c>
    </row>
    <row r="261" spans="1:79" s="151" customFormat="1">
      <c r="A261" s="151" t="str">
        <f t="shared" si="124"/>
        <v>3EoKEntryRegionaal30</v>
      </c>
      <c r="B261" s="520" t="str">
        <f t="shared" si="146"/>
        <v>3EoKEntryRegionaal30</v>
      </c>
      <c r="C261" s="179">
        <v>3</v>
      </c>
      <c r="D261" s="179" t="s">
        <v>303</v>
      </c>
      <c r="E261" s="178" t="s">
        <v>45</v>
      </c>
      <c r="F261" s="178" t="s">
        <v>265</v>
      </c>
      <c r="G261" s="185" t="s">
        <v>415</v>
      </c>
      <c r="J261" s="520" t="str">
        <f t="shared" si="125"/>
        <v>EntryRegionaal30</v>
      </c>
      <c r="L261" s="204">
        <f>INDEX(Mapping!$H:$H,MATCH(C$3&amp;C261,Mapping!$B:$B,0))</f>
        <v>1</v>
      </c>
      <c r="M261" s="204" t="str">
        <f>INDEX(Mapping!$H:$H,MATCH(D$3&amp;$D261,Mapping!$B:$B,0))</f>
        <v>EoK</v>
      </c>
      <c r="N261" s="204" t="str">
        <f>INDEX(Mapping!$H:$H,MATCH(E$3&amp;E261,Mapping!$B:$B,0))</f>
        <v>Lite</v>
      </c>
      <c r="O261" s="204" t="str">
        <f>INDEX(Mapping!$H:$H,MATCH(F$3&amp;F261,Mapping!$B:$B,0))</f>
        <v>Metro</v>
      </c>
      <c r="P261" s="204">
        <f>INDEX(Mapping!$H:$H,MATCH(G$3&amp;G261,Mapping!$B:$B,0))</f>
        <v>30</v>
      </c>
      <c r="Q261" s="204" t="str">
        <f>INDEX(Mapping!$H:$H,MATCH(Q$3&amp;$F261,Mapping!$B:$B,0))</f>
        <v>Metro - Nationaal</v>
      </c>
      <c r="R261" s="204" t="str">
        <f>INDEX(Mapping!$H:$H,MATCH("ZM VPN Service Level"&amp;E261,Mapping!$B:$B,0))</f>
        <v>Advanced</v>
      </c>
      <c r="S261" s="139" t="b">
        <f>IF($D261="EoK",INDEX(Mapping!$I:$I,MATCH($G$3&amp;$G261,Mapping!B:B,0)),FALSE)</f>
        <v>0</v>
      </c>
      <c r="T261" s="139"/>
      <c r="U261" s="520" t="str">
        <f t="shared" si="126"/>
        <v>LiteMetro30</v>
      </c>
      <c r="W261" s="521">
        <f>MATCH($J261,'Tarieven ZM'!$B:$B,0)</f>
        <v>37</v>
      </c>
      <c r="X261" s="204">
        <f>INDEX('Tarieven ZM'!$H:$H,$W261)</f>
        <v>1000</v>
      </c>
      <c r="Y261" s="198">
        <f>-INDEX(Parameters!$B:$B,MATCH(Y$3&amp;$C261,Parameters!$A:$A,0))*$X261</f>
        <v>0</v>
      </c>
      <c r="Z261" s="198">
        <f>-INDEX(Parameters!$B:$B,MATCH(Z$3&amp;$C261,Parameters!$A:$A,0))*$X261</f>
        <v>0</v>
      </c>
      <c r="AA261" s="139">
        <f t="shared" si="127"/>
        <v>1000</v>
      </c>
      <c r="AB261" s="205">
        <f>AA261/INDEX(Parameters!$B:$B,MATCH("AfschrijftermijnVVE"&amp;12*$C261,Parameters!$A:$A,0))</f>
        <v>27.777777777777779</v>
      </c>
      <c r="AC261" s="204">
        <f>INDEX('Tarieven ZM'!$G:$G,$W261)</f>
        <v>1000</v>
      </c>
      <c r="AD261" s="198">
        <f>-INDEX(Parameters!$B:$B,MATCH(AD$3&amp;$C261,Parameters!$A:$A,0))*$AC261</f>
        <v>0</v>
      </c>
      <c r="AE261" s="198">
        <f>-INDEX(Parameters!$B:$B,MATCH(AE$3,Parameters!$A:$A,0))*$AC261</f>
        <v>0</v>
      </c>
      <c r="AF261" s="139">
        <f t="shared" si="128"/>
        <v>1000</v>
      </c>
      <c r="AG261" s="522">
        <f t="shared" si="129"/>
        <v>1027.7777777777778</v>
      </c>
      <c r="AH261" s="175"/>
      <c r="AI261" s="523">
        <f>MATCH($U261,'Tarieven W&amp;O'!$B:$B,0)</f>
        <v>46</v>
      </c>
      <c r="AJ261" s="204">
        <f>IF(AI261&lt;&gt;"nvt",INDEX('Tarieven W&amp;O'!$H:$H,$AI261),0)</f>
        <v>0</v>
      </c>
      <c r="AK261" s="204">
        <f>IF(AI261&lt;&gt;"nvt",INDEX('Tarieven W&amp;O'!$I:$I,$AI261),0)</f>
        <v>25</v>
      </c>
      <c r="AL261" s="524">
        <f>IF(AI261&lt;&gt;"nvt",-INDEX(Parameters!$B:$B,MATCH(AL$3,Parameters!$A:$A,0))*(AJ261+AK261),0)</f>
        <v>0</v>
      </c>
      <c r="AM261" s="525"/>
      <c r="AN261" s="139">
        <f t="shared" si="130"/>
        <v>25</v>
      </c>
      <c r="AO261" s="205">
        <f>AN261/INDEX(Parameters!$B:$B,MATCH("AfschrijftermijnVVE"&amp;12*$C261,Parameters!$A:$A,0))</f>
        <v>0.69444444444444442</v>
      </c>
      <c r="AP261" s="139">
        <f t="shared" si="131"/>
        <v>46</v>
      </c>
      <c r="AQ261" s="526">
        <f>IF(AP261&lt;&gt;"nvt",INDEX('Tarieven W&amp;O'!$G:$G,$AP261),0)</f>
        <v>33.54</v>
      </c>
      <c r="AR261" s="251">
        <f>IF($S261,INDEX('Tarieven W&amp;O'!$G:$G,MATCH(N261&amp;R261,'Tarieven W&amp;O'!$B:$B,0)),0)</f>
        <v>0</v>
      </c>
      <c r="AS261" s="205">
        <f>-INDEX(Parameters!$B:$B,MATCH(AS$3,Parameters!$A:$A,0))*(AQ261+AR261)</f>
        <v>0</v>
      </c>
      <c r="AT261" s="205">
        <f>INDEX(hulpblad!$E:$E,MATCH(M261&amp;Q261,hulpblad!$B:$B,0))</f>
        <v>2</v>
      </c>
      <c r="AU261" s="150">
        <f t="shared" si="132"/>
        <v>35.54</v>
      </c>
      <c r="AV261" s="150">
        <f t="shared" si="133"/>
        <v>36.234444444444442</v>
      </c>
      <c r="AX261" s="526">
        <f>Parameters!$B$6*AV261</f>
        <v>0.36234444444444441</v>
      </c>
      <c r="AY261" s="150">
        <v>0</v>
      </c>
      <c r="AZ261" s="150"/>
      <c r="BA261" s="150">
        <f t="shared" si="134"/>
        <v>0.36234444444444441</v>
      </c>
      <c r="BB261" s="150"/>
      <c r="BC261" s="522">
        <f t="shared" si="135"/>
        <v>36.596788888888888</v>
      </c>
      <c r="BD261" s="175"/>
      <c r="BE261" s="527">
        <f t="shared" si="136"/>
        <v>991.18098888888892</v>
      </c>
      <c r="BF261" s="181">
        <f t="shared" si="137"/>
        <v>0.96439231351351351</v>
      </c>
      <c r="BG261" s="520" t="b">
        <f t="shared" si="138"/>
        <v>0</v>
      </c>
      <c r="BI261" s="528" t="s">
        <v>2181</v>
      </c>
      <c r="BL261" s="151" t="str">
        <f t="shared" si="139"/>
        <v>EoKMetro - Nationaal</v>
      </c>
      <c r="BM261" s="529">
        <v>0</v>
      </c>
      <c r="BN261" s="180">
        <f>BM261/INDEX(Parameters!$B:$B,MATCH("AfschrijftermijnVVE"&amp;12*$C261,Parameters!$A:$A,0))</f>
        <v>0</v>
      </c>
      <c r="BO261" s="184">
        <f>INDEX('inkoop ULL tbv EVPN'!I:I,MATCH(BL261,'inkoop ULL tbv EVPN'!H:H,0))</f>
        <v>2</v>
      </c>
      <c r="BP261" s="184">
        <f t="shared" si="140"/>
        <v>2</v>
      </c>
      <c r="BR261" s="180">
        <f>Parameters!$B$12*AG261</f>
        <v>102.77777777777779</v>
      </c>
      <c r="BS261" s="180">
        <f>SUM(Distributievergoedingen!$F$12,Distributievergoedingen!$I$12,Distributievergoedingen!$L$12,Distributievergoedingen!$O$12)*AF261+SUM(Distributievergoedingen!$O$12*AA261+Distributievergoedingen!$R$12+Distributievergoedingen!$U$12+Distributievergoedingen!$X$12)/(MAX(36,12*C261))</f>
        <v>112.77777777777777</v>
      </c>
      <c r="BT261" s="150"/>
      <c r="BU261" s="150">
        <f t="shared" si="141"/>
        <v>215.55555555555554</v>
      </c>
      <c r="BW261" s="522">
        <f t="shared" si="142"/>
        <v>217.55555555555554</v>
      </c>
      <c r="BY261" s="527">
        <f t="shared" si="143"/>
        <v>810.22222222222229</v>
      </c>
      <c r="BZ261" s="181">
        <f t="shared" si="144"/>
        <v>0.78832432432432431</v>
      </c>
      <c r="CA261" s="520" t="b">
        <f t="shared" si="145"/>
        <v>0</v>
      </c>
    </row>
    <row r="262" spans="1:79" s="151" customFormat="1">
      <c r="A262" s="151" t="str">
        <f t="shared" si="124"/>
        <v>3EoKEntryRegionaal50</v>
      </c>
      <c r="B262" s="520" t="str">
        <f t="shared" si="146"/>
        <v>3EoKEntryRegionaal50</v>
      </c>
      <c r="C262" s="179">
        <v>3</v>
      </c>
      <c r="D262" s="179" t="s">
        <v>303</v>
      </c>
      <c r="E262" s="178" t="s">
        <v>45</v>
      </c>
      <c r="F262" s="178" t="s">
        <v>265</v>
      </c>
      <c r="G262" s="185" t="s">
        <v>416</v>
      </c>
      <c r="J262" s="520" t="str">
        <f t="shared" si="125"/>
        <v>EntryRegionaal50</v>
      </c>
      <c r="L262" s="204">
        <f>INDEX(Mapping!$H:$H,MATCH(C$3&amp;C262,Mapping!$B:$B,0))</f>
        <v>1</v>
      </c>
      <c r="M262" s="204" t="str">
        <f>INDEX(Mapping!$H:$H,MATCH(D$3&amp;$D262,Mapping!$B:$B,0))</f>
        <v>EoK</v>
      </c>
      <c r="N262" s="204" t="str">
        <f>INDEX(Mapping!$H:$H,MATCH(E$3&amp;E262,Mapping!$B:$B,0))</f>
        <v>Lite</v>
      </c>
      <c r="O262" s="204" t="str">
        <f>INDEX(Mapping!$H:$H,MATCH(F$3&amp;F262,Mapping!$B:$B,0))</f>
        <v>Metro</v>
      </c>
      <c r="P262" s="204">
        <f>INDEX(Mapping!$H:$H,MATCH(G$3&amp;G262,Mapping!$B:$B,0))</f>
        <v>50</v>
      </c>
      <c r="Q262" s="204" t="str">
        <f>INDEX(Mapping!$H:$H,MATCH(Q$3&amp;$F262,Mapping!$B:$B,0))</f>
        <v>Metro - Nationaal</v>
      </c>
      <c r="R262" s="204" t="str">
        <f>INDEX(Mapping!$H:$H,MATCH("ZM VPN Service Level"&amp;E262,Mapping!$B:$B,0))</f>
        <v>Advanced</v>
      </c>
      <c r="S262" s="139" t="b">
        <f>IF($D262="EoK",INDEX(Mapping!$I:$I,MATCH($G$3&amp;$G262,Mapping!B:B,0)),FALSE)</f>
        <v>0</v>
      </c>
      <c r="T262" s="139"/>
      <c r="U262" s="520" t="str">
        <f t="shared" si="126"/>
        <v>LiteMetro50</v>
      </c>
      <c r="W262" s="521">
        <f>MATCH($J262,'Tarieven ZM'!$B:$B,0)</f>
        <v>38</v>
      </c>
      <c r="X262" s="204">
        <f>INDEX('Tarieven ZM'!$H:$H,$W262)</f>
        <v>1000</v>
      </c>
      <c r="Y262" s="198">
        <f>-INDEX(Parameters!$B:$B,MATCH(Y$3&amp;$C262,Parameters!$A:$A,0))*$X262</f>
        <v>0</v>
      </c>
      <c r="Z262" s="198">
        <f>-INDEX(Parameters!$B:$B,MATCH(Z$3&amp;$C262,Parameters!$A:$A,0))*$X262</f>
        <v>0</v>
      </c>
      <c r="AA262" s="139">
        <f t="shared" si="127"/>
        <v>1000</v>
      </c>
      <c r="AB262" s="205">
        <f>AA262/INDEX(Parameters!$B:$B,MATCH("AfschrijftermijnVVE"&amp;12*$C262,Parameters!$A:$A,0))</f>
        <v>27.777777777777779</v>
      </c>
      <c r="AC262" s="204">
        <f>INDEX('Tarieven ZM'!$G:$G,$W262)</f>
        <v>1000</v>
      </c>
      <c r="AD262" s="198">
        <f>-INDEX(Parameters!$B:$B,MATCH(AD$3&amp;$C262,Parameters!$A:$A,0))*$AC262</f>
        <v>0</v>
      </c>
      <c r="AE262" s="198">
        <f>-INDEX(Parameters!$B:$B,MATCH(AE$3,Parameters!$A:$A,0))*$AC262</f>
        <v>0</v>
      </c>
      <c r="AF262" s="139">
        <f t="shared" si="128"/>
        <v>1000</v>
      </c>
      <c r="AG262" s="522">
        <f t="shared" si="129"/>
        <v>1027.7777777777778</v>
      </c>
      <c r="AH262" s="175"/>
      <c r="AI262" s="523">
        <f>MATCH($U262,'Tarieven W&amp;O'!$B:$B,0)</f>
        <v>47</v>
      </c>
      <c r="AJ262" s="204">
        <f>IF(AI262&lt;&gt;"nvt",INDEX('Tarieven W&amp;O'!$H:$H,$AI262),0)</f>
        <v>0</v>
      </c>
      <c r="AK262" s="204">
        <f>IF(AI262&lt;&gt;"nvt",INDEX('Tarieven W&amp;O'!$I:$I,$AI262),0)</f>
        <v>25</v>
      </c>
      <c r="AL262" s="524">
        <f>IF(AI262&lt;&gt;"nvt",-INDEX(Parameters!$B:$B,MATCH(AL$3,Parameters!$A:$A,0))*(AJ262+AK262),0)</f>
        <v>0</v>
      </c>
      <c r="AM262" s="525"/>
      <c r="AN262" s="139">
        <f t="shared" si="130"/>
        <v>25</v>
      </c>
      <c r="AO262" s="205">
        <f>AN262/INDEX(Parameters!$B:$B,MATCH("AfschrijftermijnVVE"&amp;12*$C262,Parameters!$A:$A,0))</f>
        <v>0.69444444444444442</v>
      </c>
      <c r="AP262" s="139">
        <f t="shared" si="131"/>
        <v>47</v>
      </c>
      <c r="AQ262" s="526">
        <f>IF(AP262&lt;&gt;"nvt",INDEX('Tarieven W&amp;O'!$G:$G,$AP262),0)</f>
        <v>48.62</v>
      </c>
      <c r="AR262" s="251">
        <f>IF($S262,INDEX('Tarieven W&amp;O'!$G:$G,MATCH(N262&amp;R262,'Tarieven W&amp;O'!$B:$B,0)),0)</f>
        <v>0</v>
      </c>
      <c r="AS262" s="205">
        <f>-INDEX(Parameters!$B:$B,MATCH(AS$3,Parameters!$A:$A,0))*(AQ262+AR262)</f>
        <v>0</v>
      </c>
      <c r="AT262" s="205">
        <f>INDEX(hulpblad!$E:$E,MATCH(M262&amp;Q262,hulpblad!$B:$B,0))</f>
        <v>2</v>
      </c>
      <c r="AU262" s="150">
        <f t="shared" si="132"/>
        <v>50.62</v>
      </c>
      <c r="AV262" s="150">
        <f t="shared" si="133"/>
        <v>51.31444444444444</v>
      </c>
      <c r="AX262" s="526">
        <f>Parameters!$B$6*AV262</f>
        <v>0.5131444444444444</v>
      </c>
      <c r="AY262" s="150">
        <v>0</v>
      </c>
      <c r="AZ262" s="150"/>
      <c r="BA262" s="150">
        <f t="shared" si="134"/>
        <v>0.5131444444444444</v>
      </c>
      <c r="BB262" s="150"/>
      <c r="BC262" s="522">
        <f t="shared" si="135"/>
        <v>51.827588888888883</v>
      </c>
      <c r="BD262" s="175"/>
      <c r="BE262" s="527">
        <f t="shared" si="136"/>
        <v>975.95018888888899</v>
      </c>
      <c r="BF262" s="181">
        <f t="shared" si="137"/>
        <v>0.9495731567567568</v>
      </c>
      <c r="BG262" s="520" t="b">
        <f t="shared" si="138"/>
        <v>0</v>
      </c>
      <c r="BI262" s="528" t="s">
        <v>2181</v>
      </c>
      <c r="BL262" s="151" t="str">
        <f t="shared" si="139"/>
        <v>EoKMetro - Nationaal</v>
      </c>
      <c r="BM262" s="529">
        <v>0</v>
      </c>
      <c r="BN262" s="180">
        <f>BM262/INDEX(Parameters!$B:$B,MATCH("AfschrijftermijnVVE"&amp;12*$C262,Parameters!$A:$A,0))</f>
        <v>0</v>
      </c>
      <c r="BO262" s="184">
        <f>INDEX('inkoop ULL tbv EVPN'!I:I,MATCH(BL262,'inkoop ULL tbv EVPN'!H:H,0))</f>
        <v>2</v>
      </c>
      <c r="BP262" s="184">
        <f t="shared" si="140"/>
        <v>2</v>
      </c>
      <c r="BR262" s="180">
        <f>Parameters!$B$12*AG262</f>
        <v>102.77777777777779</v>
      </c>
      <c r="BS262" s="180">
        <f>SUM(Distributievergoedingen!$F$12,Distributievergoedingen!$I$12,Distributievergoedingen!$L$12,Distributievergoedingen!$O$12)*AF262+SUM(Distributievergoedingen!$O$12*AA262+Distributievergoedingen!$R$12+Distributievergoedingen!$U$12+Distributievergoedingen!$X$12)/(MAX(36,12*C262))</f>
        <v>112.77777777777777</v>
      </c>
      <c r="BT262" s="150"/>
      <c r="BU262" s="150">
        <f t="shared" si="141"/>
        <v>215.55555555555554</v>
      </c>
      <c r="BW262" s="522">
        <f t="shared" si="142"/>
        <v>217.55555555555554</v>
      </c>
      <c r="BY262" s="527">
        <f t="shared" si="143"/>
        <v>810.22222222222229</v>
      </c>
      <c r="BZ262" s="181">
        <f t="shared" si="144"/>
        <v>0.78832432432432431</v>
      </c>
      <c r="CA262" s="520" t="b">
        <f t="shared" si="145"/>
        <v>0</v>
      </c>
    </row>
    <row r="263" spans="1:79" s="151" customFormat="1">
      <c r="A263" s="151" t="str">
        <f t="shared" si="124"/>
        <v>3EoKEntryRegionaal80</v>
      </c>
      <c r="B263" s="520" t="str">
        <f t="shared" si="146"/>
        <v>3EoKEntryRegionaal80</v>
      </c>
      <c r="C263" s="179">
        <v>3</v>
      </c>
      <c r="D263" s="179" t="s">
        <v>303</v>
      </c>
      <c r="E263" s="178" t="s">
        <v>45</v>
      </c>
      <c r="F263" s="178" t="s">
        <v>265</v>
      </c>
      <c r="G263" s="185" t="s">
        <v>417</v>
      </c>
      <c r="J263" s="520" t="str">
        <f t="shared" si="125"/>
        <v>EntryRegionaal80</v>
      </c>
      <c r="L263" s="204">
        <f>INDEX(Mapping!$H:$H,MATCH(C$3&amp;C263,Mapping!$B:$B,0))</f>
        <v>1</v>
      </c>
      <c r="M263" s="204" t="str">
        <f>INDEX(Mapping!$H:$H,MATCH(D$3&amp;$D263,Mapping!$B:$B,0))</f>
        <v>EoK</v>
      </c>
      <c r="N263" s="204" t="str">
        <f>INDEX(Mapping!$H:$H,MATCH(E$3&amp;E263,Mapping!$B:$B,0))</f>
        <v>Lite</v>
      </c>
      <c r="O263" s="204" t="str">
        <f>INDEX(Mapping!$H:$H,MATCH(F$3&amp;F263,Mapping!$B:$B,0))</f>
        <v>Metro</v>
      </c>
      <c r="P263" s="204">
        <f>INDEX(Mapping!$H:$H,MATCH(G$3&amp;G263,Mapping!$B:$B,0))</f>
        <v>80</v>
      </c>
      <c r="Q263" s="204" t="str">
        <f>INDEX(Mapping!$H:$H,MATCH(Q$3&amp;$F263,Mapping!$B:$B,0))</f>
        <v>Metro - Nationaal</v>
      </c>
      <c r="R263" s="204" t="str">
        <f>INDEX(Mapping!$H:$H,MATCH("ZM VPN Service Level"&amp;E263,Mapping!$B:$B,0))</f>
        <v>Advanced</v>
      </c>
      <c r="S263" s="139" t="b">
        <f>IF($D263="EoK",INDEX(Mapping!$I:$I,MATCH($G$3&amp;$G263,Mapping!B:B,0)),FALSE)</f>
        <v>0</v>
      </c>
      <c r="T263" s="139"/>
      <c r="U263" s="520" t="str">
        <f t="shared" si="126"/>
        <v>LiteMetro80</v>
      </c>
      <c r="W263" s="521">
        <f>MATCH($J263,'Tarieven ZM'!$B:$B,0)</f>
        <v>39</v>
      </c>
      <c r="X263" s="204">
        <f>INDEX('Tarieven ZM'!$H:$H,$W263)</f>
        <v>1000</v>
      </c>
      <c r="Y263" s="198">
        <f>-INDEX(Parameters!$B:$B,MATCH(Y$3&amp;$C263,Parameters!$A:$A,0))*$X263</f>
        <v>0</v>
      </c>
      <c r="Z263" s="198">
        <f>-INDEX(Parameters!$B:$B,MATCH(Z$3&amp;$C263,Parameters!$A:$A,0))*$X263</f>
        <v>0</v>
      </c>
      <c r="AA263" s="139">
        <f t="shared" si="127"/>
        <v>1000</v>
      </c>
      <c r="AB263" s="205">
        <f>AA263/INDEX(Parameters!$B:$B,MATCH("AfschrijftermijnVVE"&amp;12*$C263,Parameters!$A:$A,0))</f>
        <v>27.777777777777779</v>
      </c>
      <c r="AC263" s="204">
        <f>INDEX('Tarieven ZM'!$G:$G,$W263)</f>
        <v>1000</v>
      </c>
      <c r="AD263" s="198">
        <f>-INDEX(Parameters!$B:$B,MATCH(AD$3&amp;$C263,Parameters!$A:$A,0))*$AC263</f>
        <v>0</v>
      </c>
      <c r="AE263" s="198">
        <f>-INDEX(Parameters!$B:$B,MATCH(AE$3,Parameters!$A:$A,0))*$AC263</f>
        <v>0</v>
      </c>
      <c r="AF263" s="139">
        <f t="shared" si="128"/>
        <v>1000</v>
      </c>
      <c r="AG263" s="522">
        <f t="shared" si="129"/>
        <v>1027.7777777777778</v>
      </c>
      <c r="AH263" s="175"/>
      <c r="AI263" s="523">
        <f>MATCH($U263,'Tarieven W&amp;O'!$B:$B,0)</f>
        <v>48</v>
      </c>
      <c r="AJ263" s="204">
        <f>IF(AI263&lt;&gt;"nvt",INDEX('Tarieven W&amp;O'!$H:$H,$AI263),0)</f>
        <v>0</v>
      </c>
      <c r="AK263" s="204">
        <f>IF(AI263&lt;&gt;"nvt",INDEX('Tarieven W&amp;O'!$I:$I,$AI263),0)</f>
        <v>25</v>
      </c>
      <c r="AL263" s="524">
        <f>IF(AI263&lt;&gt;"nvt",-INDEX(Parameters!$B:$B,MATCH(AL$3,Parameters!$A:$A,0))*(AJ263+AK263),0)</f>
        <v>0</v>
      </c>
      <c r="AM263" s="525"/>
      <c r="AN263" s="139">
        <f t="shared" si="130"/>
        <v>25</v>
      </c>
      <c r="AO263" s="205">
        <f>AN263/INDEX(Parameters!$B:$B,MATCH("AfschrijftermijnVVE"&amp;12*$C263,Parameters!$A:$A,0))</f>
        <v>0.69444444444444442</v>
      </c>
      <c r="AP263" s="139">
        <f t="shared" si="131"/>
        <v>48</v>
      </c>
      <c r="AQ263" s="526">
        <f>IF(AP263&lt;&gt;"nvt",INDEX('Tarieven W&amp;O'!$G:$G,$AP263),0)</f>
        <v>63.7</v>
      </c>
      <c r="AR263" s="251">
        <f>IF($S263,INDEX('Tarieven W&amp;O'!$G:$G,MATCH(N263&amp;R263,'Tarieven W&amp;O'!$B:$B,0)),0)</f>
        <v>0</v>
      </c>
      <c r="AS263" s="205">
        <f>-INDEX(Parameters!$B:$B,MATCH(AS$3,Parameters!$A:$A,0))*(AQ263+AR263)</f>
        <v>0</v>
      </c>
      <c r="AT263" s="205">
        <f>INDEX(hulpblad!$E:$E,MATCH(M263&amp;Q263,hulpblad!$B:$B,0))</f>
        <v>2</v>
      </c>
      <c r="AU263" s="150">
        <f t="shared" si="132"/>
        <v>65.7</v>
      </c>
      <c r="AV263" s="150">
        <f t="shared" si="133"/>
        <v>66.394444444444446</v>
      </c>
      <c r="AX263" s="526">
        <f>Parameters!$B$6*AV263</f>
        <v>0.66394444444444445</v>
      </c>
      <c r="AY263" s="150">
        <v>0</v>
      </c>
      <c r="AZ263" s="150"/>
      <c r="BA263" s="150">
        <f t="shared" si="134"/>
        <v>0.66394444444444445</v>
      </c>
      <c r="BB263" s="150"/>
      <c r="BC263" s="522">
        <f t="shared" si="135"/>
        <v>67.058388888888885</v>
      </c>
      <c r="BD263" s="175"/>
      <c r="BE263" s="527">
        <f t="shared" si="136"/>
        <v>960.71938888888894</v>
      </c>
      <c r="BF263" s="181">
        <f t="shared" si="137"/>
        <v>0.93475399999999997</v>
      </c>
      <c r="BG263" s="520" t="b">
        <f t="shared" si="138"/>
        <v>0</v>
      </c>
      <c r="BI263" s="528" t="s">
        <v>2181</v>
      </c>
      <c r="BL263" s="151" t="str">
        <f t="shared" si="139"/>
        <v>EoKMetro - Nationaal</v>
      </c>
      <c r="BM263" s="529">
        <v>0</v>
      </c>
      <c r="BN263" s="180">
        <f>BM263/INDEX(Parameters!$B:$B,MATCH("AfschrijftermijnVVE"&amp;12*$C263,Parameters!$A:$A,0))</f>
        <v>0</v>
      </c>
      <c r="BO263" s="184">
        <f>INDEX('inkoop ULL tbv EVPN'!I:I,MATCH(BL263,'inkoop ULL tbv EVPN'!H:H,0))</f>
        <v>2</v>
      </c>
      <c r="BP263" s="184">
        <f t="shared" si="140"/>
        <v>2</v>
      </c>
      <c r="BR263" s="180">
        <f>Parameters!$B$12*AG263</f>
        <v>102.77777777777779</v>
      </c>
      <c r="BS263" s="180">
        <f>SUM(Distributievergoedingen!$F$12,Distributievergoedingen!$I$12,Distributievergoedingen!$L$12,Distributievergoedingen!$O$12)*AF263+SUM(Distributievergoedingen!$O$12*AA263+Distributievergoedingen!$R$12+Distributievergoedingen!$U$12+Distributievergoedingen!$X$12)/(MAX(36,12*C263))</f>
        <v>112.77777777777777</v>
      </c>
      <c r="BT263" s="150"/>
      <c r="BU263" s="150">
        <f t="shared" si="141"/>
        <v>215.55555555555554</v>
      </c>
      <c r="BW263" s="522">
        <f t="shared" si="142"/>
        <v>217.55555555555554</v>
      </c>
      <c r="BY263" s="527">
        <f t="shared" si="143"/>
        <v>810.22222222222229</v>
      </c>
      <c r="BZ263" s="181">
        <f t="shared" si="144"/>
        <v>0.78832432432432431</v>
      </c>
      <c r="CA263" s="520" t="b">
        <f t="shared" si="145"/>
        <v>0</v>
      </c>
    </row>
    <row r="264" spans="1:79" s="151" customFormat="1">
      <c r="A264" s="151" t="str">
        <f t="shared" si="124"/>
        <v>3EoKEntryRegionaal100</v>
      </c>
      <c r="B264" s="520" t="str">
        <f t="shared" si="146"/>
        <v>3EoKEntryRegionaal100</v>
      </c>
      <c r="C264" s="179">
        <v>3</v>
      </c>
      <c r="D264" s="179" t="s">
        <v>303</v>
      </c>
      <c r="E264" s="178" t="s">
        <v>45</v>
      </c>
      <c r="F264" s="178" t="s">
        <v>265</v>
      </c>
      <c r="G264" s="185" t="s">
        <v>418</v>
      </c>
      <c r="J264" s="520" t="str">
        <f t="shared" si="125"/>
        <v>EntryRegionaal100</v>
      </c>
      <c r="L264" s="204">
        <f>INDEX(Mapping!$H:$H,MATCH(C$3&amp;C264,Mapping!$B:$B,0))</f>
        <v>1</v>
      </c>
      <c r="M264" s="204" t="str">
        <f>INDEX(Mapping!$H:$H,MATCH(D$3&amp;$D264,Mapping!$B:$B,0))</f>
        <v>EoK</v>
      </c>
      <c r="N264" s="204" t="str">
        <f>INDEX(Mapping!$H:$H,MATCH(E$3&amp;E264,Mapping!$B:$B,0))</f>
        <v>Lite</v>
      </c>
      <c r="O264" s="204" t="str">
        <f>INDEX(Mapping!$H:$H,MATCH(F$3&amp;F264,Mapping!$B:$B,0))</f>
        <v>Metro</v>
      </c>
      <c r="P264" s="204">
        <f>INDEX(Mapping!$H:$H,MATCH(G$3&amp;G264,Mapping!$B:$B,0))</f>
        <v>100</v>
      </c>
      <c r="Q264" s="204" t="str">
        <f>INDEX(Mapping!$H:$H,MATCH(Q$3&amp;$F264,Mapping!$B:$B,0))</f>
        <v>Metro - Nationaal</v>
      </c>
      <c r="R264" s="204" t="str">
        <f>INDEX(Mapping!$H:$H,MATCH("ZM VPN Service Level"&amp;E264,Mapping!$B:$B,0))</f>
        <v>Advanced</v>
      </c>
      <c r="S264" s="139" t="b">
        <f>IF($D264="EoK",INDEX(Mapping!$I:$I,MATCH($G$3&amp;$G264,Mapping!B:B,0)),FALSE)</f>
        <v>0</v>
      </c>
      <c r="T264" s="139"/>
      <c r="U264" s="520" t="str">
        <f t="shared" si="126"/>
        <v>LiteMetro100</v>
      </c>
      <c r="W264" s="521">
        <f>MATCH($J264,'Tarieven ZM'!$B:$B,0)</f>
        <v>40</v>
      </c>
      <c r="X264" s="204">
        <f>INDEX('Tarieven ZM'!$H:$H,$W264)</f>
        <v>1000</v>
      </c>
      <c r="Y264" s="198">
        <f>-INDEX(Parameters!$B:$B,MATCH(Y$3&amp;$C264,Parameters!$A:$A,0))*$X264</f>
        <v>0</v>
      </c>
      <c r="Z264" s="198">
        <f>-INDEX(Parameters!$B:$B,MATCH(Z$3&amp;$C264,Parameters!$A:$A,0))*$X264</f>
        <v>0</v>
      </c>
      <c r="AA264" s="139">
        <f t="shared" si="127"/>
        <v>1000</v>
      </c>
      <c r="AB264" s="205">
        <f>AA264/INDEX(Parameters!$B:$B,MATCH("AfschrijftermijnVVE"&amp;12*$C264,Parameters!$A:$A,0))</f>
        <v>27.777777777777779</v>
      </c>
      <c r="AC264" s="204">
        <f>INDEX('Tarieven ZM'!$G:$G,$W264)</f>
        <v>1000</v>
      </c>
      <c r="AD264" s="198">
        <f>-INDEX(Parameters!$B:$B,MATCH(AD$3&amp;$C264,Parameters!$A:$A,0))*$AC264</f>
        <v>0</v>
      </c>
      <c r="AE264" s="198">
        <f>-INDEX(Parameters!$B:$B,MATCH(AE$3,Parameters!$A:$A,0))*$AC264</f>
        <v>0</v>
      </c>
      <c r="AF264" s="139">
        <f t="shared" si="128"/>
        <v>1000</v>
      </c>
      <c r="AG264" s="522">
        <f t="shared" si="129"/>
        <v>1027.7777777777778</v>
      </c>
      <c r="AH264" s="175"/>
      <c r="AI264" s="523">
        <f>MATCH($U264,'Tarieven W&amp;O'!$B:$B,0)</f>
        <v>49</v>
      </c>
      <c r="AJ264" s="204">
        <f>IF(AI264&lt;&gt;"nvt",INDEX('Tarieven W&amp;O'!$H:$H,$AI264),0)</f>
        <v>0</v>
      </c>
      <c r="AK264" s="204">
        <f>IF(AI264&lt;&gt;"nvt",INDEX('Tarieven W&amp;O'!$I:$I,$AI264),0)</f>
        <v>25</v>
      </c>
      <c r="AL264" s="524">
        <f>IF(AI264&lt;&gt;"nvt",-INDEX(Parameters!$B:$B,MATCH(AL$3,Parameters!$A:$A,0))*(AJ264+AK264),0)</f>
        <v>0</v>
      </c>
      <c r="AM264" s="525"/>
      <c r="AN264" s="139">
        <f t="shared" si="130"/>
        <v>25</v>
      </c>
      <c r="AO264" s="205">
        <f>AN264/INDEX(Parameters!$B:$B,MATCH("AfschrijftermijnVVE"&amp;12*$C264,Parameters!$A:$A,0))</f>
        <v>0.69444444444444442</v>
      </c>
      <c r="AP264" s="139">
        <f t="shared" si="131"/>
        <v>49</v>
      </c>
      <c r="AQ264" s="526">
        <f>IF(AP264&lt;&gt;"nvt",INDEX('Tarieven W&amp;O'!$G:$G,$AP264),0)</f>
        <v>71.239999999999995</v>
      </c>
      <c r="AR264" s="251">
        <f>IF($S264,INDEX('Tarieven W&amp;O'!$G:$G,MATCH(N264&amp;R264,'Tarieven W&amp;O'!$B:$B,0)),0)</f>
        <v>0</v>
      </c>
      <c r="AS264" s="205">
        <f>-INDEX(Parameters!$B:$B,MATCH(AS$3,Parameters!$A:$A,0))*(AQ264+AR264)</f>
        <v>0</v>
      </c>
      <c r="AT264" s="205">
        <f>INDEX(hulpblad!$E:$E,MATCH(M264&amp;Q264,hulpblad!$B:$B,0))</f>
        <v>2</v>
      </c>
      <c r="AU264" s="150">
        <f t="shared" si="132"/>
        <v>73.239999999999995</v>
      </c>
      <c r="AV264" s="150">
        <f t="shared" si="133"/>
        <v>73.934444444444438</v>
      </c>
      <c r="AX264" s="526">
        <f>Parameters!$B$6*AV264</f>
        <v>0.73934444444444436</v>
      </c>
      <c r="AY264" s="150">
        <v>0</v>
      </c>
      <c r="AZ264" s="150"/>
      <c r="BA264" s="150">
        <f t="shared" si="134"/>
        <v>0.73934444444444436</v>
      </c>
      <c r="BB264" s="150"/>
      <c r="BC264" s="522">
        <f t="shared" si="135"/>
        <v>74.673788888888879</v>
      </c>
      <c r="BD264" s="175"/>
      <c r="BE264" s="527">
        <f t="shared" si="136"/>
        <v>953.10398888888892</v>
      </c>
      <c r="BF264" s="181">
        <f t="shared" si="137"/>
        <v>0.92734442162162156</v>
      </c>
      <c r="BG264" s="520" t="b">
        <f t="shared" si="138"/>
        <v>0</v>
      </c>
      <c r="BI264" s="528" t="s">
        <v>2181</v>
      </c>
      <c r="BL264" s="151" t="str">
        <f t="shared" si="139"/>
        <v>EoKMetro - Nationaal</v>
      </c>
      <c r="BM264" s="529">
        <v>0</v>
      </c>
      <c r="BN264" s="180">
        <f>BM264/INDEX(Parameters!$B:$B,MATCH("AfschrijftermijnVVE"&amp;12*$C264,Parameters!$A:$A,0))</f>
        <v>0</v>
      </c>
      <c r="BO264" s="184">
        <f>INDEX('inkoop ULL tbv EVPN'!I:I,MATCH(BL264,'inkoop ULL tbv EVPN'!H:H,0))</f>
        <v>2</v>
      </c>
      <c r="BP264" s="184">
        <f t="shared" si="140"/>
        <v>2</v>
      </c>
      <c r="BR264" s="180">
        <f>Parameters!$B$12*AG264</f>
        <v>102.77777777777779</v>
      </c>
      <c r="BS264" s="180">
        <f>SUM(Distributievergoedingen!$F$12,Distributievergoedingen!$I$12,Distributievergoedingen!$L$12,Distributievergoedingen!$O$12)*AF264+SUM(Distributievergoedingen!$O$12*AA264+Distributievergoedingen!$R$12+Distributievergoedingen!$U$12+Distributievergoedingen!$X$12)/(MAX(36,12*C264))</f>
        <v>112.77777777777777</v>
      </c>
      <c r="BT264" s="150"/>
      <c r="BU264" s="150">
        <f t="shared" si="141"/>
        <v>215.55555555555554</v>
      </c>
      <c r="BW264" s="522">
        <f t="shared" si="142"/>
        <v>217.55555555555554</v>
      </c>
      <c r="BY264" s="527">
        <f t="shared" si="143"/>
        <v>810.22222222222229</v>
      </c>
      <c r="BZ264" s="181">
        <f t="shared" si="144"/>
        <v>0.78832432432432431</v>
      </c>
      <c r="CA264" s="520" t="b">
        <f t="shared" si="145"/>
        <v>0</v>
      </c>
    </row>
    <row r="265" spans="1:79" s="151" customFormat="1">
      <c r="A265" s="151" t="str">
        <f t="shared" si="124"/>
        <v>3EoKEntryRegionaal200</v>
      </c>
      <c r="B265" s="520" t="str">
        <f t="shared" si="146"/>
        <v>3EoKEntryRegionaal200</v>
      </c>
      <c r="C265" s="179">
        <v>3</v>
      </c>
      <c r="D265" s="179" t="s">
        <v>303</v>
      </c>
      <c r="E265" s="178" t="s">
        <v>45</v>
      </c>
      <c r="F265" s="178" t="s">
        <v>265</v>
      </c>
      <c r="G265" s="185" t="s">
        <v>419</v>
      </c>
      <c r="J265" s="520" t="str">
        <f t="shared" si="125"/>
        <v>EntryRegionaal200</v>
      </c>
      <c r="L265" s="204">
        <f>INDEX(Mapping!$H:$H,MATCH(C$3&amp;C265,Mapping!$B:$B,0))</f>
        <v>1</v>
      </c>
      <c r="M265" s="204" t="str">
        <f>INDEX(Mapping!$H:$H,MATCH(D$3&amp;$D265,Mapping!$B:$B,0))</f>
        <v>EoK</v>
      </c>
      <c r="N265" s="204" t="str">
        <f>INDEX(Mapping!$H:$H,MATCH(E$3&amp;E265,Mapping!$B:$B,0))</f>
        <v>Lite</v>
      </c>
      <c r="O265" s="204" t="str">
        <f>INDEX(Mapping!$H:$H,MATCH(F$3&amp;F265,Mapping!$B:$B,0))</f>
        <v>Metro</v>
      </c>
      <c r="P265" s="204">
        <f>INDEX(Mapping!$H:$H,MATCH(G$3&amp;G265,Mapping!$B:$B,0))</f>
        <v>200</v>
      </c>
      <c r="Q265" s="204" t="str">
        <f>INDEX(Mapping!$H:$H,MATCH(Q$3&amp;$F265,Mapping!$B:$B,0))</f>
        <v>Metro - Nationaal</v>
      </c>
      <c r="R265" s="204" t="str">
        <f>INDEX(Mapping!$H:$H,MATCH("ZM VPN Service Level"&amp;E265,Mapping!$B:$B,0))</f>
        <v>Advanced</v>
      </c>
      <c r="S265" s="139" t="b">
        <f>IF($D265="EoK",INDEX(Mapping!$I:$I,MATCH($G$3&amp;$G265,Mapping!B:B,0)),FALSE)</f>
        <v>0</v>
      </c>
      <c r="T265" s="139"/>
      <c r="U265" s="520" t="str">
        <f t="shared" si="126"/>
        <v>LiteMetro200</v>
      </c>
      <c r="W265" s="521">
        <f>MATCH($J265,'Tarieven ZM'!$B:$B,0)</f>
        <v>41</v>
      </c>
      <c r="X265" s="204">
        <f>INDEX('Tarieven ZM'!$H:$H,$W265)</f>
        <v>1000</v>
      </c>
      <c r="Y265" s="198">
        <f>-INDEX(Parameters!$B:$B,MATCH(Y$3&amp;$C265,Parameters!$A:$A,0))*$X265</f>
        <v>0</v>
      </c>
      <c r="Z265" s="198">
        <f>-INDEX(Parameters!$B:$B,MATCH(Z$3&amp;$C265,Parameters!$A:$A,0))*$X265</f>
        <v>0</v>
      </c>
      <c r="AA265" s="139">
        <f t="shared" si="127"/>
        <v>1000</v>
      </c>
      <c r="AB265" s="205">
        <f>AA265/INDEX(Parameters!$B:$B,MATCH("AfschrijftermijnVVE"&amp;12*$C265,Parameters!$A:$A,0))</f>
        <v>27.777777777777779</v>
      </c>
      <c r="AC265" s="204">
        <f>INDEX('Tarieven ZM'!$G:$G,$W265)</f>
        <v>1000</v>
      </c>
      <c r="AD265" s="198">
        <f>-INDEX(Parameters!$B:$B,MATCH(AD$3&amp;$C265,Parameters!$A:$A,0))*$AC265</f>
        <v>0</v>
      </c>
      <c r="AE265" s="198">
        <f>-INDEX(Parameters!$B:$B,MATCH(AE$3,Parameters!$A:$A,0))*$AC265</f>
        <v>0</v>
      </c>
      <c r="AF265" s="139">
        <f t="shared" si="128"/>
        <v>1000</v>
      </c>
      <c r="AG265" s="522">
        <f t="shared" si="129"/>
        <v>1027.7777777777778</v>
      </c>
      <c r="AH265" s="175"/>
      <c r="AI265" s="523">
        <f>MATCH($U265,'Tarieven W&amp;O'!$B:$B,0)</f>
        <v>50</v>
      </c>
      <c r="AJ265" s="204">
        <f>IF(AI265&lt;&gt;"nvt",INDEX('Tarieven W&amp;O'!$H:$H,$AI265),0)</f>
        <v>0</v>
      </c>
      <c r="AK265" s="204">
        <f>IF(AI265&lt;&gt;"nvt",INDEX('Tarieven W&amp;O'!$I:$I,$AI265),0)</f>
        <v>25</v>
      </c>
      <c r="AL265" s="524">
        <f>IF(AI265&lt;&gt;"nvt",-INDEX(Parameters!$B:$B,MATCH(AL$3,Parameters!$A:$A,0))*(AJ265+AK265),0)</f>
        <v>0</v>
      </c>
      <c r="AM265" s="525"/>
      <c r="AN265" s="139">
        <f t="shared" si="130"/>
        <v>25</v>
      </c>
      <c r="AO265" s="205">
        <f>AN265/INDEX(Parameters!$B:$B,MATCH("AfschrijftermijnVVE"&amp;12*$C265,Parameters!$A:$A,0))</f>
        <v>0.69444444444444442</v>
      </c>
      <c r="AP265" s="139">
        <f t="shared" si="131"/>
        <v>50</v>
      </c>
      <c r="AQ265" s="526">
        <f>IF(AP265&lt;&gt;"nvt",INDEX('Tarieven W&amp;O'!$G:$G,$AP265),0)</f>
        <v>108.93</v>
      </c>
      <c r="AR265" s="251">
        <f>IF($S265,INDEX('Tarieven W&amp;O'!$G:$G,MATCH(N265&amp;R265,'Tarieven W&amp;O'!$B:$B,0)),0)</f>
        <v>0</v>
      </c>
      <c r="AS265" s="205">
        <f>-INDEX(Parameters!$B:$B,MATCH(AS$3,Parameters!$A:$A,0))*(AQ265+AR265)</f>
        <v>0</v>
      </c>
      <c r="AT265" s="205">
        <f>INDEX(hulpblad!$E:$E,MATCH(M265&amp;Q265,hulpblad!$B:$B,0))</f>
        <v>2</v>
      </c>
      <c r="AU265" s="150">
        <f t="shared" si="132"/>
        <v>110.93</v>
      </c>
      <c r="AV265" s="150">
        <f t="shared" si="133"/>
        <v>111.62444444444445</v>
      </c>
      <c r="AX265" s="526">
        <f>Parameters!$B$6*AV265</f>
        <v>1.1162444444444446</v>
      </c>
      <c r="AY265" s="150">
        <v>0</v>
      </c>
      <c r="AZ265" s="150"/>
      <c r="BA265" s="150">
        <f t="shared" si="134"/>
        <v>1.1162444444444446</v>
      </c>
      <c r="BB265" s="150"/>
      <c r="BC265" s="522">
        <f t="shared" si="135"/>
        <v>112.7406888888889</v>
      </c>
      <c r="BD265" s="175"/>
      <c r="BE265" s="527">
        <f t="shared" si="136"/>
        <v>915.03708888888889</v>
      </c>
      <c r="BF265" s="181">
        <f t="shared" si="137"/>
        <v>0.89030635675675673</v>
      </c>
      <c r="BG265" s="520" t="b">
        <f t="shared" si="138"/>
        <v>0</v>
      </c>
      <c r="BI265" s="528" t="s">
        <v>2181</v>
      </c>
      <c r="BL265" s="151" t="str">
        <f t="shared" si="139"/>
        <v>EoKMetro - Nationaal</v>
      </c>
      <c r="BM265" s="529">
        <v>0</v>
      </c>
      <c r="BN265" s="180">
        <f>BM265/INDEX(Parameters!$B:$B,MATCH("AfschrijftermijnVVE"&amp;12*$C265,Parameters!$A:$A,0))</f>
        <v>0</v>
      </c>
      <c r="BO265" s="184">
        <f>INDEX('inkoop ULL tbv EVPN'!I:I,MATCH(BL265,'inkoop ULL tbv EVPN'!H:H,0))</f>
        <v>2</v>
      </c>
      <c r="BP265" s="184">
        <f t="shared" si="140"/>
        <v>2</v>
      </c>
      <c r="BR265" s="180">
        <f>Parameters!$B$12*AG265</f>
        <v>102.77777777777779</v>
      </c>
      <c r="BS265" s="180">
        <f>SUM(Distributievergoedingen!$F$12,Distributievergoedingen!$I$12,Distributievergoedingen!$L$12,Distributievergoedingen!$O$12)*AF265+SUM(Distributievergoedingen!$O$12*AA265+Distributievergoedingen!$R$12+Distributievergoedingen!$U$12+Distributievergoedingen!$X$12)/(MAX(36,12*C265))</f>
        <v>112.77777777777777</v>
      </c>
      <c r="BT265" s="150"/>
      <c r="BU265" s="150">
        <f t="shared" si="141"/>
        <v>215.55555555555554</v>
      </c>
      <c r="BW265" s="522">
        <f t="shared" si="142"/>
        <v>217.55555555555554</v>
      </c>
      <c r="BY265" s="527">
        <f t="shared" si="143"/>
        <v>810.22222222222229</v>
      </c>
      <c r="BZ265" s="181">
        <f t="shared" si="144"/>
        <v>0.78832432432432431</v>
      </c>
      <c r="CA265" s="520" t="b">
        <f t="shared" si="145"/>
        <v>0</v>
      </c>
    </row>
    <row r="266" spans="1:79" s="151" customFormat="1">
      <c r="A266" s="151" t="str">
        <f t="shared" si="124"/>
        <v>3EoKEntryRegionaal300</v>
      </c>
      <c r="B266" s="520" t="str">
        <f t="shared" si="146"/>
        <v>3EoKEntryRegionaal300</v>
      </c>
      <c r="C266" s="179">
        <v>3</v>
      </c>
      <c r="D266" s="179" t="s">
        <v>303</v>
      </c>
      <c r="E266" s="178" t="s">
        <v>45</v>
      </c>
      <c r="F266" s="178" t="s">
        <v>265</v>
      </c>
      <c r="G266" s="185" t="s">
        <v>420</v>
      </c>
      <c r="J266" s="520" t="str">
        <f t="shared" si="125"/>
        <v>EntryRegionaal300</v>
      </c>
      <c r="L266" s="204">
        <f>INDEX(Mapping!$H:$H,MATCH(C$3&amp;C266,Mapping!$B:$B,0))</f>
        <v>1</v>
      </c>
      <c r="M266" s="204" t="str">
        <f>INDEX(Mapping!$H:$H,MATCH(D$3&amp;$D266,Mapping!$B:$B,0))</f>
        <v>EoK</v>
      </c>
      <c r="N266" s="204" t="str">
        <f>INDEX(Mapping!$H:$H,MATCH(E$3&amp;E266,Mapping!$B:$B,0))</f>
        <v>Lite</v>
      </c>
      <c r="O266" s="204" t="str">
        <f>INDEX(Mapping!$H:$H,MATCH(F$3&amp;F266,Mapping!$B:$B,0))</f>
        <v>Metro</v>
      </c>
      <c r="P266" s="204">
        <f>INDEX(Mapping!$H:$H,MATCH(G$3&amp;G266,Mapping!$B:$B,0))</f>
        <v>300</v>
      </c>
      <c r="Q266" s="204" t="str">
        <f>INDEX(Mapping!$H:$H,MATCH(Q$3&amp;$F266,Mapping!$B:$B,0))</f>
        <v>Metro - Nationaal</v>
      </c>
      <c r="R266" s="204" t="str">
        <f>INDEX(Mapping!$H:$H,MATCH("ZM VPN Service Level"&amp;E266,Mapping!$B:$B,0))</f>
        <v>Advanced</v>
      </c>
      <c r="S266" s="139" t="b">
        <f>IF($D266="EoK",INDEX(Mapping!$I:$I,MATCH($G$3&amp;$G266,Mapping!B:B,0)),FALSE)</f>
        <v>0</v>
      </c>
      <c r="T266" s="139"/>
      <c r="U266" s="520" t="str">
        <f t="shared" si="126"/>
        <v>LiteMetro300</v>
      </c>
      <c r="W266" s="521">
        <f>MATCH($J266,'Tarieven ZM'!$B:$B,0)</f>
        <v>42</v>
      </c>
      <c r="X266" s="204">
        <f>INDEX('Tarieven ZM'!$H:$H,$W266)</f>
        <v>1000</v>
      </c>
      <c r="Y266" s="198">
        <f>-INDEX(Parameters!$B:$B,MATCH(Y$3&amp;$C266,Parameters!$A:$A,0))*$X266</f>
        <v>0</v>
      </c>
      <c r="Z266" s="198">
        <f>-INDEX(Parameters!$B:$B,MATCH(Z$3&amp;$C266,Parameters!$A:$A,0))*$X266</f>
        <v>0</v>
      </c>
      <c r="AA266" s="139">
        <f t="shared" si="127"/>
        <v>1000</v>
      </c>
      <c r="AB266" s="205">
        <f>AA266/INDEX(Parameters!$B:$B,MATCH("AfschrijftermijnVVE"&amp;12*$C266,Parameters!$A:$A,0))</f>
        <v>27.777777777777779</v>
      </c>
      <c r="AC266" s="204">
        <f>INDEX('Tarieven ZM'!$G:$G,$W266)</f>
        <v>1000</v>
      </c>
      <c r="AD266" s="198">
        <f>-INDEX(Parameters!$B:$B,MATCH(AD$3&amp;$C266,Parameters!$A:$A,0))*$AC266</f>
        <v>0</v>
      </c>
      <c r="AE266" s="198">
        <f>-INDEX(Parameters!$B:$B,MATCH(AE$3,Parameters!$A:$A,0))*$AC266</f>
        <v>0</v>
      </c>
      <c r="AF266" s="139">
        <f t="shared" si="128"/>
        <v>1000</v>
      </c>
      <c r="AG266" s="522">
        <f t="shared" si="129"/>
        <v>1027.7777777777778</v>
      </c>
      <c r="AH266" s="175"/>
      <c r="AI266" s="523">
        <f>MATCH($U266,'Tarieven W&amp;O'!$B:$B,0)</f>
        <v>51</v>
      </c>
      <c r="AJ266" s="204">
        <f>IF(AI266&lt;&gt;"nvt",INDEX('Tarieven W&amp;O'!$H:$H,$AI266),0)</f>
        <v>0</v>
      </c>
      <c r="AK266" s="204">
        <f>IF(AI266&lt;&gt;"nvt",INDEX('Tarieven W&amp;O'!$I:$I,$AI266),0)</f>
        <v>25</v>
      </c>
      <c r="AL266" s="524">
        <f>IF(AI266&lt;&gt;"nvt",-INDEX(Parameters!$B:$B,MATCH(AL$3,Parameters!$A:$A,0))*(AJ266+AK266),0)</f>
        <v>0</v>
      </c>
      <c r="AM266" s="525"/>
      <c r="AN266" s="139">
        <f t="shared" si="130"/>
        <v>25</v>
      </c>
      <c r="AO266" s="205">
        <f>AN266/INDEX(Parameters!$B:$B,MATCH("AfschrijftermijnVVE"&amp;12*$C266,Parameters!$A:$A,0))</f>
        <v>0.69444444444444442</v>
      </c>
      <c r="AP266" s="139">
        <f t="shared" si="131"/>
        <v>51</v>
      </c>
      <c r="AQ266" s="526">
        <f>IF(AP266&lt;&gt;"nvt",INDEX('Tarieven W&amp;O'!$G:$G,$AP266),0)</f>
        <v>127.77</v>
      </c>
      <c r="AR266" s="251">
        <f>IF($S266,INDEX('Tarieven W&amp;O'!$G:$G,MATCH(N266&amp;R266,'Tarieven W&amp;O'!$B:$B,0)),0)</f>
        <v>0</v>
      </c>
      <c r="AS266" s="205">
        <f>-INDEX(Parameters!$B:$B,MATCH(AS$3,Parameters!$A:$A,0))*(AQ266+AR266)</f>
        <v>0</v>
      </c>
      <c r="AT266" s="205">
        <f>INDEX(hulpblad!$E:$E,MATCH(M266&amp;Q266,hulpblad!$B:$B,0))</f>
        <v>2</v>
      </c>
      <c r="AU266" s="150">
        <f t="shared" ref="AU266:AU329" si="147">SUM(AQ266:AT266)</f>
        <v>129.76999999999998</v>
      </c>
      <c r="AV266" s="150">
        <f t="shared" ref="AV266:AV329" si="148">SUM(AO266,AU266)</f>
        <v>130.46444444444444</v>
      </c>
      <c r="AX266" s="526">
        <f>Parameters!$B$6*AV266</f>
        <v>1.3046444444444445</v>
      </c>
      <c r="AY266" s="150">
        <v>0</v>
      </c>
      <c r="AZ266" s="150"/>
      <c r="BA266" s="150">
        <f t="shared" si="134"/>
        <v>1.3046444444444445</v>
      </c>
      <c r="BB266" s="150"/>
      <c r="BC266" s="522">
        <f t="shared" si="135"/>
        <v>131.76908888888889</v>
      </c>
      <c r="BD266" s="175"/>
      <c r="BE266" s="527">
        <f t="shared" ref="BE266:BE329" si="149">AG266-BC266</f>
        <v>896.00868888888897</v>
      </c>
      <c r="BF266" s="181">
        <f t="shared" ref="BF266:BF329" si="150">IF(AG266=0,-999%,BE266/AG266)</f>
        <v>0.87179223783783788</v>
      </c>
      <c r="BG266" s="520" t="b">
        <f t="shared" si="138"/>
        <v>0</v>
      </c>
      <c r="BI266" s="528" t="s">
        <v>2181</v>
      </c>
      <c r="BL266" s="151" t="str">
        <f t="shared" si="139"/>
        <v>EoKMetro - Nationaal</v>
      </c>
      <c r="BM266" s="529">
        <v>0</v>
      </c>
      <c r="BN266" s="180">
        <f>BM266/INDEX(Parameters!$B:$B,MATCH("AfschrijftermijnVVE"&amp;12*$C266,Parameters!$A:$A,0))</f>
        <v>0</v>
      </c>
      <c r="BO266" s="184">
        <f>INDEX('inkoop ULL tbv EVPN'!I:I,MATCH(BL266,'inkoop ULL tbv EVPN'!H:H,0))</f>
        <v>2</v>
      </c>
      <c r="BP266" s="184">
        <f t="shared" si="140"/>
        <v>2</v>
      </c>
      <c r="BR266" s="180">
        <f>Parameters!$B$12*AG266</f>
        <v>102.77777777777779</v>
      </c>
      <c r="BS266" s="180">
        <f>SUM(Distributievergoedingen!$F$12,Distributievergoedingen!$I$12,Distributievergoedingen!$L$12,Distributievergoedingen!$O$12)*AF266+SUM(Distributievergoedingen!$O$12*AA266+Distributievergoedingen!$R$12+Distributievergoedingen!$U$12+Distributievergoedingen!$X$12)/(MAX(36,12*C266))</f>
        <v>112.77777777777777</v>
      </c>
      <c r="BT266" s="150"/>
      <c r="BU266" s="150">
        <f t="shared" si="141"/>
        <v>215.55555555555554</v>
      </c>
      <c r="BW266" s="522">
        <f t="shared" si="142"/>
        <v>217.55555555555554</v>
      </c>
      <c r="BY266" s="527">
        <f t="shared" si="143"/>
        <v>810.22222222222229</v>
      </c>
      <c r="BZ266" s="181">
        <f t="shared" si="144"/>
        <v>0.78832432432432431</v>
      </c>
      <c r="CA266" s="520" t="b">
        <f t="shared" si="145"/>
        <v>0</v>
      </c>
    </row>
    <row r="267" spans="1:79" s="151" customFormat="1">
      <c r="A267" s="151" t="str">
        <f t="shared" ref="A267:A330" si="151">C267&amp;D267&amp;E267&amp;F267&amp;G267&amp;H267</f>
        <v>3EoKEntryRegionaal500</v>
      </c>
      <c r="B267" s="520" t="str">
        <f t="shared" si="146"/>
        <v>3EoKEntryRegionaal500</v>
      </c>
      <c r="C267" s="179">
        <v>3</v>
      </c>
      <c r="D267" s="179" t="s">
        <v>303</v>
      </c>
      <c r="E267" s="178" t="s">
        <v>45</v>
      </c>
      <c r="F267" s="178" t="s">
        <v>265</v>
      </c>
      <c r="G267" s="185" t="s">
        <v>421</v>
      </c>
      <c r="J267" s="520" t="str">
        <f t="shared" si="125"/>
        <v>EntryRegionaal500</v>
      </c>
      <c r="L267" s="204">
        <f>INDEX(Mapping!$H:$H,MATCH(C$3&amp;C267,Mapping!$B:$B,0))</f>
        <v>1</v>
      </c>
      <c r="M267" s="204" t="str">
        <f>INDEX(Mapping!$H:$H,MATCH(D$3&amp;$D267,Mapping!$B:$B,0))</f>
        <v>EoK</v>
      </c>
      <c r="N267" s="204" t="str">
        <f>INDEX(Mapping!$H:$H,MATCH(E$3&amp;E267,Mapping!$B:$B,0))</f>
        <v>Lite</v>
      </c>
      <c r="O267" s="204" t="str">
        <f>INDEX(Mapping!$H:$H,MATCH(F$3&amp;F267,Mapping!$B:$B,0))</f>
        <v>Metro</v>
      </c>
      <c r="P267" s="204">
        <f>INDEX(Mapping!$H:$H,MATCH(G$3&amp;G267,Mapping!$B:$B,0))</f>
        <v>500</v>
      </c>
      <c r="Q267" s="204" t="str">
        <f>INDEX(Mapping!$H:$H,MATCH(Q$3&amp;$F267,Mapping!$B:$B,0))</f>
        <v>Metro - Nationaal</v>
      </c>
      <c r="R267" s="204" t="str">
        <f>INDEX(Mapping!$H:$H,MATCH("ZM VPN Service Level"&amp;E267,Mapping!$B:$B,0))</f>
        <v>Advanced</v>
      </c>
      <c r="S267" s="139" t="b">
        <f>IF($D267="EoK",INDEX(Mapping!$I:$I,MATCH($G$3&amp;$G267,Mapping!B:B,0)),FALSE)</f>
        <v>0</v>
      </c>
      <c r="T267" s="139"/>
      <c r="U267" s="520" t="str">
        <f t="shared" si="126"/>
        <v>LiteMetro500</v>
      </c>
      <c r="W267" s="521">
        <f>MATCH($J267,'Tarieven ZM'!$B:$B,0)</f>
        <v>43</v>
      </c>
      <c r="X267" s="204">
        <f>INDEX('Tarieven ZM'!$H:$H,$W267)</f>
        <v>1000</v>
      </c>
      <c r="Y267" s="198">
        <f>-INDEX(Parameters!$B:$B,MATCH(Y$3&amp;$C267,Parameters!$A:$A,0))*$X267</f>
        <v>0</v>
      </c>
      <c r="Z267" s="198">
        <f>-INDEX(Parameters!$B:$B,MATCH(Z$3&amp;$C267,Parameters!$A:$A,0))*$X267</f>
        <v>0</v>
      </c>
      <c r="AA267" s="139">
        <f t="shared" si="127"/>
        <v>1000</v>
      </c>
      <c r="AB267" s="205">
        <f>AA267/INDEX(Parameters!$B:$B,MATCH("AfschrijftermijnVVE"&amp;12*$C267,Parameters!$A:$A,0))</f>
        <v>27.777777777777779</v>
      </c>
      <c r="AC267" s="204">
        <f>INDEX('Tarieven ZM'!$G:$G,$W267)</f>
        <v>1000</v>
      </c>
      <c r="AD267" s="198">
        <f>-INDEX(Parameters!$B:$B,MATCH(AD$3&amp;$C267,Parameters!$A:$A,0))*$AC267</f>
        <v>0</v>
      </c>
      <c r="AE267" s="198">
        <f>-INDEX(Parameters!$B:$B,MATCH(AE$3,Parameters!$A:$A,0))*$AC267</f>
        <v>0</v>
      </c>
      <c r="AF267" s="139">
        <f t="shared" si="128"/>
        <v>1000</v>
      </c>
      <c r="AG267" s="522">
        <f t="shared" si="129"/>
        <v>1027.7777777777778</v>
      </c>
      <c r="AH267" s="175"/>
      <c r="AI267" s="523">
        <f>MATCH($U267,'Tarieven W&amp;O'!$B:$B,0)</f>
        <v>52</v>
      </c>
      <c r="AJ267" s="204">
        <f>IF(AI267&lt;&gt;"nvt",INDEX('Tarieven W&amp;O'!$H:$H,$AI267),0)</f>
        <v>0</v>
      </c>
      <c r="AK267" s="204">
        <f>IF(AI267&lt;&gt;"nvt",INDEX('Tarieven W&amp;O'!$I:$I,$AI267),0)</f>
        <v>25</v>
      </c>
      <c r="AL267" s="524">
        <f>IF(AI267&lt;&gt;"nvt",-INDEX(Parameters!$B:$B,MATCH(AL$3,Parameters!$A:$A,0))*(AJ267+AK267),0)</f>
        <v>0</v>
      </c>
      <c r="AM267" s="525"/>
      <c r="AN267" s="139">
        <f t="shared" si="130"/>
        <v>25</v>
      </c>
      <c r="AO267" s="205">
        <f>AN267/INDEX(Parameters!$B:$B,MATCH("AfschrijftermijnVVE"&amp;12*$C267,Parameters!$A:$A,0))</f>
        <v>0.69444444444444442</v>
      </c>
      <c r="AP267" s="139">
        <f t="shared" si="131"/>
        <v>52</v>
      </c>
      <c r="AQ267" s="526">
        <f>IF(AP267&lt;&gt;"nvt",INDEX('Tarieven W&amp;O'!$G:$G,$AP267),0)</f>
        <v>161.69</v>
      </c>
      <c r="AR267" s="251">
        <f>IF($S267,INDEX('Tarieven W&amp;O'!$G:$G,MATCH(N267&amp;R267,'Tarieven W&amp;O'!$B:$B,0)),0)</f>
        <v>0</v>
      </c>
      <c r="AS267" s="205">
        <f>-INDEX(Parameters!$B:$B,MATCH(AS$3,Parameters!$A:$A,0))*(AQ267+AR267)</f>
        <v>0</v>
      </c>
      <c r="AT267" s="205">
        <f>INDEX(hulpblad!$E:$E,MATCH(M267&amp;Q267,hulpblad!$B:$B,0))</f>
        <v>2</v>
      </c>
      <c r="AU267" s="150">
        <f t="shared" si="147"/>
        <v>163.69</v>
      </c>
      <c r="AV267" s="150">
        <f t="shared" si="148"/>
        <v>164.38444444444445</v>
      </c>
      <c r="AX267" s="526">
        <f>Parameters!$B$6*AV267</f>
        <v>1.6438444444444447</v>
      </c>
      <c r="AY267" s="150">
        <v>0</v>
      </c>
      <c r="AZ267" s="150"/>
      <c r="BA267" s="150">
        <f t="shared" si="134"/>
        <v>1.6438444444444447</v>
      </c>
      <c r="BB267" s="150"/>
      <c r="BC267" s="522">
        <f t="shared" si="135"/>
        <v>166.02828888888891</v>
      </c>
      <c r="BD267" s="175"/>
      <c r="BE267" s="527">
        <f t="shared" si="149"/>
        <v>861.74948888888889</v>
      </c>
      <c r="BF267" s="181">
        <f t="shared" si="150"/>
        <v>0.83845896216216209</v>
      </c>
      <c r="BG267" s="520" t="b">
        <f t="shared" si="138"/>
        <v>0</v>
      </c>
      <c r="BI267" s="528" t="s">
        <v>2181</v>
      </c>
      <c r="BL267" s="151" t="str">
        <f t="shared" ref="BL267:BL330" si="152">M267&amp;Q267</f>
        <v>EoKMetro - Nationaal</v>
      </c>
      <c r="BM267" s="529">
        <v>0</v>
      </c>
      <c r="BN267" s="180">
        <f>BM267/INDEX(Parameters!$B:$B,MATCH("AfschrijftermijnVVE"&amp;12*$C267,Parameters!$A:$A,0))</f>
        <v>0</v>
      </c>
      <c r="BO267" s="184">
        <f>INDEX('inkoop ULL tbv EVPN'!I:I,MATCH(BL267,'inkoop ULL tbv EVPN'!H:H,0))</f>
        <v>2</v>
      </c>
      <c r="BP267" s="184">
        <f t="shared" ref="BP267:BP330" si="153">BN267+BO267</f>
        <v>2</v>
      </c>
      <c r="BR267" s="180">
        <f>Parameters!$B$12*AG267</f>
        <v>102.77777777777779</v>
      </c>
      <c r="BS267" s="180">
        <f>SUM(Distributievergoedingen!$F$12,Distributievergoedingen!$I$12,Distributievergoedingen!$L$12,Distributievergoedingen!$O$12)*AF267+SUM(Distributievergoedingen!$O$12*AA267+Distributievergoedingen!$R$12+Distributievergoedingen!$U$12+Distributievergoedingen!$X$12)/(MAX(36,12*C267))</f>
        <v>112.77777777777777</v>
      </c>
      <c r="BT267" s="150"/>
      <c r="BU267" s="150">
        <f t="shared" ref="BU267:BU330" si="154">SUM(BR267:BT267)</f>
        <v>215.55555555555554</v>
      </c>
      <c r="BW267" s="522">
        <f t="shared" ref="BW267:BW330" si="155">SUM(BP267,BU267)</f>
        <v>217.55555555555554</v>
      </c>
      <c r="BY267" s="527">
        <f t="shared" ref="BY267:BY330" si="156">AG267-BW267</f>
        <v>810.22222222222229</v>
      </c>
      <c r="BZ267" s="181">
        <f t="shared" ref="BZ267:BZ330" si="157">IF(AG267=0,-999%,BY267/AG267)</f>
        <v>0.78832432432432431</v>
      </c>
      <c r="CA267" s="520" t="b">
        <f t="shared" ref="CA267:CA330" si="158">BZ267&lt;0</f>
        <v>0</v>
      </c>
    </row>
    <row r="268" spans="1:79" s="151" customFormat="1">
      <c r="A268" s="151" t="str">
        <f t="shared" si="151"/>
        <v>3EoKEntryRegionaal800</v>
      </c>
      <c r="B268" s="520" t="str">
        <f t="shared" si="146"/>
        <v>3EoKEntryRegionaal800</v>
      </c>
      <c r="C268" s="179">
        <v>3</v>
      </c>
      <c r="D268" s="179" t="s">
        <v>303</v>
      </c>
      <c r="E268" s="178" t="s">
        <v>45</v>
      </c>
      <c r="F268" s="178" t="s">
        <v>265</v>
      </c>
      <c r="G268" s="185" t="s">
        <v>422</v>
      </c>
      <c r="J268" s="520" t="str">
        <f t="shared" ref="J268:J331" si="159">E268&amp;F268&amp;G268&amp;H268</f>
        <v>EntryRegionaal800</v>
      </c>
      <c r="L268" s="204">
        <f>INDEX(Mapping!$H:$H,MATCH(C$3&amp;C268,Mapping!$B:$B,0))</f>
        <v>1</v>
      </c>
      <c r="M268" s="204" t="str">
        <f>INDEX(Mapping!$H:$H,MATCH(D$3&amp;$D268,Mapping!$B:$B,0))</f>
        <v>EoK</v>
      </c>
      <c r="N268" s="204" t="str">
        <f>INDEX(Mapping!$H:$H,MATCH(E$3&amp;E268,Mapping!$B:$B,0))</f>
        <v>Lite</v>
      </c>
      <c r="O268" s="204" t="str">
        <f>INDEX(Mapping!$H:$H,MATCH(F$3&amp;F268,Mapping!$B:$B,0))</f>
        <v>Metro</v>
      </c>
      <c r="P268" s="204">
        <f>INDEX(Mapping!$H:$H,MATCH(G$3&amp;G268,Mapping!$B:$B,0))</f>
        <v>800</v>
      </c>
      <c r="Q268" s="204" t="str">
        <f>INDEX(Mapping!$H:$H,MATCH(Q$3&amp;$F268,Mapping!$B:$B,0))</f>
        <v>Metro - Nationaal</v>
      </c>
      <c r="R268" s="204" t="str">
        <f>INDEX(Mapping!$H:$H,MATCH("ZM VPN Service Level"&amp;E268,Mapping!$B:$B,0))</f>
        <v>Advanced</v>
      </c>
      <c r="S268" s="139" t="b">
        <f>IF($D268="EoK",INDEX(Mapping!$I:$I,MATCH($G$3&amp;$G268,Mapping!B:B,0)),FALSE)</f>
        <v>0</v>
      </c>
      <c r="T268" s="139"/>
      <c r="U268" s="520" t="str">
        <f t="shared" ref="U268:U331" si="160">N268&amp;O268&amp;P268</f>
        <v>LiteMetro800</v>
      </c>
      <c r="W268" s="521">
        <f>MATCH($J268,'Tarieven ZM'!$B:$B,0)</f>
        <v>44</v>
      </c>
      <c r="X268" s="204">
        <f>INDEX('Tarieven ZM'!$H:$H,$W268)</f>
        <v>1000</v>
      </c>
      <c r="Y268" s="198">
        <f>-INDEX(Parameters!$B:$B,MATCH(Y$3&amp;$C268,Parameters!$A:$A,0))*$X268</f>
        <v>0</v>
      </c>
      <c r="Z268" s="198">
        <f>-INDEX(Parameters!$B:$B,MATCH(Z$3&amp;$C268,Parameters!$A:$A,0))*$X268</f>
        <v>0</v>
      </c>
      <c r="AA268" s="139">
        <f t="shared" si="127"/>
        <v>1000</v>
      </c>
      <c r="AB268" s="205">
        <f>AA268/INDEX(Parameters!$B:$B,MATCH("AfschrijftermijnVVE"&amp;12*$C268,Parameters!$A:$A,0))</f>
        <v>27.777777777777779</v>
      </c>
      <c r="AC268" s="204">
        <f>INDEX('Tarieven ZM'!$G:$G,$W268)</f>
        <v>1000</v>
      </c>
      <c r="AD268" s="198">
        <f>-INDEX(Parameters!$B:$B,MATCH(AD$3&amp;$C268,Parameters!$A:$A,0))*$AC268</f>
        <v>0</v>
      </c>
      <c r="AE268" s="198">
        <f>-INDEX(Parameters!$B:$B,MATCH(AE$3,Parameters!$A:$A,0))*$AC268</f>
        <v>0</v>
      </c>
      <c r="AF268" s="139">
        <f t="shared" si="128"/>
        <v>1000</v>
      </c>
      <c r="AG268" s="522">
        <f t="shared" si="129"/>
        <v>1027.7777777777778</v>
      </c>
      <c r="AH268" s="175"/>
      <c r="AI268" s="523">
        <f>MATCH($U268,'Tarieven W&amp;O'!$B:$B,0)</f>
        <v>53</v>
      </c>
      <c r="AJ268" s="204">
        <f>IF(AI268&lt;&gt;"nvt",INDEX('Tarieven W&amp;O'!$H:$H,$AI268),0)</f>
        <v>0</v>
      </c>
      <c r="AK268" s="204">
        <f>IF(AI268&lt;&gt;"nvt",INDEX('Tarieven W&amp;O'!$I:$I,$AI268),0)</f>
        <v>25</v>
      </c>
      <c r="AL268" s="524">
        <f>IF(AI268&lt;&gt;"nvt",-INDEX(Parameters!$B:$B,MATCH(AL$3,Parameters!$A:$A,0))*(AJ268+AK268),0)</f>
        <v>0</v>
      </c>
      <c r="AM268" s="525"/>
      <c r="AN268" s="139">
        <f t="shared" si="130"/>
        <v>25</v>
      </c>
      <c r="AO268" s="205">
        <f>AN268/INDEX(Parameters!$B:$B,MATCH("AfschrijftermijnVVE"&amp;12*$C268,Parameters!$A:$A,0))</f>
        <v>0.69444444444444442</v>
      </c>
      <c r="AP268" s="139">
        <f t="shared" si="131"/>
        <v>53</v>
      </c>
      <c r="AQ268" s="526">
        <f>IF(AP268&lt;&gt;"nvt",INDEX('Tarieven W&amp;O'!$G:$G,$AP268),0)</f>
        <v>184.31</v>
      </c>
      <c r="AR268" s="251">
        <f>IF($S268,INDEX('Tarieven W&amp;O'!$G:$G,MATCH(N268&amp;R268,'Tarieven W&amp;O'!$B:$B,0)),0)</f>
        <v>0</v>
      </c>
      <c r="AS268" s="205">
        <f>-INDEX(Parameters!$B:$B,MATCH(AS$3,Parameters!$A:$A,0))*(AQ268+AR268)</f>
        <v>0</v>
      </c>
      <c r="AT268" s="205">
        <f>INDEX(hulpblad!$E:$E,MATCH(M268&amp;Q268,hulpblad!$B:$B,0))</f>
        <v>2</v>
      </c>
      <c r="AU268" s="150">
        <f t="shared" si="147"/>
        <v>186.31</v>
      </c>
      <c r="AV268" s="150">
        <f t="shared" si="148"/>
        <v>187.00444444444446</v>
      </c>
      <c r="AX268" s="526">
        <f>Parameters!$B$6*AV268</f>
        <v>1.8700444444444446</v>
      </c>
      <c r="AY268" s="150">
        <v>0</v>
      </c>
      <c r="AZ268" s="150"/>
      <c r="BA268" s="150">
        <f t="shared" si="134"/>
        <v>1.8700444444444446</v>
      </c>
      <c r="BB268" s="150"/>
      <c r="BC268" s="522">
        <f t="shared" si="135"/>
        <v>188.87448888888889</v>
      </c>
      <c r="BD268" s="175"/>
      <c r="BE268" s="527">
        <f t="shared" si="149"/>
        <v>838.90328888888894</v>
      </c>
      <c r="BF268" s="181">
        <f t="shared" si="150"/>
        <v>0.81623022702702708</v>
      </c>
      <c r="BG268" s="520" t="b">
        <f t="shared" ref="BG268:BG331" si="161">BF268&lt;0</f>
        <v>0</v>
      </c>
      <c r="BI268" s="528" t="s">
        <v>2181</v>
      </c>
      <c r="BL268" s="151" t="str">
        <f t="shared" si="152"/>
        <v>EoKMetro - Nationaal</v>
      </c>
      <c r="BM268" s="529">
        <v>0</v>
      </c>
      <c r="BN268" s="180">
        <f>BM268/INDEX(Parameters!$B:$B,MATCH("AfschrijftermijnVVE"&amp;12*$C268,Parameters!$A:$A,0))</f>
        <v>0</v>
      </c>
      <c r="BO268" s="184">
        <f>INDEX('inkoop ULL tbv EVPN'!I:I,MATCH(BL268,'inkoop ULL tbv EVPN'!H:H,0))</f>
        <v>2</v>
      </c>
      <c r="BP268" s="184">
        <f t="shared" si="153"/>
        <v>2</v>
      </c>
      <c r="BR268" s="180">
        <f>Parameters!$B$12*AG268</f>
        <v>102.77777777777779</v>
      </c>
      <c r="BS268" s="180">
        <f>SUM(Distributievergoedingen!$F$12,Distributievergoedingen!$I$12,Distributievergoedingen!$L$12,Distributievergoedingen!$O$12)*AF268+SUM(Distributievergoedingen!$O$12*AA268+Distributievergoedingen!$R$12+Distributievergoedingen!$U$12+Distributievergoedingen!$X$12)/(MAX(36,12*C268))</f>
        <v>112.77777777777777</v>
      </c>
      <c r="BT268" s="150"/>
      <c r="BU268" s="150">
        <f t="shared" si="154"/>
        <v>215.55555555555554</v>
      </c>
      <c r="BW268" s="522">
        <f t="shared" si="155"/>
        <v>217.55555555555554</v>
      </c>
      <c r="BY268" s="527">
        <f t="shared" si="156"/>
        <v>810.22222222222229</v>
      </c>
      <c r="BZ268" s="181">
        <f t="shared" si="157"/>
        <v>0.78832432432432431</v>
      </c>
      <c r="CA268" s="520" t="b">
        <f t="shared" si="158"/>
        <v>0</v>
      </c>
    </row>
    <row r="269" spans="1:79" s="151" customFormat="1">
      <c r="A269" s="151" t="str">
        <f t="shared" si="151"/>
        <v>3EoKEntryRegionaal1000</v>
      </c>
      <c r="B269" s="520" t="str">
        <f t="shared" si="146"/>
        <v>3EoKEntryRegionaal1000</v>
      </c>
      <c r="C269" s="179">
        <v>3</v>
      </c>
      <c r="D269" s="179" t="s">
        <v>303</v>
      </c>
      <c r="E269" s="178" t="s">
        <v>45</v>
      </c>
      <c r="F269" s="178" t="s">
        <v>265</v>
      </c>
      <c r="G269" s="185" t="s">
        <v>423</v>
      </c>
      <c r="J269" s="520" t="str">
        <f t="shared" si="159"/>
        <v>EntryRegionaal1000</v>
      </c>
      <c r="L269" s="204">
        <f>INDEX(Mapping!$H:$H,MATCH(C$3&amp;C269,Mapping!$B:$B,0))</f>
        <v>1</v>
      </c>
      <c r="M269" s="204" t="str">
        <f>INDEX(Mapping!$H:$H,MATCH(D$3&amp;$D269,Mapping!$B:$B,0))</f>
        <v>EoK</v>
      </c>
      <c r="N269" s="204" t="str">
        <f>INDEX(Mapping!$H:$H,MATCH(E$3&amp;E269,Mapping!$B:$B,0))</f>
        <v>Lite</v>
      </c>
      <c r="O269" s="204" t="str">
        <f>INDEX(Mapping!$H:$H,MATCH(F$3&amp;F269,Mapping!$B:$B,0))</f>
        <v>Metro</v>
      </c>
      <c r="P269" s="204">
        <f>INDEX(Mapping!$H:$H,MATCH(G$3&amp;G269,Mapping!$B:$B,0))</f>
        <v>1000</v>
      </c>
      <c r="Q269" s="204" t="str">
        <f>INDEX(Mapping!$H:$H,MATCH(Q$3&amp;$F269,Mapping!$B:$B,0))</f>
        <v>Metro - Nationaal</v>
      </c>
      <c r="R269" s="204" t="str">
        <f>INDEX(Mapping!$H:$H,MATCH("ZM VPN Service Level"&amp;E269,Mapping!$B:$B,0))</f>
        <v>Advanced</v>
      </c>
      <c r="S269" s="139" t="b">
        <f>IF($D269="EoK",INDEX(Mapping!$I:$I,MATCH($G$3&amp;$G269,Mapping!B:B,0)),FALSE)</f>
        <v>0</v>
      </c>
      <c r="T269" s="139"/>
      <c r="U269" s="520" t="str">
        <f t="shared" si="160"/>
        <v>LiteMetro1000</v>
      </c>
      <c r="W269" s="521">
        <f>MATCH($J269,'Tarieven ZM'!$B:$B,0)</f>
        <v>45</v>
      </c>
      <c r="X269" s="204">
        <f>INDEX('Tarieven ZM'!$H:$H,$W269)</f>
        <v>1000</v>
      </c>
      <c r="Y269" s="198">
        <f>-INDEX(Parameters!$B:$B,MATCH(Y$3&amp;$C269,Parameters!$A:$A,0))*$X269</f>
        <v>0</v>
      </c>
      <c r="Z269" s="198">
        <f>-INDEX(Parameters!$B:$B,MATCH(Z$3&amp;$C269,Parameters!$A:$A,0))*$X269</f>
        <v>0</v>
      </c>
      <c r="AA269" s="139">
        <f t="shared" si="127"/>
        <v>1000</v>
      </c>
      <c r="AB269" s="205">
        <f>AA269/INDEX(Parameters!$B:$B,MATCH("AfschrijftermijnVVE"&amp;12*$C269,Parameters!$A:$A,0))</f>
        <v>27.777777777777779</v>
      </c>
      <c r="AC269" s="204">
        <f>INDEX('Tarieven ZM'!$G:$G,$W269)</f>
        <v>1000</v>
      </c>
      <c r="AD269" s="198">
        <f>-INDEX(Parameters!$B:$B,MATCH(AD$3&amp;$C269,Parameters!$A:$A,0))*$AC269</f>
        <v>0</v>
      </c>
      <c r="AE269" s="198">
        <f>-INDEX(Parameters!$B:$B,MATCH(AE$3,Parameters!$A:$A,0))*$AC269</f>
        <v>0</v>
      </c>
      <c r="AF269" s="139">
        <f t="shared" si="128"/>
        <v>1000</v>
      </c>
      <c r="AG269" s="522">
        <f t="shared" si="129"/>
        <v>1027.7777777777778</v>
      </c>
      <c r="AH269" s="175"/>
      <c r="AI269" s="523">
        <f>MATCH($U269,'Tarieven W&amp;O'!$B:$B,0)</f>
        <v>54</v>
      </c>
      <c r="AJ269" s="204">
        <f>IF(AI269&lt;&gt;"nvt",INDEX('Tarieven W&amp;O'!$H:$H,$AI269),0)</f>
        <v>0</v>
      </c>
      <c r="AK269" s="204">
        <f>IF(AI269&lt;&gt;"nvt",INDEX('Tarieven W&amp;O'!$I:$I,$AI269),0)</f>
        <v>25</v>
      </c>
      <c r="AL269" s="524">
        <f>IF(AI269&lt;&gt;"nvt",-INDEX(Parameters!$B:$B,MATCH(AL$3,Parameters!$A:$A,0))*(AJ269+AK269),0)</f>
        <v>0</v>
      </c>
      <c r="AM269" s="525"/>
      <c r="AN269" s="139">
        <f t="shared" si="130"/>
        <v>25</v>
      </c>
      <c r="AO269" s="205">
        <f>AN269/INDEX(Parameters!$B:$B,MATCH("AfschrijftermijnVVE"&amp;12*$C269,Parameters!$A:$A,0))</f>
        <v>0.69444444444444442</v>
      </c>
      <c r="AP269" s="139">
        <f t="shared" si="131"/>
        <v>54</v>
      </c>
      <c r="AQ269" s="526">
        <f>IF(AP269&lt;&gt;"nvt",INDEX('Tarieven W&amp;O'!$G:$G,$AP269),0)</f>
        <v>203.15</v>
      </c>
      <c r="AR269" s="251">
        <f>IF($S269,INDEX('Tarieven W&amp;O'!$G:$G,MATCH(N269&amp;R269,'Tarieven W&amp;O'!$B:$B,0)),0)</f>
        <v>0</v>
      </c>
      <c r="AS269" s="205">
        <f>-INDEX(Parameters!$B:$B,MATCH(AS$3,Parameters!$A:$A,0))*(AQ269+AR269)</f>
        <v>0</v>
      </c>
      <c r="AT269" s="205">
        <f>INDEX(hulpblad!$E:$E,MATCH(M269&amp;Q269,hulpblad!$B:$B,0))</f>
        <v>2</v>
      </c>
      <c r="AU269" s="150">
        <f t="shared" si="147"/>
        <v>205.15</v>
      </c>
      <c r="AV269" s="150">
        <f t="shared" si="148"/>
        <v>205.84444444444446</v>
      </c>
      <c r="AX269" s="526">
        <f>Parameters!$B$6*AV269</f>
        <v>2.0584444444444445</v>
      </c>
      <c r="AY269" s="150">
        <v>0</v>
      </c>
      <c r="AZ269" s="150"/>
      <c r="BA269" s="150">
        <f t="shared" si="134"/>
        <v>2.0584444444444445</v>
      </c>
      <c r="BB269" s="150"/>
      <c r="BC269" s="522">
        <f t="shared" si="135"/>
        <v>207.9028888888889</v>
      </c>
      <c r="BD269" s="175"/>
      <c r="BE269" s="527">
        <f t="shared" si="149"/>
        <v>819.8748888888889</v>
      </c>
      <c r="BF269" s="181">
        <f t="shared" si="150"/>
        <v>0.79771610810810811</v>
      </c>
      <c r="BG269" s="520" t="b">
        <f t="shared" si="161"/>
        <v>0</v>
      </c>
      <c r="BI269" s="528" t="s">
        <v>2181</v>
      </c>
      <c r="BL269" s="151" t="str">
        <f t="shared" si="152"/>
        <v>EoKMetro - Nationaal</v>
      </c>
      <c r="BM269" s="529">
        <v>0</v>
      </c>
      <c r="BN269" s="180">
        <f>BM269/INDEX(Parameters!$B:$B,MATCH("AfschrijftermijnVVE"&amp;12*$C269,Parameters!$A:$A,0))</f>
        <v>0</v>
      </c>
      <c r="BO269" s="184">
        <f>INDEX('inkoop ULL tbv EVPN'!I:I,MATCH(BL269,'inkoop ULL tbv EVPN'!H:H,0))</f>
        <v>2</v>
      </c>
      <c r="BP269" s="184">
        <f t="shared" si="153"/>
        <v>2</v>
      </c>
      <c r="BR269" s="180">
        <f>Parameters!$B$12*AG269</f>
        <v>102.77777777777779</v>
      </c>
      <c r="BS269" s="180">
        <f>SUM(Distributievergoedingen!$F$12,Distributievergoedingen!$I$12,Distributievergoedingen!$L$12,Distributievergoedingen!$O$12)*AF269+SUM(Distributievergoedingen!$O$12*AA269+Distributievergoedingen!$R$12+Distributievergoedingen!$U$12+Distributievergoedingen!$X$12)/(MAX(36,12*C269))</f>
        <v>112.77777777777777</v>
      </c>
      <c r="BT269" s="150"/>
      <c r="BU269" s="150">
        <f t="shared" si="154"/>
        <v>215.55555555555554</v>
      </c>
      <c r="BW269" s="522">
        <f t="shared" si="155"/>
        <v>217.55555555555554</v>
      </c>
      <c r="BY269" s="527">
        <f t="shared" si="156"/>
        <v>810.22222222222229</v>
      </c>
      <c r="BZ269" s="181">
        <f t="shared" si="157"/>
        <v>0.78832432432432431</v>
      </c>
      <c r="CA269" s="520" t="b">
        <f t="shared" si="158"/>
        <v>0</v>
      </c>
    </row>
    <row r="270" spans="1:79" s="151" customFormat="1">
      <c r="A270" s="151" t="str">
        <f t="shared" si="151"/>
        <v>3EoKEntryNationaal1</v>
      </c>
      <c r="B270" s="520" t="str">
        <f t="shared" si="146"/>
        <v>3EoKEntryNationaal1</v>
      </c>
      <c r="C270" s="179">
        <v>3</v>
      </c>
      <c r="D270" s="179" t="s">
        <v>303</v>
      </c>
      <c r="E270" s="178" t="s">
        <v>45</v>
      </c>
      <c r="F270" s="178" t="s">
        <v>266</v>
      </c>
      <c r="G270" s="185" t="s">
        <v>362</v>
      </c>
      <c r="J270" s="520" t="str">
        <f t="shared" si="159"/>
        <v>EntryNationaal1</v>
      </c>
      <c r="L270" s="204">
        <f>INDEX(Mapping!$H:$H,MATCH(C$3&amp;C270,Mapping!$B:$B,0))</f>
        <v>1</v>
      </c>
      <c r="M270" s="204" t="str">
        <f>INDEX(Mapping!$H:$H,MATCH(D$3&amp;$D270,Mapping!$B:$B,0))</f>
        <v>EoK</v>
      </c>
      <c r="N270" s="204" t="str">
        <f>INDEX(Mapping!$H:$H,MATCH(E$3&amp;E270,Mapping!$B:$B,0))</f>
        <v>Lite</v>
      </c>
      <c r="O270" s="204" t="str">
        <f>INDEX(Mapping!$H:$H,MATCH(F$3&amp;F270,Mapping!$B:$B,0))</f>
        <v>Metro</v>
      </c>
      <c r="P270" s="204">
        <f>INDEX(Mapping!$H:$H,MATCH(G$3&amp;G270,Mapping!$B:$B,0))</f>
        <v>1</v>
      </c>
      <c r="Q270" s="204" t="str">
        <f>INDEX(Mapping!$H:$H,MATCH(Q$3&amp;$F270,Mapping!$B:$B,0))</f>
        <v>Metro - Nationaal</v>
      </c>
      <c r="R270" s="204" t="str">
        <f>INDEX(Mapping!$H:$H,MATCH("ZM VPN Service Level"&amp;E270,Mapping!$B:$B,0))</f>
        <v>Advanced</v>
      </c>
      <c r="S270" s="139" t="b">
        <f>IF($D270="EoK",INDEX(Mapping!$I:$I,MATCH($G$3&amp;$G270,Mapping!B:B,0)),FALSE)</f>
        <v>1</v>
      </c>
      <c r="T270" s="139"/>
      <c r="U270" s="520" t="str">
        <f t="shared" si="160"/>
        <v>LiteMetro1</v>
      </c>
      <c r="W270" s="521">
        <f>MATCH($J270,'Tarieven ZM'!$B:$B,0)</f>
        <v>46</v>
      </c>
      <c r="X270" s="204">
        <f>INDEX('Tarieven ZM'!$H:$H,$W270)</f>
        <v>1000</v>
      </c>
      <c r="Y270" s="198">
        <f>-INDEX(Parameters!$B:$B,MATCH(Y$3&amp;$C270,Parameters!$A:$A,0))*$X270</f>
        <v>0</v>
      </c>
      <c r="Z270" s="198">
        <f>-INDEX(Parameters!$B:$B,MATCH(Z$3&amp;$C270,Parameters!$A:$A,0))*$X270</f>
        <v>0</v>
      </c>
      <c r="AA270" s="139">
        <f t="shared" si="127"/>
        <v>1000</v>
      </c>
      <c r="AB270" s="205">
        <f>AA270/INDEX(Parameters!$B:$B,MATCH("AfschrijftermijnVVE"&amp;12*$C270,Parameters!$A:$A,0))</f>
        <v>27.777777777777779</v>
      </c>
      <c r="AC270" s="204">
        <f>INDEX('Tarieven ZM'!$G:$G,$W270)</f>
        <v>1000</v>
      </c>
      <c r="AD270" s="198">
        <f>-INDEX(Parameters!$B:$B,MATCH(AD$3&amp;$C270,Parameters!$A:$A,0))*$AC270</f>
        <v>0</v>
      </c>
      <c r="AE270" s="198">
        <f>-INDEX(Parameters!$B:$B,MATCH(AE$3,Parameters!$A:$A,0))*$AC270</f>
        <v>0</v>
      </c>
      <c r="AF270" s="139">
        <f t="shared" si="128"/>
        <v>1000</v>
      </c>
      <c r="AG270" s="522">
        <f t="shared" si="129"/>
        <v>1027.7777777777778</v>
      </c>
      <c r="AH270" s="175"/>
      <c r="AI270" s="523">
        <f>MATCH($U270,'Tarieven W&amp;O'!$B:$B,0)</f>
        <v>36</v>
      </c>
      <c r="AJ270" s="204">
        <f>IF(AI270&lt;&gt;"nvt",INDEX('Tarieven W&amp;O'!$H:$H,$AI270),0)</f>
        <v>0</v>
      </c>
      <c r="AK270" s="204">
        <f>IF(AI270&lt;&gt;"nvt",INDEX('Tarieven W&amp;O'!$I:$I,$AI270),0)</f>
        <v>25</v>
      </c>
      <c r="AL270" s="524">
        <f>IF(AI270&lt;&gt;"nvt",-INDEX(Parameters!$B:$B,MATCH(AL$3,Parameters!$A:$A,0))*(AJ270+AK270),0)</f>
        <v>0</v>
      </c>
      <c r="AM270" s="525"/>
      <c r="AN270" s="139">
        <f t="shared" si="130"/>
        <v>25</v>
      </c>
      <c r="AO270" s="205">
        <f>AN270/INDEX(Parameters!$B:$B,MATCH("AfschrijftermijnVVE"&amp;12*$C270,Parameters!$A:$A,0))</f>
        <v>0.69444444444444442</v>
      </c>
      <c r="AP270" s="139">
        <f t="shared" si="131"/>
        <v>36</v>
      </c>
      <c r="AQ270" s="526">
        <f>IF(AP270&lt;&gt;"nvt",INDEX('Tarieven W&amp;O'!$G:$G,$AP270),0)</f>
        <v>14.29</v>
      </c>
      <c r="AR270" s="251">
        <f>IF($S270,INDEX('Tarieven W&amp;O'!$G:$G,MATCH(N270&amp;R270,'Tarieven W&amp;O'!$B:$B,0)),0)</f>
        <v>5.25</v>
      </c>
      <c r="AS270" s="205">
        <f>-INDEX(Parameters!$B:$B,MATCH(AS$3,Parameters!$A:$A,0))*(AQ270+AR270)</f>
        <v>0</v>
      </c>
      <c r="AT270" s="205">
        <f>INDEX(hulpblad!$E:$E,MATCH(M270&amp;Q270,hulpblad!$B:$B,0))</f>
        <v>2</v>
      </c>
      <c r="AU270" s="150">
        <f t="shared" si="147"/>
        <v>21.54</v>
      </c>
      <c r="AV270" s="150">
        <f t="shared" si="148"/>
        <v>22.234444444444442</v>
      </c>
      <c r="AX270" s="526">
        <f>Parameters!$B$6*AV270</f>
        <v>0.22234444444444443</v>
      </c>
      <c r="AY270" s="150">
        <v>0</v>
      </c>
      <c r="AZ270" s="150"/>
      <c r="BA270" s="150">
        <f t="shared" si="134"/>
        <v>0.22234444444444443</v>
      </c>
      <c r="BB270" s="150"/>
      <c r="BC270" s="522">
        <f t="shared" si="135"/>
        <v>22.456788888888887</v>
      </c>
      <c r="BD270" s="175"/>
      <c r="BE270" s="527">
        <f t="shared" si="149"/>
        <v>1005.3209888888889</v>
      </c>
      <c r="BF270" s="181">
        <f t="shared" si="150"/>
        <v>0.9781501513513513</v>
      </c>
      <c r="BG270" s="520" t="b">
        <f t="shared" si="161"/>
        <v>0</v>
      </c>
      <c r="BI270" s="528" t="s">
        <v>2181</v>
      </c>
      <c r="BL270" s="151" t="str">
        <f t="shared" si="152"/>
        <v>EoKMetro - Nationaal</v>
      </c>
      <c r="BM270" s="529">
        <v>0</v>
      </c>
      <c r="BN270" s="180">
        <f>BM270/INDEX(Parameters!$B:$B,MATCH("AfschrijftermijnVVE"&amp;12*$C270,Parameters!$A:$A,0))</f>
        <v>0</v>
      </c>
      <c r="BO270" s="184">
        <f>INDEX('inkoop ULL tbv EVPN'!I:I,MATCH(BL270,'inkoop ULL tbv EVPN'!H:H,0))</f>
        <v>2</v>
      </c>
      <c r="BP270" s="184">
        <f t="shared" si="153"/>
        <v>2</v>
      </c>
      <c r="BR270" s="180">
        <f>Parameters!$B$12*AG270</f>
        <v>102.77777777777779</v>
      </c>
      <c r="BS270" s="180">
        <f>SUM(Distributievergoedingen!$F$12,Distributievergoedingen!$I$12,Distributievergoedingen!$L$12,Distributievergoedingen!$O$12)*AF270+SUM(Distributievergoedingen!$O$12*AA270+Distributievergoedingen!$R$12+Distributievergoedingen!$U$12+Distributievergoedingen!$X$12)/(MAX(36,12*C270))</f>
        <v>112.77777777777777</v>
      </c>
      <c r="BT270" s="150"/>
      <c r="BU270" s="150">
        <f t="shared" si="154"/>
        <v>215.55555555555554</v>
      </c>
      <c r="BW270" s="522">
        <f t="shared" si="155"/>
        <v>217.55555555555554</v>
      </c>
      <c r="BY270" s="527">
        <f t="shared" si="156"/>
        <v>810.22222222222229</v>
      </c>
      <c r="BZ270" s="181">
        <f t="shared" si="157"/>
        <v>0.78832432432432431</v>
      </c>
      <c r="CA270" s="520" t="b">
        <f t="shared" si="158"/>
        <v>0</v>
      </c>
    </row>
    <row r="271" spans="1:79" s="151" customFormat="1">
      <c r="A271" s="151" t="str">
        <f t="shared" si="151"/>
        <v>3EoKEntryNationaal2</v>
      </c>
      <c r="B271" s="520" t="str">
        <f t="shared" si="146"/>
        <v>3EoKEntryNationaal2</v>
      </c>
      <c r="C271" s="179">
        <v>3</v>
      </c>
      <c r="D271" s="179" t="s">
        <v>303</v>
      </c>
      <c r="E271" s="178" t="s">
        <v>45</v>
      </c>
      <c r="F271" s="178" t="s">
        <v>266</v>
      </c>
      <c r="G271" s="185" t="s">
        <v>363</v>
      </c>
      <c r="J271" s="520" t="str">
        <f t="shared" si="159"/>
        <v>EntryNationaal2</v>
      </c>
      <c r="L271" s="204">
        <f>INDEX(Mapping!$H:$H,MATCH(C$3&amp;C271,Mapping!$B:$B,0))</f>
        <v>1</v>
      </c>
      <c r="M271" s="204" t="str">
        <f>INDEX(Mapping!$H:$H,MATCH(D$3&amp;$D271,Mapping!$B:$B,0))</f>
        <v>EoK</v>
      </c>
      <c r="N271" s="204" t="str">
        <f>INDEX(Mapping!$H:$H,MATCH(E$3&amp;E271,Mapping!$B:$B,0))</f>
        <v>Lite</v>
      </c>
      <c r="O271" s="204" t="str">
        <f>INDEX(Mapping!$H:$H,MATCH(F$3&amp;F271,Mapping!$B:$B,0))</f>
        <v>Metro</v>
      </c>
      <c r="P271" s="204">
        <f>INDEX(Mapping!$H:$H,MATCH(G$3&amp;G271,Mapping!$B:$B,0))</f>
        <v>2</v>
      </c>
      <c r="Q271" s="204" t="str">
        <f>INDEX(Mapping!$H:$H,MATCH(Q$3&amp;$F271,Mapping!$B:$B,0))</f>
        <v>Metro - Nationaal</v>
      </c>
      <c r="R271" s="204" t="str">
        <f>INDEX(Mapping!$H:$H,MATCH("ZM VPN Service Level"&amp;E271,Mapping!$B:$B,0))</f>
        <v>Advanced</v>
      </c>
      <c r="S271" s="139" t="b">
        <f>IF($D271="EoK",INDEX(Mapping!$I:$I,MATCH($G$3&amp;$G271,Mapping!B:B,0)),FALSE)</f>
        <v>1</v>
      </c>
      <c r="T271" s="139"/>
      <c r="U271" s="520" t="str">
        <f t="shared" si="160"/>
        <v>LiteMetro2</v>
      </c>
      <c r="W271" s="521">
        <f>MATCH($J271,'Tarieven ZM'!$B:$B,0)</f>
        <v>47</v>
      </c>
      <c r="X271" s="204">
        <f>INDEX('Tarieven ZM'!$H:$H,$W271)</f>
        <v>1000</v>
      </c>
      <c r="Y271" s="198">
        <f>-INDEX(Parameters!$B:$B,MATCH(Y$3&amp;$C271,Parameters!$A:$A,0))*$X271</f>
        <v>0</v>
      </c>
      <c r="Z271" s="198">
        <f>-INDEX(Parameters!$B:$B,MATCH(Z$3&amp;$C271,Parameters!$A:$A,0))*$X271</f>
        <v>0</v>
      </c>
      <c r="AA271" s="139">
        <f t="shared" si="127"/>
        <v>1000</v>
      </c>
      <c r="AB271" s="205">
        <f>AA271/INDEX(Parameters!$B:$B,MATCH("AfschrijftermijnVVE"&amp;12*$C271,Parameters!$A:$A,0))</f>
        <v>27.777777777777779</v>
      </c>
      <c r="AC271" s="204">
        <f>INDEX('Tarieven ZM'!$G:$G,$W271)</f>
        <v>1000</v>
      </c>
      <c r="AD271" s="198">
        <f>-INDEX(Parameters!$B:$B,MATCH(AD$3&amp;$C271,Parameters!$A:$A,0))*$AC271</f>
        <v>0</v>
      </c>
      <c r="AE271" s="198">
        <f>-INDEX(Parameters!$B:$B,MATCH(AE$3,Parameters!$A:$A,0))*$AC271</f>
        <v>0</v>
      </c>
      <c r="AF271" s="139">
        <f t="shared" si="128"/>
        <v>1000</v>
      </c>
      <c r="AG271" s="522">
        <f t="shared" si="129"/>
        <v>1027.7777777777778</v>
      </c>
      <c r="AH271" s="175"/>
      <c r="AI271" s="523">
        <f>MATCH($U271,'Tarieven W&amp;O'!$B:$B,0)</f>
        <v>37</v>
      </c>
      <c r="AJ271" s="204">
        <f>IF(AI271&lt;&gt;"nvt",INDEX('Tarieven W&amp;O'!$H:$H,$AI271),0)</f>
        <v>0</v>
      </c>
      <c r="AK271" s="204">
        <f>IF(AI271&lt;&gt;"nvt",INDEX('Tarieven W&amp;O'!$I:$I,$AI271),0)</f>
        <v>25</v>
      </c>
      <c r="AL271" s="524">
        <f>IF(AI271&lt;&gt;"nvt",-INDEX(Parameters!$B:$B,MATCH(AL$3,Parameters!$A:$A,0))*(AJ271+AK271),0)</f>
        <v>0</v>
      </c>
      <c r="AM271" s="525"/>
      <c r="AN271" s="139">
        <f t="shared" si="130"/>
        <v>25</v>
      </c>
      <c r="AO271" s="205">
        <f>AN271/INDEX(Parameters!$B:$B,MATCH("AfschrijftermijnVVE"&amp;12*$C271,Parameters!$A:$A,0))</f>
        <v>0.69444444444444442</v>
      </c>
      <c r="AP271" s="139">
        <f t="shared" si="131"/>
        <v>37</v>
      </c>
      <c r="AQ271" s="526">
        <f>IF(AP271&lt;&gt;"nvt",INDEX('Tarieven W&amp;O'!$G:$G,$AP271),0)</f>
        <v>16.55</v>
      </c>
      <c r="AR271" s="251">
        <f>IF($S271,INDEX('Tarieven W&amp;O'!$G:$G,MATCH(N271&amp;R271,'Tarieven W&amp;O'!$B:$B,0)),0)</f>
        <v>5.25</v>
      </c>
      <c r="AS271" s="205">
        <f>-INDEX(Parameters!$B:$B,MATCH(AS$3,Parameters!$A:$A,0))*(AQ271+AR271)</f>
        <v>0</v>
      </c>
      <c r="AT271" s="205">
        <f>INDEX(hulpblad!$E:$E,MATCH(M271&amp;Q271,hulpblad!$B:$B,0))</f>
        <v>2</v>
      </c>
      <c r="AU271" s="150">
        <f t="shared" si="147"/>
        <v>23.8</v>
      </c>
      <c r="AV271" s="150">
        <f t="shared" si="148"/>
        <v>24.494444444444444</v>
      </c>
      <c r="AX271" s="526">
        <f>Parameters!$B$6*AV271</f>
        <v>0.24494444444444444</v>
      </c>
      <c r="AY271" s="150">
        <v>0</v>
      </c>
      <c r="AZ271" s="150"/>
      <c r="BA271" s="150">
        <f t="shared" si="134"/>
        <v>0.24494444444444444</v>
      </c>
      <c r="BB271" s="150"/>
      <c r="BC271" s="522">
        <f t="shared" si="135"/>
        <v>24.73938888888889</v>
      </c>
      <c r="BD271" s="175"/>
      <c r="BE271" s="527">
        <f t="shared" si="149"/>
        <v>1003.0383888888889</v>
      </c>
      <c r="BF271" s="181">
        <f t="shared" si="150"/>
        <v>0.97592924324324326</v>
      </c>
      <c r="BG271" s="520" t="b">
        <f t="shared" si="161"/>
        <v>0</v>
      </c>
      <c r="BI271" s="528" t="s">
        <v>2181</v>
      </c>
      <c r="BL271" s="151" t="str">
        <f t="shared" si="152"/>
        <v>EoKMetro - Nationaal</v>
      </c>
      <c r="BM271" s="529">
        <v>0</v>
      </c>
      <c r="BN271" s="180">
        <f>BM271/INDEX(Parameters!$B:$B,MATCH("AfschrijftermijnVVE"&amp;12*$C271,Parameters!$A:$A,0))</f>
        <v>0</v>
      </c>
      <c r="BO271" s="184">
        <f>INDEX('inkoop ULL tbv EVPN'!I:I,MATCH(BL271,'inkoop ULL tbv EVPN'!H:H,0))</f>
        <v>2</v>
      </c>
      <c r="BP271" s="184">
        <f t="shared" si="153"/>
        <v>2</v>
      </c>
      <c r="BR271" s="180">
        <f>Parameters!$B$12*AG271</f>
        <v>102.77777777777779</v>
      </c>
      <c r="BS271" s="180">
        <f>SUM(Distributievergoedingen!$F$12,Distributievergoedingen!$I$12,Distributievergoedingen!$L$12,Distributievergoedingen!$O$12)*AF271+SUM(Distributievergoedingen!$O$12*AA271+Distributievergoedingen!$R$12+Distributievergoedingen!$U$12+Distributievergoedingen!$X$12)/(MAX(36,12*C271))</f>
        <v>112.77777777777777</v>
      </c>
      <c r="BT271" s="150"/>
      <c r="BU271" s="150">
        <f t="shared" si="154"/>
        <v>215.55555555555554</v>
      </c>
      <c r="BW271" s="522">
        <f t="shared" si="155"/>
        <v>217.55555555555554</v>
      </c>
      <c r="BY271" s="527">
        <f t="shared" si="156"/>
        <v>810.22222222222229</v>
      </c>
      <c r="BZ271" s="181">
        <f t="shared" si="157"/>
        <v>0.78832432432432431</v>
      </c>
      <c r="CA271" s="520" t="b">
        <f t="shared" si="158"/>
        <v>0</v>
      </c>
    </row>
    <row r="272" spans="1:79" s="151" customFormat="1">
      <c r="A272" s="151" t="str">
        <f t="shared" si="151"/>
        <v>3EoKEntryNationaal3</v>
      </c>
      <c r="B272" s="520" t="str">
        <f t="shared" si="146"/>
        <v>3EoKEntryNationaal3</v>
      </c>
      <c r="C272" s="179">
        <v>3</v>
      </c>
      <c r="D272" s="179" t="s">
        <v>303</v>
      </c>
      <c r="E272" s="178" t="s">
        <v>45</v>
      </c>
      <c r="F272" s="178" t="s">
        <v>266</v>
      </c>
      <c r="G272" s="185" t="s">
        <v>407</v>
      </c>
      <c r="J272" s="520" t="str">
        <f t="shared" si="159"/>
        <v>EntryNationaal3</v>
      </c>
      <c r="L272" s="204">
        <f>INDEX(Mapping!$H:$H,MATCH(C$3&amp;C272,Mapping!$B:$B,0))</f>
        <v>1</v>
      </c>
      <c r="M272" s="204" t="str">
        <f>INDEX(Mapping!$H:$H,MATCH(D$3&amp;$D272,Mapping!$B:$B,0))</f>
        <v>EoK</v>
      </c>
      <c r="N272" s="204" t="str">
        <f>INDEX(Mapping!$H:$H,MATCH(E$3&amp;E272,Mapping!$B:$B,0))</f>
        <v>Lite</v>
      </c>
      <c r="O272" s="204" t="str">
        <f>INDEX(Mapping!$H:$H,MATCH(F$3&amp;F272,Mapping!$B:$B,0))</f>
        <v>Metro</v>
      </c>
      <c r="P272" s="204">
        <f>INDEX(Mapping!$H:$H,MATCH(G$3&amp;G272,Mapping!$B:$B,0))</f>
        <v>3</v>
      </c>
      <c r="Q272" s="204" t="str">
        <f>INDEX(Mapping!$H:$H,MATCH(Q$3&amp;$F272,Mapping!$B:$B,0))</f>
        <v>Metro - Nationaal</v>
      </c>
      <c r="R272" s="204" t="str">
        <f>INDEX(Mapping!$H:$H,MATCH("ZM VPN Service Level"&amp;E272,Mapping!$B:$B,0))</f>
        <v>Advanced</v>
      </c>
      <c r="S272" s="139" t="b">
        <f>IF($D272="EoK",INDEX(Mapping!$I:$I,MATCH($G$3&amp;$G272,Mapping!B:B,0)),FALSE)</f>
        <v>0</v>
      </c>
      <c r="T272" s="139"/>
      <c r="U272" s="520" t="str">
        <f t="shared" si="160"/>
        <v>LiteMetro3</v>
      </c>
      <c r="W272" s="521">
        <f>MATCH($J272,'Tarieven ZM'!$B:$B,0)</f>
        <v>48</v>
      </c>
      <c r="X272" s="204">
        <f>INDEX('Tarieven ZM'!$H:$H,$W272)</f>
        <v>1000</v>
      </c>
      <c r="Y272" s="198">
        <f>-INDEX(Parameters!$B:$B,MATCH(Y$3&amp;$C272,Parameters!$A:$A,0))*$X272</f>
        <v>0</v>
      </c>
      <c r="Z272" s="198">
        <f>-INDEX(Parameters!$B:$B,MATCH(Z$3&amp;$C272,Parameters!$A:$A,0))*$X272</f>
        <v>0</v>
      </c>
      <c r="AA272" s="139">
        <f t="shared" ref="AA272:AA335" si="162">SUM(X272:Z272)</f>
        <v>1000</v>
      </c>
      <c r="AB272" s="205">
        <f>AA272/INDEX(Parameters!$B:$B,MATCH("AfschrijftermijnVVE"&amp;12*$C272,Parameters!$A:$A,0))</f>
        <v>27.777777777777779</v>
      </c>
      <c r="AC272" s="204">
        <f>INDEX('Tarieven ZM'!$G:$G,$W272)</f>
        <v>1000</v>
      </c>
      <c r="AD272" s="198">
        <f>-INDEX(Parameters!$B:$B,MATCH(AD$3&amp;$C272,Parameters!$A:$A,0))*$AC272</f>
        <v>0</v>
      </c>
      <c r="AE272" s="198">
        <f>-INDEX(Parameters!$B:$B,MATCH(AE$3,Parameters!$A:$A,0))*$AC272</f>
        <v>0</v>
      </c>
      <c r="AF272" s="139">
        <f t="shared" ref="AF272:AF335" si="163">SUM(AC272:AE272)</f>
        <v>1000</v>
      </c>
      <c r="AG272" s="522">
        <f t="shared" ref="AG272:AG335" si="164">SUM(AB272,AF272)</f>
        <v>1027.7777777777778</v>
      </c>
      <c r="AH272" s="175"/>
      <c r="AI272" s="523">
        <f>MATCH($U272,'Tarieven W&amp;O'!$B:$B,0)</f>
        <v>38</v>
      </c>
      <c r="AJ272" s="204">
        <f>IF(AI272&lt;&gt;"nvt",INDEX('Tarieven W&amp;O'!$H:$H,$AI272),0)</f>
        <v>0</v>
      </c>
      <c r="AK272" s="204">
        <f>IF(AI272&lt;&gt;"nvt",INDEX('Tarieven W&amp;O'!$I:$I,$AI272),0)</f>
        <v>25</v>
      </c>
      <c r="AL272" s="524">
        <f>IF(AI272&lt;&gt;"nvt",-INDEX(Parameters!$B:$B,MATCH(AL$3,Parameters!$A:$A,0))*(AJ272+AK272),0)</f>
        <v>0</v>
      </c>
      <c r="AM272" s="525"/>
      <c r="AN272" s="139">
        <f t="shared" ref="AN272:AN335" si="165">SUM(AJ272:AM272)</f>
        <v>25</v>
      </c>
      <c r="AO272" s="205">
        <f>AN272/INDEX(Parameters!$B:$B,MATCH("AfschrijftermijnVVE"&amp;12*$C272,Parameters!$A:$A,0))</f>
        <v>0.69444444444444442</v>
      </c>
      <c r="AP272" s="139">
        <f t="shared" ref="AP272:AP335" si="166">AI272</f>
        <v>38</v>
      </c>
      <c r="AQ272" s="526">
        <f>IF(AP272&lt;&gt;"nvt",INDEX('Tarieven W&amp;O'!$G:$G,$AP272),0)</f>
        <v>18.47</v>
      </c>
      <c r="AR272" s="251">
        <f>IF($S272,INDEX('Tarieven W&amp;O'!$G:$G,MATCH(N272&amp;R272,'Tarieven W&amp;O'!$B:$B,0)),0)</f>
        <v>0</v>
      </c>
      <c r="AS272" s="205">
        <f>-INDEX(Parameters!$B:$B,MATCH(AS$3,Parameters!$A:$A,0))*(AQ272+AR272)</f>
        <v>0</v>
      </c>
      <c r="AT272" s="205">
        <f>INDEX(hulpblad!$E:$E,MATCH(M272&amp;Q272,hulpblad!$B:$B,0))</f>
        <v>2</v>
      </c>
      <c r="AU272" s="150">
        <f t="shared" si="147"/>
        <v>20.47</v>
      </c>
      <c r="AV272" s="150">
        <f t="shared" si="148"/>
        <v>21.164444444444442</v>
      </c>
      <c r="AX272" s="526">
        <f>Parameters!$B$6*AV272</f>
        <v>0.21164444444444441</v>
      </c>
      <c r="AY272" s="150">
        <v>0</v>
      </c>
      <c r="AZ272" s="150"/>
      <c r="BA272" s="150">
        <f t="shared" ref="BA272:BA335" si="167">SUM(AX272:AZ272)</f>
        <v>0.21164444444444441</v>
      </c>
      <c r="BB272" s="150"/>
      <c r="BC272" s="522">
        <f t="shared" ref="BC272:BC335" si="168">SUM(AV272,BA272)</f>
        <v>21.376088888888887</v>
      </c>
      <c r="BD272" s="175"/>
      <c r="BE272" s="527">
        <f t="shared" si="149"/>
        <v>1006.4016888888889</v>
      </c>
      <c r="BF272" s="181">
        <f t="shared" si="150"/>
        <v>0.97920164324324321</v>
      </c>
      <c r="BG272" s="520" t="b">
        <f t="shared" si="161"/>
        <v>0</v>
      </c>
      <c r="BI272" s="528" t="s">
        <v>2181</v>
      </c>
      <c r="BL272" s="151" t="str">
        <f t="shared" si="152"/>
        <v>EoKMetro - Nationaal</v>
      </c>
      <c r="BM272" s="529">
        <v>0</v>
      </c>
      <c r="BN272" s="180">
        <f>BM272/INDEX(Parameters!$B:$B,MATCH("AfschrijftermijnVVE"&amp;12*$C272,Parameters!$A:$A,0))</f>
        <v>0</v>
      </c>
      <c r="BO272" s="184">
        <f>INDEX('inkoop ULL tbv EVPN'!I:I,MATCH(BL272,'inkoop ULL tbv EVPN'!H:H,0))</f>
        <v>2</v>
      </c>
      <c r="BP272" s="184">
        <f t="shared" si="153"/>
        <v>2</v>
      </c>
      <c r="BR272" s="180">
        <f>Parameters!$B$12*AG272</f>
        <v>102.77777777777779</v>
      </c>
      <c r="BS272" s="180">
        <f>SUM(Distributievergoedingen!$F$12,Distributievergoedingen!$I$12,Distributievergoedingen!$L$12,Distributievergoedingen!$O$12)*AF272+SUM(Distributievergoedingen!$O$12*AA272+Distributievergoedingen!$R$12+Distributievergoedingen!$U$12+Distributievergoedingen!$X$12)/(MAX(36,12*C272))</f>
        <v>112.77777777777777</v>
      </c>
      <c r="BT272" s="150"/>
      <c r="BU272" s="150">
        <f t="shared" si="154"/>
        <v>215.55555555555554</v>
      </c>
      <c r="BW272" s="522">
        <f t="shared" si="155"/>
        <v>217.55555555555554</v>
      </c>
      <c r="BY272" s="527">
        <f t="shared" si="156"/>
        <v>810.22222222222229</v>
      </c>
      <c r="BZ272" s="181">
        <f t="shared" si="157"/>
        <v>0.78832432432432431</v>
      </c>
      <c r="CA272" s="520" t="b">
        <f t="shared" si="158"/>
        <v>0</v>
      </c>
    </row>
    <row r="273" spans="1:79" s="151" customFormat="1">
      <c r="A273" s="151" t="str">
        <f t="shared" si="151"/>
        <v>3EoKEntryNationaal4</v>
      </c>
      <c r="B273" s="520" t="str">
        <f t="shared" si="146"/>
        <v>3EoKEntryNationaal4</v>
      </c>
      <c r="C273" s="179">
        <v>3</v>
      </c>
      <c r="D273" s="179" t="s">
        <v>303</v>
      </c>
      <c r="E273" s="178" t="s">
        <v>45</v>
      </c>
      <c r="F273" s="178" t="s">
        <v>266</v>
      </c>
      <c r="G273" s="185" t="s">
        <v>408</v>
      </c>
      <c r="J273" s="520" t="str">
        <f t="shared" si="159"/>
        <v>EntryNationaal4</v>
      </c>
      <c r="L273" s="204">
        <f>INDEX(Mapping!$H:$H,MATCH(C$3&amp;C273,Mapping!$B:$B,0))</f>
        <v>1</v>
      </c>
      <c r="M273" s="204" t="str">
        <f>INDEX(Mapping!$H:$H,MATCH(D$3&amp;$D273,Mapping!$B:$B,0))</f>
        <v>EoK</v>
      </c>
      <c r="N273" s="204" t="str">
        <f>INDEX(Mapping!$H:$H,MATCH(E$3&amp;E273,Mapping!$B:$B,0))</f>
        <v>Lite</v>
      </c>
      <c r="O273" s="204" t="str">
        <f>INDEX(Mapping!$H:$H,MATCH(F$3&amp;F273,Mapping!$B:$B,0))</f>
        <v>Metro</v>
      </c>
      <c r="P273" s="204">
        <f>INDEX(Mapping!$H:$H,MATCH(G$3&amp;G273,Mapping!$B:$B,0))</f>
        <v>4</v>
      </c>
      <c r="Q273" s="204" t="str">
        <f>INDEX(Mapping!$H:$H,MATCH(Q$3&amp;$F273,Mapping!$B:$B,0))</f>
        <v>Metro - Nationaal</v>
      </c>
      <c r="R273" s="204" t="str">
        <f>INDEX(Mapping!$H:$H,MATCH("ZM VPN Service Level"&amp;E273,Mapping!$B:$B,0))</f>
        <v>Advanced</v>
      </c>
      <c r="S273" s="139" t="b">
        <f>IF($D273="EoK",INDEX(Mapping!$I:$I,MATCH($G$3&amp;$G273,Mapping!B:B,0)),FALSE)</f>
        <v>0</v>
      </c>
      <c r="T273" s="139"/>
      <c r="U273" s="520" t="str">
        <f t="shared" si="160"/>
        <v>LiteMetro4</v>
      </c>
      <c r="W273" s="521">
        <f>MATCH($J273,'Tarieven ZM'!$B:$B,0)</f>
        <v>49</v>
      </c>
      <c r="X273" s="204">
        <f>INDEX('Tarieven ZM'!$H:$H,$W273)</f>
        <v>1000</v>
      </c>
      <c r="Y273" s="198">
        <f>-INDEX(Parameters!$B:$B,MATCH(Y$3&amp;$C273,Parameters!$A:$A,0))*$X273</f>
        <v>0</v>
      </c>
      <c r="Z273" s="198">
        <f>-INDEX(Parameters!$B:$B,MATCH(Z$3&amp;$C273,Parameters!$A:$A,0))*$X273</f>
        <v>0</v>
      </c>
      <c r="AA273" s="139">
        <f t="shared" si="162"/>
        <v>1000</v>
      </c>
      <c r="AB273" s="205">
        <f>AA273/INDEX(Parameters!$B:$B,MATCH("AfschrijftermijnVVE"&amp;12*$C273,Parameters!$A:$A,0))</f>
        <v>27.777777777777779</v>
      </c>
      <c r="AC273" s="204">
        <f>INDEX('Tarieven ZM'!$G:$G,$W273)</f>
        <v>1000</v>
      </c>
      <c r="AD273" s="198">
        <f>-INDEX(Parameters!$B:$B,MATCH(AD$3&amp;$C273,Parameters!$A:$A,0))*$AC273</f>
        <v>0</v>
      </c>
      <c r="AE273" s="198">
        <f>-INDEX(Parameters!$B:$B,MATCH(AE$3,Parameters!$A:$A,0))*$AC273</f>
        <v>0</v>
      </c>
      <c r="AF273" s="139">
        <f t="shared" si="163"/>
        <v>1000</v>
      </c>
      <c r="AG273" s="522">
        <f t="shared" si="164"/>
        <v>1027.7777777777778</v>
      </c>
      <c r="AH273" s="175"/>
      <c r="AI273" s="523">
        <f>MATCH($U273,'Tarieven W&amp;O'!$B:$B,0)</f>
        <v>39</v>
      </c>
      <c r="AJ273" s="204">
        <f>IF(AI273&lt;&gt;"nvt",INDEX('Tarieven W&amp;O'!$H:$H,$AI273),0)</f>
        <v>0</v>
      </c>
      <c r="AK273" s="204">
        <f>IF(AI273&lt;&gt;"nvt",INDEX('Tarieven W&amp;O'!$I:$I,$AI273),0)</f>
        <v>25</v>
      </c>
      <c r="AL273" s="524">
        <f>IF(AI273&lt;&gt;"nvt",-INDEX(Parameters!$B:$B,MATCH(AL$3,Parameters!$A:$A,0))*(AJ273+AK273),0)</f>
        <v>0</v>
      </c>
      <c r="AM273" s="525"/>
      <c r="AN273" s="139">
        <f t="shared" si="165"/>
        <v>25</v>
      </c>
      <c r="AO273" s="205">
        <f>AN273/INDEX(Parameters!$B:$B,MATCH("AfschrijftermijnVVE"&amp;12*$C273,Parameters!$A:$A,0))</f>
        <v>0.69444444444444442</v>
      </c>
      <c r="AP273" s="139">
        <f t="shared" si="166"/>
        <v>39</v>
      </c>
      <c r="AQ273" s="526">
        <f>IF(AP273&lt;&gt;"nvt",INDEX('Tarieven W&amp;O'!$G:$G,$AP273),0)</f>
        <v>18.47</v>
      </c>
      <c r="AR273" s="251">
        <f>IF($S273,INDEX('Tarieven W&amp;O'!$G:$G,MATCH(N273&amp;R273,'Tarieven W&amp;O'!$B:$B,0)),0)</f>
        <v>0</v>
      </c>
      <c r="AS273" s="205">
        <f>-INDEX(Parameters!$B:$B,MATCH(AS$3,Parameters!$A:$A,0))*(AQ273+AR273)</f>
        <v>0</v>
      </c>
      <c r="AT273" s="205">
        <f>INDEX(hulpblad!$E:$E,MATCH(M273&amp;Q273,hulpblad!$B:$B,0))</f>
        <v>2</v>
      </c>
      <c r="AU273" s="150">
        <f t="shared" si="147"/>
        <v>20.47</v>
      </c>
      <c r="AV273" s="150">
        <f t="shared" si="148"/>
        <v>21.164444444444442</v>
      </c>
      <c r="AX273" s="526">
        <f>Parameters!$B$6*AV273</f>
        <v>0.21164444444444441</v>
      </c>
      <c r="AY273" s="150">
        <v>0</v>
      </c>
      <c r="AZ273" s="150"/>
      <c r="BA273" s="150">
        <f t="shared" si="167"/>
        <v>0.21164444444444441</v>
      </c>
      <c r="BB273" s="150"/>
      <c r="BC273" s="522">
        <f t="shared" si="168"/>
        <v>21.376088888888887</v>
      </c>
      <c r="BD273" s="175"/>
      <c r="BE273" s="527">
        <f t="shared" si="149"/>
        <v>1006.4016888888889</v>
      </c>
      <c r="BF273" s="181">
        <f t="shared" si="150"/>
        <v>0.97920164324324321</v>
      </c>
      <c r="BG273" s="520" t="b">
        <f t="shared" si="161"/>
        <v>0</v>
      </c>
      <c r="BI273" s="528" t="s">
        <v>2181</v>
      </c>
      <c r="BL273" s="151" t="str">
        <f t="shared" si="152"/>
        <v>EoKMetro - Nationaal</v>
      </c>
      <c r="BM273" s="529">
        <v>0</v>
      </c>
      <c r="BN273" s="180">
        <f>BM273/INDEX(Parameters!$B:$B,MATCH("AfschrijftermijnVVE"&amp;12*$C273,Parameters!$A:$A,0))</f>
        <v>0</v>
      </c>
      <c r="BO273" s="184">
        <f>INDEX('inkoop ULL tbv EVPN'!I:I,MATCH(BL273,'inkoop ULL tbv EVPN'!H:H,0))</f>
        <v>2</v>
      </c>
      <c r="BP273" s="184">
        <f t="shared" si="153"/>
        <v>2</v>
      </c>
      <c r="BR273" s="180">
        <f>Parameters!$B$12*AG273</f>
        <v>102.77777777777779</v>
      </c>
      <c r="BS273" s="180">
        <f>SUM(Distributievergoedingen!$F$12,Distributievergoedingen!$I$12,Distributievergoedingen!$L$12,Distributievergoedingen!$O$12)*AF273+SUM(Distributievergoedingen!$O$12*AA273+Distributievergoedingen!$R$12+Distributievergoedingen!$U$12+Distributievergoedingen!$X$12)/(MAX(36,12*C273))</f>
        <v>112.77777777777777</v>
      </c>
      <c r="BT273" s="150"/>
      <c r="BU273" s="150">
        <f t="shared" si="154"/>
        <v>215.55555555555554</v>
      </c>
      <c r="BW273" s="522">
        <f t="shared" si="155"/>
        <v>217.55555555555554</v>
      </c>
      <c r="BY273" s="527">
        <f t="shared" si="156"/>
        <v>810.22222222222229</v>
      </c>
      <c r="BZ273" s="181">
        <f t="shared" si="157"/>
        <v>0.78832432432432431</v>
      </c>
      <c r="CA273" s="520" t="b">
        <f t="shared" si="158"/>
        <v>0</v>
      </c>
    </row>
    <row r="274" spans="1:79" s="151" customFormat="1">
      <c r="A274" s="151" t="str">
        <f t="shared" si="151"/>
        <v>3EoKEntryNationaal5</v>
      </c>
      <c r="B274" s="520" t="str">
        <f t="shared" si="146"/>
        <v>3EoKEntryNationaal5</v>
      </c>
      <c r="C274" s="179">
        <v>3</v>
      </c>
      <c r="D274" s="179" t="s">
        <v>303</v>
      </c>
      <c r="E274" s="178" t="s">
        <v>45</v>
      </c>
      <c r="F274" s="178" t="s">
        <v>266</v>
      </c>
      <c r="G274" s="185" t="s">
        <v>409</v>
      </c>
      <c r="J274" s="520" t="str">
        <f t="shared" si="159"/>
        <v>EntryNationaal5</v>
      </c>
      <c r="L274" s="204">
        <f>INDEX(Mapping!$H:$H,MATCH(C$3&amp;C274,Mapping!$B:$B,0))</f>
        <v>1</v>
      </c>
      <c r="M274" s="204" t="str">
        <f>INDEX(Mapping!$H:$H,MATCH(D$3&amp;$D274,Mapping!$B:$B,0))</f>
        <v>EoK</v>
      </c>
      <c r="N274" s="204" t="str">
        <f>INDEX(Mapping!$H:$H,MATCH(E$3&amp;E274,Mapping!$B:$B,0))</f>
        <v>Lite</v>
      </c>
      <c r="O274" s="204" t="str">
        <f>INDEX(Mapping!$H:$H,MATCH(F$3&amp;F274,Mapping!$B:$B,0))</f>
        <v>Metro</v>
      </c>
      <c r="P274" s="204">
        <f>INDEX(Mapping!$H:$H,MATCH(G$3&amp;G274,Mapping!$B:$B,0))</f>
        <v>5</v>
      </c>
      <c r="Q274" s="204" t="str">
        <f>INDEX(Mapping!$H:$H,MATCH(Q$3&amp;$F274,Mapping!$B:$B,0))</f>
        <v>Metro - Nationaal</v>
      </c>
      <c r="R274" s="204" t="str">
        <f>INDEX(Mapping!$H:$H,MATCH("ZM VPN Service Level"&amp;E274,Mapping!$B:$B,0))</f>
        <v>Advanced</v>
      </c>
      <c r="S274" s="139" t="b">
        <f>IF($D274="EoK",INDEX(Mapping!$I:$I,MATCH($G$3&amp;$G274,Mapping!B:B,0)),FALSE)</f>
        <v>0</v>
      </c>
      <c r="T274" s="139"/>
      <c r="U274" s="520" t="str">
        <f t="shared" si="160"/>
        <v>LiteMetro5</v>
      </c>
      <c r="W274" s="521">
        <f>MATCH($J274,'Tarieven ZM'!$B:$B,0)</f>
        <v>50</v>
      </c>
      <c r="X274" s="204">
        <f>INDEX('Tarieven ZM'!$H:$H,$W274)</f>
        <v>1000</v>
      </c>
      <c r="Y274" s="198">
        <f>-INDEX(Parameters!$B:$B,MATCH(Y$3&amp;$C274,Parameters!$A:$A,0))*$X274</f>
        <v>0</v>
      </c>
      <c r="Z274" s="198">
        <f>-INDEX(Parameters!$B:$B,MATCH(Z$3&amp;$C274,Parameters!$A:$A,0))*$X274</f>
        <v>0</v>
      </c>
      <c r="AA274" s="139">
        <f t="shared" si="162"/>
        <v>1000</v>
      </c>
      <c r="AB274" s="205">
        <f>AA274/INDEX(Parameters!$B:$B,MATCH("AfschrijftermijnVVE"&amp;12*$C274,Parameters!$A:$A,0))</f>
        <v>27.777777777777779</v>
      </c>
      <c r="AC274" s="204">
        <f>INDEX('Tarieven ZM'!$G:$G,$W274)</f>
        <v>1000</v>
      </c>
      <c r="AD274" s="198">
        <f>-INDEX(Parameters!$B:$B,MATCH(AD$3&amp;$C274,Parameters!$A:$A,0))*$AC274</f>
        <v>0</v>
      </c>
      <c r="AE274" s="198">
        <f>-INDEX(Parameters!$B:$B,MATCH(AE$3,Parameters!$A:$A,0))*$AC274</f>
        <v>0</v>
      </c>
      <c r="AF274" s="139">
        <f t="shared" si="163"/>
        <v>1000</v>
      </c>
      <c r="AG274" s="522">
        <f t="shared" si="164"/>
        <v>1027.7777777777778</v>
      </c>
      <c r="AH274" s="175"/>
      <c r="AI274" s="523">
        <f>MATCH($U274,'Tarieven W&amp;O'!$B:$B,0)</f>
        <v>40</v>
      </c>
      <c r="AJ274" s="204">
        <f>IF(AI274&lt;&gt;"nvt",INDEX('Tarieven W&amp;O'!$H:$H,$AI274),0)</f>
        <v>0</v>
      </c>
      <c r="AK274" s="204">
        <f>IF(AI274&lt;&gt;"nvt",INDEX('Tarieven W&amp;O'!$I:$I,$AI274),0)</f>
        <v>25</v>
      </c>
      <c r="AL274" s="524">
        <f>IF(AI274&lt;&gt;"nvt",-INDEX(Parameters!$B:$B,MATCH(AL$3,Parameters!$A:$A,0))*(AJ274+AK274),0)</f>
        <v>0</v>
      </c>
      <c r="AM274" s="525"/>
      <c r="AN274" s="139">
        <f t="shared" si="165"/>
        <v>25</v>
      </c>
      <c r="AO274" s="205">
        <f>AN274/INDEX(Parameters!$B:$B,MATCH("AfschrijftermijnVVE"&amp;12*$C274,Parameters!$A:$A,0))</f>
        <v>0.69444444444444442</v>
      </c>
      <c r="AP274" s="139">
        <f t="shared" si="166"/>
        <v>40</v>
      </c>
      <c r="AQ274" s="526">
        <f>IF(AP274&lt;&gt;"nvt",INDEX('Tarieven W&amp;O'!$G:$G,$AP274),0)</f>
        <v>18.47</v>
      </c>
      <c r="AR274" s="251">
        <f>IF($S274,INDEX('Tarieven W&amp;O'!$G:$G,MATCH(N274&amp;R274,'Tarieven W&amp;O'!$B:$B,0)),0)</f>
        <v>0</v>
      </c>
      <c r="AS274" s="205">
        <f>-INDEX(Parameters!$B:$B,MATCH(AS$3,Parameters!$A:$A,0))*(AQ274+AR274)</f>
        <v>0</v>
      </c>
      <c r="AT274" s="205">
        <f>INDEX(hulpblad!$E:$E,MATCH(M274&amp;Q274,hulpblad!$B:$B,0))</f>
        <v>2</v>
      </c>
      <c r="AU274" s="150">
        <f t="shared" si="147"/>
        <v>20.47</v>
      </c>
      <c r="AV274" s="150">
        <f t="shared" si="148"/>
        <v>21.164444444444442</v>
      </c>
      <c r="AX274" s="526">
        <f>Parameters!$B$6*AV274</f>
        <v>0.21164444444444441</v>
      </c>
      <c r="AY274" s="150">
        <v>0</v>
      </c>
      <c r="AZ274" s="150"/>
      <c r="BA274" s="150">
        <f t="shared" si="167"/>
        <v>0.21164444444444441</v>
      </c>
      <c r="BB274" s="150"/>
      <c r="BC274" s="522">
        <f t="shared" si="168"/>
        <v>21.376088888888887</v>
      </c>
      <c r="BD274" s="175"/>
      <c r="BE274" s="527">
        <f t="shared" si="149"/>
        <v>1006.4016888888889</v>
      </c>
      <c r="BF274" s="181">
        <f t="shared" si="150"/>
        <v>0.97920164324324321</v>
      </c>
      <c r="BG274" s="520" t="b">
        <f t="shared" si="161"/>
        <v>0</v>
      </c>
      <c r="BI274" s="528" t="s">
        <v>2181</v>
      </c>
      <c r="BL274" s="151" t="str">
        <f t="shared" si="152"/>
        <v>EoKMetro - Nationaal</v>
      </c>
      <c r="BM274" s="529">
        <v>0</v>
      </c>
      <c r="BN274" s="180">
        <f>BM274/INDEX(Parameters!$B:$B,MATCH("AfschrijftermijnVVE"&amp;12*$C274,Parameters!$A:$A,0))</f>
        <v>0</v>
      </c>
      <c r="BO274" s="184">
        <f>INDEX('inkoop ULL tbv EVPN'!I:I,MATCH(BL274,'inkoop ULL tbv EVPN'!H:H,0))</f>
        <v>2</v>
      </c>
      <c r="BP274" s="184">
        <f t="shared" si="153"/>
        <v>2</v>
      </c>
      <c r="BR274" s="180">
        <f>Parameters!$B$12*AG274</f>
        <v>102.77777777777779</v>
      </c>
      <c r="BS274" s="180">
        <f>SUM(Distributievergoedingen!$F$12,Distributievergoedingen!$I$12,Distributievergoedingen!$L$12,Distributievergoedingen!$O$12)*AF274+SUM(Distributievergoedingen!$O$12*AA274+Distributievergoedingen!$R$12+Distributievergoedingen!$U$12+Distributievergoedingen!$X$12)/(MAX(36,12*C274))</f>
        <v>112.77777777777777</v>
      </c>
      <c r="BT274" s="150"/>
      <c r="BU274" s="150">
        <f t="shared" si="154"/>
        <v>215.55555555555554</v>
      </c>
      <c r="BW274" s="522">
        <f t="shared" si="155"/>
        <v>217.55555555555554</v>
      </c>
      <c r="BY274" s="527">
        <f t="shared" si="156"/>
        <v>810.22222222222229</v>
      </c>
      <c r="BZ274" s="181">
        <f t="shared" si="157"/>
        <v>0.78832432432432431</v>
      </c>
      <c r="CA274" s="520" t="b">
        <f t="shared" si="158"/>
        <v>0</v>
      </c>
    </row>
    <row r="275" spans="1:79" s="151" customFormat="1">
      <c r="A275" s="151" t="str">
        <f t="shared" si="151"/>
        <v>3EoKEntryNationaal6</v>
      </c>
      <c r="B275" s="520" t="str">
        <f t="shared" si="146"/>
        <v>3EoKEntryNationaal6</v>
      </c>
      <c r="C275" s="179">
        <v>3</v>
      </c>
      <c r="D275" s="179" t="s">
        <v>303</v>
      </c>
      <c r="E275" s="178" t="s">
        <v>45</v>
      </c>
      <c r="F275" s="178" t="s">
        <v>266</v>
      </c>
      <c r="G275" s="185" t="s">
        <v>410</v>
      </c>
      <c r="J275" s="520" t="str">
        <f t="shared" si="159"/>
        <v>EntryNationaal6</v>
      </c>
      <c r="L275" s="204">
        <f>INDEX(Mapping!$H:$H,MATCH(C$3&amp;C275,Mapping!$B:$B,0))</f>
        <v>1</v>
      </c>
      <c r="M275" s="204" t="str">
        <f>INDEX(Mapping!$H:$H,MATCH(D$3&amp;$D275,Mapping!$B:$B,0))</f>
        <v>EoK</v>
      </c>
      <c r="N275" s="204" t="str">
        <f>INDEX(Mapping!$H:$H,MATCH(E$3&amp;E275,Mapping!$B:$B,0))</f>
        <v>Lite</v>
      </c>
      <c r="O275" s="204" t="str">
        <f>INDEX(Mapping!$H:$H,MATCH(F$3&amp;F275,Mapping!$B:$B,0))</f>
        <v>Metro</v>
      </c>
      <c r="P275" s="204">
        <f>INDEX(Mapping!$H:$H,MATCH(G$3&amp;G275,Mapping!$B:$B,0))</f>
        <v>6</v>
      </c>
      <c r="Q275" s="204" t="str">
        <f>INDEX(Mapping!$H:$H,MATCH(Q$3&amp;$F275,Mapping!$B:$B,0))</f>
        <v>Metro - Nationaal</v>
      </c>
      <c r="R275" s="204" t="str">
        <f>INDEX(Mapping!$H:$H,MATCH("ZM VPN Service Level"&amp;E275,Mapping!$B:$B,0))</f>
        <v>Advanced</v>
      </c>
      <c r="S275" s="139" t="b">
        <f>IF($D275="EoK",INDEX(Mapping!$I:$I,MATCH($G$3&amp;$G275,Mapping!B:B,0)),FALSE)</f>
        <v>0</v>
      </c>
      <c r="T275" s="139"/>
      <c r="U275" s="520" t="str">
        <f t="shared" si="160"/>
        <v>LiteMetro6</v>
      </c>
      <c r="W275" s="521">
        <f>MATCH($J275,'Tarieven ZM'!$B:$B,0)</f>
        <v>51</v>
      </c>
      <c r="X275" s="204">
        <f>INDEX('Tarieven ZM'!$H:$H,$W275)</f>
        <v>1000</v>
      </c>
      <c r="Y275" s="198">
        <f>-INDEX(Parameters!$B:$B,MATCH(Y$3&amp;$C275,Parameters!$A:$A,0))*$X275</f>
        <v>0</v>
      </c>
      <c r="Z275" s="198">
        <f>-INDEX(Parameters!$B:$B,MATCH(Z$3&amp;$C275,Parameters!$A:$A,0))*$X275</f>
        <v>0</v>
      </c>
      <c r="AA275" s="139">
        <f t="shared" si="162"/>
        <v>1000</v>
      </c>
      <c r="AB275" s="205">
        <f>AA275/INDEX(Parameters!$B:$B,MATCH("AfschrijftermijnVVE"&amp;12*$C275,Parameters!$A:$A,0))</f>
        <v>27.777777777777779</v>
      </c>
      <c r="AC275" s="204">
        <f>INDEX('Tarieven ZM'!$G:$G,$W275)</f>
        <v>1000</v>
      </c>
      <c r="AD275" s="198">
        <f>-INDEX(Parameters!$B:$B,MATCH(AD$3&amp;$C275,Parameters!$A:$A,0))*$AC275</f>
        <v>0</v>
      </c>
      <c r="AE275" s="198">
        <f>-INDEX(Parameters!$B:$B,MATCH(AE$3,Parameters!$A:$A,0))*$AC275</f>
        <v>0</v>
      </c>
      <c r="AF275" s="139">
        <f t="shared" si="163"/>
        <v>1000</v>
      </c>
      <c r="AG275" s="522">
        <f t="shared" si="164"/>
        <v>1027.7777777777778</v>
      </c>
      <c r="AH275" s="175"/>
      <c r="AI275" s="523">
        <f>MATCH($U275,'Tarieven W&amp;O'!$B:$B,0)</f>
        <v>41</v>
      </c>
      <c r="AJ275" s="204">
        <f>IF(AI275&lt;&gt;"nvt",INDEX('Tarieven W&amp;O'!$H:$H,$AI275),0)</f>
        <v>0</v>
      </c>
      <c r="AK275" s="204">
        <f>IF(AI275&lt;&gt;"nvt",INDEX('Tarieven W&amp;O'!$I:$I,$AI275),0)</f>
        <v>25</v>
      </c>
      <c r="AL275" s="524">
        <f>IF(AI275&lt;&gt;"nvt",-INDEX(Parameters!$B:$B,MATCH(AL$3,Parameters!$A:$A,0))*(AJ275+AK275),0)</f>
        <v>0</v>
      </c>
      <c r="AM275" s="525"/>
      <c r="AN275" s="139">
        <f t="shared" si="165"/>
        <v>25</v>
      </c>
      <c r="AO275" s="205">
        <f>AN275/INDEX(Parameters!$B:$B,MATCH("AfschrijftermijnVVE"&amp;12*$C275,Parameters!$A:$A,0))</f>
        <v>0.69444444444444442</v>
      </c>
      <c r="AP275" s="139">
        <f t="shared" si="166"/>
        <v>41</v>
      </c>
      <c r="AQ275" s="526">
        <f>IF(AP275&lt;&gt;"nvt",INDEX('Tarieven W&amp;O'!$G:$G,$AP275),0)</f>
        <v>18.47</v>
      </c>
      <c r="AR275" s="251">
        <f>IF($S275,INDEX('Tarieven W&amp;O'!$G:$G,MATCH(N275&amp;R275,'Tarieven W&amp;O'!$B:$B,0)),0)</f>
        <v>0</v>
      </c>
      <c r="AS275" s="205">
        <f>-INDEX(Parameters!$B:$B,MATCH(AS$3,Parameters!$A:$A,0))*(AQ275+AR275)</f>
        <v>0</v>
      </c>
      <c r="AT275" s="205">
        <f>INDEX(hulpblad!$E:$E,MATCH(M275&amp;Q275,hulpblad!$B:$B,0))</f>
        <v>2</v>
      </c>
      <c r="AU275" s="150">
        <f t="shared" si="147"/>
        <v>20.47</v>
      </c>
      <c r="AV275" s="150">
        <f t="shared" si="148"/>
        <v>21.164444444444442</v>
      </c>
      <c r="AX275" s="526">
        <f>Parameters!$B$6*AV275</f>
        <v>0.21164444444444441</v>
      </c>
      <c r="AY275" s="150">
        <v>0</v>
      </c>
      <c r="AZ275" s="150"/>
      <c r="BA275" s="150">
        <f t="shared" si="167"/>
        <v>0.21164444444444441</v>
      </c>
      <c r="BB275" s="150"/>
      <c r="BC275" s="522">
        <f t="shared" si="168"/>
        <v>21.376088888888887</v>
      </c>
      <c r="BD275" s="175"/>
      <c r="BE275" s="527">
        <f t="shared" si="149"/>
        <v>1006.4016888888889</v>
      </c>
      <c r="BF275" s="181">
        <f t="shared" si="150"/>
        <v>0.97920164324324321</v>
      </c>
      <c r="BG275" s="520" t="b">
        <f t="shared" si="161"/>
        <v>0</v>
      </c>
      <c r="BI275" s="528" t="s">
        <v>2181</v>
      </c>
      <c r="BL275" s="151" t="str">
        <f t="shared" si="152"/>
        <v>EoKMetro - Nationaal</v>
      </c>
      <c r="BM275" s="529">
        <v>0</v>
      </c>
      <c r="BN275" s="180">
        <f>BM275/INDEX(Parameters!$B:$B,MATCH("AfschrijftermijnVVE"&amp;12*$C275,Parameters!$A:$A,0))</f>
        <v>0</v>
      </c>
      <c r="BO275" s="184">
        <f>INDEX('inkoop ULL tbv EVPN'!I:I,MATCH(BL275,'inkoop ULL tbv EVPN'!H:H,0))</f>
        <v>2</v>
      </c>
      <c r="BP275" s="184">
        <f t="shared" si="153"/>
        <v>2</v>
      </c>
      <c r="BR275" s="180">
        <f>Parameters!$B$12*AG275</f>
        <v>102.77777777777779</v>
      </c>
      <c r="BS275" s="180">
        <f>SUM(Distributievergoedingen!$F$12,Distributievergoedingen!$I$12,Distributievergoedingen!$L$12,Distributievergoedingen!$O$12)*AF275+SUM(Distributievergoedingen!$O$12*AA275+Distributievergoedingen!$R$12+Distributievergoedingen!$U$12+Distributievergoedingen!$X$12)/(MAX(36,12*C275))</f>
        <v>112.77777777777777</v>
      </c>
      <c r="BT275" s="150"/>
      <c r="BU275" s="150">
        <f t="shared" si="154"/>
        <v>215.55555555555554</v>
      </c>
      <c r="BW275" s="522">
        <f t="shared" si="155"/>
        <v>217.55555555555554</v>
      </c>
      <c r="BY275" s="527">
        <f t="shared" si="156"/>
        <v>810.22222222222229</v>
      </c>
      <c r="BZ275" s="181">
        <f t="shared" si="157"/>
        <v>0.78832432432432431</v>
      </c>
      <c r="CA275" s="520" t="b">
        <f t="shared" si="158"/>
        <v>0</v>
      </c>
    </row>
    <row r="276" spans="1:79" s="151" customFormat="1">
      <c r="A276" s="151" t="str">
        <f t="shared" si="151"/>
        <v>3EoKEntryNationaal8</v>
      </c>
      <c r="B276" s="520" t="str">
        <f t="shared" si="146"/>
        <v>3EoKEntryNationaal8</v>
      </c>
      <c r="C276" s="179">
        <v>3</v>
      </c>
      <c r="D276" s="179" t="s">
        <v>303</v>
      </c>
      <c r="E276" s="178" t="s">
        <v>45</v>
      </c>
      <c r="F276" s="178" t="s">
        <v>266</v>
      </c>
      <c r="G276" s="185" t="s">
        <v>411</v>
      </c>
      <c r="J276" s="520" t="str">
        <f t="shared" si="159"/>
        <v>EntryNationaal8</v>
      </c>
      <c r="L276" s="204">
        <f>INDEX(Mapping!$H:$H,MATCH(C$3&amp;C276,Mapping!$B:$B,0))</f>
        <v>1</v>
      </c>
      <c r="M276" s="204" t="str">
        <f>INDEX(Mapping!$H:$H,MATCH(D$3&amp;$D276,Mapping!$B:$B,0))</f>
        <v>EoK</v>
      </c>
      <c r="N276" s="204" t="str">
        <f>INDEX(Mapping!$H:$H,MATCH(E$3&amp;E276,Mapping!$B:$B,0))</f>
        <v>Lite</v>
      </c>
      <c r="O276" s="204" t="str">
        <f>INDEX(Mapping!$H:$H,MATCH(F$3&amp;F276,Mapping!$B:$B,0))</f>
        <v>Metro</v>
      </c>
      <c r="P276" s="204">
        <f>INDEX(Mapping!$H:$H,MATCH(G$3&amp;G276,Mapping!$B:$B,0))</f>
        <v>8</v>
      </c>
      <c r="Q276" s="204" t="str">
        <f>INDEX(Mapping!$H:$H,MATCH(Q$3&amp;$F276,Mapping!$B:$B,0))</f>
        <v>Metro - Nationaal</v>
      </c>
      <c r="R276" s="204" t="str">
        <f>INDEX(Mapping!$H:$H,MATCH("ZM VPN Service Level"&amp;E276,Mapping!$B:$B,0))</f>
        <v>Advanced</v>
      </c>
      <c r="S276" s="139" t="b">
        <f>IF($D276="EoK",INDEX(Mapping!$I:$I,MATCH($G$3&amp;$G276,Mapping!B:B,0)),FALSE)</f>
        <v>0</v>
      </c>
      <c r="T276" s="139"/>
      <c r="U276" s="520" t="str">
        <f t="shared" si="160"/>
        <v>LiteMetro8</v>
      </c>
      <c r="W276" s="521">
        <f>MATCH($J276,'Tarieven ZM'!$B:$B,0)</f>
        <v>52</v>
      </c>
      <c r="X276" s="204">
        <f>INDEX('Tarieven ZM'!$H:$H,$W276)</f>
        <v>1000</v>
      </c>
      <c r="Y276" s="198">
        <f>-INDEX(Parameters!$B:$B,MATCH(Y$3&amp;$C276,Parameters!$A:$A,0))*$X276</f>
        <v>0</v>
      </c>
      <c r="Z276" s="198">
        <f>-INDEX(Parameters!$B:$B,MATCH(Z$3&amp;$C276,Parameters!$A:$A,0))*$X276</f>
        <v>0</v>
      </c>
      <c r="AA276" s="139">
        <f t="shared" si="162"/>
        <v>1000</v>
      </c>
      <c r="AB276" s="205">
        <f>AA276/INDEX(Parameters!$B:$B,MATCH("AfschrijftermijnVVE"&amp;12*$C276,Parameters!$A:$A,0))</f>
        <v>27.777777777777779</v>
      </c>
      <c r="AC276" s="204">
        <f>INDEX('Tarieven ZM'!$G:$G,$W276)</f>
        <v>1000</v>
      </c>
      <c r="AD276" s="198">
        <f>-INDEX(Parameters!$B:$B,MATCH(AD$3&amp;$C276,Parameters!$A:$A,0))*$AC276</f>
        <v>0</v>
      </c>
      <c r="AE276" s="198">
        <f>-INDEX(Parameters!$B:$B,MATCH(AE$3,Parameters!$A:$A,0))*$AC276</f>
        <v>0</v>
      </c>
      <c r="AF276" s="139">
        <f t="shared" si="163"/>
        <v>1000</v>
      </c>
      <c r="AG276" s="522">
        <f t="shared" si="164"/>
        <v>1027.7777777777778</v>
      </c>
      <c r="AH276" s="175"/>
      <c r="AI276" s="523">
        <f>MATCH($U276,'Tarieven W&amp;O'!$B:$B,0)</f>
        <v>42</v>
      </c>
      <c r="AJ276" s="204">
        <f>IF(AI276&lt;&gt;"nvt",INDEX('Tarieven W&amp;O'!$H:$H,$AI276),0)</f>
        <v>0</v>
      </c>
      <c r="AK276" s="204">
        <f>IF(AI276&lt;&gt;"nvt",INDEX('Tarieven W&amp;O'!$I:$I,$AI276),0)</f>
        <v>25</v>
      </c>
      <c r="AL276" s="524">
        <f>IF(AI276&lt;&gt;"nvt",-INDEX(Parameters!$B:$B,MATCH(AL$3,Parameters!$A:$A,0))*(AJ276+AK276),0)</f>
        <v>0</v>
      </c>
      <c r="AM276" s="525"/>
      <c r="AN276" s="139">
        <f t="shared" si="165"/>
        <v>25</v>
      </c>
      <c r="AO276" s="205">
        <f>AN276/INDEX(Parameters!$B:$B,MATCH("AfschrijftermijnVVE"&amp;12*$C276,Parameters!$A:$A,0))</f>
        <v>0.69444444444444442</v>
      </c>
      <c r="AP276" s="139">
        <f t="shared" si="166"/>
        <v>42</v>
      </c>
      <c r="AQ276" s="526">
        <f>IF(AP276&lt;&gt;"nvt",INDEX('Tarieven W&amp;O'!$G:$G,$AP276),0)</f>
        <v>18.47</v>
      </c>
      <c r="AR276" s="251">
        <f>IF($S276,INDEX('Tarieven W&amp;O'!$G:$G,MATCH(N276&amp;R276,'Tarieven W&amp;O'!$B:$B,0)),0)</f>
        <v>0</v>
      </c>
      <c r="AS276" s="205">
        <f>-INDEX(Parameters!$B:$B,MATCH(AS$3,Parameters!$A:$A,0))*(AQ276+AR276)</f>
        <v>0</v>
      </c>
      <c r="AT276" s="205">
        <f>INDEX(hulpblad!$E:$E,MATCH(M276&amp;Q276,hulpblad!$B:$B,0))</f>
        <v>2</v>
      </c>
      <c r="AU276" s="150">
        <f t="shared" si="147"/>
        <v>20.47</v>
      </c>
      <c r="AV276" s="150">
        <f t="shared" si="148"/>
        <v>21.164444444444442</v>
      </c>
      <c r="AX276" s="526">
        <f>Parameters!$B$6*AV276</f>
        <v>0.21164444444444441</v>
      </c>
      <c r="AY276" s="150">
        <v>0</v>
      </c>
      <c r="AZ276" s="150"/>
      <c r="BA276" s="150">
        <f t="shared" si="167"/>
        <v>0.21164444444444441</v>
      </c>
      <c r="BB276" s="150"/>
      <c r="BC276" s="522">
        <f t="shared" si="168"/>
        <v>21.376088888888887</v>
      </c>
      <c r="BD276" s="175"/>
      <c r="BE276" s="527">
        <f t="shared" si="149"/>
        <v>1006.4016888888889</v>
      </c>
      <c r="BF276" s="181">
        <f t="shared" si="150"/>
        <v>0.97920164324324321</v>
      </c>
      <c r="BG276" s="520" t="b">
        <f t="shared" si="161"/>
        <v>0</v>
      </c>
      <c r="BI276" s="528" t="s">
        <v>2181</v>
      </c>
      <c r="BL276" s="151" t="str">
        <f t="shared" si="152"/>
        <v>EoKMetro - Nationaal</v>
      </c>
      <c r="BM276" s="529">
        <v>0</v>
      </c>
      <c r="BN276" s="180">
        <f>BM276/INDEX(Parameters!$B:$B,MATCH("AfschrijftermijnVVE"&amp;12*$C276,Parameters!$A:$A,0))</f>
        <v>0</v>
      </c>
      <c r="BO276" s="184">
        <f>INDEX('inkoop ULL tbv EVPN'!I:I,MATCH(BL276,'inkoop ULL tbv EVPN'!H:H,0))</f>
        <v>2</v>
      </c>
      <c r="BP276" s="184">
        <f t="shared" si="153"/>
        <v>2</v>
      </c>
      <c r="BR276" s="180">
        <f>Parameters!$B$12*AG276</f>
        <v>102.77777777777779</v>
      </c>
      <c r="BS276" s="180">
        <f>SUM(Distributievergoedingen!$F$12,Distributievergoedingen!$I$12,Distributievergoedingen!$L$12,Distributievergoedingen!$O$12)*AF276+SUM(Distributievergoedingen!$O$12*AA276+Distributievergoedingen!$R$12+Distributievergoedingen!$U$12+Distributievergoedingen!$X$12)/(MAX(36,12*C276))</f>
        <v>112.77777777777777</v>
      </c>
      <c r="BT276" s="150"/>
      <c r="BU276" s="150">
        <f t="shared" si="154"/>
        <v>215.55555555555554</v>
      </c>
      <c r="BW276" s="522">
        <f t="shared" si="155"/>
        <v>217.55555555555554</v>
      </c>
      <c r="BY276" s="527">
        <f t="shared" si="156"/>
        <v>810.22222222222229</v>
      </c>
      <c r="BZ276" s="181">
        <f t="shared" si="157"/>
        <v>0.78832432432432431</v>
      </c>
      <c r="CA276" s="520" t="b">
        <f t="shared" si="158"/>
        <v>0</v>
      </c>
    </row>
    <row r="277" spans="1:79" s="151" customFormat="1">
      <c r="A277" s="151" t="str">
        <f t="shared" si="151"/>
        <v>3EoKEntryNationaal10</v>
      </c>
      <c r="B277" s="520" t="str">
        <f t="shared" si="146"/>
        <v>3EoKEntryNationaal10</v>
      </c>
      <c r="C277" s="179">
        <v>3</v>
      </c>
      <c r="D277" s="179" t="s">
        <v>303</v>
      </c>
      <c r="E277" s="178" t="s">
        <v>45</v>
      </c>
      <c r="F277" s="178" t="s">
        <v>266</v>
      </c>
      <c r="G277" s="185" t="s">
        <v>412</v>
      </c>
      <c r="J277" s="520" t="str">
        <f t="shared" si="159"/>
        <v>EntryNationaal10</v>
      </c>
      <c r="L277" s="204">
        <f>INDEX(Mapping!$H:$H,MATCH(C$3&amp;C277,Mapping!$B:$B,0))</f>
        <v>1</v>
      </c>
      <c r="M277" s="204" t="str">
        <f>INDEX(Mapping!$H:$H,MATCH(D$3&amp;$D277,Mapping!$B:$B,0))</f>
        <v>EoK</v>
      </c>
      <c r="N277" s="204" t="str">
        <f>INDEX(Mapping!$H:$H,MATCH(E$3&amp;E277,Mapping!$B:$B,0))</f>
        <v>Lite</v>
      </c>
      <c r="O277" s="204" t="str">
        <f>INDEX(Mapping!$H:$H,MATCH(F$3&amp;F277,Mapping!$B:$B,0))</f>
        <v>Metro</v>
      </c>
      <c r="P277" s="204">
        <f>INDEX(Mapping!$H:$H,MATCH(G$3&amp;G277,Mapping!$B:$B,0))</f>
        <v>10</v>
      </c>
      <c r="Q277" s="204" t="str">
        <f>INDEX(Mapping!$H:$H,MATCH(Q$3&amp;$F277,Mapping!$B:$B,0))</f>
        <v>Metro - Nationaal</v>
      </c>
      <c r="R277" s="204" t="str">
        <f>INDEX(Mapping!$H:$H,MATCH("ZM VPN Service Level"&amp;E277,Mapping!$B:$B,0))</f>
        <v>Advanced</v>
      </c>
      <c r="S277" s="139" t="b">
        <f>IF($D277="EoK",INDEX(Mapping!$I:$I,MATCH($G$3&amp;$G277,Mapping!B:B,0)),FALSE)</f>
        <v>0</v>
      </c>
      <c r="T277" s="139"/>
      <c r="U277" s="520" t="str">
        <f t="shared" si="160"/>
        <v>LiteMetro10</v>
      </c>
      <c r="W277" s="521">
        <f>MATCH($J277,'Tarieven ZM'!$B:$B,0)</f>
        <v>53</v>
      </c>
      <c r="X277" s="204">
        <f>INDEX('Tarieven ZM'!$H:$H,$W277)</f>
        <v>1000</v>
      </c>
      <c r="Y277" s="198">
        <f>-INDEX(Parameters!$B:$B,MATCH(Y$3&amp;$C277,Parameters!$A:$A,0))*$X277</f>
        <v>0</v>
      </c>
      <c r="Z277" s="198">
        <f>-INDEX(Parameters!$B:$B,MATCH(Z$3&amp;$C277,Parameters!$A:$A,0))*$X277</f>
        <v>0</v>
      </c>
      <c r="AA277" s="139">
        <f t="shared" si="162"/>
        <v>1000</v>
      </c>
      <c r="AB277" s="205">
        <f>AA277/INDEX(Parameters!$B:$B,MATCH("AfschrijftermijnVVE"&amp;12*$C277,Parameters!$A:$A,0))</f>
        <v>27.777777777777779</v>
      </c>
      <c r="AC277" s="204">
        <f>INDEX('Tarieven ZM'!$G:$G,$W277)</f>
        <v>1000</v>
      </c>
      <c r="AD277" s="198">
        <f>-INDEX(Parameters!$B:$B,MATCH(AD$3&amp;$C277,Parameters!$A:$A,0))*$AC277</f>
        <v>0</v>
      </c>
      <c r="AE277" s="198">
        <f>-INDEX(Parameters!$B:$B,MATCH(AE$3,Parameters!$A:$A,0))*$AC277</f>
        <v>0</v>
      </c>
      <c r="AF277" s="139">
        <f t="shared" si="163"/>
        <v>1000</v>
      </c>
      <c r="AG277" s="522">
        <f t="shared" si="164"/>
        <v>1027.7777777777778</v>
      </c>
      <c r="AH277" s="175"/>
      <c r="AI277" s="523">
        <f>MATCH($U277,'Tarieven W&amp;O'!$B:$B,0)</f>
        <v>43</v>
      </c>
      <c r="AJ277" s="204">
        <f>IF(AI277&lt;&gt;"nvt",INDEX('Tarieven W&amp;O'!$H:$H,$AI277),0)</f>
        <v>0</v>
      </c>
      <c r="AK277" s="204">
        <f>IF(AI277&lt;&gt;"nvt",INDEX('Tarieven W&amp;O'!$I:$I,$AI277),0)</f>
        <v>25</v>
      </c>
      <c r="AL277" s="524">
        <f>IF(AI277&lt;&gt;"nvt",-INDEX(Parameters!$B:$B,MATCH(AL$3,Parameters!$A:$A,0))*(AJ277+AK277),0)</f>
        <v>0</v>
      </c>
      <c r="AM277" s="525"/>
      <c r="AN277" s="139">
        <f t="shared" si="165"/>
        <v>25</v>
      </c>
      <c r="AO277" s="205">
        <f>AN277/INDEX(Parameters!$B:$B,MATCH("AfschrijftermijnVVE"&amp;12*$C277,Parameters!$A:$A,0))</f>
        <v>0.69444444444444442</v>
      </c>
      <c r="AP277" s="139">
        <f t="shared" si="166"/>
        <v>43</v>
      </c>
      <c r="AQ277" s="526">
        <f>IF(AP277&lt;&gt;"nvt",INDEX('Tarieven W&amp;O'!$G:$G,$AP277),0)</f>
        <v>18.47</v>
      </c>
      <c r="AR277" s="251">
        <f>IF($S277,INDEX('Tarieven W&amp;O'!$G:$G,MATCH(N277&amp;R277,'Tarieven W&amp;O'!$B:$B,0)),0)</f>
        <v>0</v>
      </c>
      <c r="AS277" s="205">
        <f>-INDEX(Parameters!$B:$B,MATCH(AS$3,Parameters!$A:$A,0))*(AQ277+AR277)</f>
        <v>0</v>
      </c>
      <c r="AT277" s="205">
        <f>INDEX(hulpblad!$E:$E,MATCH(M277&amp;Q277,hulpblad!$B:$B,0))</f>
        <v>2</v>
      </c>
      <c r="AU277" s="150">
        <f t="shared" si="147"/>
        <v>20.47</v>
      </c>
      <c r="AV277" s="150">
        <f t="shared" si="148"/>
        <v>21.164444444444442</v>
      </c>
      <c r="AX277" s="526">
        <f>Parameters!$B$6*AV277</f>
        <v>0.21164444444444441</v>
      </c>
      <c r="AY277" s="150">
        <v>0</v>
      </c>
      <c r="AZ277" s="150"/>
      <c r="BA277" s="150">
        <f t="shared" si="167"/>
        <v>0.21164444444444441</v>
      </c>
      <c r="BB277" s="150"/>
      <c r="BC277" s="522">
        <f t="shared" si="168"/>
        <v>21.376088888888887</v>
      </c>
      <c r="BD277" s="175"/>
      <c r="BE277" s="527">
        <f t="shared" si="149"/>
        <v>1006.4016888888889</v>
      </c>
      <c r="BF277" s="181">
        <f t="shared" si="150"/>
        <v>0.97920164324324321</v>
      </c>
      <c r="BG277" s="520" t="b">
        <f t="shared" si="161"/>
        <v>0</v>
      </c>
      <c r="BI277" s="528" t="s">
        <v>2181</v>
      </c>
      <c r="BL277" s="151" t="str">
        <f t="shared" si="152"/>
        <v>EoKMetro - Nationaal</v>
      </c>
      <c r="BM277" s="529">
        <v>0</v>
      </c>
      <c r="BN277" s="180">
        <f>BM277/INDEX(Parameters!$B:$B,MATCH("AfschrijftermijnVVE"&amp;12*$C277,Parameters!$A:$A,0))</f>
        <v>0</v>
      </c>
      <c r="BO277" s="184">
        <f>INDEX('inkoop ULL tbv EVPN'!I:I,MATCH(BL277,'inkoop ULL tbv EVPN'!H:H,0))</f>
        <v>2</v>
      </c>
      <c r="BP277" s="184">
        <f t="shared" si="153"/>
        <v>2</v>
      </c>
      <c r="BR277" s="180">
        <f>Parameters!$B$12*AG277</f>
        <v>102.77777777777779</v>
      </c>
      <c r="BS277" s="180">
        <f>SUM(Distributievergoedingen!$F$12,Distributievergoedingen!$I$12,Distributievergoedingen!$L$12,Distributievergoedingen!$O$12)*AF277+SUM(Distributievergoedingen!$O$12*AA277+Distributievergoedingen!$R$12+Distributievergoedingen!$U$12+Distributievergoedingen!$X$12)/(MAX(36,12*C277))</f>
        <v>112.77777777777777</v>
      </c>
      <c r="BT277" s="150"/>
      <c r="BU277" s="150">
        <f t="shared" si="154"/>
        <v>215.55555555555554</v>
      </c>
      <c r="BW277" s="522">
        <f t="shared" si="155"/>
        <v>217.55555555555554</v>
      </c>
      <c r="BY277" s="527">
        <f t="shared" si="156"/>
        <v>810.22222222222229</v>
      </c>
      <c r="BZ277" s="181">
        <f t="shared" si="157"/>
        <v>0.78832432432432431</v>
      </c>
      <c r="CA277" s="520" t="b">
        <f t="shared" si="158"/>
        <v>0</v>
      </c>
    </row>
    <row r="278" spans="1:79" s="151" customFormat="1">
      <c r="A278" s="151" t="str">
        <f t="shared" si="151"/>
        <v>3EoKEntryNationaal15</v>
      </c>
      <c r="B278" s="520" t="str">
        <f t="shared" si="146"/>
        <v>3EoKEntryNationaal15</v>
      </c>
      <c r="C278" s="179">
        <v>3</v>
      </c>
      <c r="D278" s="179" t="s">
        <v>303</v>
      </c>
      <c r="E278" s="178" t="s">
        <v>45</v>
      </c>
      <c r="F278" s="178" t="s">
        <v>266</v>
      </c>
      <c r="G278" s="185" t="s">
        <v>413</v>
      </c>
      <c r="J278" s="520" t="str">
        <f t="shared" si="159"/>
        <v>EntryNationaal15</v>
      </c>
      <c r="L278" s="204">
        <f>INDEX(Mapping!$H:$H,MATCH(C$3&amp;C278,Mapping!$B:$B,0))</f>
        <v>1</v>
      </c>
      <c r="M278" s="204" t="str">
        <f>INDEX(Mapping!$H:$H,MATCH(D$3&amp;$D278,Mapping!$B:$B,0))</f>
        <v>EoK</v>
      </c>
      <c r="N278" s="204" t="str">
        <f>INDEX(Mapping!$H:$H,MATCH(E$3&amp;E278,Mapping!$B:$B,0))</f>
        <v>Lite</v>
      </c>
      <c r="O278" s="204" t="str">
        <f>INDEX(Mapping!$H:$H,MATCH(F$3&amp;F278,Mapping!$B:$B,0))</f>
        <v>Metro</v>
      </c>
      <c r="P278" s="204">
        <f>INDEX(Mapping!$H:$H,MATCH(G$3&amp;G278,Mapping!$B:$B,0))</f>
        <v>15</v>
      </c>
      <c r="Q278" s="204" t="str">
        <f>INDEX(Mapping!$H:$H,MATCH(Q$3&amp;$F278,Mapping!$B:$B,0))</f>
        <v>Metro - Nationaal</v>
      </c>
      <c r="R278" s="204" t="str">
        <f>INDEX(Mapping!$H:$H,MATCH("ZM VPN Service Level"&amp;E278,Mapping!$B:$B,0))</f>
        <v>Advanced</v>
      </c>
      <c r="S278" s="139" t="b">
        <f>IF($D278="EoK",INDEX(Mapping!$I:$I,MATCH($G$3&amp;$G278,Mapping!B:B,0)),FALSE)</f>
        <v>0</v>
      </c>
      <c r="T278" s="139"/>
      <c r="U278" s="520" t="str">
        <f t="shared" si="160"/>
        <v>LiteMetro15</v>
      </c>
      <c r="W278" s="521">
        <f>MATCH($J278,'Tarieven ZM'!$B:$B,0)</f>
        <v>54</v>
      </c>
      <c r="X278" s="204">
        <f>INDEX('Tarieven ZM'!$H:$H,$W278)</f>
        <v>1000</v>
      </c>
      <c r="Y278" s="198">
        <f>-INDEX(Parameters!$B:$B,MATCH(Y$3&amp;$C278,Parameters!$A:$A,0))*$X278</f>
        <v>0</v>
      </c>
      <c r="Z278" s="198">
        <f>-INDEX(Parameters!$B:$B,MATCH(Z$3&amp;$C278,Parameters!$A:$A,0))*$X278</f>
        <v>0</v>
      </c>
      <c r="AA278" s="139">
        <f t="shared" si="162"/>
        <v>1000</v>
      </c>
      <c r="AB278" s="205">
        <f>AA278/INDEX(Parameters!$B:$B,MATCH("AfschrijftermijnVVE"&amp;12*$C278,Parameters!$A:$A,0))</f>
        <v>27.777777777777779</v>
      </c>
      <c r="AC278" s="204">
        <f>INDEX('Tarieven ZM'!$G:$G,$W278)</f>
        <v>1000</v>
      </c>
      <c r="AD278" s="198">
        <f>-INDEX(Parameters!$B:$B,MATCH(AD$3&amp;$C278,Parameters!$A:$A,0))*$AC278</f>
        <v>0</v>
      </c>
      <c r="AE278" s="198">
        <f>-INDEX(Parameters!$B:$B,MATCH(AE$3,Parameters!$A:$A,0))*$AC278</f>
        <v>0</v>
      </c>
      <c r="AF278" s="139">
        <f t="shared" si="163"/>
        <v>1000</v>
      </c>
      <c r="AG278" s="522">
        <f t="shared" si="164"/>
        <v>1027.7777777777778</v>
      </c>
      <c r="AH278" s="175"/>
      <c r="AI278" s="523">
        <f>MATCH($U278,'Tarieven W&amp;O'!$B:$B,0)</f>
        <v>44</v>
      </c>
      <c r="AJ278" s="204">
        <f>IF(AI278&lt;&gt;"nvt",INDEX('Tarieven W&amp;O'!$H:$H,$AI278),0)</f>
        <v>0</v>
      </c>
      <c r="AK278" s="204">
        <f>IF(AI278&lt;&gt;"nvt",INDEX('Tarieven W&amp;O'!$I:$I,$AI278),0)</f>
        <v>25</v>
      </c>
      <c r="AL278" s="524">
        <f>IF(AI278&lt;&gt;"nvt",-INDEX(Parameters!$B:$B,MATCH(AL$3,Parameters!$A:$A,0))*(AJ278+AK278),0)</f>
        <v>0</v>
      </c>
      <c r="AM278" s="525"/>
      <c r="AN278" s="139">
        <f t="shared" si="165"/>
        <v>25</v>
      </c>
      <c r="AO278" s="205">
        <f>AN278/INDEX(Parameters!$B:$B,MATCH("AfschrijftermijnVVE"&amp;12*$C278,Parameters!$A:$A,0))</f>
        <v>0.69444444444444442</v>
      </c>
      <c r="AP278" s="139">
        <f t="shared" si="166"/>
        <v>44</v>
      </c>
      <c r="AQ278" s="526">
        <f>IF(AP278&lt;&gt;"nvt",INDEX('Tarieven W&amp;O'!$G:$G,$AP278),0)</f>
        <v>22.24</v>
      </c>
      <c r="AR278" s="251">
        <f>IF($S278,INDEX('Tarieven W&amp;O'!$G:$G,MATCH(N278&amp;R278,'Tarieven W&amp;O'!$B:$B,0)),0)</f>
        <v>0</v>
      </c>
      <c r="AS278" s="205">
        <f>-INDEX(Parameters!$B:$B,MATCH(AS$3,Parameters!$A:$A,0))*(AQ278+AR278)</f>
        <v>0</v>
      </c>
      <c r="AT278" s="205">
        <f>INDEX(hulpblad!$E:$E,MATCH(M278&amp;Q278,hulpblad!$B:$B,0))</f>
        <v>2</v>
      </c>
      <c r="AU278" s="150">
        <f t="shared" si="147"/>
        <v>24.24</v>
      </c>
      <c r="AV278" s="150">
        <f t="shared" si="148"/>
        <v>24.934444444444441</v>
      </c>
      <c r="AX278" s="526">
        <f>Parameters!$B$6*AV278</f>
        <v>0.24934444444444442</v>
      </c>
      <c r="AY278" s="150">
        <v>0</v>
      </c>
      <c r="AZ278" s="150"/>
      <c r="BA278" s="150">
        <f t="shared" si="167"/>
        <v>0.24934444444444442</v>
      </c>
      <c r="BB278" s="150"/>
      <c r="BC278" s="522">
        <f t="shared" si="168"/>
        <v>25.183788888888884</v>
      </c>
      <c r="BD278" s="175"/>
      <c r="BE278" s="527">
        <f t="shared" si="149"/>
        <v>1002.5939888888889</v>
      </c>
      <c r="BF278" s="181">
        <f t="shared" si="150"/>
        <v>0.97549685405405406</v>
      </c>
      <c r="BG278" s="520" t="b">
        <f t="shared" si="161"/>
        <v>0</v>
      </c>
      <c r="BI278" s="528" t="s">
        <v>2181</v>
      </c>
      <c r="BL278" s="151" t="str">
        <f t="shared" si="152"/>
        <v>EoKMetro - Nationaal</v>
      </c>
      <c r="BM278" s="529">
        <v>0</v>
      </c>
      <c r="BN278" s="180">
        <f>BM278/INDEX(Parameters!$B:$B,MATCH("AfschrijftermijnVVE"&amp;12*$C278,Parameters!$A:$A,0))</f>
        <v>0</v>
      </c>
      <c r="BO278" s="184">
        <f>INDEX('inkoop ULL tbv EVPN'!I:I,MATCH(BL278,'inkoop ULL tbv EVPN'!H:H,0))</f>
        <v>2</v>
      </c>
      <c r="BP278" s="184">
        <f t="shared" si="153"/>
        <v>2</v>
      </c>
      <c r="BR278" s="180">
        <f>Parameters!$B$12*AG278</f>
        <v>102.77777777777779</v>
      </c>
      <c r="BS278" s="180">
        <f>SUM(Distributievergoedingen!$F$12,Distributievergoedingen!$I$12,Distributievergoedingen!$L$12,Distributievergoedingen!$O$12)*AF278+SUM(Distributievergoedingen!$O$12*AA278+Distributievergoedingen!$R$12+Distributievergoedingen!$U$12+Distributievergoedingen!$X$12)/(MAX(36,12*C278))</f>
        <v>112.77777777777777</v>
      </c>
      <c r="BT278" s="150"/>
      <c r="BU278" s="150">
        <f t="shared" si="154"/>
        <v>215.55555555555554</v>
      </c>
      <c r="BW278" s="522">
        <f t="shared" si="155"/>
        <v>217.55555555555554</v>
      </c>
      <c r="BY278" s="527">
        <f t="shared" si="156"/>
        <v>810.22222222222229</v>
      </c>
      <c r="BZ278" s="181">
        <f t="shared" si="157"/>
        <v>0.78832432432432431</v>
      </c>
      <c r="CA278" s="520" t="b">
        <f t="shared" si="158"/>
        <v>0</v>
      </c>
    </row>
    <row r="279" spans="1:79" s="151" customFormat="1">
      <c r="A279" s="151" t="str">
        <f t="shared" si="151"/>
        <v>3EoKEntryNationaal20</v>
      </c>
      <c r="B279" s="520" t="str">
        <f t="shared" si="146"/>
        <v>3EoKEntryNationaal20</v>
      </c>
      <c r="C279" s="179">
        <v>3</v>
      </c>
      <c r="D279" s="179" t="s">
        <v>303</v>
      </c>
      <c r="E279" s="178" t="s">
        <v>45</v>
      </c>
      <c r="F279" s="178" t="s">
        <v>266</v>
      </c>
      <c r="G279" s="185" t="s">
        <v>414</v>
      </c>
      <c r="J279" s="520" t="str">
        <f t="shared" si="159"/>
        <v>EntryNationaal20</v>
      </c>
      <c r="L279" s="204">
        <f>INDEX(Mapping!$H:$H,MATCH(C$3&amp;C279,Mapping!$B:$B,0))</f>
        <v>1</v>
      </c>
      <c r="M279" s="204" t="str">
        <f>INDEX(Mapping!$H:$H,MATCH(D$3&amp;$D279,Mapping!$B:$B,0))</f>
        <v>EoK</v>
      </c>
      <c r="N279" s="204" t="str">
        <f>INDEX(Mapping!$H:$H,MATCH(E$3&amp;E279,Mapping!$B:$B,0))</f>
        <v>Lite</v>
      </c>
      <c r="O279" s="204" t="str">
        <f>INDEX(Mapping!$H:$H,MATCH(F$3&amp;F279,Mapping!$B:$B,0))</f>
        <v>Metro</v>
      </c>
      <c r="P279" s="204">
        <f>INDEX(Mapping!$H:$H,MATCH(G$3&amp;G279,Mapping!$B:$B,0))</f>
        <v>20</v>
      </c>
      <c r="Q279" s="204" t="str">
        <f>INDEX(Mapping!$H:$H,MATCH(Q$3&amp;$F279,Mapping!$B:$B,0))</f>
        <v>Metro - Nationaal</v>
      </c>
      <c r="R279" s="204" t="str">
        <f>INDEX(Mapping!$H:$H,MATCH("ZM VPN Service Level"&amp;E279,Mapping!$B:$B,0))</f>
        <v>Advanced</v>
      </c>
      <c r="S279" s="139" t="b">
        <f>IF($D279="EoK",INDEX(Mapping!$I:$I,MATCH($G$3&amp;$G279,Mapping!B:B,0)),FALSE)</f>
        <v>0</v>
      </c>
      <c r="T279" s="139"/>
      <c r="U279" s="520" t="str">
        <f t="shared" si="160"/>
        <v>LiteMetro20</v>
      </c>
      <c r="W279" s="521">
        <f>MATCH($J279,'Tarieven ZM'!$B:$B,0)</f>
        <v>55</v>
      </c>
      <c r="X279" s="204">
        <f>INDEX('Tarieven ZM'!$H:$H,$W279)</f>
        <v>1000</v>
      </c>
      <c r="Y279" s="198">
        <f>-INDEX(Parameters!$B:$B,MATCH(Y$3&amp;$C279,Parameters!$A:$A,0))*$X279</f>
        <v>0</v>
      </c>
      <c r="Z279" s="198">
        <f>-INDEX(Parameters!$B:$B,MATCH(Z$3&amp;$C279,Parameters!$A:$A,0))*$X279</f>
        <v>0</v>
      </c>
      <c r="AA279" s="139">
        <f t="shared" si="162"/>
        <v>1000</v>
      </c>
      <c r="AB279" s="205">
        <f>AA279/INDEX(Parameters!$B:$B,MATCH("AfschrijftermijnVVE"&amp;12*$C279,Parameters!$A:$A,0))</f>
        <v>27.777777777777779</v>
      </c>
      <c r="AC279" s="204">
        <f>INDEX('Tarieven ZM'!$G:$G,$W279)</f>
        <v>1000</v>
      </c>
      <c r="AD279" s="198">
        <f>-INDEX(Parameters!$B:$B,MATCH(AD$3&amp;$C279,Parameters!$A:$A,0))*$AC279</f>
        <v>0</v>
      </c>
      <c r="AE279" s="198">
        <f>-INDEX(Parameters!$B:$B,MATCH(AE$3,Parameters!$A:$A,0))*$AC279</f>
        <v>0</v>
      </c>
      <c r="AF279" s="139">
        <f t="shared" si="163"/>
        <v>1000</v>
      </c>
      <c r="AG279" s="522">
        <f t="shared" si="164"/>
        <v>1027.7777777777778</v>
      </c>
      <c r="AH279" s="175"/>
      <c r="AI279" s="523">
        <f>MATCH($U279,'Tarieven W&amp;O'!$B:$B,0)</f>
        <v>45</v>
      </c>
      <c r="AJ279" s="204">
        <f>IF(AI279&lt;&gt;"nvt",INDEX('Tarieven W&amp;O'!$H:$H,$AI279),0)</f>
        <v>0</v>
      </c>
      <c r="AK279" s="204">
        <f>IF(AI279&lt;&gt;"nvt",INDEX('Tarieven W&amp;O'!$I:$I,$AI279),0)</f>
        <v>25</v>
      </c>
      <c r="AL279" s="524">
        <f>IF(AI279&lt;&gt;"nvt",-INDEX(Parameters!$B:$B,MATCH(AL$3,Parameters!$A:$A,0))*(AJ279+AK279),0)</f>
        <v>0</v>
      </c>
      <c r="AM279" s="525"/>
      <c r="AN279" s="139">
        <f t="shared" si="165"/>
        <v>25</v>
      </c>
      <c r="AO279" s="205">
        <f>AN279/INDEX(Parameters!$B:$B,MATCH("AfschrijftermijnVVE"&amp;12*$C279,Parameters!$A:$A,0))</f>
        <v>0.69444444444444442</v>
      </c>
      <c r="AP279" s="139">
        <f t="shared" si="166"/>
        <v>45</v>
      </c>
      <c r="AQ279" s="526">
        <f>IF(AP279&lt;&gt;"nvt",INDEX('Tarieven W&amp;O'!$G:$G,$AP279),0)</f>
        <v>29.78</v>
      </c>
      <c r="AR279" s="251">
        <f>IF($S279,INDEX('Tarieven W&amp;O'!$G:$G,MATCH(N279&amp;R279,'Tarieven W&amp;O'!$B:$B,0)),0)</f>
        <v>0</v>
      </c>
      <c r="AS279" s="205">
        <f>-INDEX(Parameters!$B:$B,MATCH(AS$3,Parameters!$A:$A,0))*(AQ279+AR279)</f>
        <v>0</v>
      </c>
      <c r="AT279" s="205">
        <f>INDEX(hulpblad!$E:$E,MATCH(M279&amp;Q279,hulpblad!$B:$B,0))</f>
        <v>2</v>
      </c>
      <c r="AU279" s="150">
        <f t="shared" si="147"/>
        <v>31.78</v>
      </c>
      <c r="AV279" s="150">
        <f t="shared" si="148"/>
        <v>32.474444444444444</v>
      </c>
      <c r="AX279" s="526">
        <f>Parameters!$B$6*AV279</f>
        <v>0.32474444444444445</v>
      </c>
      <c r="AY279" s="150">
        <v>0</v>
      </c>
      <c r="AZ279" s="150"/>
      <c r="BA279" s="150">
        <f t="shared" si="167"/>
        <v>0.32474444444444445</v>
      </c>
      <c r="BB279" s="150"/>
      <c r="BC279" s="522">
        <f t="shared" si="168"/>
        <v>32.799188888888885</v>
      </c>
      <c r="BD279" s="175"/>
      <c r="BE279" s="527">
        <f t="shared" si="149"/>
        <v>994.97858888888891</v>
      </c>
      <c r="BF279" s="181">
        <f t="shared" si="150"/>
        <v>0.96808727567567565</v>
      </c>
      <c r="BG279" s="520" t="b">
        <f t="shared" si="161"/>
        <v>0</v>
      </c>
      <c r="BI279" s="528" t="s">
        <v>2181</v>
      </c>
      <c r="BL279" s="151" t="str">
        <f t="shared" si="152"/>
        <v>EoKMetro - Nationaal</v>
      </c>
      <c r="BM279" s="529">
        <v>0</v>
      </c>
      <c r="BN279" s="180">
        <f>BM279/INDEX(Parameters!$B:$B,MATCH("AfschrijftermijnVVE"&amp;12*$C279,Parameters!$A:$A,0))</f>
        <v>0</v>
      </c>
      <c r="BO279" s="184">
        <f>INDEX('inkoop ULL tbv EVPN'!I:I,MATCH(BL279,'inkoop ULL tbv EVPN'!H:H,0))</f>
        <v>2</v>
      </c>
      <c r="BP279" s="184">
        <f t="shared" si="153"/>
        <v>2</v>
      </c>
      <c r="BR279" s="180">
        <f>Parameters!$B$12*AG279</f>
        <v>102.77777777777779</v>
      </c>
      <c r="BS279" s="180">
        <f>SUM(Distributievergoedingen!$F$12,Distributievergoedingen!$I$12,Distributievergoedingen!$L$12,Distributievergoedingen!$O$12)*AF279+SUM(Distributievergoedingen!$O$12*AA279+Distributievergoedingen!$R$12+Distributievergoedingen!$U$12+Distributievergoedingen!$X$12)/(MAX(36,12*C279))</f>
        <v>112.77777777777777</v>
      </c>
      <c r="BT279" s="150"/>
      <c r="BU279" s="150">
        <f t="shared" si="154"/>
        <v>215.55555555555554</v>
      </c>
      <c r="BW279" s="522">
        <f t="shared" si="155"/>
        <v>217.55555555555554</v>
      </c>
      <c r="BY279" s="527">
        <f t="shared" si="156"/>
        <v>810.22222222222229</v>
      </c>
      <c r="BZ279" s="181">
        <f t="shared" si="157"/>
        <v>0.78832432432432431</v>
      </c>
      <c r="CA279" s="520" t="b">
        <f t="shared" si="158"/>
        <v>0</v>
      </c>
    </row>
    <row r="280" spans="1:79" s="151" customFormat="1">
      <c r="A280" s="151" t="str">
        <f t="shared" si="151"/>
        <v>3EoKEntryNationaal30</v>
      </c>
      <c r="B280" s="520" t="str">
        <f t="shared" si="146"/>
        <v>3EoKEntryNationaal30</v>
      </c>
      <c r="C280" s="179">
        <v>3</v>
      </c>
      <c r="D280" s="179" t="s">
        <v>303</v>
      </c>
      <c r="E280" s="178" t="s">
        <v>45</v>
      </c>
      <c r="F280" s="178" t="s">
        <v>266</v>
      </c>
      <c r="G280" s="185" t="s">
        <v>415</v>
      </c>
      <c r="J280" s="520" t="str">
        <f t="shared" si="159"/>
        <v>EntryNationaal30</v>
      </c>
      <c r="L280" s="204">
        <f>INDEX(Mapping!$H:$H,MATCH(C$3&amp;C280,Mapping!$B:$B,0))</f>
        <v>1</v>
      </c>
      <c r="M280" s="204" t="str">
        <f>INDEX(Mapping!$H:$H,MATCH(D$3&amp;$D280,Mapping!$B:$B,0))</f>
        <v>EoK</v>
      </c>
      <c r="N280" s="204" t="str">
        <f>INDEX(Mapping!$H:$H,MATCH(E$3&amp;E280,Mapping!$B:$B,0))</f>
        <v>Lite</v>
      </c>
      <c r="O280" s="204" t="str">
        <f>INDEX(Mapping!$H:$H,MATCH(F$3&amp;F280,Mapping!$B:$B,0))</f>
        <v>Metro</v>
      </c>
      <c r="P280" s="204">
        <f>INDEX(Mapping!$H:$H,MATCH(G$3&amp;G280,Mapping!$B:$B,0))</f>
        <v>30</v>
      </c>
      <c r="Q280" s="204" t="str">
        <f>INDEX(Mapping!$H:$H,MATCH(Q$3&amp;$F280,Mapping!$B:$B,0))</f>
        <v>Metro - Nationaal</v>
      </c>
      <c r="R280" s="204" t="str">
        <f>INDEX(Mapping!$H:$H,MATCH("ZM VPN Service Level"&amp;E280,Mapping!$B:$B,0))</f>
        <v>Advanced</v>
      </c>
      <c r="S280" s="139" t="b">
        <f>IF($D280="EoK",INDEX(Mapping!$I:$I,MATCH($G$3&amp;$G280,Mapping!B:B,0)),FALSE)</f>
        <v>0</v>
      </c>
      <c r="T280" s="139"/>
      <c r="U280" s="520" t="str">
        <f t="shared" si="160"/>
        <v>LiteMetro30</v>
      </c>
      <c r="W280" s="521">
        <f>MATCH($J280,'Tarieven ZM'!$B:$B,0)</f>
        <v>56</v>
      </c>
      <c r="X280" s="204">
        <f>INDEX('Tarieven ZM'!$H:$H,$W280)</f>
        <v>1000</v>
      </c>
      <c r="Y280" s="198">
        <f>-INDEX(Parameters!$B:$B,MATCH(Y$3&amp;$C280,Parameters!$A:$A,0))*$X280</f>
        <v>0</v>
      </c>
      <c r="Z280" s="198">
        <f>-INDEX(Parameters!$B:$B,MATCH(Z$3&amp;$C280,Parameters!$A:$A,0))*$X280</f>
        <v>0</v>
      </c>
      <c r="AA280" s="139">
        <f t="shared" si="162"/>
        <v>1000</v>
      </c>
      <c r="AB280" s="205">
        <f>AA280/INDEX(Parameters!$B:$B,MATCH("AfschrijftermijnVVE"&amp;12*$C280,Parameters!$A:$A,0))</f>
        <v>27.777777777777779</v>
      </c>
      <c r="AC280" s="204">
        <f>INDEX('Tarieven ZM'!$G:$G,$W280)</f>
        <v>1000</v>
      </c>
      <c r="AD280" s="198">
        <f>-INDEX(Parameters!$B:$B,MATCH(AD$3&amp;$C280,Parameters!$A:$A,0))*$AC280</f>
        <v>0</v>
      </c>
      <c r="AE280" s="198">
        <f>-INDEX(Parameters!$B:$B,MATCH(AE$3,Parameters!$A:$A,0))*$AC280</f>
        <v>0</v>
      </c>
      <c r="AF280" s="139">
        <f t="shared" si="163"/>
        <v>1000</v>
      </c>
      <c r="AG280" s="522">
        <f t="shared" si="164"/>
        <v>1027.7777777777778</v>
      </c>
      <c r="AH280" s="175"/>
      <c r="AI280" s="523">
        <f>MATCH($U280,'Tarieven W&amp;O'!$B:$B,0)</f>
        <v>46</v>
      </c>
      <c r="AJ280" s="204">
        <f>IF(AI280&lt;&gt;"nvt",INDEX('Tarieven W&amp;O'!$H:$H,$AI280),0)</f>
        <v>0</v>
      </c>
      <c r="AK280" s="204">
        <f>IF(AI280&lt;&gt;"nvt",INDEX('Tarieven W&amp;O'!$I:$I,$AI280),0)</f>
        <v>25</v>
      </c>
      <c r="AL280" s="524">
        <f>IF(AI280&lt;&gt;"nvt",-INDEX(Parameters!$B:$B,MATCH(AL$3,Parameters!$A:$A,0))*(AJ280+AK280),0)</f>
        <v>0</v>
      </c>
      <c r="AM280" s="525"/>
      <c r="AN280" s="139">
        <f t="shared" si="165"/>
        <v>25</v>
      </c>
      <c r="AO280" s="205">
        <f>AN280/INDEX(Parameters!$B:$B,MATCH("AfschrijftermijnVVE"&amp;12*$C280,Parameters!$A:$A,0))</f>
        <v>0.69444444444444442</v>
      </c>
      <c r="AP280" s="139">
        <f t="shared" si="166"/>
        <v>46</v>
      </c>
      <c r="AQ280" s="526">
        <f>IF(AP280&lt;&gt;"nvt",INDEX('Tarieven W&amp;O'!$G:$G,$AP280),0)</f>
        <v>33.54</v>
      </c>
      <c r="AR280" s="251">
        <f>IF($S280,INDEX('Tarieven W&amp;O'!$G:$G,MATCH(N280&amp;R280,'Tarieven W&amp;O'!$B:$B,0)),0)</f>
        <v>0</v>
      </c>
      <c r="AS280" s="205">
        <f>-INDEX(Parameters!$B:$B,MATCH(AS$3,Parameters!$A:$A,0))*(AQ280+AR280)</f>
        <v>0</v>
      </c>
      <c r="AT280" s="205">
        <f>INDEX(hulpblad!$E:$E,MATCH(M280&amp;Q280,hulpblad!$B:$B,0))</f>
        <v>2</v>
      </c>
      <c r="AU280" s="150">
        <f t="shared" si="147"/>
        <v>35.54</v>
      </c>
      <c r="AV280" s="150">
        <f t="shared" si="148"/>
        <v>36.234444444444442</v>
      </c>
      <c r="AX280" s="526">
        <f>Parameters!$B$6*AV280</f>
        <v>0.36234444444444441</v>
      </c>
      <c r="AY280" s="150">
        <v>0</v>
      </c>
      <c r="AZ280" s="150"/>
      <c r="BA280" s="150">
        <f t="shared" si="167"/>
        <v>0.36234444444444441</v>
      </c>
      <c r="BB280" s="150"/>
      <c r="BC280" s="522">
        <f t="shared" si="168"/>
        <v>36.596788888888888</v>
      </c>
      <c r="BD280" s="175"/>
      <c r="BE280" s="527">
        <f t="shared" si="149"/>
        <v>991.18098888888892</v>
      </c>
      <c r="BF280" s="181">
        <f t="shared" si="150"/>
        <v>0.96439231351351351</v>
      </c>
      <c r="BG280" s="520" t="b">
        <f t="shared" si="161"/>
        <v>0</v>
      </c>
      <c r="BI280" s="528" t="s">
        <v>2181</v>
      </c>
      <c r="BL280" s="151" t="str">
        <f t="shared" si="152"/>
        <v>EoKMetro - Nationaal</v>
      </c>
      <c r="BM280" s="529">
        <v>0</v>
      </c>
      <c r="BN280" s="180">
        <f>BM280/INDEX(Parameters!$B:$B,MATCH("AfschrijftermijnVVE"&amp;12*$C280,Parameters!$A:$A,0))</f>
        <v>0</v>
      </c>
      <c r="BO280" s="184">
        <f>INDEX('inkoop ULL tbv EVPN'!I:I,MATCH(BL280,'inkoop ULL tbv EVPN'!H:H,0))</f>
        <v>2</v>
      </c>
      <c r="BP280" s="184">
        <f t="shared" si="153"/>
        <v>2</v>
      </c>
      <c r="BR280" s="180">
        <f>Parameters!$B$12*AG280</f>
        <v>102.77777777777779</v>
      </c>
      <c r="BS280" s="180">
        <f>SUM(Distributievergoedingen!$F$12,Distributievergoedingen!$I$12,Distributievergoedingen!$L$12,Distributievergoedingen!$O$12)*AF280+SUM(Distributievergoedingen!$O$12*AA280+Distributievergoedingen!$R$12+Distributievergoedingen!$U$12+Distributievergoedingen!$X$12)/(MAX(36,12*C280))</f>
        <v>112.77777777777777</v>
      </c>
      <c r="BT280" s="150"/>
      <c r="BU280" s="150">
        <f t="shared" si="154"/>
        <v>215.55555555555554</v>
      </c>
      <c r="BW280" s="522">
        <f t="shared" si="155"/>
        <v>217.55555555555554</v>
      </c>
      <c r="BY280" s="527">
        <f t="shared" si="156"/>
        <v>810.22222222222229</v>
      </c>
      <c r="BZ280" s="181">
        <f t="shared" si="157"/>
        <v>0.78832432432432431</v>
      </c>
      <c r="CA280" s="520" t="b">
        <f t="shared" si="158"/>
        <v>0</v>
      </c>
    </row>
    <row r="281" spans="1:79" s="151" customFormat="1">
      <c r="A281" s="151" t="str">
        <f t="shared" si="151"/>
        <v>3EoKEntryNationaal50</v>
      </c>
      <c r="B281" s="520" t="str">
        <f t="shared" si="146"/>
        <v>3EoKEntryNationaal50</v>
      </c>
      <c r="C281" s="179">
        <v>3</v>
      </c>
      <c r="D281" s="179" t="s">
        <v>303</v>
      </c>
      <c r="E281" s="178" t="s">
        <v>45</v>
      </c>
      <c r="F281" s="178" t="s">
        <v>266</v>
      </c>
      <c r="G281" s="185" t="s">
        <v>416</v>
      </c>
      <c r="J281" s="520" t="str">
        <f t="shared" si="159"/>
        <v>EntryNationaal50</v>
      </c>
      <c r="L281" s="204">
        <f>INDEX(Mapping!$H:$H,MATCH(C$3&amp;C281,Mapping!$B:$B,0))</f>
        <v>1</v>
      </c>
      <c r="M281" s="204" t="str">
        <f>INDEX(Mapping!$H:$H,MATCH(D$3&amp;$D281,Mapping!$B:$B,0))</f>
        <v>EoK</v>
      </c>
      <c r="N281" s="204" t="str">
        <f>INDEX(Mapping!$H:$H,MATCH(E$3&amp;E281,Mapping!$B:$B,0))</f>
        <v>Lite</v>
      </c>
      <c r="O281" s="204" t="str">
        <f>INDEX(Mapping!$H:$H,MATCH(F$3&amp;F281,Mapping!$B:$B,0))</f>
        <v>Metro</v>
      </c>
      <c r="P281" s="204">
        <f>INDEX(Mapping!$H:$H,MATCH(G$3&amp;G281,Mapping!$B:$B,0))</f>
        <v>50</v>
      </c>
      <c r="Q281" s="204" t="str">
        <f>INDEX(Mapping!$H:$H,MATCH(Q$3&amp;$F281,Mapping!$B:$B,0))</f>
        <v>Metro - Nationaal</v>
      </c>
      <c r="R281" s="204" t="str">
        <f>INDEX(Mapping!$H:$H,MATCH("ZM VPN Service Level"&amp;E281,Mapping!$B:$B,0))</f>
        <v>Advanced</v>
      </c>
      <c r="S281" s="139" t="b">
        <f>IF($D281="EoK",INDEX(Mapping!$I:$I,MATCH($G$3&amp;$G281,Mapping!B:B,0)),FALSE)</f>
        <v>0</v>
      </c>
      <c r="T281" s="139"/>
      <c r="U281" s="520" t="str">
        <f t="shared" si="160"/>
        <v>LiteMetro50</v>
      </c>
      <c r="W281" s="521">
        <f>MATCH($J281,'Tarieven ZM'!$B:$B,0)</f>
        <v>57</v>
      </c>
      <c r="X281" s="204">
        <f>INDEX('Tarieven ZM'!$H:$H,$W281)</f>
        <v>1000</v>
      </c>
      <c r="Y281" s="198">
        <f>-INDEX(Parameters!$B:$B,MATCH(Y$3&amp;$C281,Parameters!$A:$A,0))*$X281</f>
        <v>0</v>
      </c>
      <c r="Z281" s="198">
        <f>-INDEX(Parameters!$B:$B,MATCH(Z$3&amp;$C281,Parameters!$A:$A,0))*$X281</f>
        <v>0</v>
      </c>
      <c r="AA281" s="139">
        <f t="shared" si="162"/>
        <v>1000</v>
      </c>
      <c r="AB281" s="205">
        <f>AA281/INDEX(Parameters!$B:$B,MATCH("AfschrijftermijnVVE"&amp;12*$C281,Parameters!$A:$A,0))</f>
        <v>27.777777777777779</v>
      </c>
      <c r="AC281" s="204">
        <f>INDEX('Tarieven ZM'!$G:$G,$W281)</f>
        <v>1000</v>
      </c>
      <c r="AD281" s="198">
        <f>-INDEX(Parameters!$B:$B,MATCH(AD$3&amp;$C281,Parameters!$A:$A,0))*$AC281</f>
        <v>0</v>
      </c>
      <c r="AE281" s="198">
        <f>-INDEX(Parameters!$B:$B,MATCH(AE$3,Parameters!$A:$A,0))*$AC281</f>
        <v>0</v>
      </c>
      <c r="AF281" s="139">
        <f t="shared" si="163"/>
        <v>1000</v>
      </c>
      <c r="AG281" s="522">
        <f t="shared" si="164"/>
        <v>1027.7777777777778</v>
      </c>
      <c r="AH281" s="175"/>
      <c r="AI281" s="523">
        <f>MATCH($U281,'Tarieven W&amp;O'!$B:$B,0)</f>
        <v>47</v>
      </c>
      <c r="AJ281" s="204">
        <f>IF(AI281&lt;&gt;"nvt",INDEX('Tarieven W&amp;O'!$H:$H,$AI281),0)</f>
        <v>0</v>
      </c>
      <c r="AK281" s="204">
        <f>IF(AI281&lt;&gt;"nvt",INDEX('Tarieven W&amp;O'!$I:$I,$AI281),0)</f>
        <v>25</v>
      </c>
      <c r="AL281" s="524">
        <f>IF(AI281&lt;&gt;"nvt",-INDEX(Parameters!$B:$B,MATCH(AL$3,Parameters!$A:$A,0))*(AJ281+AK281),0)</f>
        <v>0</v>
      </c>
      <c r="AM281" s="525"/>
      <c r="AN281" s="139">
        <f t="shared" si="165"/>
        <v>25</v>
      </c>
      <c r="AO281" s="205">
        <f>AN281/INDEX(Parameters!$B:$B,MATCH("AfschrijftermijnVVE"&amp;12*$C281,Parameters!$A:$A,0))</f>
        <v>0.69444444444444442</v>
      </c>
      <c r="AP281" s="139">
        <f t="shared" si="166"/>
        <v>47</v>
      </c>
      <c r="AQ281" s="526">
        <f>IF(AP281&lt;&gt;"nvt",INDEX('Tarieven W&amp;O'!$G:$G,$AP281),0)</f>
        <v>48.62</v>
      </c>
      <c r="AR281" s="251">
        <f>IF($S281,INDEX('Tarieven W&amp;O'!$G:$G,MATCH(N281&amp;R281,'Tarieven W&amp;O'!$B:$B,0)),0)</f>
        <v>0</v>
      </c>
      <c r="AS281" s="205">
        <f>-INDEX(Parameters!$B:$B,MATCH(AS$3,Parameters!$A:$A,0))*(AQ281+AR281)</f>
        <v>0</v>
      </c>
      <c r="AT281" s="205">
        <f>INDEX(hulpblad!$E:$E,MATCH(M281&amp;Q281,hulpblad!$B:$B,0))</f>
        <v>2</v>
      </c>
      <c r="AU281" s="150">
        <f t="shared" si="147"/>
        <v>50.62</v>
      </c>
      <c r="AV281" s="150">
        <f t="shared" si="148"/>
        <v>51.31444444444444</v>
      </c>
      <c r="AX281" s="526">
        <f>Parameters!$B$6*AV281</f>
        <v>0.5131444444444444</v>
      </c>
      <c r="AY281" s="150">
        <v>0</v>
      </c>
      <c r="AZ281" s="150"/>
      <c r="BA281" s="150">
        <f t="shared" si="167"/>
        <v>0.5131444444444444</v>
      </c>
      <c r="BB281" s="150"/>
      <c r="BC281" s="522">
        <f t="shared" si="168"/>
        <v>51.827588888888883</v>
      </c>
      <c r="BD281" s="175"/>
      <c r="BE281" s="527">
        <f t="shared" si="149"/>
        <v>975.95018888888899</v>
      </c>
      <c r="BF281" s="181">
        <f t="shared" si="150"/>
        <v>0.9495731567567568</v>
      </c>
      <c r="BG281" s="520" t="b">
        <f t="shared" si="161"/>
        <v>0</v>
      </c>
      <c r="BI281" s="528" t="s">
        <v>2181</v>
      </c>
      <c r="BL281" s="151" t="str">
        <f t="shared" si="152"/>
        <v>EoKMetro - Nationaal</v>
      </c>
      <c r="BM281" s="529">
        <v>0</v>
      </c>
      <c r="BN281" s="180">
        <f>BM281/INDEX(Parameters!$B:$B,MATCH("AfschrijftermijnVVE"&amp;12*$C281,Parameters!$A:$A,0))</f>
        <v>0</v>
      </c>
      <c r="BO281" s="184">
        <f>INDEX('inkoop ULL tbv EVPN'!I:I,MATCH(BL281,'inkoop ULL tbv EVPN'!H:H,0))</f>
        <v>2</v>
      </c>
      <c r="BP281" s="184">
        <f t="shared" si="153"/>
        <v>2</v>
      </c>
      <c r="BR281" s="180">
        <f>Parameters!$B$12*AG281</f>
        <v>102.77777777777779</v>
      </c>
      <c r="BS281" s="180">
        <f>SUM(Distributievergoedingen!$F$12,Distributievergoedingen!$I$12,Distributievergoedingen!$L$12,Distributievergoedingen!$O$12)*AF281+SUM(Distributievergoedingen!$O$12*AA281+Distributievergoedingen!$R$12+Distributievergoedingen!$U$12+Distributievergoedingen!$X$12)/(MAX(36,12*C281))</f>
        <v>112.77777777777777</v>
      </c>
      <c r="BT281" s="150"/>
      <c r="BU281" s="150">
        <f t="shared" si="154"/>
        <v>215.55555555555554</v>
      </c>
      <c r="BW281" s="522">
        <f t="shared" si="155"/>
        <v>217.55555555555554</v>
      </c>
      <c r="BY281" s="527">
        <f t="shared" si="156"/>
        <v>810.22222222222229</v>
      </c>
      <c r="BZ281" s="181">
        <f t="shared" si="157"/>
        <v>0.78832432432432431</v>
      </c>
      <c r="CA281" s="520" t="b">
        <f t="shared" si="158"/>
        <v>0</v>
      </c>
    </row>
    <row r="282" spans="1:79" s="151" customFormat="1">
      <c r="A282" s="151" t="str">
        <f t="shared" si="151"/>
        <v>3EoKEntryNationaal80</v>
      </c>
      <c r="B282" s="520" t="str">
        <f t="shared" si="146"/>
        <v>3EoKEntryNationaal80</v>
      </c>
      <c r="C282" s="179">
        <v>3</v>
      </c>
      <c r="D282" s="179" t="s">
        <v>303</v>
      </c>
      <c r="E282" s="178" t="s">
        <v>45</v>
      </c>
      <c r="F282" s="178" t="s">
        <v>266</v>
      </c>
      <c r="G282" s="185" t="s">
        <v>417</v>
      </c>
      <c r="J282" s="520" t="str">
        <f t="shared" si="159"/>
        <v>EntryNationaal80</v>
      </c>
      <c r="L282" s="204">
        <f>INDEX(Mapping!$H:$H,MATCH(C$3&amp;C282,Mapping!$B:$B,0))</f>
        <v>1</v>
      </c>
      <c r="M282" s="204" t="str">
        <f>INDEX(Mapping!$H:$H,MATCH(D$3&amp;$D282,Mapping!$B:$B,0))</f>
        <v>EoK</v>
      </c>
      <c r="N282" s="204" t="str">
        <f>INDEX(Mapping!$H:$H,MATCH(E$3&amp;E282,Mapping!$B:$B,0))</f>
        <v>Lite</v>
      </c>
      <c r="O282" s="204" t="str">
        <f>INDEX(Mapping!$H:$H,MATCH(F$3&amp;F282,Mapping!$B:$B,0))</f>
        <v>Metro</v>
      </c>
      <c r="P282" s="204">
        <f>INDEX(Mapping!$H:$H,MATCH(G$3&amp;G282,Mapping!$B:$B,0))</f>
        <v>80</v>
      </c>
      <c r="Q282" s="204" t="str">
        <f>INDEX(Mapping!$H:$H,MATCH(Q$3&amp;$F282,Mapping!$B:$B,0))</f>
        <v>Metro - Nationaal</v>
      </c>
      <c r="R282" s="204" t="str">
        <f>INDEX(Mapping!$H:$H,MATCH("ZM VPN Service Level"&amp;E282,Mapping!$B:$B,0))</f>
        <v>Advanced</v>
      </c>
      <c r="S282" s="139" t="b">
        <f>IF($D282="EoK",INDEX(Mapping!$I:$I,MATCH($G$3&amp;$G282,Mapping!B:B,0)),FALSE)</f>
        <v>0</v>
      </c>
      <c r="T282" s="139"/>
      <c r="U282" s="520" t="str">
        <f t="shared" si="160"/>
        <v>LiteMetro80</v>
      </c>
      <c r="W282" s="521">
        <f>MATCH($J282,'Tarieven ZM'!$B:$B,0)</f>
        <v>58</v>
      </c>
      <c r="X282" s="204">
        <f>INDEX('Tarieven ZM'!$H:$H,$W282)</f>
        <v>1000</v>
      </c>
      <c r="Y282" s="198">
        <f>-INDEX(Parameters!$B:$B,MATCH(Y$3&amp;$C282,Parameters!$A:$A,0))*$X282</f>
        <v>0</v>
      </c>
      <c r="Z282" s="198">
        <f>-INDEX(Parameters!$B:$B,MATCH(Z$3&amp;$C282,Parameters!$A:$A,0))*$X282</f>
        <v>0</v>
      </c>
      <c r="AA282" s="139">
        <f t="shared" si="162"/>
        <v>1000</v>
      </c>
      <c r="AB282" s="205">
        <f>AA282/INDEX(Parameters!$B:$B,MATCH("AfschrijftermijnVVE"&amp;12*$C282,Parameters!$A:$A,0))</f>
        <v>27.777777777777779</v>
      </c>
      <c r="AC282" s="204">
        <f>INDEX('Tarieven ZM'!$G:$G,$W282)</f>
        <v>1000</v>
      </c>
      <c r="AD282" s="198">
        <f>-INDEX(Parameters!$B:$B,MATCH(AD$3&amp;$C282,Parameters!$A:$A,0))*$AC282</f>
        <v>0</v>
      </c>
      <c r="AE282" s="198">
        <f>-INDEX(Parameters!$B:$B,MATCH(AE$3,Parameters!$A:$A,0))*$AC282</f>
        <v>0</v>
      </c>
      <c r="AF282" s="139">
        <f t="shared" si="163"/>
        <v>1000</v>
      </c>
      <c r="AG282" s="522">
        <f t="shared" si="164"/>
        <v>1027.7777777777778</v>
      </c>
      <c r="AH282" s="175"/>
      <c r="AI282" s="523">
        <f>MATCH($U282,'Tarieven W&amp;O'!$B:$B,0)</f>
        <v>48</v>
      </c>
      <c r="AJ282" s="204">
        <f>IF(AI282&lt;&gt;"nvt",INDEX('Tarieven W&amp;O'!$H:$H,$AI282),0)</f>
        <v>0</v>
      </c>
      <c r="AK282" s="204">
        <f>IF(AI282&lt;&gt;"nvt",INDEX('Tarieven W&amp;O'!$I:$I,$AI282),0)</f>
        <v>25</v>
      </c>
      <c r="AL282" s="524">
        <f>IF(AI282&lt;&gt;"nvt",-INDEX(Parameters!$B:$B,MATCH(AL$3,Parameters!$A:$A,0))*(AJ282+AK282),0)</f>
        <v>0</v>
      </c>
      <c r="AM282" s="525"/>
      <c r="AN282" s="139">
        <f t="shared" si="165"/>
        <v>25</v>
      </c>
      <c r="AO282" s="205">
        <f>AN282/INDEX(Parameters!$B:$B,MATCH("AfschrijftermijnVVE"&amp;12*$C282,Parameters!$A:$A,0))</f>
        <v>0.69444444444444442</v>
      </c>
      <c r="AP282" s="139">
        <f t="shared" si="166"/>
        <v>48</v>
      </c>
      <c r="AQ282" s="526">
        <f>IF(AP282&lt;&gt;"nvt",INDEX('Tarieven W&amp;O'!$G:$G,$AP282),0)</f>
        <v>63.7</v>
      </c>
      <c r="AR282" s="251">
        <f>IF($S282,INDEX('Tarieven W&amp;O'!$G:$G,MATCH(N282&amp;R282,'Tarieven W&amp;O'!$B:$B,0)),0)</f>
        <v>0</v>
      </c>
      <c r="AS282" s="205">
        <f>-INDEX(Parameters!$B:$B,MATCH(AS$3,Parameters!$A:$A,0))*(AQ282+AR282)</f>
        <v>0</v>
      </c>
      <c r="AT282" s="205">
        <f>INDEX(hulpblad!$E:$E,MATCH(M282&amp;Q282,hulpblad!$B:$B,0))</f>
        <v>2</v>
      </c>
      <c r="AU282" s="150">
        <f t="shared" si="147"/>
        <v>65.7</v>
      </c>
      <c r="AV282" s="150">
        <f t="shared" si="148"/>
        <v>66.394444444444446</v>
      </c>
      <c r="AX282" s="526">
        <f>Parameters!$B$6*AV282</f>
        <v>0.66394444444444445</v>
      </c>
      <c r="AY282" s="150">
        <v>0</v>
      </c>
      <c r="AZ282" s="150"/>
      <c r="BA282" s="150">
        <f t="shared" si="167"/>
        <v>0.66394444444444445</v>
      </c>
      <c r="BB282" s="150"/>
      <c r="BC282" s="522">
        <f t="shared" si="168"/>
        <v>67.058388888888885</v>
      </c>
      <c r="BD282" s="175"/>
      <c r="BE282" s="527">
        <f t="shared" si="149"/>
        <v>960.71938888888894</v>
      </c>
      <c r="BF282" s="181">
        <f t="shared" si="150"/>
        <v>0.93475399999999997</v>
      </c>
      <c r="BG282" s="520" t="b">
        <f t="shared" si="161"/>
        <v>0</v>
      </c>
      <c r="BI282" s="528" t="s">
        <v>2181</v>
      </c>
      <c r="BL282" s="151" t="str">
        <f t="shared" si="152"/>
        <v>EoKMetro - Nationaal</v>
      </c>
      <c r="BM282" s="529">
        <v>0</v>
      </c>
      <c r="BN282" s="180">
        <f>BM282/INDEX(Parameters!$B:$B,MATCH("AfschrijftermijnVVE"&amp;12*$C282,Parameters!$A:$A,0))</f>
        <v>0</v>
      </c>
      <c r="BO282" s="184">
        <f>INDEX('inkoop ULL tbv EVPN'!I:I,MATCH(BL282,'inkoop ULL tbv EVPN'!H:H,0))</f>
        <v>2</v>
      </c>
      <c r="BP282" s="184">
        <f t="shared" si="153"/>
        <v>2</v>
      </c>
      <c r="BR282" s="180">
        <f>Parameters!$B$12*AG282</f>
        <v>102.77777777777779</v>
      </c>
      <c r="BS282" s="180">
        <f>SUM(Distributievergoedingen!$F$12,Distributievergoedingen!$I$12,Distributievergoedingen!$L$12,Distributievergoedingen!$O$12)*AF282+SUM(Distributievergoedingen!$O$12*AA282+Distributievergoedingen!$R$12+Distributievergoedingen!$U$12+Distributievergoedingen!$X$12)/(MAX(36,12*C282))</f>
        <v>112.77777777777777</v>
      </c>
      <c r="BT282" s="150"/>
      <c r="BU282" s="150">
        <f t="shared" si="154"/>
        <v>215.55555555555554</v>
      </c>
      <c r="BW282" s="522">
        <f t="shared" si="155"/>
        <v>217.55555555555554</v>
      </c>
      <c r="BY282" s="527">
        <f t="shared" si="156"/>
        <v>810.22222222222229</v>
      </c>
      <c r="BZ282" s="181">
        <f t="shared" si="157"/>
        <v>0.78832432432432431</v>
      </c>
      <c r="CA282" s="520" t="b">
        <f t="shared" si="158"/>
        <v>0</v>
      </c>
    </row>
    <row r="283" spans="1:79" s="151" customFormat="1">
      <c r="A283" s="151" t="str">
        <f t="shared" si="151"/>
        <v>3EoKEntryNationaal100</v>
      </c>
      <c r="B283" s="520" t="str">
        <f t="shared" si="146"/>
        <v>3EoKEntryNationaal100</v>
      </c>
      <c r="C283" s="179">
        <v>3</v>
      </c>
      <c r="D283" s="179" t="s">
        <v>303</v>
      </c>
      <c r="E283" s="178" t="s">
        <v>45</v>
      </c>
      <c r="F283" s="178" t="s">
        <v>266</v>
      </c>
      <c r="G283" s="185" t="s">
        <v>418</v>
      </c>
      <c r="J283" s="520" t="str">
        <f t="shared" si="159"/>
        <v>EntryNationaal100</v>
      </c>
      <c r="L283" s="204">
        <f>INDEX(Mapping!$H:$H,MATCH(C$3&amp;C283,Mapping!$B:$B,0))</f>
        <v>1</v>
      </c>
      <c r="M283" s="204" t="str">
        <f>INDEX(Mapping!$H:$H,MATCH(D$3&amp;$D283,Mapping!$B:$B,0))</f>
        <v>EoK</v>
      </c>
      <c r="N283" s="204" t="str">
        <f>INDEX(Mapping!$H:$H,MATCH(E$3&amp;E283,Mapping!$B:$B,0))</f>
        <v>Lite</v>
      </c>
      <c r="O283" s="204" t="str">
        <f>INDEX(Mapping!$H:$H,MATCH(F$3&amp;F283,Mapping!$B:$B,0))</f>
        <v>Metro</v>
      </c>
      <c r="P283" s="204">
        <f>INDEX(Mapping!$H:$H,MATCH(G$3&amp;G283,Mapping!$B:$B,0))</f>
        <v>100</v>
      </c>
      <c r="Q283" s="204" t="str">
        <f>INDEX(Mapping!$H:$H,MATCH(Q$3&amp;$F283,Mapping!$B:$B,0))</f>
        <v>Metro - Nationaal</v>
      </c>
      <c r="R283" s="204" t="str">
        <f>INDEX(Mapping!$H:$H,MATCH("ZM VPN Service Level"&amp;E283,Mapping!$B:$B,0))</f>
        <v>Advanced</v>
      </c>
      <c r="S283" s="139" t="b">
        <f>IF($D283="EoK",INDEX(Mapping!$I:$I,MATCH($G$3&amp;$G283,Mapping!B:B,0)),FALSE)</f>
        <v>0</v>
      </c>
      <c r="T283" s="139"/>
      <c r="U283" s="520" t="str">
        <f t="shared" si="160"/>
        <v>LiteMetro100</v>
      </c>
      <c r="W283" s="521">
        <f>MATCH($J283,'Tarieven ZM'!$B:$B,0)</f>
        <v>59</v>
      </c>
      <c r="X283" s="204">
        <f>INDEX('Tarieven ZM'!$H:$H,$W283)</f>
        <v>1000</v>
      </c>
      <c r="Y283" s="198">
        <f>-INDEX(Parameters!$B:$B,MATCH(Y$3&amp;$C283,Parameters!$A:$A,0))*$X283</f>
        <v>0</v>
      </c>
      <c r="Z283" s="198">
        <f>-INDEX(Parameters!$B:$B,MATCH(Z$3&amp;$C283,Parameters!$A:$A,0))*$X283</f>
        <v>0</v>
      </c>
      <c r="AA283" s="139">
        <f t="shared" si="162"/>
        <v>1000</v>
      </c>
      <c r="AB283" s="205">
        <f>AA283/INDEX(Parameters!$B:$B,MATCH("AfschrijftermijnVVE"&amp;12*$C283,Parameters!$A:$A,0))</f>
        <v>27.777777777777779</v>
      </c>
      <c r="AC283" s="204">
        <f>INDEX('Tarieven ZM'!$G:$G,$W283)</f>
        <v>1000</v>
      </c>
      <c r="AD283" s="198">
        <f>-INDEX(Parameters!$B:$B,MATCH(AD$3&amp;$C283,Parameters!$A:$A,0))*$AC283</f>
        <v>0</v>
      </c>
      <c r="AE283" s="198">
        <f>-INDEX(Parameters!$B:$B,MATCH(AE$3,Parameters!$A:$A,0))*$AC283</f>
        <v>0</v>
      </c>
      <c r="AF283" s="139">
        <f t="shared" si="163"/>
        <v>1000</v>
      </c>
      <c r="AG283" s="522">
        <f t="shared" si="164"/>
        <v>1027.7777777777778</v>
      </c>
      <c r="AH283" s="175"/>
      <c r="AI283" s="523">
        <f>MATCH($U283,'Tarieven W&amp;O'!$B:$B,0)</f>
        <v>49</v>
      </c>
      <c r="AJ283" s="204">
        <f>IF(AI283&lt;&gt;"nvt",INDEX('Tarieven W&amp;O'!$H:$H,$AI283),0)</f>
        <v>0</v>
      </c>
      <c r="AK283" s="204">
        <f>IF(AI283&lt;&gt;"nvt",INDEX('Tarieven W&amp;O'!$I:$I,$AI283),0)</f>
        <v>25</v>
      </c>
      <c r="AL283" s="524">
        <f>IF(AI283&lt;&gt;"nvt",-INDEX(Parameters!$B:$B,MATCH(AL$3,Parameters!$A:$A,0))*(AJ283+AK283),0)</f>
        <v>0</v>
      </c>
      <c r="AM283" s="525"/>
      <c r="AN283" s="139">
        <f t="shared" si="165"/>
        <v>25</v>
      </c>
      <c r="AO283" s="205">
        <f>AN283/INDEX(Parameters!$B:$B,MATCH("AfschrijftermijnVVE"&amp;12*$C283,Parameters!$A:$A,0))</f>
        <v>0.69444444444444442</v>
      </c>
      <c r="AP283" s="139">
        <f t="shared" si="166"/>
        <v>49</v>
      </c>
      <c r="AQ283" s="526">
        <f>IF(AP283&lt;&gt;"nvt",INDEX('Tarieven W&amp;O'!$G:$G,$AP283),0)</f>
        <v>71.239999999999995</v>
      </c>
      <c r="AR283" s="251">
        <f>IF($S283,INDEX('Tarieven W&amp;O'!$G:$G,MATCH(N283&amp;R283,'Tarieven W&amp;O'!$B:$B,0)),0)</f>
        <v>0</v>
      </c>
      <c r="AS283" s="205">
        <f>-INDEX(Parameters!$B:$B,MATCH(AS$3,Parameters!$A:$A,0))*(AQ283+AR283)</f>
        <v>0</v>
      </c>
      <c r="AT283" s="205">
        <f>INDEX(hulpblad!$E:$E,MATCH(M283&amp;Q283,hulpblad!$B:$B,0))</f>
        <v>2</v>
      </c>
      <c r="AU283" s="150">
        <f t="shared" si="147"/>
        <v>73.239999999999995</v>
      </c>
      <c r="AV283" s="150">
        <f t="shared" si="148"/>
        <v>73.934444444444438</v>
      </c>
      <c r="AX283" s="526">
        <f>Parameters!$B$6*AV283</f>
        <v>0.73934444444444436</v>
      </c>
      <c r="AY283" s="150">
        <v>0</v>
      </c>
      <c r="AZ283" s="150"/>
      <c r="BA283" s="150">
        <f t="shared" si="167"/>
        <v>0.73934444444444436</v>
      </c>
      <c r="BB283" s="150"/>
      <c r="BC283" s="522">
        <f t="shared" si="168"/>
        <v>74.673788888888879</v>
      </c>
      <c r="BD283" s="175"/>
      <c r="BE283" s="527">
        <f t="shared" si="149"/>
        <v>953.10398888888892</v>
      </c>
      <c r="BF283" s="181">
        <f t="shared" si="150"/>
        <v>0.92734442162162156</v>
      </c>
      <c r="BG283" s="520" t="b">
        <f t="shared" si="161"/>
        <v>0</v>
      </c>
      <c r="BI283" s="528" t="s">
        <v>2181</v>
      </c>
      <c r="BL283" s="151" t="str">
        <f t="shared" si="152"/>
        <v>EoKMetro - Nationaal</v>
      </c>
      <c r="BM283" s="529">
        <v>0</v>
      </c>
      <c r="BN283" s="180">
        <f>BM283/INDEX(Parameters!$B:$B,MATCH("AfschrijftermijnVVE"&amp;12*$C283,Parameters!$A:$A,0))</f>
        <v>0</v>
      </c>
      <c r="BO283" s="184">
        <f>INDEX('inkoop ULL tbv EVPN'!I:I,MATCH(BL283,'inkoop ULL tbv EVPN'!H:H,0))</f>
        <v>2</v>
      </c>
      <c r="BP283" s="184">
        <f t="shared" si="153"/>
        <v>2</v>
      </c>
      <c r="BR283" s="180">
        <f>Parameters!$B$12*AG283</f>
        <v>102.77777777777779</v>
      </c>
      <c r="BS283" s="180">
        <f>SUM(Distributievergoedingen!$F$12,Distributievergoedingen!$I$12,Distributievergoedingen!$L$12,Distributievergoedingen!$O$12)*AF283+SUM(Distributievergoedingen!$O$12*AA283+Distributievergoedingen!$R$12+Distributievergoedingen!$U$12+Distributievergoedingen!$X$12)/(MAX(36,12*C283))</f>
        <v>112.77777777777777</v>
      </c>
      <c r="BT283" s="150"/>
      <c r="BU283" s="150">
        <f t="shared" si="154"/>
        <v>215.55555555555554</v>
      </c>
      <c r="BW283" s="522">
        <f t="shared" si="155"/>
        <v>217.55555555555554</v>
      </c>
      <c r="BY283" s="527">
        <f t="shared" si="156"/>
        <v>810.22222222222229</v>
      </c>
      <c r="BZ283" s="181">
        <f t="shared" si="157"/>
        <v>0.78832432432432431</v>
      </c>
      <c r="CA283" s="520" t="b">
        <f t="shared" si="158"/>
        <v>0</v>
      </c>
    </row>
    <row r="284" spans="1:79" s="151" customFormat="1">
      <c r="A284" s="151" t="str">
        <f t="shared" si="151"/>
        <v>3EoKEntryNationaal200</v>
      </c>
      <c r="B284" s="520" t="str">
        <f t="shared" si="146"/>
        <v>3EoKEntryNationaal200</v>
      </c>
      <c r="C284" s="179">
        <v>3</v>
      </c>
      <c r="D284" s="179" t="s">
        <v>303</v>
      </c>
      <c r="E284" s="178" t="s">
        <v>45</v>
      </c>
      <c r="F284" s="178" t="s">
        <v>266</v>
      </c>
      <c r="G284" s="185" t="s">
        <v>419</v>
      </c>
      <c r="J284" s="520" t="str">
        <f t="shared" si="159"/>
        <v>EntryNationaal200</v>
      </c>
      <c r="L284" s="204">
        <f>INDEX(Mapping!$H:$H,MATCH(C$3&amp;C284,Mapping!$B:$B,0))</f>
        <v>1</v>
      </c>
      <c r="M284" s="204" t="str">
        <f>INDEX(Mapping!$H:$H,MATCH(D$3&amp;$D284,Mapping!$B:$B,0))</f>
        <v>EoK</v>
      </c>
      <c r="N284" s="204" t="str">
        <f>INDEX(Mapping!$H:$H,MATCH(E$3&amp;E284,Mapping!$B:$B,0))</f>
        <v>Lite</v>
      </c>
      <c r="O284" s="204" t="str">
        <f>INDEX(Mapping!$H:$H,MATCH(F$3&amp;F284,Mapping!$B:$B,0))</f>
        <v>Metro</v>
      </c>
      <c r="P284" s="204">
        <f>INDEX(Mapping!$H:$H,MATCH(G$3&amp;G284,Mapping!$B:$B,0))</f>
        <v>200</v>
      </c>
      <c r="Q284" s="204" t="str">
        <f>INDEX(Mapping!$H:$H,MATCH(Q$3&amp;$F284,Mapping!$B:$B,0))</f>
        <v>Metro - Nationaal</v>
      </c>
      <c r="R284" s="204" t="str">
        <f>INDEX(Mapping!$H:$H,MATCH("ZM VPN Service Level"&amp;E284,Mapping!$B:$B,0))</f>
        <v>Advanced</v>
      </c>
      <c r="S284" s="139" t="b">
        <f>IF($D284="EoK",INDEX(Mapping!$I:$I,MATCH($G$3&amp;$G284,Mapping!B:B,0)),FALSE)</f>
        <v>0</v>
      </c>
      <c r="T284" s="139"/>
      <c r="U284" s="520" t="str">
        <f t="shared" si="160"/>
        <v>LiteMetro200</v>
      </c>
      <c r="W284" s="521">
        <f>MATCH($J284,'Tarieven ZM'!$B:$B,0)</f>
        <v>60</v>
      </c>
      <c r="X284" s="204">
        <f>INDEX('Tarieven ZM'!$H:$H,$W284)</f>
        <v>1000</v>
      </c>
      <c r="Y284" s="198">
        <f>-INDEX(Parameters!$B:$B,MATCH(Y$3&amp;$C284,Parameters!$A:$A,0))*$X284</f>
        <v>0</v>
      </c>
      <c r="Z284" s="198">
        <f>-INDEX(Parameters!$B:$B,MATCH(Z$3&amp;$C284,Parameters!$A:$A,0))*$X284</f>
        <v>0</v>
      </c>
      <c r="AA284" s="139">
        <f t="shared" si="162"/>
        <v>1000</v>
      </c>
      <c r="AB284" s="205">
        <f>AA284/INDEX(Parameters!$B:$B,MATCH("AfschrijftermijnVVE"&amp;12*$C284,Parameters!$A:$A,0))</f>
        <v>27.777777777777779</v>
      </c>
      <c r="AC284" s="204">
        <f>INDEX('Tarieven ZM'!$G:$G,$W284)</f>
        <v>1000</v>
      </c>
      <c r="AD284" s="198">
        <f>-INDEX(Parameters!$B:$B,MATCH(AD$3&amp;$C284,Parameters!$A:$A,0))*$AC284</f>
        <v>0</v>
      </c>
      <c r="AE284" s="198">
        <f>-INDEX(Parameters!$B:$B,MATCH(AE$3,Parameters!$A:$A,0))*$AC284</f>
        <v>0</v>
      </c>
      <c r="AF284" s="139">
        <f t="shared" si="163"/>
        <v>1000</v>
      </c>
      <c r="AG284" s="522">
        <f t="shared" si="164"/>
        <v>1027.7777777777778</v>
      </c>
      <c r="AH284" s="175"/>
      <c r="AI284" s="523">
        <f>MATCH($U284,'Tarieven W&amp;O'!$B:$B,0)</f>
        <v>50</v>
      </c>
      <c r="AJ284" s="204">
        <f>IF(AI284&lt;&gt;"nvt",INDEX('Tarieven W&amp;O'!$H:$H,$AI284),0)</f>
        <v>0</v>
      </c>
      <c r="AK284" s="204">
        <f>IF(AI284&lt;&gt;"nvt",INDEX('Tarieven W&amp;O'!$I:$I,$AI284),0)</f>
        <v>25</v>
      </c>
      <c r="AL284" s="524">
        <f>IF(AI284&lt;&gt;"nvt",-INDEX(Parameters!$B:$B,MATCH(AL$3,Parameters!$A:$A,0))*(AJ284+AK284),0)</f>
        <v>0</v>
      </c>
      <c r="AM284" s="525"/>
      <c r="AN284" s="139">
        <f t="shared" si="165"/>
        <v>25</v>
      </c>
      <c r="AO284" s="205">
        <f>AN284/INDEX(Parameters!$B:$B,MATCH("AfschrijftermijnVVE"&amp;12*$C284,Parameters!$A:$A,0))</f>
        <v>0.69444444444444442</v>
      </c>
      <c r="AP284" s="139">
        <f t="shared" si="166"/>
        <v>50</v>
      </c>
      <c r="AQ284" s="526">
        <f>IF(AP284&lt;&gt;"nvt",INDEX('Tarieven W&amp;O'!$G:$G,$AP284),0)</f>
        <v>108.93</v>
      </c>
      <c r="AR284" s="251">
        <f>IF($S284,INDEX('Tarieven W&amp;O'!$G:$G,MATCH(N284&amp;R284,'Tarieven W&amp;O'!$B:$B,0)),0)</f>
        <v>0</v>
      </c>
      <c r="AS284" s="205">
        <f>-INDEX(Parameters!$B:$B,MATCH(AS$3,Parameters!$A:$A,0))*(AQ284+AR284)</f>
        <v>0</v>
      </c>
      <c r="AT284" s="205">
        <f>INDEX(hulpblad!$E:$E,MATCH(M284&amp;Q284,hulpblad!$B:$B,0))</f>
        <v>2</v>
      </c>
      <c r="AU284" s="150">
        <f t="shared" si="147"/>
        <v>110.93</v>
      </c>
      <c r="AV284" s="150">
        <f t="shared" si="148"/>
        <v>111.62444444444445</v>
      </c>
      <c r="AX284" s="526">
        <f>Parameters!$B$6*AV284</f>
        <v>1.1162444444444446</v>
      </c>
      <c r="AY284" s="150">
        <v>0</v>
      </c>
      <c r="AZ284" s="150"/>
      <c r="BA284" s="150">
        <f t="shared" si="167"/>
        <v>1.1162444444444446</v>
      </c>
      <c r="BB284" s="150"/>
      <c r="BC284" s="522">
        <f t="shared" si="168"/>
        <v>112.7406888888889</v>
      </c>
      <c r="BD284" s="175"/>
      <c r="BE284" s="527">
        <f t="shared" si="149"/>
        <v>915.03708888888889</v>
      </c>
      <c r="BF284" s="181">
        <f t="shared" si="150"/>
        <v>0.89030635675675673</v>
      </c>
      <c r="BG284" s="520" t="b">
        <f t="shared" si="161"/>
        <v>0</v>
      </c>
      <c r="BI284" s="528" t="s">
        <v>2181</v>
      </c>
      <c r="BL284" s="151" t="str">
        <f t="shared" si="152"/>
        <v>EoKMetro - Nationaal</v>
      </c>
      <c r="BM284" s="529">
        <v>0</v>
      </c>
      <c r="BN284" s="180">
        <f>BM284/INDEX(Parameters!$B:$B,MATCH("AfschrijftermijnVVE"&amp;12*$C284,Parameters!$A:$A,0))</f>
        <v>0</v>
      </c>
      <c r="BO284" s="184">
        <f>INDEX('inkoop ULL tbv EVPN'!I:I,MATCH(BL284,'inkoop ULL tbv EVPN'!H:H,0))</f>
        <v>2</v>
      </c>
      <c r="BP284" s="184">
        <f t="shared" si="153"/>
        <v>2</v>
      </c>
      <c r="BR284" s="180">
        <f>Parameters!$B$12*AG284</f>
        <v>102.77777777777779</v>
      </c>
      <c r="BS284" s="180">
        <f>SUM(Distributievergoedingen!$F$12,Distributievergoedingen!$I$12,Distributievergoedingen!$L$12,Distributievergoedingen!$O$12)*AF284+SUM(Distributievergoedingen!$O$12*AA284+Distributievergoedingen!$R$12+Distributievergoedingen!$U$12+Distributievergoedingen!$X$12)/(MAX(36,12*C284))</f>
        <v>112.77777777777777</v>
      </c>
      <c r="BT284" s="150"/>
      <c r="BU284" s="150">
        <f t="shared" si="154"/>
        <v>215.55555555555554</v>
      </c>
      <c r="BW284" s="522">
        <f t="shared" si="155"/>
        <v>217.55555555555554</v>
      </c>
      <c r="BY284" s="527">
        <f t="shared" si="156"/>
        <v>810.22222222222229</v>
      </c>
      <c r="BZ284" s="181">
        <f t="shared" si="157"/>
        <v>0.78832432432432431</v>
      </c>
      <c r="CA284" s="520" t="b">
        <f t="shared" si="158"/>
        <v>0</v>
      </c>
    </row>
    <row r="285" spans="1:79" s="151" customFormat="1">
      <c r="A285" s="151" t="str">
        <f t="shared" si="151"/>
        <v>3EoKEntryNationaal300</v>
      </c>
      <c r="B285" s="520" t="str">
        <f t="shared" si="146"/>
        <v>3EoKEntryNationaal300</v>
      </c>
      <c r="C285" s="179">
        <v>3</v>
      </c>
      <c r="D285" s="179" t="s">
        <v>303</v>
      </c>
      <c r="E285" s="178" t="s">
        <v>45</v>
      </c>
      <c r="F285" s="178" t="s">
        <v>266</v>
      </c>
      <c r="G285" s="185" t="s">
        <v>420</v>
      </c>
      <c r="J285" s="520" t="str">
        <f t="shared" si="159"/>
        <v>EntryNationaal300</v>
      </c>
      <c r="L285" s="204">
        <f>INDEX(Mapping!$H:$H,MATCH(C$3&amp;C285,Mapping!$B:$B,0))</f>
        <v>1</v>
      </c>
      <c r="M285" s="204" t="str">
        <f>INDEX(Mapping!$H:$H,MATCH(D$3&amp;$D285,Mapping!$B:$B,0))</f>
        <v>EoK</v>
      </c>
      <c r="N285" s="204" t="str">
        <f>INDEX(Mapping!$H:$H,MATCH(E$3&amp;E285,Mapping!$B:$B,0))</f>
        <v>Lite</v>
      </c>
      <c r="O285" s="204" t="str">
        <f>INDEX(Mapping!$H:$H,MATCH(F$3&amp;F285,Mapping!$B:$B,0))</f>
        <v>Metro</v>
      </c>
      <c r="P285" s="204">
        <f>INDEX(Mapping!$H:$H,MATCH(G$3&amp;G285,Mapping!$B:$B,0))</f>
        <v>300</v>
      </c>
      <c r="Q285" s="204" t="str">
        <f>INDEX(Mapping!$H:$H,MATCH(Q$3&amp;$F285,Mapping!$B:$B,0))</f>
        <v>Metro - Nationaal</v>
      </c>
      <c r="R285" s="204" t="str">
        <f>INDEX(Mapping!$H:$H,MATCH("ZM VPN Service Level"&amp;E285,Mapping!$B:$B,0))</f>
        <v>Advanced</v>
      </c>
      <c r="S285" s="139" t="b">
        <f>IF($D285="EoK",INDEX(Mapping!$I:$I,MATCH($G$3&amp;$G285,Mapping!B:B,0)),FALSE)</f>
        <v>0</v>
      </c>
      <c r="T285" s="139"/>
      <c r="U285" s="520" t="str">
        <f t="shared" si="160"/>
        <v>LiteMetro300</v>
      </c>
      <c r="W285" s="521">
        <f>MATCH($J285,'Tarieven ZM'!$B:$B,0)</f>
        <v>61</v>
      </c>
      <c r="X285" s="204">
        <f>INDEX('Tarieven ZM'!$H:$H,$W285)</f>
        <v>1000</v>
      </c>
      <c r="Y285" s="198">
        <f>-INDEX(Parameters!$B:$B,MATCH(Y$3&amp;$C285,Parameters!$A:$A,0))*$X285</f>
        <v>0</v>
      </c>
      <c r="Z285" s="198">
        <f>-INDEX(Parameters!$B:$B,MATCH(Z$3&amp;$C285,Parameters!$A:$A,0))*$X285</f>
        <v>0</v>
      </c>
      <c r="AA285" s="139">
        <f t="shared" si="162"/>
        <v>1000</v>
      </c>
      <c r="AB285" s="205">
        <f>AA285/INDEX(Parameters!$B:$B,MATCH("AfschrijftermijnVVE"&amp;12*$C285,Parameters!$A:$A,0))</f>
        <v>27.777777777777779</v>
      </c>
      <c r="AC285" s="204">
        <f>INDEX('Tarieven ZM'!$G:$G,$W285)</f>
        <v>1000</v>
      </c>
      <c r="AD285" s="198">
        <f>-INDEX(Parameters!$B:$B,MATCH(AD$3&amp;$C285,Parameters!$A:$A,0))*$AC285</f>
        <v>0</v>
      </c>
      <c r="AE285" s="198">
        <f>-INDEX(Parameters!$B:$B,MATCH(AE$3,Parameters!$A:$A,0))*$AC285</f>
        <v>0</v>
      </c>
      <c r="AF285" s="139">
        <f t="shared" si="163"/>
        <v>1000</v>
      </c>
      <c r="AG285" s="522">
        <f t="shared" si="164"/>
        <v>1027.7777777777778</v>
      </c>
      <c r="AH285" s="175"/>
      <c r="AI285" s="523">
        <f>MATCH($U285,'Tarieven W&amp;O'!$B:$B,0)</f>
        <v>51</v>
      </c>
      <c r="AJ285" s="204">
        <f>IF(AI285&lt;&gt;"nvt",INDEX('Tarieven W&amp;O'!$H:$H,$AI285),0)</f>
        <v>0</v>
      </c>
      <c r="AK285" s="204">
        <f>IF(AI285&lt;&gt;"nvt",INDEX('Tarieven W&amp;O'!$I:$I,$AI285),0)</f>
        <v>25</v>
      </c>
      <c r="AL285" s="524">
        <f>IF(AI285&lt;&gt;"nvt",-INDEX(Parameters!$B:$B,MATCH(AL$3,Parameters!$A:$A,0))*(AJ285+AK285),0)</f>
        <v>0</v>
      </c>
      <c r="AM285" s="525"/>
      <c r="AN285" s="139">
        <f t="shared" si="165"/>
        <v>25</v>
      </c>
      <c r="AO285" s="205">
        <f>AN285/INDEX(Parameters!$B:$B,MATCH("AfschrijftermijnVVE"&amp;12*$C285,Parameters!$A:$A,0))</f>
        <v>0.69444444444444442</v>
      </c>
      <c r="AP285" s="139">
        <f t="shared" si="166"/>
        <v>51</v>
      </c>
      <c r="AQ285" s="526">
        <f>IF(AP285&lt;&gt;"nvt",INDEX('Tarieven W&amp;O'!$G:$G,$AP285),0)</f>
        <v>127.77</v>
      </c>
      <c r="AR285" s="251">
        <f>IF($S285,INDEX('Tarieven W&amp;O'!$G:$G,MATCH(N285&amp;R285,'Tarieven W&amp;O'!$B:$B,0)),0)</f>
        <v>0</v>
      </c>
      <c r="AS285" s="205">
        <f>-INDEX(Parameters!$B:$B,MATCH(AS$3,Parameters!$A:$A,0))*(AQ285+AR285)</f>
        <v>0</v>
      </c>
      <c r="AT285" s="205">
        <f>INDEX(hulpblad!$E:$E,MATCH(M285&amp;Q285,hulpblad!$B:$B,0))</f>
        <v>2</v>
      </c>
      <c r="AU285" s="150">
        <f t="shared" si="147"/>
        <v>129.76999999999998</v>
      </c>
      <c r="AV285" s="150">
        <f t="shared" si="148"/>
        <v>130.46444444444444</v>
      </c>
      <c r="AX285" s="526">
        <f>Parameters!$B$6*AV285</f>
        <v>1.3046444444444445</v>
      </c>
      <c r="AY285" s="150">
        <v>0</v>
      </c>
      <c r="AZ285" s="150"/>
      <c r="BA285" s="150">
        <f t="shared" si="167"/>
        <v>1.3046444444444445</v>
      </c>
      <c r="BB285" s="150"/>
      <c r="BC285" s="522">
        <f t="shared" si="168"/>
        <v>131.76908888888889</v>
      </c>
      <c r="BD285" s="175"/>
      <c r="BE285" s="527">
        <f t="shared" si="149"/>
        <v>896.00868888888897</v>
      </c>
      <c r="BF285" s="181">
        <f t="shared" si="150"/>
        <v>0.87179223783783788</v>
      </c>
      <c r="BG285" s="520" t="b">
        <f t="shared" si="161"/>
        <v>0</v>
      </c>
      <c r="BI285" s="528" t="s">
        <v>2181</v>
      </c>
      <c r="BL285" s="151" t="str">
        <f t="shared" si="152"/>
        <v>EoKMetro - Nationaal</v>
      </c>
      <c r="BM285" s="529">
        <v>0</v>
      </c>
      <c r="BN285" s="180">
        <f>BM285/INDEX(Parameters!$B:$B,MATCH("AfschrijftermijnVVE"&amp;12*$C285,Parameters!$A:$A,0))</f>
        <v>0</v>
      </c>
      <c r="BO285" s="184">
        <f>INDEX('inkoop ULL tbv EVPN'!I:I,MATCH(BL285,'inkoop ULL tbv EVPN'!H:H,0))</f>
        <v>2</v>
      </c>
      <c r="BP285" s="184">
        <f t="shared" si="153"/>
        <v>2</v>
      </c>
      <c r="BR285" s="180">
        <f>Parameters!$B$12*AG285</f>
        <v>102.77777777777779</v>
      </c>
      <c r="BS285" s="180">
        <f>SUM(Distributievergoedingen!$F$12,Distributievergoedingen!$I$12,Distributievergoedingen!$L$12,Distributievergoedingen!$O$12)*AF285+SUM(Distributievergoedingen!$O$12*AA285+Distributievergoedingen!$R$12+Distributievergoedingen!$U$12+Distributievergoedingen!$X$12)/(MAX(36,12*C285))</f>
        <v>112.77777777777777</v>
      </c>
      <c r="BT285" s="150"/>
      <c r="BU285" s="150">
        <f t="shared" si="154"/>
        <v>215.55555555555554</v>
      </c>
      <c r="BW285" s="522">
        <f t="shared" si="155"/>
        <v>217.55555555555554</v>
      </c>
      <c r="BY285" s="527">
        <f t="shared" si="156"/>
        <v>810.22222222222229</v>
      </c>
      <c r="BZ285" s="181">
        <f t="shared" si="157"/>
        <v>0.78832432432432431</v>
      </c>
      <c r="CA285" s="520" t="b">
        <f t="shared" si="158"/>
        <v>0</v>
      </c>
    </row>
    <row r="286" spans="1:79" s="151" customFormat="1">
      <c r="A286" s="151" t="str">
        <f t="shared" si="151"/>
        <v>3EoKEntryNationaal500</v>
      </c>
      <c r="B286" s="520" t="str">
        <f t="shared" si="146"/>
        <v>3EoKEntryNationaal500</v>
      </c>
      <c r="C286" s="179">
        <v>3</v>
      </c>
      <c r="D286" s="179" t="s">
        <v>303</v>
      </c>
      <c r="E286" s="178" t="s">
        <v>45</v>
      </c>
      <c r="F286" s="178" t="s">
        <v>266</v>
      </c>
      <c r="G286" s="185" t="s">
        <v>421</v>
      </c>
      <c r="J286" s="520" t="str">
        <f t="shared" si="159"/>
        <v>EntryNationaal500</v>
      </c>
      <c r="L286" s="204">
        <f>INDEX(Mapping!$H:$H,MATCH(C$3&amp;C286,Mapping!$B:$B,0))</f>
        <v>1</v>
      </c>
      <c r="M286" s="204" t="str">
        <f>INDEX(Mapping!$H:$H,MATCH(D$3&amp;$D286,Mapping!$B:$B,0))</f>
        <v>EoK</v>
      </c>
      <c r="N286" s="204" t="str">
        <f>INDEX(Mapping!$H:$H,MATCH(E$3&amp;E286,Mapping!$B:$B,0))</f>
        <v>Lite</v>
      </c>
      <c r="O286" s="204" t="str">
        <f>INDEX(Mapping!$H:$H,MATCH(F$3&amp;F286,Mapping!$B:$B,0))</f>
        <v>Metro</v>
      </c>
      <c r="P286" s="204">
        <f>INDEX(Mapping!$H:$H,MATCH(G$3&amp;G286,Mapping!$B:$B,0))</f>
        <v>500</v>
      </c>
      <c r="Q286" s="204" t="str">
        <f>INDEX(Mapping!$H:$H,MATCH(Q$3&amp;$F286,Mapping!$B:$B,0))</f>
        <v>Metro - Nationaal</v>
      </c>
      <c r="R286" s="204" t="str">
        <f>INDEX(Mapping!$H:$H,MATCH("ZM VPN Service Level"&amp;E286,Mapping!$B:$B,0))</f>
        <v>Advanced</v>
      </c>
      <c r="S286" s="139" t="b">
        <f>IF($D286="EoK",INDEX(Mapping!$I:$I,MATCH($G$3&amp;$G286,Mapping!B:B,0)),FALSE)</f>
        <v>0</v>
      </c>
      <c r="T286" s="139"/>
      <c r="U286" s="520" t="str">
        <f t="shared" si="160"/>
        <v>LiteMetro500</v>
      </c>
      <c r="W286" s="521">
        <f>MATCH($J286,'Tarieven ZM'!$B:$B,0)</f>
        <v>62</v>
      </c>
      <c r="X286" s="204">
        <f>INDEX('Tarieven ZM'!$H:$H,$W286)</f>
        <v>1000</v>
      </c>
      <c r="Y286" s="198">
        <f>-INDEX(Parameters!$B:$B,MATCH(Y$3&amp;$C286,Parameters!$A:$A,0))*$X286</f>
        <v>0</v>
      </c>
      <c r="Z286" s="198">
        <f>-INDEX(Parameters!$B:$B,MATCH(Z$3&amp;$C286,Parameters!$A:$A,0))*$X286</f>
        <v>0</v>
      </c>
      <c r="AA286" s="139">
        <f t="shared" si="162"/>
        <v>1000</v>
      </c>
      <c r="AB286" s="205">
        <f>AA286/INDEX(Parameters!$B:$B,MATCH("AfschrijftermijnVVE"&amp;12*$C286,Parameters!$A:$A,0))</f>
        <v>27.777777777777779</v>
      </c>
      <c r="AC286" s="204">
        <f>INDEX('Tarieven ZM'!$G:$G,$W286)</f>
        <v>1000</v>
      </c>
      <c r="AD286" s="198">
        <f>-INDEX(Parameters!$B:$B,MATCH(AD$3&amp;$C286,Parameters!$A:$A,0))*$AC286</f>
        <v>0</v>
      </c>
      <c r="AE286" s="198">
        <f>-INDEX(Parameters!$B:$B,MATCH(AE$3,Parameters!$A:$A,0))*$AC286</f>
        <v>0</v>
      </c>
      <c r="AF286" s="139">
        <f t="shared" si="163"/>
        <v>1000</v>
      </c>
      <c r="AG286" s="522">
        <f t="shared" si="164"/>
        <v>1027.7777777777778</v>
      </c>
      <c r="AH286" s="175"/>
      <c r="AI286" s="523">
        <f>MATCH($U286,'Tarieven W&amp;O'!$B:$B,0)</f>
        <v>52</v>
      </c>
      <c r="AJ286" s="204">
        <f>IF(AI286&lt;&gt;"nvt",INDEX('Tarieven W&amp;O'!$H:$H,$AI286),0)</f>
        <v>0</v>
      </c>
      <c r="AK286" s="204">
        <f>IF(AI286&lt;&gt;"nvt",INDEX('Tarieven W&amp;O'!$I:$I,$AI286),0)</f>
        <v>25</v>
      </c>
      <c r="AL286" s="524">
        <f>IF(AI286&lt;&gt;"nvt",-INDEX(Parameters!$B:$B,MATCH(AL$3,Parameters!$A:$A,0))*(AJ286+AK286),0)</f>
        <v>0</v>
      </c>
      <c r="AM286" s="525"/>
      <c r="AN286" s="139">
        <f t="shared" si="165"/>
        <v>25</v>
      </c>
      <c r="AO286" s="205">
        <f>AN286/INDEX(Parameters!$B:$B,MATCH("AfschrijftermijnVVE"&amp;12*$C286,Parameters!$A:$A,0))</f>
        <v>0.69444444444444442</v>
      </c>
      <c r="AP286" s="139">
        <f t="shared" si="166"/>
        <v>52</v>
      </c>
      <c r="AQ286" s="526">
        <f>IF(AP286&lt;&gt;"nvt",INDEX('Tarieven W&amp;O'!$G:$G,$AP286),0)</f>
        <v>161.69</v>
      </c>
      <c r="AR286" s="251">
        <f>IF($S286,INDEX('Tarieven W&amp;O'!$G:$G,MATCH(N286&amp;R286,'Tarieven W&amp;O'!$B:$B,0)),0)</f>
        <v>0</v>
      </c>
      <c r="AS286" s="205">
        <f>-INDEX(Parameters!$B:$B,MATCH(AS$3,Parameters!$A:$A,0))*(AQ286+AR286)</f>
        <v>0</v>
      </c>
      <c r="AT286" s="205">
        <f>INDEX(hulpblad!$E:$E,MATCH(M286&amp;Q286,hulpblad!$B:$B,0))</f>
        <v>2</v>
      </c>
      <c r="AU286" s="150">
        <f t="shared" si="147"/>
        <v>163.69</v>
      </c>
      <c r="AV286" s="150">
        <f t="shared" si="148"/>
        <v>164.38444444444445</v>
      </c>
      <c r="AX286" s="526">
        <f>Parameters!$B$6*AV286</f>
        <v>1.6438444444444447</v>
      </c>
      <c r="AY286" s="150">
        <v>0</v>
      </c>
      <c r="AZ286" s="150"/>
      <c r="BA286" s="150">
        <f t="shared" si="167"/>
        <v>1.6438444444444447</v>
      </c>
      <c r="BB286" s="150"/>
      <c r="BC286" s="522">
        <f t="shared" si="168"/>
        <v>166.02828888888891</v>
      </c>
      <c r="BD286" s="175"/>
      <c r="BE286" s="527">
        <f t="shared" si="149"/>
        <v>861.74948888888889</v>
      </c>
      <c r="BF286" s="181">
        <f t="shared" si="150"/>
        <v>0.83845896216216209</v>
      </c>
      <c r="BG286" s="520" t="b">
        <f t="shared" si="161"/>
        <v>0</v>
      </c>
      <c r="BI286" s="528" t="s">
        <v>2181</v>
      </c>
      <c r="BL286" s="151" t="str">
        <f t="shared" si="152"/>
        <v>EoKMetro - Nationaal</v>
      </c>
      <c r="BM286" s="529">
        <v>0</v>
      </c>
      <c r="BN286" s="180">
        <f>BM286/INDEX(Parameters!$B:$B,MATCH("AfschrijftermijnVVE"&amp;12*$C286,Parameters!$A:$A,0))</f>
        <v>0</v>
      </c>
      <c r="BO286" s="184">
        <f>INDEX('inkoop ULL tbv EVPN'!I:I,MATCH(BL286,'inkoop ULL tbv EVPN'!H:H,0))</f>
        <v>2</v>
      </c>
      <c r="BP286" s="184">
        <f t="shared" si="153"/>
        <v>2</v>
      </c>
      <c r="BR286" s="180">
        <f>Parameters!$B$12*AG286</f>
        <v>102.77777777777779</v>
      </c>
      <c r="BS286" s="180">
        <f>SUM(Distributievergoedingen!$F$12,Distributievergoedingen!$I$12,Distributievergoedingen!$L$12,Distributievergoedingen!$O$12)*AF286+SUM(Distributievergoedingen!$O$12*AA286+Distributievergoedingen!$R$12+Distributievergoedingen!$U$12+Distributievergoedingen!$X$12)/(MAX(36,12*C286))</f>
        <v>112.77777777777777</v>
      </c>
      <c r="BT286" s="150"/>
      <c r="BU286" s="150">
        <f t="shared" si="154"/>
        <v>215.55555555555554</v>
      </c>
      <c r="BW286" s="522">
        <f t="shared" si="155"/>
        <v>217.55555555555554</v>
      </c>
      <c r="BY286" s="527">
        <f t="shared" si="156"/>
        <v>810.22222222222229</v>
      </c>
      <c r="BZ286" s="181">
        <f t="shared" si="157"/>
        <v>0.78832432432432431</v>
      </c>
      <c r="CA286" s="520" t="b">
        <f t="shared" si="158"/>
        <v>0</v>
      </c>
    </row>
    <row r="287" spans="1:79" s="151" customFormat="1">
      <c r="A287" s="151" t="str">
        <f t="shared" si="151"/>
        <v>3EoKEntryNationaal800</v>
      </c>
      <c r="B287" s="520" t="str">
        <f t="shared" si="146"/>
        <v>3EoKEntryNationaal800</v>
      </c>
      <c r="C287" s="179">
        <v>3</v>
      </c>
      <c r="D287" s="179" t="s">
        <v>303</v>
      </c>
      <c r="E287" s="178" t="s">
        <v>45</v>
      </c>
      <c r="F287" s="178" t="s">
        <v>266</v>
      </c>
      <c r="G287" s="185" t="s">
        <v>422</v>
      </c>
      <c r="J287" s="520" t="str">
        <f t="shared" si="159"/>
        <v>EntryNationaal800</v>
      </c>
      <c r="L287" s="204">
        <f>INDEX(Mapping!$H:$H,MATCH(C$3&amp;C287,Mapping!$B:$B,0))</f>
        <v>1</v>
      </c>
      <c r="M287" s="204" t="str">
        <f>INDEX(Mapping!$H:$H,MATCH(D$3&amp;$D287,Mapping!$B:$B,0))</f>
        <v>EoK</v>
      </c>
      <c r="N287" s="204" t="str">
        <f>INDEX(Mapping!$H:$H,MATCH(E$3&amp;E287,Mapping!$B:$B,0))</f>
        <v>Lite</v>
      </c>
      <c r="O287" s="204" t="str">
        <f>INDEX(Mapping!$H:$H,MATCH(F$3&amp;F287,Mapping!$B:$B,0))</f>
        <v>Metro</v>
      </c>
      <c r="P287" s="204">
        <f>INDEX(Mapping!$H:$H,MATCH(G$3&amp;G287,Mapping!$B:$B,0))</f>
        <v>800</v>
      </c>
      <c r="Q287" s="204" t="str">
        <f>INDEX(Mapping!$H:$H,MATCH(Q$3&amp;$F287,Mapping!$B:$B,0))</f>
        <v>Metro - Nationaal</v>
      </c>
      <c r="R287" s="204" t="str">
        <f>INDEX(Mapping!$H:$H,MATCH("ZM VPN Service Level"&amp;E287,Mapping!$B:$B,0))</f>
        <v>Advanced</v>
      </c>
      <c r="S287" s="139" t="b">
        <f>IF($D287="EoK",INDEX(Mapping!$I:$I,MATCH($G$3&amp;$G287,Mapping!B:B,0)),FALSE)</f>
        <v>0</v>
      </c>
      <c r="T287" s="139"/>
      <c r="U287" s="520" t="str">
        <f t="shared" si="160"/>
        <v>LiteMetro800</v>
      </c>
      <c r="W287" s="521">
        <f>MATCH($J287,'Tarieven ZM'!$B:$B,0)</f>
        <v>63</v>
      </c>
      <c r="X287" s="204">
        <f>INDEX('Tarieven ZM'!$H:$H,$W287)</f>
        <v>1000</v>
      </c>
      <c r="Y287" s="198">
        <f>-INDEX(Parameters!$B:$B,MATCH(Y$3&amp;$C287,Parameters!$A:$A,0))*$X287</f>
        <v>0</v>
      </c>
      <c r="Z287" s="198">
        <f>-INDEX(Parameters!$B:$B,MATCH(Z$3&amp;$C287,Parameters!$A:$A,0))*$X287</f>
        <v>0</v>
      </c>
      <c r="AA287" s="139">
        <f t="shared" si="162"/>
        <v>1000</v>
      </c>
      <c r="AB287" s="205">
        <f>AA287/INDEX(Parameters!$B:$B,MATCH("AfschrijftermijnVVE"&amp;12*$C287,Parameters!$A:$A,0))</f>
        <v>27.777777777777779</v>
      </c>
      <c r="AC287" s="204">
        <f>INDEX('Tarieven ZM'!$G:$G,$W287)</f>
        <v>1000</v>
      </c>
      <c r="AD287" s="198">
        <f>-INDEX(Parameters!$B:$B,MATCH(AD$3&amp;$C287,Parameters!$A:$A,0))*$AC287</f>
        <v>0</v>
      </c>
      <c r="AE287" s="198">
        <f>-INDEX(Parameters!$B:$B,MATCH(AE$3,Parameters!$A:$A,0))*$AC287</f>
        <v>0</v>
      </c>
      <c r="AF287" s="139">
        <f t="shared" si="163"/>
        <v>1000</v>
      </c>
      <c r="AG287" s="522">
        <f t="shared" si="164"/>
        <v>1027.7777777777778</v>
      </c>
      <c r="AH287" s="175"/>
      <c r="AI287" s="523">
        <f>MATCH($U287,'Tarieven W&amp;O'!$B:$B,0)</f>
        <v>53</v>
      </c>
      <c r="AJ287" s="204">
        <f>IF(AI287&lt;&gt;"nvt",INDEX('Tarieven W&amp;O'!$H:$H,$AI287),0)</f>
        <v>0</v>
      </c>
      <c r="AK287" s="204">
        <f>IF(AI287&lt;&gt;"nvt",INDEX('Tarieven W&amp;O'!$I:$I,$AI287),0)</f>
        <v>25</v>
      </c>
      <c r="AL287" s="524">
        <f>IF(AI287&lt;&gt;"nvt",-INDEX(Parameters!$B:$B,MATCH(AL$3,Parameters!$A:$A,0))*(AJ287+AK287),0)</f>
        <v>0</v>
      </c>
      <c r="AM287" s="525"/>
      <c r="AN287" s="139">
        <f t="shared" si="165"/>
        <v>25</v>
      </c>
      <c r="AO287" s="205">
        <f>AN287/INDEX(Parameters!$B:$B,MATCH("AfschrijftermijnVVE"&amp;12*$C287,Parameters!$A:$A,0))</f>
        <v>0.69444444444444442</v>
      </c>
      <c r="AP287" s="139">
        <f t="shared" si="166"/>
        <v>53</v>
      </c>
      <c r="AQ287" s="526">
        <f>IF(AP287&lt;&gt;"nvt",INDEX('Tarieven W&amp;O'!$G:$G,$AP287),0)</f>
        <v>184.31</v>
      </c>
      <c r="AR287" s="251">
        <f>IF($S287,INDEX('Tarieven W&amp;O'!$G:$G,MATCH(N287&amp;R287,'Tarieven W&amp;O'!$B:$B,0)),0)</f>
        <v>0</v>
      </c>
      <c r="AS287" s="205">
        <f>-INDEX(Parameters!$B:$B,MATCH(AS$3,Parameters!$A:$A,0))*(AQ287+AR287)</f>
        <v>0</v>
      </c>
      <c r="AT287" s="205">
        <f>INDEX(hulpblad!$E:$E,MATCH(M287&amp;Q287,hulpblad!$B:$B,0))</f>
        <v>2</v>
      </c>
      <c r="AU287" s="150">
        <f t="shared" si="147"/>
        <v>186.31</v>
      </c>
      <c r="AV287" s="150">
        <f t="shared" si="148"/>
        <v>187.00444444444446</v>
      </c>
      <c r="AX287" s="526">
        <f>Parameters!$B$6*AV287</f>
        <v>1.8700444444444446</v>
      </c>
      <c r="AY287" s="150">
        <v>0</v>
      </c>
      <c r="AZ287" s="150"/>
      <c r="BA287" s="150">
        <f t="shared" si="167"/>
        <v>1.8700444444444446</v>
      </c>
      <c r="BB287" s="150"/>
      <c r="BC287" s="522">
        <f t="shared" si="168"/>
        <v>188.87448888888889</v>
      </c>
      <c r="BD287" s="175"/>
      <c r="BE287" s="527">
        <f t="shared" si="149"/>
        <v>838.90328888888894</v>
      </c>
      <c r="BF287" s="181">
        <f t="shared" si="150"/>
        <v>0.81623022702702708</v>
      </c>
      <c r="BG287" s="520" t="b">
        <f t="shared" si="161"/>
        <v>0</v>
      </c>
      <c r="BI287" s="528" t="s">
        <v>2181</v>
      </c>
      <c r="BL287" s="151" t="str">
        <f t="shared" si="152"/>
        <v>EoKMetro - Nationaal</v>
      </c>
      <c r="BM287" s="529">
        <v>0</v>
      </c>
      <c r="BN287" s="180">
        <f>BM287/INDEX(Parameters!$B:$B,MATCH("AfschrijftermijnVVE"&amp;12*$C287,Parameters!$A:$A,0))</f>
        <v>0</v>
      </c>
      <c r="BO287" s="184">
        <f>INDEX('inkoop ULL tbv EVPN'!I:I,MATCH(BL287,'inkoop ULL tbv EVPN'!H:H,0))</f>
        <v>2</v>
      </c>
      <c r="BP287" s="184">
        <f t="shared" si="153"/>
        <v>2</v>
      </c>
      <c r="BR287" s="180">
        <f>Parameters!$B$12*AG287</f>
        <v>102.77777777777779</v>
      </c>
      <c r="BS287" s="180">
        <f>SUM(Distributievergoedingen!$F$12,Distributievergoedingen!$I$12,Distributievergoedingen!$L$12,Distributievergoedingen!$O$12)*AF287+SUM(Distributievergoedingen!$O$12*AA287+Distributievergoedingen!$R$12+Distributievergoedingen!$U$12+Distributievergoedingen!$X$12)/(MAX(36,12*C287))</f>
        <v>112.77777777777777</v>
      </c>
      <c r="BT287" s="150"/>
      <c r="BU287" s="150">
        <f t="shared" si="154"/>
        <v>215.55555555555554</v>
      </c>
      <c r="BW287" s="522">
        <f t="shared" si="155"/>
        <v>217.55555555555554</v>
      </c>
      <c r="BY287" s="527">
        <f t="shared" si="156"/>
        <v>810.22222222222229</v>
      </c>
      <c r="BZ287" s="181">
        <f t="shared" si="157"/>
        <v>0.78832432432432431</v>
      </c>
      <c r="CA287" s="520" t="b">
        <f t="shared" si="158"/>
        <v>0</v>
      </c>
    </row>
    <row r="288" spans="1:79" s="151" customFormat="1">
      <c r="A288" s="151" t="str">
        <f t="shared" si="151"/>
        <v>3EoKEntryNationaal1000</v>
      </c>
      <c r="B288" s="520" t="str">
        <f t="shared" si="146"/>
        <v>3EoKEntryNationaal1000</v>
      </c>
      <c r="C288" s="179">
        <v>3</v>
      </c>
      <c r="D288" s="179" t="s">
        <v>303</v>
      </c>
      <c r="E288" s="178" t="s">
        <v>45</v>
      </c>
      <c r="F288" s="178" t="s">
        <v>266</v>
      </c>
      <c r="G288" s="185" t="s">
        <v>423</v>
      </c>
      <c r="J288" s="520" t="str">
        <f t="shared" si="159"/>
        <v>EntryNationaal1000</v>
      </c>
      <c r="L288" s="204">
        <f>INDEX(Mapping!$H:$H,MATCH(C$3&amp;C288,Mapping!$B:$B,0))</f>
        <v>1</v>
      </c>
      <c r="M288" s="204" t="str">
        <f>INDEX(Mapping!$H:$H,MATCH(D$3&amp;$D288,Mapping!$B:$B,0))</f>
        <v>EoK</v>
      </c>
      <c r="N288" s="204" t="str">
        <f>INDEX(Mapping!$H:$H,MATCH(E$3&amp;E288,Mapping!$B:$B,0))</f>
        <v>Lite</v>
      </c>
      <c r="O288" s="204" t="str">
        <f>INDEX(Mapping!$H:$H,MATCH(F$3&amp;F288,Mapping!$B:$B,0))</f>
        <v>Metro</v>
      </c>
      <c r="P288" s="204">
        <f>INDEX(Mapping!$H:$H,MATCH(G$3&amp;G288,Mapping!$B:$B,0))</f>
        <v>1000</v>
      </c>
      <c r="Q288" s="204" t="str">
        <f>INDEX(Mapping!$H:$H,MATCH(Q$3&amp;$F288,Mapping!$B:$B,0))</f>
        <v>Metro - Nationaal</v>
      </c>
      <c r="R288" s="204" t="str">
        <f>INDEX(Mapping!$H:$H,MATCH("ZM VPN Service Level"&amp;E288,Mapping!$B:$B,0))</f>
        <v>Advanced</v>
      </c>
      <c r="S288" s="139" t="b">
        <f>IF($D288="EoK",INDEX(Mapping!$I:$I,MATCH($G$3&amp;$G288,Mapping!B:B,0)),FALSE)</f>
        <v>0</v>
      </c>
      <c r="T288" s="139"/>
      <c r="U288" s="520" t="str">
        <f t="shared" si="160"/>
        <v>LiteMetro1000</v>
      </c>
      <c r="W288" s="521">
        <f>MATCH($J288,'Tarieven ZM'!$B:$B,0)</f>
        <v>64</v>
      </c>
      <c r="X288" s="204">
        <f>INDEX('Tarieven ZM'!$H:$H,$W288)</f>
        <v>1000</v>
      </c>
      <c r="Y288" s="198">
        <f>-INDEX(Parameters!$B:$B,MATCH(Y$3&amp;$C288,Parameters!$A:$A,0))*$X288</f>
        <v>0</v>
      </c>
      <c r="Z288" s="198">
        <f>-INDEX(Parameters!$B:$B,MATCH(Z$3&amp;$C288,Parameters!$A:$A,0))*$X288</f>
        <v>0</v>
      </c>
      <c r="AA288" s="139">
        <f t="shared" si="162"/>
        <v>1000</v>
      </c>
      <c r="AB288" s="205">
        <f>AA288/INDEX(Parameters!$B:$B,MATCH("AfschrijftermijnVVE"&amp;12*$C288,Parameters!$A:$A,0))</f>
        <v>27.777777777777779</v>
      </c>
      <c r="AC288" s="204">
        <f>INDEX('Tarieven ZM'!$G:$G,$W288)</f>
        <v>1000</v>
      </c>
      <c r="AD288" s="198">
        <f>-INDEX(Parameters!$B:$B,MATCH(AD$3&amp;$C288,Parameters!$A:$A,0))*$AC288</f>
        <v>0</v>
      </c>
      <c r="AE288" s="198">
        <f>-INDEX(Parameters!$B:$B,MATCH(AE$3,Parameters!$A:$A,0))*$AC288</f>
        <v>0</v>
      </c>
      <c r="AF288" s="139">
        <f t="shared" si="163"/>
        <v>1000</v>
      </c>
      <c r="AG288" s="522">
        <f t="shared" si="164"/>
        <v>1027.7777777777778</v>
      </c>
      <c r="AH288" s="175"/>
      <c r="AI288" s="523">
        <f>MATCH($U288,'Tarieven W&amp;O'!$B:$B,0)</f>
        <v>54</v>
      </c>
      <c r="AJ288" s="204">
        <f>IF(AI288&lt;&gt;"nvt",INDEX('Tarieven W&amp;O'!$H:$H,$AI288),0)</f>
        <v>0</v>
      </c>
      <c r="AK288" s="204">
        <f>IF(AI288&lt;&gt;"nvt",INDEX('Tarieven W&amp;O'!$I:$I,$AI288),0)</f>
        <v>25</v>
      </c>
      <c r="AL288" s="524">
        <f>IF(AI288&lt;&gt;"nvt",-INDEX(Parameters!$B:$B,MATCH(AL$3,Parameters!$A:$A,0))*(AJ288+AK288),0)</f>
        <v>0</v>
      </c>
      <c r="AM288" s="525"/>
      <c r="AN288" s="139">
        <f t="shared" si="165"/>
        <v>25</v>
      </c>
      <c r="AO288" s="205">
        <f>AN288/INDEX(Parameters!$B:$B,MATCH("AfschrijftermijnVVE"&amp;12*$C288,Parameters!$A:$A,0))</f>
        <v>0.69444444444444442</v>
      </c>
      <c r="AP288" s="139">
        <f t="shared" si="166"/>
        <v>54</v>
      </c>
      <c r="AQ288" s="526">
        <f>IF(AP288&lt;&gt;"nvt",INDEX('Tarieven W&amp;O'!$G:$G,$AP288),0)</f>
        <v>203.15</v>
      </c>
      <c r="AR288" s="251">
        <f>IF($S288,INDEX('Tarieven W&amp;O'!$G:$G,MATCH(N288&amp;R288,'Tarieven W&amp;O'!$B:$B,0)),0)</f>
        <v>0</v>
      </c>
      <c r="AS288" s="205">
        <f>-INDEX(Parameters!$B:$B,MATCH(AS$3,Parameters!$A:$A,0))*(AQ288+AR288)</f>
        <v>0</v>
      </c>
      <c r="AT288" s="205">
        <f>INDEX(hulpblad!$E:$E,MATCH(M288&amp;Q288,hulpblad!$B:$B,0))</f>
        <v>2</v>
      </c>
      <c r="AU288" s="150">
        <f t="shared" si="147"/>
        <v>205.15</v>
      </c>
      <c r="AV288" s="150">
        <f t="shared" si="148"/>
        <v>205.84444444444446</v>
      </c>
      <c r="AX288" s="526">
        <f>Parameters!$B$6*AV288</f>
        <v>2.0584444444444445</v>
      </c>
      <c r="AY288" s="150">
        <v>0</v>
      </c>
      <c r="AZ288" s="150"/>
      <c r="BA288" s="150">
        <f t="shared" si="167"/>
        <v>2.0584444444444445</v>
      </c>
      <c r="BB288" s="150"/>
      <c r="BC288" s="522">
        <f t="shared" si="168"/>
        <v>207.9028888888889</v>
      </c>
      <c r="BD288" s="175"/>
      <c r="BE288" s="527">
        <f t="shared" si="149"/>
        <v>819.8748888888889</v>
      </c>
      <c r="BF288" s="181">
        <f t="shared" si="150"/>
        <v>0.79771610810810811</v>
      </c>
      <c r="BG288" s="520" t="b">
        <f t="shared" si="161"/>
        <v>0</v>
      </c>
      <c r="BI288" s="528" t="s">
        <v>2181</v>
      </c>
      <c r="BL288" s="151" t="str">
        <f t="shared" si="152"/>
        <v>EoKMetro - Nationaal</v>
      </c>
      <c r="BM288" s="529">
        <v>0</v>
      </c>
      <c r="BN288" s="180">
        <f>BM288/INDEX(Parameters!$B:$B,MATCH("AfschrijftermijnVVE"&amp;12*$C288,Parameters!$A:$A,0))</f>
        <v>0</v>
      </c>
      <c r="BO288" s="184">
        <f>INDEX('inkoop ULL tbv EVPN'!I:I,MATCH(BL288,'inkoop ULL tbv EVPN'!H:H,0))</f>
        <v>2</v>
      </c>
      <c r="BP288" s="184">
        <f t="shared" si="153"/>
        <v>2</v>
      </c>
      <c r="BR288" s="180">
        <f>Parameters!$B$12*AG288</f>
        <v>102.77777777777779</v>
      </c>
      <c r="BS288" s="180">
        <f>SUM(Distributievergoedingen!$F$12,Distributievergoedingen!$I$12,Distributievergoedingen!$L$12,Distributievergoedingen!$O$12)*AF288+SUM(Distributievergoedingen!$O$12*AA288+Distributievergoedingen!$R$12+Distributievergoedingen!$U$12+Distributievergoedingen!$X$12)/(MAX(36,12*C288))</f>
        <v>112.77777777777777</v>
      </c>
      <c r="BT288" s="150"/>
      <c r="BU288" s="150">
        <f t="shared" si="154"/>
        <v>215.55555555555554</v>
      </c>
      <c r="BW288" s="522">
        <f t="shared" si="155"/>
        <v>217.55555555555554</v>
      </c>
      <c r="BY288" s="527">
        <f t="shared" si="156"/>
        <v>810.22222222222229</v>
      </c>
      <c r="BZ288" s="181">
        <f t="shared" si="157"/>
        <v>0.78832432432432431</v>
      </c>
      <c r="CA288" s="520" t="b">
        <f t="shared" si="158"/>
        <v>0</v>
      </c>
    </row>
    <row r="289" spans="1:79" s="151" customFormat="1">
      <c r="A289" s="151" t="str">
        <f t="shared" si="151"/>
        <v>3EoKPremiumCity1</v>
      </c>
      <c r="B289" s="520" t="str">
        <f t="shared" si="146"/>
        <v>3EoKPremiumCity1</v>
      </c>
      <c r="C289" s="179">
        <v>3</v>
      </c>
      <c r="D289" s="179" t="s">
        <v>303</v>
      </c>
      <c r="E289" s="178" t="s">
        <v>267</v>
      </c>
      <c r="F289" s="178" t="s">
        <v>262</v>
      </c>
      <c r="G289" s="185" t="s">
        <v>362</v>
      </c>
      <c r="J289" s="520" t="str">
        <f t="shared" si="159"/>
        <v>PremiumCity1</v>
      </c>
      <c r="L289" s="204">
        <f>INDEX(Mapping!$H:$H,MATCH(C$3&amp;C289,Mapping!$B:$B,0))</f>
        <v>1</v>
      </c>
      <c r="M289" s="204" t="str">
        <f>INDEX(Mapping!$H:$H,MATCH(D$3&amp;$D289,Mapping!$B:$B,0))</f>
        <v>EoK</v>
      </c>
      <c r="N289" s="204" t="str">
        <f>INDEX(Mapping!$H:$H,MATCH(E$3&amp;E289,Mapping!$B:$B,0))</f>
        <v>Premium</v>
      </c>
      <c r="O289" s="204" t="str">
        <f>INDEX(Mapping!$H:$H,MATCH(F$3&amp;F289,Mapping!$B:$B,0))</f>
        <v>Metro</v>
      </c>
      <c r="P289" s="204">
        <f>INDEX(Mapping!$H:$H,MATCH(G$3&amp;G289,Mapping!$B:$B,0))</f>
        <v>1</v>
      </c>
      <c r="Q289" s="204" t="str">
        <f>INDEX(Mapping!$H:$H,MATCH(Q$3&amp;$F289,Mapping!$B:$B,0))</f>
        <v>Metro - Regionaal</v>
      </c>
      <c r="R289" s="204" t="str">
        <f>INDEX(Mapping!$H:$H,MATCH("ZM VPN Service Level"&amp;E289,Mapping!$B:$B,0))</f>
        <v>Advanced</v>
      </c>
      <c r="S289" s="139" t="b">
        <f>IF($D289="EoK",INDEX(Mapping!$I:$I,MATCH($G$3&amp;$G289,Mapping!B:B,0)),FALSE)</f>
        <v>1</v>
      </c>
      <c r="T289" s="139"/>
      <c r="U289" s="520" t="str">
        <f t="shared" si="160"/>
        <v>PremiumMetro1</v>
      </c>
      <c r="W289" s="521">
        <f>MATCH($J289,'Tarieven ZM'!$B:$B,0)</f>
        <v>65</v>
      </c>
      <c r="X289" s="204">
        <f>INDEX('Tarieven ZM'!$H:$H,$W289)</f>
        <v>1000</v>
      </c>
      <c r="Y289" s="198">
        <f>-INDEX(Parameters!$B:$B,MATCH(Y$3&amp;$C289,Parameters!$A:$A,0))*$X289</f>
        <v>0</v>
      </c>
      <c r="Z289" s="198">
        <f>-INDEX(Parameters!$B:$B,MATCH(Z$3&amp;$C289,Parameters!$A:$A,0))*$X289</f>
        <v>0</v>
      </c>
      <c r="AA289" s="139">
        <f t="shared" si="162"/>
        <v>1000</v>
      </c>
      <c r="AB289" s="205">
        <f>AA289/INDEX(Parameters!$B:$B,MATCH("AfschrijftermijnVVE"&amp;12*$C289,Parameters!$A:$A,0))</f>
        <v>27.777777777777779</v>
      </c>
      <c r="AC289" s="204">
        <f>INDEX('Tarieven ZM'!$G:$G,$W289)</f>
        <v>1000</v>
      </c>
      <c r="AD289" s="198">
        <f>-INDEX(Parameters!$B:$B,MATCH(AD$3&amp;$C289,Parameters!$A:$A,0))*$AC289</f>
        <v>0</v>
      </c>
      <c r="AE289" s="198">
        <f>-INDEX(Parameters!$B:$B,MATCH(AE$3,Parameters!$A:$A,0))*$AC289</f>
        <v>0</v>
      </c>
      <c r="AF289" s="139">
        <f t="shared" si="163"/>
        <v>1000</v>
      </c>
      <c r="AG289" s="522">
        <f t="shared" si="164"/>
        <v>1027.7777777777778</v>
      </c>
      <c r="AH289" s="175"/>
      <c r="AI289" s="523">
        <f>MATCH($U289,'Tarieven W&amp;O'!$B:$B,0)</f>
        <v>57</v>
      </c>
      <c r="AJ289" s="204">
        <f>IF(AI289&lt;&gt;"nvt",INDEX('Tarieven W&amp;O'!$H:$H,$AI289),0)</f>
        <v>0</v>
      </c>
      <c r="AK289" s="204">
        <f>IF(AI289&lt;&gt;"nvt",INDEX('Tarieven W&amp;O'!$I:$I,$AI289),0)</f>
        <v>25</v>
      </c>
      <c r="AL289" s="524">
        <f>IF(AI289&lt;&gt;"nvt",-INDEX(Parameters!$B:$B,MATCH(AL$3,Parameters!$A:$A,0))*(AJ289+AK289),0)</f>
        <v>0</v>
      </c>
      <c r="AM289" s="525"/>
      <c r="AN289" s="139">
        <f t="shared" si="165"/>
        <v>25</v>
      </c>
      <c r="AO289" s="205">
        <f>AN289/INDEX(Parameters!$B:$B,MATCH("AfschrijftermijnVVE"&amp;12*$C289,Parameters!$A:$A,0))</f>
        <v>0.69444444444444442</v>
      </c>
      <c r="AP289" s="139">
        <f t="shared" si="166"/>
        <v>57</v>
      </c>
      <c r="AQ289" s="526">
        <f>IF(AP289&lt;&gt;"nvt",INDEX('Tarieven W&amp;O'!$G:$G,$AP289),0)</f>
        <v>14.29</v>
      </c>
      <c r="AR289" s="251">
        <f>IF($S289,INDEX('Tarieven W&amp;O'!$G:$G,MATCH(N289&amp;R289,'Tarieven W&amp;O'!$B:$B,0)),0)</f>
        <v>0</v>
      </c>
      <c r="AS289" s="205">
        <f>-INDEX(Parameters!$B:$B,MATCH(AS$3,Parameters!$A:$A,0))*(AQ289+AR289)</f>
        <v>0</v>
      </c>
      <c r="AT289" s="205">
        <f>INDEX(hulpblad!$E:$E,MATCH(M289&amp;Q289,hulpblad!$B:$B,0))</f>
        <v>1</v>
      </c>
      <c r="AU289" s="150">
        <f t="shared" si="147"/>
        <v>15.29</v>
      </c>
      <c r="AV289" s="150">
        <f t="shared" si="148"/>
        <v>15.984444444444444</v>
      </c>
      <c r="AX289" s="526">
        <f>Parameters!$B$6*AV289</f>
        <v>0.15984444444444443</v>
      </c>
      <c r="AY289" s="150">
        <v>0</v>
      </c>
      <c r="AZ289" s="150"/>
      <c r="BA289" s="150">
        <f t="shared" si="167"/>
        <v>0.15984444444444443</v>
      </c>
      <c r="BB289" s="150"/>
      <c r="BC289" s="522">
        <f t="shared" si="168"/>
        <v>16.144288888888887</v>
      </c>
      <c r="BD289" s="175"/>
      <c r="BE289" s="527">
        <f t="shared" si="149"/>
        <v>1011.6334888888889</v>
      </c>
      <c r="BF289" s="181">
        <f t="shared" si="150"/>
        <v>0.98429204324324326</v>
      </c>
      <c r="BG289" s="520" t="b">
        <f t="shared" si="161"/>
        <v>0</v>
      </c>
      <c r="BI289" s="528" t="s">
        <v>2181</v>
      </c>
      <c r="BL289" s="151" t="str">
        <f t="shared" si="152"/>
        <v>EoKMetro - Regionaal</v>
      </c>
      <c r="BM289" s="529">
        <v>0</v>
      </c>
      <c r="BN289" s="180">
        <f>BM289/INDEX(Parameters!$B:$B,MATCH("AfschrijftermijnVVE"&amp;12*$C289,Parameters!$A:$A,0))</f>
        <v>0</v>
      </c>
      <c r="BO289" s="184">
        <f>INDEX('inkoop ULL tbv EVPN'!I:I,MATCH(BL289,'inkoop ULL tbv EVPN'!H:H,0))</f>
        <v>2</v>
      </c>
      <c r="BP289" s="184">
        <f t="shared" si="153"/>
        <v>2</v>
      </c>
      <c r="BR289" s="180">
        <f>Parameters!$B$12*AG289</f>
        <v>102.77777777777779</v>
      </c>
      <c r="BS289" s="180">
        <f>SUM(Distributievergoedingen!$F$12,Distributievergoedingen!$I$12,Distributievergoedingen!$L$12,Distributievergoedingen!$O$12)*AF289+SUM(Distributievergoedingen!$O$12*AA289+Distributievergoedingen!$R$12+Distributievergoedingen!$U$12+Distributievergoedingen!$X$12)/(MAX(36,12*C289))</f>
        <v>112.77777777777777</v>
      </c>
      <c r="BT289" s="150"/>
      <c r="BU289" s="150">
        <f t="shared" si="154"/>
        <v>215.55555555555554</v>
      </c>
      <c r="BW289" s="522">
        <f t="shared" si="155"/>
        <v>217.55555555555554</v>
      </c>
      <c r="BY289" s="527">
        <f t="shared" si="156"/>
        <v>810.22222222222229</v>
      </c>
      <c r="BZ289" s="181">
        <f t="shared" si="157"/>
        <v>0.78832432432432431</v>
      </c>
      <c r="CA289" s="520" t="b">
        <f t="shared" si="158"/>
        <v>0</v>
      </c>
    </row>
    <row r="290" spans="1:79" s="151" customFormat="1">
      <c r="A290" s="151" t="str">
        <f t="shared" si="151"/>
        <v>3EoKPremiumCity2</v>
      </c>
      <c r="B290" s="520" t="str">
        <f t="shared" si="146"/>
        <v>3EoKPremiumCity2</v>
      </c>
      <c r="C290" s="179">
        <v>3</v>
      </c>
      <c r="D290" s="179" t="s">
        <v>303</v>
      </c>
      <c r="E290" s="178" t="s">
        <v>267</v>
      </c>
      <c r="F290" s="178" t="s">
        <v>262</v>
      </c>
      <c r="G290" s="185" t="s">
        <v>363</v>
      </c>
      <c r="J290" s="520" t="str">
        <f t="shared" si="159"/>
        <v>PremiumCity2</v>
      </c>
      <c r="L290" s="204">
        <f>INDEX(Mapping!$H:$H,MATCH(C$3&amp;C290,Mapping!$B:$B,0))</f>
        <v>1</v>
      </c>
      <c r="M290" s="204" t="str">
        <f>INDEX(Mapping!$H:$H,MATCH(D$3&amp;$D290,Mapping!$B:$B,0))</f>
        <v>EoK</v>
      </c>
      <c r="N290" s="204" t="str">
        <f>INDEX(Mapping!$H:$H,MATCH(E$3&amp;E290,Mapping!$B:$B,0))</f>
        <v>Premium</v>
      </c>
      <c r="O290" s="204" t="str">
        <f>INDEX(Mapping!$H:$H,MATCH(F$3&amp;F290,Mapping!$B:$B,0))</f>
        <v>Metro</v>
      </c>
      <c r="P290" s="204">
        <f>INDEX(Mapping!$H:$H,MATCH(G$3&amp;G290,Mapping!$B:$B,0))</f>
        <v>2</v>
      </c>
      <c r="Q290" s="204" t="str">
        <f>INDEX(Mapping!$H:$H,MATCH(Q$3&amp;$F290,Mapping!$B:$B,0))</f>
        <v>Metro - Regionaal</v>
      </c>
      <c r="R290" s="204" t="str">
        <f>INDEX(Mapping!$H:$H,MATCH("ZM VPN Service Level"&amp;E290,Mapping!$B:$B,0))</f>
        <v>Advanced</v>
      </c>
      <c r="S290" s="139" t="b">
        <f>IF($D290="EoK",INDEX(Mapping!$I:$I,MATCH($G$3&amp;$G290,Mapping!B:B,0)),FALSE)</f>
        <v>1</v>
      </c>
      <c r="T290" s="139"/>
      <c r="U290" s="520" t="str">
        <f t="shared" si="160"/>
        <v>PremiumMetro2</v>
      </c>
      <c r="W290" s="521">
        <f>MATCH($J290,'Tarieven ZM'!$B:$B,0)</f>
        <v>66</v>
      </c>
      <c r="X290" s="204">
        <f>INDEX('Tarieven ZM'!$H:$H,$W290)</f>
        <v>1000</v>
      </c>
      <c r="Y290" s="198">
        <f>-INDEX(Parameters!$B:$B,MATCH(Y$3&amp;$C290,Parameters!$A:$A,0))*$X290</f>
        <v>0</v>
      </c>
      <c r="Z290" s="198">
        <f>-INDEX(Parameters!$B:$B,MATCH(Z$3&amp;$C290,Parameters!$A:$A,0))*$X290</f>
        <v>0</v>
      </c>
      <c r="AA290" s="139">
        <f t="shared" si="162"/>
        <v>1000</v>
      </c>
      <c r="AB290" s="205">
        <f>AA290/INDEX(Parameters!$B:$B,MATCH("AfschrijftermijnVVE"&amp;12*$C290,Parameters!$A:$A,0))</f>
        <v>27.777777777777779</v>
      </c>
      <c r="AC290" s="204">
        <f>INDEX('Tarieven ZM'!$G:$G,$W290)</f>
        <v>1000</v>
      </c>
      <c r="AD290" s="198">
        <f>-INDEX(Parameters!$B:$B,MATCH(AD$3&amp;$C290,Parameters!$A:$A,0))*$AC290</f>
        <v>0</v>
      </c>
      <c r="AE290" s="198">
        <f>-INDEX(Parameters!$B:$B,MATCH(AE$3,Parameters!$A:$A,0))*$AC290</f>
        <v>0</v>
      </c>
      <c r="AF290" s="139">
        <f t="shared" si="163"/>
        <v>1000</v>
      </c>
      <c r="AG290" s="522">
        <f t="shared" si="164"/>
        <v>1027.7777777777778</v>
      </c>
      <c r="AH290" s="175"/>
      <c r="AI290" s="523">
        <f>MATCH($U290,'Tarieven W&amp;O'!$B:$B,0)</f>
        <v>58</v>
      </c>
      <c r="AJ290" s="204">
        <f>IF(AI290&lt;&gt;"nvt",INDEX('Tarieven W&amp;O'!$H:$H,$AI290),0)</f>
        <v>0</v>
      </c>
      <c r="AK290" s="204">
        <f>IF(AI290&lt;&gt;"nvt",INDEX('Tarieven W&amp;O'!$I:$I,$AI290),0)</f>
        <v>25</v>
      </c>
      <c r="AL290" s="524">
        <f>IF(AI290&lt;&gt;"nvt",-INDEX(Parameters!$B:$B,MATCH(AL$3,Parameters!$A:$A,0))*(AJ290+AK290),0)</f>
        <v>0</v>
      </c>
      <c r="AM290" s="525"/>
      <c r="AN290" s="139">
        <f t="shared" si="165"/>
        <v>25</v>
      </c>
      <c r="AO290" s="205">
        <f>AN290/INDEX(Parameters!$B:$B,MATCH("AfschrijftermijnVVE"&amp;12*$C290,Parameters!$A:$A,0))</f>
        <v>0.69444444444444442</v>
      </c>
      <c r="AP290" s="139">
        <f t="shared" si="166"/>
        <v>58</v>
      </c>
      <c r="AQ290" s="526">
        <f>IF(AP290&lt;&gt;"nvt",INDEX('Tarieven W&amp;O'!$G:$G,$AP290),0)</f>
        <v>16.55</v>
      </c>
      <c r="AR290" s="251">
        <f>IF($S290,INDEX('Tarieven W&amp;O'!$G:$G,MATCH(N290&amp;R290,'Tarieven W&amp;O'!$B:$B,0)),0)</f>
        <v>0</v>
      </c>
      <c r="AS290" s="205">
        <f>-INDEX(Parameters!$B:$B,MATCH(AS$3,Parameters!$A:$A,0))*(AQ290+AR290)</f>
        <v>0</v>
      </c>
      <c r="AT290" s="205">
        <f>INDEX(hulpblad!$E:$E,MATCH(M290&amp;Q290,hulpblad!$B:$B,0))</f>
        <v>1</v>
      </c>
      <c r="AU290" s="150">
        <f t="shared" si="147"/>
        <v>17.55</v>
      </c>
      <c r="AV290" s="150">
        <f t="shared" si="148"/>
        <v>18.244444444444444</v>
      </c>
      <c r="AX290" s="526">
        <f>Parameters!$B$6*AV290</f>
        <v>0.18244444444444444</v>
      </c>
      <c r="AY290" s="150">
        <v>0</v>
      </c>
      <c r="AZ290" s="150"/>
      <c r="BA290" s="150">
        <f t="shared" si="167"/>
        <v>0.18244444444444444</v>
      </c>
      <c r="BB290" s="150"/>
      <c r="BC290" s="522">
        <f t="shared" si="168"/>
        <v>18.42688888888889</v>
      </c>
      <c r="BD290" s="175"/>
      <c r="BE290" s="527">
        <f t="shared" si="149"/>
        <v>1009.3508888888889</v>
      </c>
      <c r="BF290" s="181">
        <f t="shared" si="150"/>
        <v>0.98207113513513511</v>
      </c>
      <c r="BG290" s="520" t="b">
        <f t="shared" si="161"/>
        <v>0</v>
      </c>
      <c r="BI290" s="528" t="s">
        <v>2181</v>
      </c>
      <c r="BL290" s="151" t="str">
        <f t="shared" si="152"/>
        <v>EoKMetro - Regionaal</v>
      </c>
      <c r="BM290" s="529">
        <v>0</v>
      </c>
      <c r="BN290" s="180">
        <f>BM290/INDEX(Parameters!$B:$B,MATCH("AfschrijftermijnVVE"&amp;12*$C290,Parameters!$A:$A,0))</f>
        <v>0</v>
      </c>
      <c r="BO290" s="184">
        <f>INDEX('inkoop ULL tbv EVPN'!I:I,MATCH(BL290,'inkoop ULL tbv EVPN'!H:H,0))</f>
        <v>2</v>
      </c>
      <c r="BP290" s="184">
        <f t="shared" si="153"/>
        <v>2</v>
      </c>
      <c r="BR290" s="180">
        <f>Parameters!$B$12*AG290</f>
        <v>102.77777777777779</v>
      </c>
      <c r="BS290" s="180">
        <f>SUM(Distributievergoedingen!$F$12,Distributievergoedingen!$I$12,Distributievergoedingen!$L$12,Distributievergoedingen!$O$12)*AF290+SUM(Distributievergoedingen!$O$12*AA290+Distributievergoedingen!$R$12+Distributievergoedingen!$U$12+Distributievergoedingen!$X$12)/(MAX(36,12*C290))</f>
        <v>112.77777777777777</v>
      </c>
      <c r="BT290" s="150"/>
      <c r="BU290" s="150">
        <f t="shared" si="154"/>
        <v>215.55555555555554</v>
      </c>
      <c r="BW290" s="522">
        <f t="shared" si="155"/>
        <v>217.55555555555554</v>
      </c>
      <c r="BY290" s="527">
        <f t="shared" si="156"/>
        <v>810.22222222222229</v>
      </c>
      <c r="BZ290" s="181">
        <f t="shared" si="157"/>
        <v>0.78832432432432431</v>
      </c>
      <c r="CA290" s="520" t="b">
        <f t="shared" si="158"/>
        <v>0</v>
      </c>
    </row>
    <row r="291" spans="1:79" s="151" customFormat="1">
      <c r="A291" s="151" t="str">
        <f t="shared" si="151"/>
        <v>3EoKPremiumCity3</v>
      </c>
      <c r="B291" s="520" t="str">
        <f t="shared" si="146"/>
        <v>3EoKPremiumCity3</v>
      </c>
      <c r="C291" s="179">
        <v>3</v>
      </c>
      <c r="D291" s="179" t="s">
        <v>303</v>
      </c>
      <c r="E291" s="178" t="s">
        <v>267</v>
      </c>
      <c r="F291" s="178" t="s">
        <v>262</v>
      </c>
      <c r="G291" s="185" t="s">
        <v>407</v>
      </c>
      <c r="J291" s="520" t="str">
        <f t="shared" si="159"/>
        <v>PremiumCity3</v>
      </c>
      <c r="L291" s="204">
        <f>INDEX(Mapping!$H:$H,MATCH(C$3&amp;C291,Mapping!$B:$B,0))</f>
        <v>1</v>
      </c>
      <c r="M291" s="204" t="str">
        <f>INDEX(Mapping!$H:$H,MATCH(D$3&amp;$D291,Mapping!$B:$B,0))</f>
        <v>EoK</v>
      </c>
      <c r="N291" s="204" t="str">
        <f>INDEX(Mapping!$H:$H,MATCH(E$3&amp;E291,Mapping!$B:$B,0))</f>
        <v>Premium</v>
      </c>
      <c r="O291" s="204" t="str">
        <f>INDEX(Mapping!$H:$H,MATCH(F$3&amp;F291,Mapping!$B:$B,0))</f>
        <v>Metro</v>
      </c>
      <c r="P291" s="204">
        <f>INDEX(Mapping!$H:$H,MATCH(G$3&amp;G291,Mapping!$B:$B,0))</f>
        <v>3</v>
      </c>
      <c r="Q291" s="204" t="str">
        <f>INDEX(Mapping!$H:$H,MATCH(Q$3&amp;$F291,Mapping!$B:$B,0))</f>
        <v>Metro - Regionaal</v>
      </c>
      <c r="R291" s="204" t="str">
        <f>INDEX(Mapping!$H:$H,MATCH("ZM VPN Service Level"&amp;E291,Mapping!$B:$B,0))</f>
        <v>Advanced</v>
      </c>
      <c r="S291" s="139" t="b">
        <f>IF($D291="EoK",INDEX(Mapping!$I:$I,MATCH($G$3&amp;$G291,Mapping!B:B,0)),FALSE)</f>
        <v>0</v>
      </c>
      <c r="T291" s="139"/>
      <c r="U291" s="520" t="str">
        <f t="shared" si="160"/>
        <v>PremiumMetro3</v>
      </c>
      <c r="W291" s="521">
        <f>MATCH($J291,'Tarieven ZM'!$B:$B,0)</f>
        <v>67</v>
      </c>
      <c r="X291" s="204">
        <f>INDEX('Tarieven ZM'!$H:$H,$W291)</f>
        <v>1000</v>
      </c>
      <c r="Y291" s="198">
        <f>-INDEX(Parameters!$B:$B,MATCH(Y$3&amp;$C291,Parameters!$A:$A,0))*$X291</f>
        <v>0</v>
      </c>
      <c r="Z291" s="198">
        <f>-INDEX(Parameters!$B:$B,MATCH(Z$3&amp;$C291,Parameters!$A:$A,0))*$X291</f>
        <v>0</v>
      </c>
      <c r="AA291" s="139">
        <f t="shared" si="162"/>
        <v>1000</v>
      </c>
      <c r="AB291" s="205">
        <f>AA291/INDEX(Parameters!$B:$B,MATCH("AfschrijftermijnVVE"&amp;12*$C291,Parameters!$A:$A,0))</f>
        <v>27.777777777777779</v>
      </c>
      <c r="AC291" s="204">
        <f>INDEX('Tarieven ZM'!$G:$G,$W291)</f>
        <v>1000</v>
      </c>
      <c r="AD291" s="198">
        <f>-INDEX(Parameters!$B:$B,MATCH(AD$3&amp;$C291,Parameters!$A:$A,0))*$AC291</f>
        <v>0</v>
      </c>
      <c r="AE291" s="198">
        <f>-INDEX(Parameters!$B:$B,MATCH(AE$3,Parameters!$A:$A,0))*$AC291</f>
        <v>0</v>
      </c>
      <c r="AF291" s="139">
        <f t="shared" si="163"/>
        <v>1000</v>
      </c>
      <c r="AG291" s="522">
        <f t="shared" si="164"/>
        <v>1027.7777777777778</v>
      </c>
      <c r="AH291" s="175"/>
      <c r="AI291" s="523">
        <f>MATCH($U291,'Tarieven W&amp;O'!$B:$B,0)</f>
        <v>59</v>
      </c>
      <c r="AJ291" s="204">
        <f>IF(AI291&lt;&gt;"nvt",INDEX('Tarieven W&amp;O'!$H:$H,$AI291),0)</f>
        <v>0</v>
      </c>
      <c r="AK291" s="204">
        <f>IF(AI291&lt;&gt;"nvt",INDEX('Tarieven W&amp;O'!$I:$I,$AI291),0)</f>
        <v>25</v>
      </c>
      <c r="AL291" s="524">
        <f>IF(AI291&lt;&gt;"nvt",-INDEX(Parameters!$B:$B,MATCH(AL$3,Parameters!$A:$A,0))*(AJ291+AK291),0)</f>
        <v>0</v>
      </c>
      <c r="AM291" s="525"/>
      <c r="AN291" s="139">
        <f t="shared" si="165"/>
        <v>25</v>
      </c>
      <c r="AO291" s="205">
        <f>AN291/INDEX(Parameters!$B:$B,MATCH("AfschrijftermijnVVE"&amp;12*$C291,Parameters!$A:$A,0))</f>
        <v>0.69444444444444442</v>
      </c>
      <c r="AP291" s="139">
        <f t="shared" si="166"/>
        <v>59</v>
      </c>
      <c r="AQ291" s="526">
        <f>IF(AP291&lt;&gt;"nvt",INDEX('Tarieven W&amp;O'!$G:$G,$AP291),0)</f>
        <v>27.86</v>
      </c>
      <c r="AR291" s="251">
        <f>IF($S291,INDEX('Tarieven W&amp;O'!$G:$G,MATCH(N291&amp;R291,'Tarieven W&amp;O'!$B:$B,0)),0)</f>
        <v>0</v>
      </c>
      <c r="AS291" s="205">
        <f>-INDEX(Parameters!$B:$B,MATCH(AS$3,Parameters!$A:$A,0))*(AQ291+AR291)</f>
        <v>0</v>
      </c>
      <c r="AT291" s="205">
        <f>INDEX(hulpblad!$E:$E,MATCH(M291&amp;Q291,hulpblad!$B:$B,0))</f>
        <v>1</v>
      </c>
      <c r="AU291" s="150">
        <f t="shared" si="147"/>
        <v>28.86</v>
      </c>
      <c r="AV291" s="150">
        <f t="shared" si="148"/>
        <v>29.554444444444442</v>
      </c>
      <c r="AX291" s="526">
        <f>Parameters!$B$6*AV291</f>
        <v>0.29554444444444444</v>
      </c>
      <c r="AY291" s="150">
        <v>0</v>
      </c>
      <c r="AZ291" s="150"/>
      <c r="BA291" s="150">
        <f t="shared" si="167"/>
        <v>0.29554444444444444</v>
      </c>
      <c r="BB291" s="150"/>
      <c r="BC291" s="522">
        <f t="shared" si="168"/>
        <v>29.849988888888888</v>
      </c>
      <c r="BD291" s="175"/>
      <c r="BE291" s="527">
        <f t="shared" si="149"/>
        <v>997.92778888888893</v>
      </c>
      <c r="BF291" s="181">
        <f t="shared" si="150"/>
        <v>0.97095676756756755</v>
      </c>
      <c r="BG291" s="520" t="b">
        <f t="shared" si="161"/>
        <v>0</v>
      </c>
      <c r="BI291" s="528" t="s">
        <v>2181</v>
      </c>
      <c r="BL291" s="151" t="str">
        <f t="shared" si="152"/>
        <v>EoKMetro - Regionaal</v>
      </c>
      <c r="BM291" s="529">
        <v>0</v>
      </c>
      <c r="BN291" s="180">
        <f>BM291/INDEX(Parameters!$B:$B,MATCH("AfschrijftermijnVVE"&amp;12*$C291,Parameters!$A:$A,0))</f>
        <v>0</v>
      </c>
      <c r="BO291" s="184">
        <f>INDEX('inkoop ULL tbv EVPN'!I:I,MATCH(BL291,'inkoop ULL tbv EVPN'!H:H,0))</f>
        <v>2</v>
      </c>
      <c r="BP291" s="184">
        <f t="shared" si="153"/>
        <v>2</v>
      </c>
      <c r="BR291" s="180">
        <f>Parameters!$B$12*AG291</f>
        <v>102.77777777777779</v>
      </c>
      <c r="BS291" s="180">
        <f>SUM(Distributievergoedingen!$F$12,Distributievergoedingen!$I$12,Distributievergoedingen!$L$12,Distributievergoedingen!$O$12)*AF291+SUM(Distributievergoedingen!$O$12*AA291+Distributievergoedingen!$R$12+Distributievergoedingen!$U$12+Distributievergoedingen!$X$12)/(MAX(36,12*C291))</f>
        <v>112.77777777777777</v>
      </c>
      <c r="BT291" s="150"/>
      <c r="BU291" s="150">
        <f t="shared" si="154"/>
        <v>215.55555555555554</v>
      </c>
      <c r="BW291" s="522">
        <f t="shared" si="155"/>
        <v>217.55555555555554</v>
      </c>
      <c r="BY291" s="527">
        <f t="shared" si="156"/>
        <v>810.22222222222229</v>
      </c>
      <c r="BZ291" s="181">
        <f t="shared" si="157"/>
        <v>0.78832432432432431</v>
      </c>
      <c r="CA291" s="520" t="b">
        <f t="shared" si="158"/>
        <v>0</v>
      </c>
    </row>
    <row r="292" spans="1:79" s="151" customFormat="1">
      <c r="A292" s="151" t="str">
        <f t="shared" si="151"/>
        <v>3EoKPremiumCity4</v>
      </c>
      <c r="B292" s="520" t="str">
        <f t="shared" si="146"/>
        <v>3EoKPremiumCity4</v>
      </c>
      <c r="C292" s="179">
        <v>3</v>
      </c>
      <c r="D292" s="179" t="s">
        <v>303</v>
      </c>
      <c r="E292" s="178" t="s">
        <v>267</v>
      </c>
      <c r="F292" s="178" t="s">
        <v>262</v>
      </c>
      <c r="G292" s="185" t="s">
        <v>408</v>
      </c>
      <c r="J292" s="520" t="str">
        <f t="shared" si="159"/>
        <v>PremiumCity4</v>
      </c>
      <c r="L292" s="204">
        <f>INDEX(Mapping!$H:$H,MATCH(C$3&amp;C292,Mapping!$B:$B,0))</f>
        <v>1</v>
      </c>
      <c r="M292" s="204" t="str">
        <f>INDEX(Mapping!$H:$H,MATCH(D$3&amp;$D292,Mapping!$B:$B,0))</f>
        <v>EoK</v>
      </c>
      <c r="N292" s="204" t="str">
        <f>INDEX(Mapping!$H:$H,MATCH(E$3&amp;E292,Mapping!$B:$B,0))</f>
        <v>Premium</v>
      </c>
      <c r="O292" s="204" t="str">
        <f>INDEX(Mapping!$H:$H,MATCH(F$3&amp;F292,Mapping!$B:$B,0))</f>
        <v>Metro</v>
      </c>
      <c r="P292" s="204">
        <f>INDEX(Mapping!$H:$H,MATCH(G$3&amp;G292,Mapping!$B:$B,0))</f>
        <v>4</v>
      </c>
      <c r="Q292" s="204" t="str">
        <f>INDEX(Mapping!$H:$H,MATCH(Q$3&amp;$F292,Mapping!$B:$B,0))</f>
        <v>Metro - Regionaal</v>
      </c>
      <c r="R292" s="204" t="str">
        <f>INDEX(Mapping!$H:$H,MATCH("ZM VPN Service Level"&amp;E292,Mapping!$B:$B,0))</f>
        <v>Advanced</v>
      </c>
      <c r="S292" s="139" t="b">
        <f>IF($D292="EoK",INDEX(Mapping!$I:$I,MATCH($G$3&amp;$G292,Mapping!B:B,0)),FALSE)</f>
        <v>0</v>
      </c>
      <c r="T292" s="139"/>
      <c r="U292" s="520" t="str">
        <f t="shared" si="160"/>
        <v>PremiumMetro4</v>
      </c>
      <c r="W292" s="521">
        <f>MATCH($J292,'Tarieven ZM'!$B:$B,0)</f>
        <v>68</v>
      </c>
      <c r="X292" s="204">
        <f>INDEX('Tarieven ZM'!$H:$H,$W292)</f>
        <v>1000</v>
      </c>
      <c r="Y292" s="198">
        <f>-INDEX(Parameters!$B:$B,MATCH(Y$3&amp;$C292,Parameters!$A:$A,0))*$X292</f>
        <v>0</v>
      </c>
      <c r="Z292" s="198">
        <f>-INDEX(Parameters!$B:$B,MATCH(Z$3&amp;$C292,Parameters!$A:$A,0))*$X292</f>
        <v>0</v>
      </c>
      <c r="AA292" s="139">
        <f t="shared" si="162"/>
        <v>1000</v>
      </c>
      <c r="AB292" s="205">
        <f>AA292/INDEX(Parameters!$B:$B,MATCH("AfschrijftermijnVVE"&amp;12*$C292,Parameters!$A:$A,0))</f>
        <v>27.777777777777779</v>
      </c>
      <c r="AC292" s="204">
        <f>INDEX('Tarieven ZM'!$G:$G,$W292)</f>
        <v>1000</v>
      </c>
      <c r="AD292" s="198">
        <f>-INDEX(Parameters!$B:$B,MATCH(AD$3&amp;$C292,Parameters!$A:$A,0))*$AC292</f>
        <v>0</v>
      </c>
      <c r="AE292" s="198">
        <f>-INDEX(Parameters!$B:$B,MATCH(AE$3,Parameters!$A:$A,0))*$AC292</f>
        <v>0</v>
      </c>
      <c r="AF292" s="139">
        <f t="shared" si="163"/>
        <v>1000</v>
      </c>
      <c r="AG292" s="522">
        <f t="shared" si="164"/>
        <v>1027.7777777777778</v>
      </c>
      <c r="AH292" s="175"/>
      <c r="AI292" s="523">
        <f>MATCH($U292,'Tarieven W&amp;O'!$B:$B,0)</f>
        <v>60</v>
      </c>
      <c r="AJ292" s="204">
        <f>IF(AI292&lt;&gt;"nvt",INDEX('Tarieven W&amp;O'!$H:$H,$AI292),0)</f>
        <v>0</v>
      </c>
      <c r="AK292" s="204">
        <f>IF(AI292&lt;&gt;"nvt",INDEX('Tarieven W&amp;O'!$I:$I,$AI292),0)</f>
        <v>25</v>
      </c>
      <c r="AL292" s="524">
        <f>IF(AI292&lt;&gt;"nvt",-INDEX(Parameters!$B:$B,MATCH(AL$3,Parameters!$A:$A,0))*(AJ292+AK292),0)</f>
        <v>0</v>
      </c>
      <c r="AM292" s="525"/>
      <c r="AN292" s="139">
        <f t="shared" si="165"/>
        <v>25</v>
      </c>
      <c r="AO292" s="205">
        <f>AN292/INDEX(Parameters!$B:$B,MATCH("AfschrijftermijnVVE"&amp;12*$C292,Parameters!$A:$A,0))</f>
        <v>0.69444444444444442</v>
      </c>
      <c r="AP292" s="139">
        <f t="shared" si="166"/>
        <v>60</v>
      </c>
      <c r="AQ292" s="526">
        <f>IF(AP292&lt;&gt;"nvt",INDEX('Tarieven W&amp;O'!$G:$G,$AP292),0)</f>
        <v>42.94</v>
      </c>
      <c r="AR292" s="251">
        <f>IF($S292,INDEX('Tarieven W&amp;O'!$G:$G,MATCH(N292&amp;R292,'Tarieven W&amp;O'!$B:$B,0)),0)</f>
        <v>0</v>
      </c>
      <c r="AS292" s="205">
        <f>-INDEX(Parameters!$B:$B,MATCH(AS$3,Parameters!$A:$A,0))*(AQ292+AR292)</f>
        <v>0</v>
      </c>
      <c r="AT292" s="205">
        <f>INDEX(hulpblad!$E:$E,MATCH(M292&amp;Q292,hulpblad!$B:$B,0))</f>
        <v>1</v>
      </c>
      <c r="AU292" s="150">
        <f t="shared" si="147"/>
        <v>43.94</v>
      </c>
      <c r="AV292" s="150">
        <f t="shared" si="148"/>
        <v>44.634444444444441</v>
      </c>
      <c r="AX292" s="526">
        <f>Parameters!$B$6*AV292</f>
        <v>0.44634444444444443</v>
      </c>
      <c r="AY292" s="150">
        <v>0</v>
      </c>
      <c r="AZ292" s="150"/>
      <c r="BA292" s="150">
        <f t="shared" si="167"/>
        <v>0.44634444444444443</v>
      </c>
      <c r="BB292" s="150"/>
      <c r="BC292" s="522">
        <f t="shared" si="168"/>
        <v>45.080788888888883</v>
      </c>
      <c r="BD292" s="175"/>
      <c r="BE292" s="527">
        <f t="shared" si="149"/>
        <v>982.696988888889</v>
      </c>
      <c r="BF292" s="181">
        <f t="shared" si="150"/>
        <v>0.95613761081081083</v>
      </c>
      <c r="BG292" s="520" t="b">
        <f t="shared" si="161"/>
        <v>0</v>
      </c>
      <c r="BI292" s="528" t="s">
        <v>2181</v>
      </c>
      <c r="BL292" s="151" t="str">
        <f t="shared" si="152"/>
        <v>EoKMetro - Regionaal</v>
      </c>
      <c r="BM292" s="529">
        <v>0</v>
      </c>
      <c r="BN292" s="180">
        <f>BM292/INDEX(Parameters!$B:$B,MATCH("AfschrijftermijnVVE"&amp;12*$C292,Parameters!$A:$A,0))</f>
        <v>0</v>
      </c>
      <c r="BO292" s="184">
        <f>INDEX('inkoop ULL tbv EVPN'!I:I,MATCH(BL292,'inkoop ULL tbv EVPN'!H:H,0))</f>
        <v>2</v>
      </c>
      <c r="BP292" s="184">
        <f t="shared" si="153"/>
        <v>2</v>
      </c>
      <c r="BR292" s="180">
        <f>Parameters!$B$12*AG292</f>
        <v>102.77777777777779</v>
      </c>
      <c r="BS292" s="180">
        <f>SUM(Distributievergoedingen!$F$12,Distributievergoedingen!$I$12,Distributievergoedingen!$L$12,Distributievergoedingen!$O$12)*AF292+SUM(Distributievergoedingen!$O$12*AA292+Distributievergoedingen!$R$12+Distributievergoedingen!$U$12+Distributievergoedingen!$X$12)/(MAX(36,12*C292))</f>
        <v>112.77777777777777</v>
      </c>
      <c r="BT292" s="150"/>
      <c r="BU292" s="150">
        <f t="shared" si="154"/>
        <v>215.55555555555554</v>
      </c>
      <c r="BW292" s="522">
        <f t="shared" si="155"/>
        <v>217.55555555555554</v>
      </c>
      <c r="BY292" s="527">
        <f t="shared" si="156"/>
        <v>810.22222222222229</v>
      </c>
      <c r="BZ292" s="181">
        <f t="shared" si="157"/>
        <v>0.78832432432432431</v>
      </c>
      <c r="CA292" s="520" t="b">
        <f t="shared" si="158"/>
        <v>0</v>
      </c>
    </row>
    <row r="293" spans="1:79" s="151" customFormat="1">
      <c r="A293" s="151" t="str">
        <f t="shared" si="151"/>
        <v>3EoKPremiumCity5</v>
      </c>
      <c r="B293" s="520" t="str">
        <f t="shared" si="146"/>
        <v>3EoKPremiumCity5</v>
      </c>
      <c r="C293" s="179">
        <v>3</v>
      </c>
      <c r="D293" s="179" t="s">
        <v>303</v>
      </c>
      <c r="E293" s="178" t="s">
        <v>267</v>
      </c>
      <c r="F293" s="178" t="s">
        <v>262</v>
      </c>
      <c r="G293" s="185" t="s">
        <v>409</v>
      </c>
      <c r="J293" s="520" t="str">
        <f t="shared" si="159"/>
        <v>PremiumCity5</v>
      </c>
      <c r="L293" s="204">
        <f>INDEX(Mapping!$H:$H,MATCH(C$3&amp;C293,Mapping!$B:$B,0))</f>
        <v>1</v>
      </c>
      <c r="M293" s="204" t="str">
        <f>INDEX(Mapping!$H:$H,MATCH(D$3&amp;$D293,Mapping!$B:$B,0))</f>
        <v>EoK</v>
      </c>
      <c r="N293" s="204" t="str">
        <f>INDEX(Mapping!$H:$H,MATCH(E$3&amp;E293,Mapping!$B:$B,0))</f>
        <v>Premium</v>
      </c>
      <c r="O293" s="204" t="str">
        <f>INDEX(Mapping!$H:$H,MATCH(F$3&amp;F293,Mapping!$B:$B,0))</f>
        <v>Metro</v>
      </c>
      <c r="P293" s="204">
        <f>INDEX(Mapping!$H:$H,MATCH(G$3&amp;G293,Mapping!$B:$B,0))</f>
        <v>5</v>
      </c>
      <c r="Q293" s="204" t="str">
        <f>INDEX(Mapping!$H:$H,MATCH(Q$3&amp;$F293,Mapping!$B:$B,0))</f>
        <v>Metro - Regionaal</v>
      </c>
      <c r="R293" s="204" t="str">
        <f>INDEX(Mapping!$H:$H,MATCH("ZM VPN Service Level"&amp;E293,Mapping!$B:$B,0))</f>
        <v>Advanced</v>
      </c>
      <c r="S293" s="139" t="b">
        <f>IF($D293="EoK",INDEX(Mapping!$I:$I,MATCH($G$3&amp;$G293,Mapping!B:B,0)),FALSE)</f>
        <v>0</v>
      </c>
      <c r="T293" s="139"/>
      <c r="U293" s="520" t="str">
        <f t="shared" si="160"/>
        <v>PremiumMetro5</v>
      </c>
      <c r="W293" s="521">
        <f>MATCH($J293,'Tarieven ZM'!$B:$B,0)</f>
        <v>69</v>
      </c>
      <c r="X293" s="204">
        <f>INDEX('Tarieven ZM'!$H:$H,$W293)</f>
        <v>1000</v>
      </c>
      <c r="Y293" s="198">
        <f>-INDEX(Parameters!$B:$B,MATCH(Y$3&amp;$C293,Parameters!$A:$A,0))*$X293</f>
        <v>0</v>
      </c>
      <c r="Z293" s="198">
        <f>-INDEX(Parameters!$B:$B,MATCH(Z$3&amp;$C293,Parameters!$A:$A,0))*$X293</f>
        <v>0</v>
      </c>
      <c r="AA293" s="139">
        <f t="shared" si="162"/>
        <v>1000</v>
      </c>
      <c r="AB293" s="205">
        <f>AA293/INDEX(Parameters!$B:$B,MATCH("AfschrijftermijnVVE"&amp;12*$C293,Parameters!$A:$A,0))</f>
        <v>27.777777777777779</v>
      </c>
      <c r="AC293" s="204">
        <f>INDEX('Tarieven ZM'!$G:$G,$W293)</f>
        <v>1000</v>
      </c>
      <c r="AD293" s="198">
        <f>-INDEX(Parameters!$B:$B,MATCH(AD$3&amp;$C293,Parameters!$A:$A,0))*$AC293</f>
        <v>0</v>
      </c>
      <c r="AE293" s="198">
        <f>-INDEX(Parameters!$B:$B,MATCH(AE$3,Parameters!$A:$A,0))*$AC293</f>
        <v>0</v>
      </c>
      <c r="AF293" s="139">
        <f t="shared" si="163"/>
        <v>1000</v>
      </c>
      <c r="AG293" s="522">
        <f t="shared" si="164"/>
        <v>1027.7777777777778</v>
      </c>
      <c r="AH293" s="175"/>
      <c r="AI293" s="523">
        <f>MATCH($U293,'Tarieven W&amp;O'!$B:$B,0)</f>
        <v>61</v>
      </c>
      <c r="AJ293" s="204">
        <f>IF(AI293&lt;&gt;"nvt",INDEX('Tarieven W&amp;O'!$H:$H,$AI293),0)</f>
        <v>0</v>
      </c>
      <c r="AK293" s="204">
        <f>IF(AI293&lt;&gt;"nvt",INDEX('Tarieven W&amp;O'!$I:$I,$AI293),0)</f>
        <v>25</v>
      </c>
      <c r="AL293" s="524">
        <f>IF(AI293&lt;&gt;"nvt",-INDEX(Parameters!$B:$B,MATCH(AL$3,Parameters!$A:$A,0))*(AJ293+AK293),0)</f>
        <v>0</v>
      </c>
      <c r="AM293" s="525"/>
      <c r="AN293" s="139">
        <f t="shared" si="165"/>
        <v>25</v>
      </c>
      <c r="AO293" s="205">
        <f>AN293/INDEX(Parameters!$B:$B,MATCH("AfschrijftermijnVVE"&amp;12*$C293,Parameters!$A:$A,0))</f>
        <v>0.69444444444444442</v>
      </c>
      <c r="AP293" s="139">
        <f t="shared" si="166"/>
        <v>61</v>
      </c>
      <c r="AQ293" s="526">
        <f>IF(AP293&lt;&gt;"nvt",INDEX('Tarieven W&amp;O'!$G:$G,$AP293),0)</f>
        <v>46.71</v>
      </c>
      <c r="AR293" s="251">
        <f>IF($S293,INDEX('Tarieven W&amp;O'!$G:$G,MATCH(N293&amp;R293,'Tarieven W&amp;O'!$B:$B,0)),0)</f>
        <v>0</v>
      </c>
      <c r="AS293" s="205">
        <f>-INDEX(Parameters!$B:$B,MATCH(AS$3,Parameters!$A:$A,0))*(AQ293+AR293)</f>
        <v>0</v>
      </c>
      <c r="AT293" s="205">
        <f>INDEX(hulpblad!$E:$E,MATCH(M293&amp;Q293,hulpblad!$B:$B,0))</f>
        <v>1</v>
      </c>
      <c r="AU293" s="150">
        <f t="shared" si="147"/>
        <v>47.71</v>
      </c>
      <c r="AV293" s="150">
        <f t="shared" si="148"/>
        <v>48.404444444444444</v>
      </c>
      <c r="AX293" s="526">
        <f>Parameters!$B$6*AV293</f>
        <v>0.48404444444444444</v>
      </c>
      <c r="AY293" s="150">
        <v>0</v>
      </c>
      <c r="AZ293" s="150"/>
      <c r="BA293" s="150">
        <f t="shared" si="167"/>
        <v>0.48404444444444444</v>
      </c>
      <c r="BB293" s="150"/>
      <c r="BC293" s="522">
        <f t="shared" si="168"/>
        <v>48.888488888888887</v>
      </c>
      <c r="BD293" s="175"/>
      <c r="BE293" s="527">
        <f t="shared" si="149"/>
        <v>978.88928888888893</v>
      </c>
      <c r="BF293" s="181">
        <f t="shared" si="150"/>
        <v>0.95243282162162157</v>
      </c>
      <c r="BG293" s="520" t="b">
        <f t="shared" si="161"/>
        <v>0</v>
      </c>
      <c r="BI293" s="528" t="s">
        <v>2181</v>
      </c>
      <c r="BL293" s="151" t="str">
        <f t="shared" si="152"/>
        <v>EoKMetro - Regionaal</v>
      </c>
      <c r="BM293" s="529">
        <v>0</v>
      </c>
      <c r="BN293" s="180">
        <f>BM293/INDEX(Parameters!$B:$B,MATCH("AfschrijftermijnVVE"&amp;12*$C293,Parameters!$A:$A,0))</f>
        <v>0</v>
      </c>
      <c r="BO293" s="184">
        <f>INDEX('inkoop ULL tbv EVPN'!I:I,MATCH(BL293,'inkoop ULL tbv EVPN'!H:H,0))</f>
        <v>2</v>
      </c>
      <c r="BP293" s="184">
        <f t="shared" si="153"/>
        <v>2</v>
      </c>
      <c r="BR293" s="180">
        <f>Parameters!$B$12*AG293</f>
        <v>102.77777777777779</v>
      </c>
      <c r="BS293" s="180">
        <f>SUM(Distributievergoedingen!$F$12,Distributievergoedingen!$I$12,Distributievergoedingen!$L$12,Distributievergoedingen!$O$12)*AF293+SUM(Distributievergoedingen!$O$12*AA293+Distributievergoedingen!$R$12+Distributievergoedingen!$U$12+Distributievergoedingen!$X$12)/(MAX(36,12*C293))</f>
        <v>112.77777777777777</v>
      </c>
      <c r="BT293" s="150"/>
      <c r="BU293" s="150">
        <f t="shared" si="154"/>
        <v>215.55555555555554</v>
      </c>
      <c r="BW293" s="522">
        <f t="shared" si="155"/>
        <v>217.55555555555554</v>
      </c>
      <c r="BY293" s="527">
        <f t="shared" si="156"/>
        <v>810.22222222222229</v>
      </c>
      <c r="BZ293" s="181">
        <f t="shared" si="157"/>
        <v>0.78832432432432431</v>
      </c>
      <c r="CA293" s="520" t="b">
        <f t="shared" si="158"/>
        <v>0</v>
      </c>
    </row>
    <row r="294" spans="1:79" s="151" customFormat="1">
      <c r="A294" s="151" t="str">
        <f t="shared" si="151"/>
        <v>3EoKPremiumCity6</v>
      </c>
      <c r="B294" s="520" t="str">
        <f t="shared" si="146"/>
        <v>3EoKPremiumCity6</v>
      </c>
      <c r="C294" s="179">
        <v>3</v>
      </c>
      <c r="D294" s="179" t="s">
        <v>303</v>
      </c>
      <c r="E294" s="178" t="s">
        <v>267</v>
      </c>
      <c r="F294" s="178" t="s">
        <v>262</v>
      </c>
      <c r="G294" s="185" t="s">
        <v>410</v>
      </c>
      <c r="J294" s="520" t="str">
        <f t="shared" si="159"/>
        <v>PremiumCity6</v>
      </c>
      <c r="L294" s="204">
        <f>INDEX(Mapping!$H:$H,MATCH(C$3&amp;C294,Mapping!$B:$B,0))</f>
        <v>1</v>
      </c>
      <c r="M294" s="204" t="str">
        <f>INDEX(Mapping!$H:$H,MATCH(D$3&amp;$D294,Mapping!$B:$B,0))</f>
        <v>EoK</v>
      </c>
      <c r="N294" s="204" t="str">
        <f>INDEX(Mapping!$H:$H,MATCH(E$3&amp;E294,Mapping!$B:$B,0))</f>
        <v>Premium</v>
      </c>
      <c r="O294" s="204" t="str">
        <f>INDEX(Mapping!$H:$H,MATCH(F$3&amp;F294,Mapping!$B:$B,0))</f>
        <v>Metro</v>
      </c>
      <c r="P294" s="204">
        <f>INDEX(Mapping!$H:$H,MATCH(G$3&amp;G294,Mapping!$B:$B,0))</f>
        <v>6</v>
      </c>
      <c r="Q294" s="204" t="str">
        <f>INDEX(Mapping!$H:$H,MATCH(Q$3&amp;$F294,Mapping!$B:$B,0))</f>
        <v>Metro - Regionaal</v>
      </c>
      <c r="R294" s="204" t="str">
        <f>INDEX(Mapping!$H:$H,MATCH("ZM VPN Service Level"&amp;E294,Mapping!$B:$B,0))</f>
        <v>Advanced</v>
      </c>
      <c r="S294" s="139" t="b">
        <f>IF($D294="EoK",INDEX(Mapping!$I:$I,MATCH($G$3&amp;$G294,Mapping!B:B,0)),FALSE)</f>
        <v>0</v>
      </c>
      <c r="T294" s="139"/>
      <c r="U294" s="520" t="str">
        <f t="shared" si="160"/>
        <v>PremiumMetro6</v>
      </c>
      <c r="W294" s="521">
        <f>MATCH($J294,'Tarieven ZM'!$B:$B,0)</f>
        <v>70</v>
      </c>
      <c r="X294" s="204">
        <f>INDEX('Tarieven ZM'!$H:$H,$W294)</f>
        <v>1000</v>
      </c>
      <c r="Y294" s="198">
        <f>-INDEX(Parameters!$B:$B,MATCH(Y$3&amp;$C294,Parameters!$A:$A,0))*$X294</f>
        <v>0</v>
      </c>
      <c r="Z294" s="198">
        <f>-INDEX(Parameters!$B:$B,MATCH(Z$3&amp;$C294,Parameters!$A:$A,0))*$X294</f>
        <v>0</v>
      </c>
      <c r="AA294" s="139">
        <f t="shared" si="162"/>
        <v>1000</v>
      </c>
      <c r="AB294" s="205">
        <f>AA294/INDEX(Parameters!$B:$B,MATCH("AfschrijftermijnVVE"&amp;12*$C294,Parameters!$A:$A,0))</f>
        <v>27.777777777777779</v>
      </c>
      <c r="AC294" s="204">
        <f>INDEX('Tarieven ZM'!$G:$G,$W294)</f>
        <v>1000</v>
      </c>
      <c r="AD294" s="198">
        <f>-INDEX(Parameters!$B:$B,MATCH(AD$3&amp;$C294,Parameters!$A:$A,0))*$AC294</f>
        <v>0</v>
      </c>
      <c r="AE294" s="198">
        <f>-INDEX(Parameters!$B:$B,MATCH(AE$3,Parameters!$A:$A,0))*$AC294</f>
        <v>0</v>
      </c>
      <c r="AF294" s="139">
        <f t="shared" si="163"/>
        <v>1000</v>
      </c>
      <c r="AG294" s="522">
        <f t="shared" si="164"/>
        <v>1027.7777777777778</v>
      </c>
      <c r="AH294" s="175"/>
      <c r="AI294" s="523">
        <f>MATCH($U294,'Tarieven W&amp;O'!$B:$B,0)</f>
        <v>62</v>
      </c>
      <c r="AJ294" s="204">
        <f>IF(AI294&lt;&gt;"nvt",INDEX('Tarieven W&amp;O'!$H:$H,$AI294),0)</f>
        <v>0</v>
      </c>
      <c r="AK294" s="204">
        <f>IF(AI294&lt;&gt;"nvt",INDEX('Tarieven W&amp;O'!$I:$I,$AI294),0)</f>
        <v>25</v>
      </c>
      <c r="AL294" s="524">
        <f>IF(AI294&lt;&gt;"nvt",-INDEX(Parameters!$B:$B,MATCH(AL$3,Parameters!$A:$A,0))*(AJ294+AK294),0)</f>
        <v>0</v>
      </c>
      <c r="AM294" s="525"/>
      <c r="AN294" s="139">
        <f t="shared" si="165"/>
        <v>25</v>
      </c>
      <c r="AO294" s="205">
        <f>AN294/INDEX(Parameters!$B:$B,MATCH("AfschrijftermijnVVE"&amp;12*$C294,Parameters!$A:$A,0))</f>
        <v>0.69444444444444442</v>
      </c>
      <c r="AP294" s="139">
        <f t="shared" si="166"/>
        <v>62</v>
      </c>
      <c r="AQ294" s="526">
        <f>IF(AP294&lt;&gt;"nvt",INDEX('Tarieven W&amp;O'!$G:$G,$AP294),0)</f>
        <v>50.48</v>
      </c>
      <c r="AR294" s="251">
        <f>IF($S294,INDEX('Tarieven W&amp;O'!$G:$G,MATCH(N294&amp;R294,'Tarieven W&amp;O'!$B:$B,0)),0)</f>
        <v>0</v>
      </c>
      <c r="AS294" s="205">
        <f>-INDEX(Parameters!$B:$B,MATCH(AS$3,Parameters!$A:$A,0))*(AQ294+AR294)</f>
        <v>0</v>
      </c>
      <c r="AT294" s="205">
        <f>INDEX(hulpblad!$E:$E,MATCH(M294&amp;Q294,hulpblad!$B:$B,0))</f>
        <v>1</v>
      </c>
      <c r="AU294" s="150">
        <f t="shared" si="147"/>
        <v>51.48</v>
      </c>
      <c r="AV294" s="150">
        <f t="shared" si="148"/>
        <v>52.17444444444444</v>
      </c>
      <c r="AX294" s="526">
        <f>Parameters!$B$6*AV294</f>
        <v>0.52174444444444446</v>
      </c>
      <c r="AY294" s="150">
        <v>0</v>
      </c>
      <c r="AZ294" s="150"/>
      <c r="BA294" s="150">
        <f t="shared" si="167"/>
        <v>0.52174444444444446</v>
      </c>
      <c r="BB294" s="150"/>
      <c r="BC294" s="522">
        <f t="shared" si="168"/>
        <v>52.696188888888884</v>
      </c>
      <c r="BD294" s="175"/>
      <c r="BE294" s="527">
        <f t="shared" si="149"/>
        <v>975.08158888888897</v>
      </c>
      <c r="BF294" s="181">
        <f t="shared" si="150"/>
        <v>0.94872803243243242</v>
      </c>
      <c r="BG294" s="520" t="b">
        <f t="shared" si="161"/>
        <v>0</v>
      </c>
      <c r="BI294" s="528" t="s">
        <v>2181</v>
      </c>
      <c r="BL294" s="151" t="str">
        <f t="shared" si="152"/>
        <v>EoKMetro - Regionaal</v>
      </c>
      <c r="BM294" s="529">
        <v>0</v>
      </c>
      <c r="BN294" s="180">
        <f>BM294/INDEX(Parameters!$B:$B,MATCH("AfschrijftermijnVVE"&amp;12*$C294,Parameters!$A:$A,0))</f>
        <v>0</v>
      </c>
      <c r="BO294" s="184">
        <f>INDEX('inkoop ULL tbv EVPN'!I:I,MATCH(BL294,'inkoop ULL tbv EVPN'!H:H,0))</f>
        <v>2</v>
      </c>
      <c r="BP294" s="184">
        <f t="shared" si="153"/>
        <v>2</v>
      </c>
      <c r="BR294" s="180">
        <f>Parameters!$B$12*AG294</f>
        <v>102.77777777777779</v>
      </c>
      <c r="BS294" s="180">
        <f>SUM(Distributievergoedingen!$F$12,Distributievergoedingen!$I$12,Distributievergoedingen!$L$12,Distributievergoedingen!$O$12)*AF294+SUM(Distributievergoedingen!$O$12*AA294+Distributievergoedingen!$R$12+Distributievergoedingen!$U$12+Distributievergoedingen!$X$12)/(MAX(36,12*C294))</f>
        <v>112.77777777777777</v>
      </c>
      <c r="BT294" s="150"/>
      <c r="BU294" s="150">
        <f t="shared" si="154"/>
        <v>215.55555555555554</v>
      </c>
      <c r="BW294" s="522">
        <f t="shared" si="155"/>
        <v>217.55555555555554</v>
      </c>
      <c r="BY294" s="527">
        <f t="shared" si="156"/>
        <v>810.22222222222229</v>
      </c>
      <c r="BZ294" s="181">
        <f t="shared" si="157"/>
        <v>0.78832432432432431</v>
      </c>
      <c r="CA294" s="520" t="b">
        <f t="shared" si="158"/>
        <v>0</v>
      </c>
    </row>
    <row r="295" spans="1:79" s="151" customFormat="1">
      <c r="A295" s="151" t="str">
        <f t="shared" si="151"/>
        <v>3EoKPremiumCity8</v>
      </c>
      <c r="B295" s="520" t="str">
        <f t="shared" si="146"/>
        <v>3EoKPremiumCity8</v>
      </c>
      <c r="C295" s="179">
        <v>3</v>
      </c>
      <c r="D295" s="179" t="s">
        <v>303</v>
      </c>
      <c r="E295" s="178" t="s">
        <v>267</v>
      </c>
      <c r="F295" s="178" t="s">
        <v>262</v>
      </c>
      <c r="G295" s="185" t="s">
        <v>411</v>
      </c>
      <c r="J295" s="520" t="str">
        <f t="shared" si="159"/>
        <v>PremiumCity8</v>
      </c>
      <c r="L295" s="204">
        <f>INDEX(Mapping!$H:$H,MATCH(C$3&amp;C295,Mapping!$B:$B,0))</f>
        <v>1</v>
      </c>
      <c r="M295" s="204" t="str">
        <f>INDEX(Mapping!$H:$H,MATCH(D$3&amp;$D295,Mapping!$B:$B,0))</f>
        <v>EoK</v>
      </c>
      <c r="N295" s="204" t="str">
        <f>INDEX(Mapping!$H:$H,MATCH(E$3&amp;E295,Mapping!$B:$B,0))</f>
        <v>Premium</v>
      </c>
      <c r="O295" s="204" t="str">
        <f>INDEX(Mapping!$H:$H,MATCH(F$3&amp;F295,Mapping!$B:$B,0))</f>
        <v>Metro</v>
      </c>
      <c r="P295" s="204">
        <f>INDEX(Mapping!$H:$H,MATCH(G$3&amp;G295,Mapping!$B:$B,0))</f>
        <v>8</v>
      </c>
      <c r="Q295" s="204" t="str">
        <f>INDEX(Mapping!$H:$H,MATCH(Q$3&amp;$F295,Mapping!$B:$B,0))</f>
        <v>Metro - Regionaal</v>
      </c>
      <c r="R295" s="204" t="str">
        <f>INDEX(Mapping!$H:$H,MATCH("ZM VPN Service Level"&amp;E295,Mapping!$B:$B,0))</f>
        <v>Advanced</v>
      </c>
      <c r="S295" s="139" t="b">
        <f>IF($D295="EoK",INDEX(Mapping!$I:$I,MATCH($G$3&amp;$G295,Mapping!B:B,0)),FALSE)</f>
        <v>0</v>
      </c>
      <c r="T295" s="139"/>
      <c r="U295" s="520" t="str">
        <f t="shared" si="160"/>
        <v>PremiumMetro8</v>
      </c>
      <c r="W295" s="521">
        <f>MATCH($J295,'Tarieven ZM'!$B:$B,0)</f>
        <v>71</v>
      </c>
      <c r="X295" s="204">
        <f>INDEX('Tarieven ZM'!$H:$H,$W295)</f>
        <v>1000</v>
      </c>
      <c r="Y295" s="198">
        <f>-INDEX(Parameters!$B:$B,MATCH(Y$3&amp;$C295,Parameters!$A:$A,0))*$X295</f>
        <v>0</v>
      </c>
      <c r="Z295" s="198">
        <f>-INDEX(Parameters!$B:$B,MATCH(Z$3&amp;$C295,Parameters!$A:$A,0))*$X295</f>
        <v>0</v>
      </c>
      <c r="AA295" s="139">
        <f t="shared" si="162"/>
        <v>1000</v>
      </c>
      <c r="AB295" s="205">
        <f>AA295/INDEX(Parameters!$B:$B,MATCH("AfschrijftermijnVVE"&amp;12*$C295,Parameters!$A:$A,0))</f>
        <v>27.777777777777779</v>
      </c>
      <c r="AC295" s="204">
        <f>INDEX('Tarieven ZM'!$G:$G,$W295)</f>
        <v>1000</v>
      </c>
      <c r="AD295" s="198">
        <f>-INDEX(Parameters!$B:$B,MATCH(AD$3&amp;$C295,Parameters!$A:$A,0))*$AC295</f>
        <v>0</v>
      </c>
      <c r="AE295" s="198">
        <f>-INDEX(Parameters!$B:$B,MATCH(AE$3,Parameters!$A:$A,0))*$AC295</f>
        <v>0</v>
      </c>
      <c r="AF295" s="139">
        <f t="shared" si="163"/>
        <v>1000</v>
      </c>
      <c r="AG295" s="522">
        <f t="shared" si="164"/>
        <v>1027.7777777777778</v>
      </c>
      <c r="AH295" s="175"/>
      <c r="AI295" s="523">
        <f>MATCH($U295,'Tarieven W&amp;O'!$B:$B,0)</f>
        <v>63</v>
      </c>
      <c r="AJ295" s="204">
        <f>IF(AI295&lt;&gt;"nvt",INDEX('Tarieven W&amp;O'!$H:$H,$AI295),0)</f>
        <v>0</v>
      </c>
      <c r="AK295" s="204">
        <f>IF(AI295&lt;&gt;"nvt",INDEX('Tarieven W&amp;O'!$I:$I,$AI295),0)</f>
        <v>25</v>
      </c>
      <c r="AL295" s="524">
        <f>IF(AI295&lt;&gt;"nvt",-INDEX(Parameters!$B:$B,MATCH(AL$3,Parameters!$A:$A,0))*(AJ295+AK295),0)</f>
        <v>0</v>
      </c>
      <c r="AM295" s="525"/>
      <c r="AN295" s="139">
        <f t="shared" si="165"/>
        <v>25</v>
      </c>
      <c r="AO295" s="205">
        <f>AN295/INDEX(Parameters!$B:$B,MATCH("AfschrijftermijnVVE"&amp;12*$C295,Parameters!$A:$A,0))</f>
        <v>0.69444444444444442</v>
      </c>
      <c r="AP295" s="139">
        <f t="shared" si="166"/>
        <v>63</v>
      </c>
      <c r="AQ295" s="526">
        <f>IF(AP295&lt;&gt;"nvt",INDEX('Tarieven W&amp;O'!$G:$G,$AP295),0)</f>
        <v>54.24</v>
      </c>
      <c r="AR295" s="251">
        <f>IF($S295,INDEX('Tarieven W&amp;O'!$G:$G,MATCH(N295&amp;R295,'Tarieven W&amp;O'!$B:$B,0)),0)</f>
        <v>0</v>
      </c>
      <c r="AS295" s="205">
        <f>-INDEX(Parameters!$B:$B,MATCH(AS$3,Parameters!$A:$A,0))*(AQ295+AR295)</f>
        <v>0</v>
      </c>
      <c r="AT295" s="205">
        <f>INDEX(hulpblad!$E:$E,MATCH(M295&amp;Q295,hulpblad!$B:$B,0))</f>
        <v>1</v>
      </c>
      <c r="AU295" s="150">
        <f t="shared" si="147"/>
        <v>55.24</v>
      </c>
      <c r="AV295" s="150">
        <f t="shared" si="148"/>
        <v>55.934444444444445</v>
      </c>
      <c r="AX295" s="526">
        <f>Parameters!$B$6*AV295</f>
        <v>0.55934444444444442</v>
      </c>
      <c r="AY295" s="150">
        <v>0</v>
      </c>
      <c r="AZ295" s="150"/>
      <c r="BA295" s="150">
        <f t="shared" si="167"/>
        <v>0.55934444444444442</v>
      </c>
      <c r="BB295" s="150"/>
      <c r="BC295" s="522">
        <f t="shared" si="168"/>
        <v>56.493788888888886</v>
      </c>
      <c r="BD295" s="175"/>
      <c r="BE295" s="527">
        <f t="shared" si="149"/>
        <v>971.28398888888898</v>
      </c>
      <c r="BF295" s="181">
        <f t="shared" si="150"/>
        <v>0.94503307027027028</v>
      </c>
      <c r="BG295" s="520" t="b">
        <f t="shared" si="161"/>
        <v>0</v>
      </c>
      <c r="BI295" s="528" t="s">
        <v>2181</v>
      </c>
      <c r="BL295" s="151" t="str">
        <f t="shared" si="152"/>
        <v>EoKMetro - Regionaal</v>
      </c>
      <c r="BM295" s="529">
        <v>0</v>
      </c>
      <c r="BN295" s="180">
        <f>BM295/INDEX(Parameters!$B:$B,MATCH("AfschrijftermijnVVE"&amp;12*$C295,Parameters!$A:$A,0))</f>
        <v>0</v>
      </c>
      <c r="BO295" s="184">
        <f>INDEX('inkoop ULL tbv EVPN'!I:I,MATCH(BL295,'inkoop ULL tbv EVPN'!H:H,0))</f>
        <v>2</v>
      </c>
      <c r="BP295" s="184">
        <f t="shared" si="153"/>
        <v>2</v>
      </c>
      <c r="BR295" s="180">
        <f>Parameters!$B$12*AG295</f>
        <v>102.77777777777779</v>
      </c>
      <c r="BS295" s="180">
        <f>SUM(Distributievergoedingen!$F$12,Distributievergoedingen!$I$12,Distributievergoedingen!$L$12,Distributievergoedingen!$O$12)*AF295+SUM(Distributievergoedingen!$O$12*AA295+Distributievergoedingen!$R$12+Distributievergoedingen!$U$12+Distributievergoedingen!$X$12)/(MAX(36,12*C295))</f>
        <v>112.77777777777777</v>
      </c>
      <c r="BT295" s="150"/>
      <c r="BU295" s="150">
        <f t="shared" si="154"/>
        <v>215.55555555555554</v>
      </c>
      <c r="BW295" s="522">
        <f t="shared" si="155"/>
        <v>217.55555555555554</v>
      </c>
      <c r="BY295" s="527">
        <f t="shared" si="156"/>
        <v>810.22222222222229</v>
      </c>
      <c r="BZ295" s="181">
        <f t="shared" si="157"/>
        <v>0.78832432432432431</v>
      </c>
      <c r="CA295" s="520" t="b">
        <f t="shared" si="158"/>
        <v>0</v>
      </c>
    </row>
    <row r="296" spans="1:79" s="151" customFormat="1">
      <c r="A296" s="151" t="str">
        <f t="shared" si="151"/>
        <v>3EoKPremiumCity10</v>
      </c>
      <c r="B296" s="520" t="str">
        <f t="shared" si="146"/>
        <v>3EoKPremiumCity10</v>
      </c>
      <c r="C296" s="179">
        <v>3</v>
      </c>
      <c r="D296" s="179" t="s">
        <v>303</v>
      </c>
      <c r="E296" s="178" t="s">
        <v>267</v>
      </c>
      <c r="F296" s="178" t="s">
        <v>262</v>
      </c>
      <c r="G296" s="185" t="s">
        <v>412</v>
      </c>
      <c r="J296" s="520" t="str">
        <f t="shared" si="159"/>
        <v>PremiumCity10</v>
      </c>
      <c r="L296" s="204">
        <f>INDEX(Mapping!$H:$H,MATCH(C$3&amp;C296,Mapping!$B:$B,0))</f>
        <v>1</v>
      </c>
      <c r="M296" s="204" t="str">
        <f>INDEX(Mapping!$H:$H,MATCH(D$3&amp;$D296,Mapping!$B:$B,0))</f>
        <v>EoK</v>
      </c>
      <c r="N296" s="204" t="str">
        <f>INDEX(Mapping!$H:$H,MATCH(E$3&amp;E296,Mapping!$B:$B,0))</f>
        <v>Premium</v>
      </c>
      <c r="O296" s="204" t="str">
        <f>INDEX(Mapping!$H:$H,MATCH(F$3&amp;F296,Mapping!$B:$B,0))</f>
        <v>Metro</v>
      </c>
      <c r="P296" s="204">
        <f>INDEX(Mapping!$H:$H,MATCH(G$3&amp;G296,Mapping!$B:$B,0))</f>
        <v>10</v>
      </c>
      <c r="Q296" s="204" t="str">
        <f>INDEX(Mapping!$H:$H,MATCH(Q$3&amp;$F296,Mapping!$B:$B,0))</f>
        <v>Metro - Regionaal</v>
      </c>
      <c r="R296" s="204" t="str">
        <f>INDEX(Mapping!$H:$H,MATCH("ZM VPN Service Level"&amp;E296,Mapping!$B:$B,0))</f>
        <v>Advanced</v>
      </c>
      <c r="S296" s="139" t="b">
        <f>IF($D296="EoK",INDEX(Mapping!$I:$I,MATCH($G$3&amp;$G296,Mapping!B:B,0)),FALSE)</f>
        <v>0</v>
      </c>
      <c r="T296" s="139"/>
      <c r="U296" s="520" t="str">
        <f t="shared" si="160"/>
        <v>PremiumMetro10</v>
      </c>
      <c r="W296" s="521">
        <f>MATCH($J296,'Tarieven ZM'!$B:$B,0)</f>
        <v>72</v>
      </c>
      <c r="X296" s="204">
        <f>INDEX('Tarieven ZM'!$H:$H,$W296)</f>
        <v>1000</v>
      </c>
      <c r="Y296" s="198">
        <f>-INDEX(Parameters!$B:$B,MATCH(Y$3&amp;$C296,Parameters!$A:$A,0))*$X296</f>
        <v>0</v>
      </c>
      <c r="Z296" s="198">
        <f>-INDEX(Parameters!$B:$B,MATCH(Z$3&amp;$C296,Parameters!$A:$A,0))*$X296</f>
        <v>0</v>
      </c>
      <c r="AA296" s="139">
        <f t="shared" si="162"/>
        <v>1000</v>
      </c>
      <c r="AB296" s="205">
        <f>AA296/INDEX(Parameters!$B:$B,MATCH("AfschrijftermijnVVE"&amp;12*$C296,Parameters!$A:$A,0))</f>
        <v>27.777777777777779</v>
      </c>
      <c r="AC296" s="204">
        <f>INDEX('Tarieven ZM'!$G:$G,$W296)</f>
        <v>1000</v>
      </c>
      <c r="AD296" s="198">
        <f>-INDEX(Parameters!$B:$B,MATCH(AD$3&amp;$C296,Parameters!$A:$A,0))*$AC296</f>
        <v>0</v>
      </c>
      <c r="AE296" s="198">
        <f>-INDEX(Parameters!$B:$B,MATCH(AE$3,Parameters!$A:$A,0))*$AC296</f>
        <v>0</v>
      </c>
      <c r="AF296" s="139">
        <f t="shared" si="163"/>
        <v>1000</v>
      </c>
      <c r="AG296" s="522">
        <f t="shared" si="164"/>
        <v>1027.7777777777778</v>
      </c>
      <c r="AH296" s="175"/>
      <c r="AI296" s="523">
        <f>MATCH($U296,'Tarieven W&amp;O'!$B:$B,0)</f>
        <v>64</v>
      </c>
      <c r="AJ296" s="204">
        <f>IF(AI296&lt;&gt;"nvt",INDEX('Tarieven W&amp;O'!$H:$H,$AI296),0)</f>
        <v>0</v>
      </c>
      <c r="AK296" s="204">
        <f>IF(AI296&lt;&gt;"nvt",INDEX('Tarieven W&amp;O'!$I:$I,$AI296),0)</f>
        <v>25</v>
      </c>
      <c r="AL296" s="524">
        <f>IF(AI296&lt;&gt;"nvt",-INDEX(Parameters!$B:$B,MATCH(AL$3,Parameters!$A:$A,0))*(AJ296+AK296),0)</f>
        <v>0</v>
      </c>
      <c r="AM296" s="525"/>
      <c r="AN296" s="139">
        <f t="shared" si="165"/>
        <v>25</v>
      </c>
      <c r="AO296" s="205">
        <f>AN296/INDEX(Parameters!$B:$B,MATCH("AfschrijftermijnVVE"&amp;12*$C296,Parameters!$A:$A,0))</f>
        <v>0.69444444444444442</v>
      </c>
      <c r="AP296" s="139">
        <f t="shared" si="166"/>
        <v>64</v>
      </c>
      <c r="AQ296" s="526">
        <f>IF(AP296&lt;&gt;"nvt",INDEX('Tarieven W&amp;O'!$G:$G,$AP296),0)</f>
        <v>58.01</v>
      </c>
      <c r="AR296" s="251">
        <f>IF($S296,INDEX('Tarieven W&amp;O'!$G:$G,MATCH(N296&amp;R296,'Tarieven W&amp;O'!$B:$B,0)),0)</f>
        <v>0</v>
      </c>
      <c r="AS296" s="205">
        <f>-INDEX(Parameters!$B:$B,MATCH(AS$3,Parameters!$A:$A,0))*(AQ296+AR296)</f>
        <v>0</v>
      </c>
      <c r="AT296" s="205">
        <f>INDEX(hulpblad!$E:$E,MATCH(M296&amp;Q296,hulpblad!$B:$B,0))</f>
        <v>1</v>
      </c>
      <c r="AU296" s="150">
        <f t="shared" si="147"/>
        <v>59.01</v>
      </c>
      <c r="AV296" s="150">
        <f t="shared" si="148"/>
        <v>59.704444444444441</v>
      </c>
      <c r="AX296" s="526">
        <f>Parameters!$B$6*AV296</f>
        <v>0.59704444444444438</v>
      </c>
      <c r="AY296" s="150">
        <v>0</v>
      </c>
      <c r="AZ296" s="150"/>
      <c r="BA296" s="150">
        <f t="shared" si="167"/>
        <v>0.59704444444444438</v>
      </c>
      <c r="BB296" s="150"/>
      <c r="BC296" s="522">
        <f t="shared" si="168"/>
        <v>60.301488888888883</v>
      </c>
      <c r="BD296" s="175"/>
      <c r="BE296" s="527">
        <f t="shared" si="149"/>
        <v>967.47628888888892</v>
      </c>
      <c r="BF296" s="181">
        <f t="shared" si="150"/>
        <v>0.94132828108108102</v>
      </c>
      <c r="BG296" s="520" t="b">
        <f t="shared" si="161"/>
        <v>0</v>
      </c>
      <c r="BI296" s="528" t="s">
        <v>2181</v>
      </c>
      <c r="BL296" s="151" t="str">
        <f t="shared" si="152"/>
        <v>EoKMetro - Regionaal</v>
      </c>
      <c r="BM296" s="529">
        <v>0</v>
      </c>
      <c r="BN296" s="180">
        <f>BM296/INDEX(Parameters!$B:$B,MATCH("AfschrijftermijnVVE"&amp;12*$C296,Parameters!$A:$A,0))</f>
        <v>0</v>
      </c>
      <c r="BO296" s="184">
        <f>INDEX('inkoop ULL tbv EVPN'!I:I,MATCH(BL296,'inkoop ULL tbv EVPN'!H:H,0))</f>
        <v>2</v>
      </c>
      <c r="BP296" s="184">
        <f t="shared" si="153"/>
        <v>2</v>
      </c>
      <c r="BR296" s="180">
        <f>Parameters!$B$12*AG296</f>
        <v>102.77777777777779</v>
      </c>
      <c r="BS296" s="180">
        <f>SUM(Distributievergoedingen!$F$12,Distributievergoedingen!$I$12,Distributievergoedingen!$L$12,Distributievergoedingen!$O$12)*AF296+SUM(Distributievergoedingen!$O$12*AA296+Distributievergoedingen!$R$12+Distributievergoedingen!$U$12+Distributievergoedingen!$X$12)/(MAX(36,12*C296))</f>
        <v>112.77777777777777</v>
      </c>
      <c r="BT296" s="150"/>
      <c r="BU296" s="150">
        <f t="shared" si="154"/>
        <v>215.55555555555554</v>
      </c>
      <c r="BW296" s="522">
        <f t="shared" si="155"/>
        <v>217.55555555555554</v>
      </c>
      <c r="BY296" s="527">
        <f t="shared" si="156"/>
        <v>810.22222222222229</v>
      </c>
      <c r="BZ296" s="181">
        <f t="shared" si="157"/>
        <v>0.78832432432432431</v>
      </c>
      <c r="CA296" s="520" t="b">
        <f t="shared" si="158"/>
        <v>0</v>
      </c>
    </row>
    <row r="297" spans="1:79" s="151" customFormat="1">
      <c r="A297" s="151" t="str">
        <f t="shared" si="151"/>
        <v>3EoKPremiumCity15</v>
      </c>
      <c r="B297" s="520" t="str">
        <f t="shared" si="146"/>
        <v>3EoKPremiumCity15</v>
      </c>
      <c r="C297" s="179">
        <v>3</v>
      </c>
      <c r="D297" s="179" t="s">
        <v>303</v>
      </c>
      <c r="E297" s="178" t="s">
        <v>267</v>
      </c>
      <c r="F297" s="178" t="s">
        <v>262</v>
      </c>
      <c r="G297" s="185" t="s">
        <v>413</v>
      </c>
      <c r="J297" s="520" t="str">
        <f t="shared" si="159"/>
        <v>PremiumCity15</v>
      </c>
      <c r="L297" s="204">
        <f>INDEX(Mapping!$H:$H,MATCH(C$3&amp;C297,Mapping!$B:$B,0))</f>
        <v>1</v>
      </c>
      <c r="M297" s="204" t="str">
        <f>INDEX(Mapping!$H:$H,MATCH(D$3&amp;$D297,Mapping!$B:$B,0))</f>
        <v>EoK</v>
      </c>
      <c r="N297" s="204" t="str">
        <f>INDEX(Mapping!$H:$H,MATCH(E$3&amp;E297,Mapping!$B:$B,0))</f>
        <v>Premium</v>
      </c>
      <c r="O297" s="204" t="str">
        <f>INDEX(Mapping!$H:$H,MATCH(F$3&amp;F297,Mapping!$B:$B,0))</f>
        <v>Metro</v>
      </c>
      <c r="P297" s="204">
        <f>INDEX(Mapping!$H:$H,MATCH(G$3&amp;G297,Mapping!$B:$B,0))</f>
        <v>15</v>
      </c>
      <c r="Q297" s="204" t="str">
        <f>INDEX(Mapping!$H:$H,MATCH(Q$3&amp;$F297,Mapping!$B:$B,0))</f>
        <v>Metro - Regionaal</v>
      </c>
      <c r="R297" s="204" t="str">
        <f>INDEX(Mapping!$H:$H,MATCH("ZM VPN Service Level"&amp;E297,Mapping!$B:$B,0))</f>
        <v>Advanced</v>
      </c>
      <c r="S297" s="139" t="b">
        <f>IF($D297="EoK",INDEX(Mapping!$I:$I,MATCH($G$3&amp;$G297,Mapping!B:B,0)),FALSE)</f>
        <v>0</v>
      </c>
      <c r="T297" s="139"/>
      <c r="U297" s="520" t="str">
        <f t="shared" si="160"/>
        <v>PremiumMetro15</v>
      </c>
      <c r="W297" s="521">
        <f>MATCH($J297,'Tarieven ZM'!$B:$B,0)</f>
        <v>73</v>
      </c>
      <c r="X297" s="204">
        <f>INDEX('Tarieven ZM'!$H:$H,$W297)</f>
        <v>1000</v>
      </c>
      <c r="Y297" s="198">
        <f>-INDEX(Parameters!$B:$B,MATCH(Y$3&amp;$C297,Parameters!$A:$A,0))*$X297</f>
        <v>0</v>
      </c>
      <c r="Z297" s="198">
        <f>-INDEX(Parameters!$B:$B,MATCH(Z$3&amp;$C297,Parameters!$A:$A,0))*$X297</f>
        <v>0</v>
      </c>
      <c r="AA297" s="139">
        <f t="shared" si="162"/>
        <v>1000</v>
      </c>
      <c r="AB297" s="205">
        <f>AA297/INDEX(Parameters!$B:$B,MATCH("AfschrijftermijnVVE"&amp;12*$C297,Parameters!$A:$A,0))</f>
        <v>27.777777777777779</v>
      </c>
      <c r="AC297" s="204">
        <f>INDEX('Tarieven ZM'!$G:$G,$W297)</f>
        <v>1000</v>
      </c>
      <c r="AD297" s="198">
        <f>-INDEX(Parameters!$B:$B,MATCH(AD$3&amp;$C297,Parameters!$A:$A,0))*$AC297</f>
        <v>0</v>
      </c>
      <c r="AE297" s="198">
        <f>-INDEX(Parameters!$B:$B,MATCH(AE$3,Parameters!$A:$A,0))*$AC297</f>
        <v>0</v>
      </c>
      <c r="AF297" s="139">
        <f t="shared" si="163"/>
        <v>1000</v>
      </c>
      <c r="AG297" s="522">
        <f t="shared" si="164"/>
        <v>1027.7777777777778</v>
      </c>
      <c r="AH297" s="175"/>
      <c r="AI297" s="523">
        <f>MATCH($U297,'Tarieven W&amp;O'!$B:$B,0)</f>
        <v>65</v>
      </c>
      <c r="AJ297" s="204">
        <f>IF(AI297&lt;&gt;"nvt",INDEX('Tarieven W&amp;O'!$H:$H,$AI297),0)</f>
        <v>0</v>
      </c>
      <c r="AK297" s="204">
        <f>IF(AI297&lt;&gt;"nvt",INDEX('Tarieven W&amp;O'!$I:$I,$AI297),0)</f>
        <v>25</v>
      </c>
      <c r="AL297" s="524">
        <f>IF(AI297&lt;&gt;"nvt",-INDEX(Parameters!$B:$B,MATCH(AL$3,Parameters!$A:$A,0))*(AJ297+AK297),0)</f>
        <v>0</v>
      </c>
      <c r="AM297" s="525"/>
      <c r="AN297" s="139">
        <f t="shared" si="165"/>
        <v>25</v>
      </c>
      <c r="AO297" s="205">
        <f>AN297/INDEX(Parameters!$B:$B,MATCH("AfschrijftermijnVVE"&amp;12*$C297,Parameters!$A:$A,0))</f>
        <v>0.69444444444444442</v>
      </c>
      <c r="AP297" s="139">
        <f t="shared" si="166"/>
        <v>65</v>
      </c>
      <c r="AQ297" s="526">
        <f>IF(AP297&lt;&gt;"nvt",INDEX('Tarieven W&amp;O'!$G:$G,$AP297),0)</f>
        <v>80.63</v>
      </c>
      <c r="AR297" s="251">
        <f>IF($S297,INDEX('Tarieven W&amp;O'!$G:$G,MATCH(N297&amp;R297,'Tarieven W&amp;O'!$B:$B,0)),0)</f>
        <v>0</v>
      </c>
      <c r="AS297" s="205">
        <f>-INDEX(Parameters!$B:$B,MATCH(AS$3,Parameters!$A:$A,0))*(AQ297+AR297)</f>
        <v>0</v>
      </c>
      <c r="AT297" s="205">
        <f>INDEX(hulpblad!$E:$E,MATCH(M297&amp;Q297,hulpblad!$B:$B,0))</f>
        <v>1</v>
      </c>
      <c r="AU297" s="150">
        <f t="shared" si="147"/>
        <v>81.63</v>
      </c>
      <c r="AV297" s="150">
        <f t="shared" si="148"/>
        <v>82.324444444444438</v>
      </c>
      <c r="AX297" s="526">
        <f>Parameters!$B$6*AV297</f>
        <v>0.82324444444444445</v>
      </c>
      <c r="AY297" s="150">
        <v>0</v>
      </c>
      <c r="AZ297" s="150"/>
      <c r="BA297" s="150">
        <f t="shared" si="167"/>
        <v>0.82324444444444445</v>
      </c>
      <c r="BB297" s="150"/>
      <c r="BC297" s="522">
        <f t="shared" si="168"/>
        <v>83.147688888888879</v>
      </c>
      <c r="BD297" s="175"/>
      <c r="BE297" s="527">
        <f t="shared" si="149"/>
        <v>944.63008888888896</v>
      </c>
      <c r="BF297" s="181">
        <f t="shared" si="150"/>
        <v>0.91909954594594601</v>
      </c>
      <c r="BG297" s="520" t="b">
        <f t="shared" si="161"/>
        <v>0</v>
      </c>
      <c r="BI297" s="528" t="s">
        <v>2181</v>
      </c>
      <c r="BL297" s="151" t="str">
        <f t="shared" si="152"/>
        <v>EoKMetro - Regionaal</v>
      </c>
      <c r="BM297" s="529">
        <v>0</v>
      </c>
      <c r="BN297" s="180">
        <f>BM297/INDEX(Parameters!$B:$B,MATCH("AfschrijftermijnVVE"&amp;12*$C297,Parameters!$A:$A,0))</f>
        <v>0</v>
      </c>
      <c r="BO297" s="184">
        <f>INDEX('inkoop ULL tbv EVPN'!I:I,MATCH(BL297,'inkoop ULL tbv EVPN'!H:H,0))</f>
        <v>2</v>
      </c>
      <c r="BP297" s="184">
        <f t="shared" si="153"/>
        <v>2</v>
      </c>
      <c r="BR297" s="180">
        <f>Parameters!$B$12*AG297</f>
        <v>102.77777777777779</v>
      </c>
      <c r="BS297" s="180">
        <f>SUM(Distributievergoedingen!$F$12,Distributievergoedingen!$I$12,Distributievergoedingen!$L$12,Distributievergoedingen!$O$12)*AF297+SUM(Distributievergoedingen!$O$12*AA297+Distributievergoedingen!$R$12+Distributievergoedingen!$U$12+Distributievergoedingen!$X$12)/(MAX(36,12*C297))</f>
        <v>112.77777777777777</v>
      </c>
      <c r="BT297" s="150"/>
      <c r="BU297" s="150">
        <f t="shared" si="154"/>
        <v>215.55555555555554</v>
      </c>
      <c r="BW297" s="522">
        <f t="shared" si="155"/>
        <v>217.55555555555554</v>
      </c>
      <c r="BY297" s="527">
        <f t="shared" si="156"/>
        <v>810.22222222222229</v>
      </c>
      <c r="BZ297" s="181">
        <f t="shared" si="157"/>
        <v>0.78832432432432431</v>
      </c>
      <c r="CA297" s="520" t="b">
        <f t="shared" si="158"/>
        <v>0</v>
      </c>
    </row>
    <row r="298" spans="1:79" s="151" customFormat="1">
      <c r="A298" s="151" t="str">
        <f t="shared" si="151"/>
        <v>3EoKPremiumCity20</v>
      </c>
      <c r="B298" s="520" t="str">
        <f t="shared" ref="B298:B345" si="169">A298</f>
        <v>3EoKPremiumCity20</v>
      </c>
      <c r="C298" s="179">
        <v>3</v>
      </c>
      <c r="D298" s="179" t="s">
        <v>303</v>
      </c>
      <c r="E298" s="178" t="s">
        <v>267</v>
      </c>
      <c r="F298" s="178" t="s">
        <v>262</v>
      </c>
      <c r="G298" s="185" t="s">
        <v>414</v>
      </c>
      <c r="J298" s="520" t="str">
        <f t="shared" si="159"/>
        <v>PremiumCity20</v>
      </c>
      <c r="L298" s="204">
        <f>INDEX(Mapping!$H:$H,MATCH(C$3&amp;C298,Mapping!$B:$B,0))</f>
        <v>1</v>
      </c>
      <c r="M298" s="204" t="str">
        <f>INDEX(Mapping!$H:$H,MATCH(D$3&amp;$D298,Mapping!$B:$B,0))</f>
        <v>EoK</v>
      </c>
      <c r="N298" s="204" t="str">
        <f>INDEX(Mapping!$H:$H,MATCH(E$3&amp;E298,Mapping!$B:$B,0))</f>
        <v>Premium</v>
      </c>
      <c r="O298" s="204" t="str">
        <f>INDEX(Mapping!$H:$H,MATCH(F$3&amp;F298,Mapping!$B:$B,0))</f>
        <v>Metro</v>
      </c>
      <c r="P298" s="204">
        <f>INDEX(Mapping!$H:$H,MATCH(G$3&amp;G298,Mapping!$B:$B,0))</f>
        <v>20</v>
      </c>
      <c r="Q298" s="204" t="str">
        <f>INDEX(Mapping!$H:$H,MATCH(Q$3&amp;$F298,Mapping!$B:$B,0))</f>
        <v>Metro - Regionaal</v>
      </c>
      <c r="R298" s="204" t="str">
        <f>INDEX(Mapping!$H:$H,MATCH("ZM VPN Service Level"&amp;E298,Mapping!$B:$B,0))</f>
        <v>Advanced</v>
      </c>
      <c r="S298" s="139" t="b">
        <f>IF($D298="EoK",INDEX(Mapping!$I:$I,MATCH($G$3&amp;$G298,Mapping!B:B,0)),FALSE)</f>
        <v>0</v>
      </c>
      <c r="T298" s="139"/>
      <c r="U298" s="520" t="str">
        <f t="shared" si="160"/>
        <v>PremiumMetro20</v>
      </c>
      <c r="W298" s="521">
        <f>MATCH($J298,'Tarieven ZM'!$B:$B,0)</f>
        <v>74</v>
      </c>
      <c r="X298" s="204">
        <f>INDEX('Tarieven ZM'!$H:$H,$W298)</f>
        <v>1000</v>
      </c>
      <c r="Y298" s="198">
        <f>-INDEX(Parameters!$B:$B,MATCH(Y$3&amp;$C298,Parameters!$A:$A,0))*$X298</f>
        <v>0</v>
      </c>
      <c r="Z298" s="198">
        <f>-INDEX(Parameters!$B:$B,MATCH(Z$3&amp;$C298,Parameters!$A:$A,0))*$X298</f>
        <v>0</v>
      </c>
      <c r="AA298" s="139">
        <f t="shared" si="162"/>
        <v>1000</v>
      </c>
      <c r="AB298" s="205">
        <f>AA298/INDEX(Parameters!$B:$B,MATCH("AfschrijftermijnVVE"&amp;12*$C298,Parameters!$A:$A,0))</f>
        <v>27.777777777777779</v>
      </c>
      <c r="AC298" s="204">
        <f>INDEX('Tarieven ZM'!$G:$G,$W298)</f>
        <v>1000</v>
      </c>
      <c r="AD298" s="198">
        <f>-INDEX(Parameters!$B:$B,MATCH(AD$3&amp;$C298,Parameters!$A:$A,0))*$AC298</f>
        <v>0</v>
      </c>
      <c r="AE298" s="198">
        <f>-INDEX(Parameters!$B:$B,MATCH(AE$3,Parameters!$A:$A,0))*$AC298</f>
        <v>0</v>
      </c>
      <c r="AF298" s="139">
        <f t="shared" si="163"/>
        <v>1000</v>
      </c>
      <c r="AG298" s="522">
        <f t="shared" si="164"/>
        <v>1027.7777777777778</v>
      </c>
      <c r="AH298" s="175"/>
      <c r="AI298" s="523">
        <f>MATCH($U298,'Tarieven W&amp;O'!$B:$B,0)</f>
        <v>66</v>
      </c>
      <c r="AJ298" s="204">
        <f>IF(AI298&lt;&gt;"nvt",INDEX('Tarieven W&amp;O'!$H:$H,$AI298),0)</f>
        <v>0</v>
      </c>
      <c r="AK298" s="204">
        <f>IF(AI298&lt;&gt;"nvt",INDEX('Tarieven W&amp;O'!$I:$I,$AI298),0)</f>
        <v>25</v>
      </c>
      <c r="AL298" s="524">
        <f>IF(AI298&lt;&gt;"nvt",-INDEX(Parameters!$B:$B,MATCH(AL$3,Parameters!$A:$A,0))*(AJ298+AK298),0)</f>
        <v>0</v>
      </c>
      <c r="AM298" s="525"/>
      <c r="AN298" s="139">
        <f t="shared" si="165"/>
        <v>25</v>
      </c>
      <c r="AO298" s="205">
        <f>AN298/INDEX(Parameters!$B:$B,MATCH("AfschrijftermijnVVE"&amp;12*$C298,Parameters!$A:$A,0))</f>
        <v>0.69444444444444442</v>
      </c>
      <c r="AP298" s="139">
        <f t="shared" si="166"/>
        <v>66</v>
      </c>
      <c r="AQ298" s="526">
        <f>IF(AP298&lt;&gt;"nvt",INDEX('Tarieven W&amp;O'!$G:$G,$AP298),0)</f>
        <v>88.17</v>
      </c>
      <c r="AR298" s="251">
        <f>IF($S298,INDEX('Tarieven W&amp;O'!$G:$G,MATCH(N298&amp;R298,'Tarieven W&amp;O'!$B:$B,0)),0)</f>
        <v>0</v>
      </c>
      <c r="AS298" s="205">
        <f>-INDEX(Parameters!$B:$B,MATCH(AS$3,Parameters!$A:$A,0))*(AQ298+AR298)</f>
        <v>0</v>
      </c>
      <c r="AT298" s="205">
        <f>INDEX(hulpblad!$E:$E,MATCH(M298&amp;Q298,hulpblad!$B:$B,0))</f>
        <v>1</v>
      </c>
      <c r="AU298" s="150">
        <f t="shared" si="147"/>
        <v>89.17</v>
      </c>
      <c r="AV298" s="150">
        <f t="shared" si="148"/>
        <v>89.864444444444445</v>
      </c>
      <c r="AX298" s="526">
        <f>Parameters!$B$6*AV298</f>
        <v>0.89864444444444447</v>
      </c>
      <c r="AY298" s="150">
        <v>0</v>
      </c>
      <c r="AZ298" s="150"/>
      <c r="BA298" s="150">
        <f t="shared" si="167"/>
        <v>0.89864444444444447</v>
      </c>
      <c r="BB298" s="150"/>
      <c r="BC298" s="522">
        <f t="shared" si="168"/>
        <v>90.763088888888888</v>
      </c>
      <c r="BD298" s="175"/>
      <c r="BE298" s="527">
        <f t="shared" si="149"/>
        <v>937.01468888888894</v>
      </c>
      <c r="BF298" s="181">
        <f t="shared" si="150"/>
        <v>0.91168996756756759</v>
      </c>
      <c r="BG298" s="520" t="b">
        <f t="shared" si="161"/>
        <v>0</v>
      </c>
      <c r="BI298" s="528" t="s">
        <v>2181</v>
      </c>
      <c r="BL298" s="151" t="str">
        <f t="shared" si="152"/>
        <v>EoKMetro - Regionaal</v>
      </c>
      <c r="BM298" s="529">
        <v>0</v>
      </c>
      <c r="BN298" s="180">
        <f>BM298/INDEX(Parameters!$B:$B,MATCH("AfschrijftermijnVVE"&amp;12*$C298,Parameters!$A:$A,0))</f>
        <v>0</v>
      </c>
      <c r="BO298" s="184">
        <f>INDEX('inkoop ULL tbv EVPN'!I:I,MATCH(BL298,'inkoop ULL tbv EVPN'!H:H,0))</f>
        <v>2</v>
      </c>
      <c r="BP298" s="184">
        <f t="shared" si="153"/>
        <v>2</v>
      </c>
      <c r="BR298" s="180">
        <f>Parameters!$B$12*AG298</f>
        <v>102.77777777777779</v>
      </c>
      <c r="BS298" s="180">
        <f>SUM(Distributievergoedingen!$F$12,Distributievergoedingen!$I$12,Distributievergoedingen!$L$12,Distributievergoedingen!$O$12)*AF298+SUM(Distributievergoedingen!$O$12*AA298+Distributievergoedingen!$R$12+Distributievergoedingen!$U$12+Distributievergoedingen!$X$12)/(MAX(36,12*C298))</f>
        <v>112.77777777777777</v>
      </c>
      <c r="BT298" s="150"/>
      <c r="BU298" s="150">
        <f t="shared" si="154"/>
        <v>215.55555555555554</v>
      </c>
      <c r="BW298" s="522">
        <f t="shared" si="155"/>
        <v>217.55555555555554</v>
      </c>
      <c r="BY298" s="527">
        <f t="shared" si="156"/>
        <v>810.22222222222229</v>
      </c>
      <c r="BZ298" s="181">
        <f t="shared" si="157"/>
        <v>0.78832432432432431</v>
      </c>
      <c r="CA298" s="520" t="b">
        <f t="shared" si="158"/>
        <v>0</v>
      </c>
    </row>
    <row r="299" spans="1:79" s="151" customFormat="1">
      <c r="A299" s="151" t="str">
        <f t="shared" si="151"/>
        <v>3EoKPremiumCity30</v>
      </c>
      <c r="B299" s="520" t="str">
        <f t="shared" si="169"/>
        <v>3EoKPremiumCity30</v>
      </c>
      <c r="C299" s="179">
        <v>3</v>
      </c>
      <c r="D299" s="179" t="s">
        <v>303</v>
      </c>
      <c r="E299" s="178" t="s">
        <v>267</v>
      </c>
      <c r="F299" s="178" t="s">
        <v>262</v>
      </c>
      <c r="G299" s="185" t="s">
        <v>415</v>
      </c>
      <c r="J299" s="520" t="str">
        <f t="shared" si="159"/>
        <v>PremiumCity30</v>
      </c>
      <c r="L299" s="204">
        <f>INDEX(Mapping!$H:$H,MATCH(C$3&amp;C299,Mapping!$B:$B,0))</f>
        <v>1</v>
      </c>
      <c r="M299" s="204" t="str">
        <f>INDEX(Mapping!$H:$H,MATCH(D$3&amp;$D299,Mapping!$B:$B,0))</f>
        <v>EoK</v>
      </c>
      <c r="N299" s="204" t="str">
        <f>INDEX(Mapping!$H:$H,MATCH(E$3&amp;E299,Mapping!$B:$B,0))</f>
        <v>Premium</v>
      </c>
      <c r="O299" s="204" t="str">
        <f>INDEX(Mapping!$H:$H,MATCH(F$3&amp;F299,Mapping!$B:$B,0))</f>
        <v>Metro</v>
      </c>
      <c r="P299" s="204">
        <f>INDEX(Mapping!$H:$H,MATCH(G$3&amp;G299,Mapping!$B:$B,0))</f>
        <v>30</v>
      </c>
      <c r="Q299" s="204" t="str">
        <f>INDEX(Mapping!$H:$H,MATCH(Q$3&amp;$F299,Mapping!$B:$B,0))</f>
        <v>Metro - Regionaal</v>
      </c>
      <c r="R299" s="204" t="str">
        <f>INDEX(Mapping!$H:$H,MATCH("ZM VPN Service Level"&amp;E299,Mapping!$B:$B,0))</f>
        <v>Advanced</v>
      </c>
      <c r="S299" s="139" t="b">
        <f>IF($D299="EoK",INDEX(Mapping!$I:$I,MATCH($G$3&amp;$G299,Mapping!B:B,0)),FALSE)</f>
        <v>0</v>
      </c>
      <c r="T299" s="139"/>
      <c r="U299" s="520" t="str">
        <f t="shared" si="160"/>
        <v>PremiumMetro30</v>
      </c>
      <c r="W299" s="521">
        <f>MATCH($J299,'Tarieven ZM'!$B:$B,0)</f>
        <v>75</v>
      </c>
      <c r="X299" s="204">
        <f>INDEX('Tarieven ZM'!$H:$H,$W299)</f>
        <v>1000</v>
      </c>
      <c r="Y299" s="198">
        <f>-INDEX(Parameters!$B:$B,MATCH(Y$3&amp;$C299,Parameters!$A:$A,0))*$X299</f>
        <v>0</v>
      </c>
      <c r="Z299" s="198">
        <f>-INDEX(Parameters!$B:$B,MATCH(Z$3&amp;$C299,Parameters!$A:$A,0))*$X299</f>
        <v>0</v>
      </c>
      <c r="AA299" s="139">
        <f t="shared" si="162"/>
        <v>1000</v>
      </c>
      <c r="AB299" s="205">
        <f>AA299/INDEX(Parameters!$B:$B,MATCH("AfschrijftermijnVVE"&amp;12*$C299,Parameters!$A:$A,0))</f>
        <v>27.777777777777779</v>
      </c>
      <c r="AC299" s="204">
        <f>INDEX('Tarieven ZM'!$G:$G,$W299)</f>
        <v>1000</v>
      </c>
      <c r="AD299" s="198">
        <f>-INDEX(Parameters!$B:$B,MATCH(AD$3&amp;$C299,Parameters!$A:$A,0))*$AC299</f>
        <v>0</v>
      </c>
      <c r="AE299" s="198">
        <f>-INDEX(Parameters!$B:$B,MATCH(AE$3,Parameters!$A:$A,0))*$AC299</f>
        <v>0</v>
      </c>
      <c r="AF299" s="139">
        <f t="shared" si="163"/>
        <v>1000</v>
      </c>
      <c r="AG299" s="522">
        <f t="shared" si="164"/>
        <v>1027.7777777777778</v>
      </c>
      <c r="AH299" s="175"/>
      <c r="AI299" s="523">
        <f>MATCH($U299,'Tarieven W&amp;O'!$B:$B,0)</f>
        <v>67</v>
      </c>
      <c r="AJ299" s="204">
        <f>IF(AI299&lt;&gt;"nvt",INDEX('Tarieven W&amp;O'!$H:$H,$AI299),0)</f>
        <v>0</v>
      </c>
      <c r="AK299" s="204">
        <f>IF(AI299&lt;&gt;"nvt",INDEX('Tarieven W&amp;O'!$I:$I,$AI299),0)</f>
        <v>25</v>
      </c>
      <c r="AL299" s="524">
        <f>IF(AI299&lt;&gt;"nvt",-INDEX(Parameters!$B:$B,MATCH(AL$3,Parameters!$A:$A,0))*(AJ299+AK299),0)</f>
        <v>0</v>
      </c>
      <c r="AM299" s="525"/>
      <c r="AN299" s="139">
        <f t="shared" si="165"/>
        <v>25</v>
      </c>
      <c r="AO299" s="205">
        <f>AN299/INDEX(Parameters!$B:$B,MATCH("AfschrijftermijnVVE"&amp;12*$C299,Parameters!$A:$A,0))</f>
        <v>0.69444444444444442</v>
      </c>
      <c r="AP299" s="139">
        <f t="shared" si="166"/>
        <v>67</v>
      </c>
      <c r="AQ299" s="526">
        <f>IF(AP299&lt;&gt;"nvt",INDEX('Tarieven W&amp;O'!$G:$G,$AP299),0)</f>
        <v>110.78</v>
      </c>
      <c r="AR299" s="251">
        <f>IF($S299,INDEX('Tarieven W&amp;O'!$G:$G,MATCH(N299&amp;R299,'Tarieven W&amp;O'!$B:$B,0)),0)</f>
        <v>0</v>
      </c>
      <c r="AS299" s="205">
        <f>-INDEX(Parameters!$B:$B,MATCH(AS$3,Parameters!$A:$A,0))*(AQ299+AR299)</f>
        <v>0</v>
      </c>
      <c r="AT299" s="205">
        <f>INDEX(hulpblad!$E:$E,MATCH(M299&amp;Q299,hulpblad!$B:$B,0))</f>
        <v>1</v>
      </c>
      <c r="AU299" s="150">
        <f t="shared" si="147"/>
        <v>111.78</v>
      </c>
      <c r="AV299" s="150">
        <f t="shared" si="148"/>
        <v>112.47444444444444</v>
      </c>
      <c r="AX299" s="526">
        <f>Parameters!$B$6*AV299</f>
        <v>1.1247444444444445</v>
      </c>
      <c r="AY299" s="150">
        <v>0</v>
      </c>
      <c r="AZ299" s="150"/>
      <c r="BA299" s="150">
        <f t="shared" si="167"/>
        <v>1.1247444444444445</v>
      </c>
      <c r="BB299" s="150"/>
      <c r="BC299" s="522">
        <f t="shared" si="168"/>
        <v>113.59918888888889</v>
      </c>
      <c r="BD299" s="175"/>
      <c r="BE299" s="527">
        <f t="shared" si="149"/>
        <v>914.17858888888895</v>
      </c>
      <c r="BF299" s="181">
        <f t="shared" si="150"/>
        <v>0.88947105945945948</v>
      </c>
      <c r="BG299" s="520" t="b">
        <f t="shared" si="161"/>
        <v>0</v>
      </c>
      <c r="BI299" s="528" t="s">
        <v>2181</v>
      </c>
      <c r="BL299" s="151" t="str">
        <f t="shared" si="152"/>
        <v>EoKMetro - Regionaal</v>
      </c>
      <c r="BM299" s="529">
        <v>0</v>
      </c>
      <c r="BN299" s="180">
        <f>BM299/INDEX(Parameters!$B:$B,MATCH("AfschrijftermijnVVE"&amp;12*$C299,Parameters!$A:$A,0))</f>
        <v>0</v>
      </c>
      <c r="BO299" s="184">
        <f>INDEX('inkoop ULL tbv EVPN'!I:I,MATCH(BL299,'inkoop ULL tbv EVPN'!H:H,0))</f>
        <v>2</v>
      </c>
      <c r="BP299" s="184">
        <f t="shared" si="153"/>
        <v>2</v>
      </c>
      <c r="BR299" s="180">
        <f>Parameters!$B$12*AG299</f>
        <v>102.77777777777779</v>
      </c>
      <c r="BS299" s="180">
        <f>SUM(Distributievergoedingen!$F$12,Distributievergoedingen!$I$12,Distributievergoedingen!$L$12,Distributievergoedingen!$O$12)*AF299+SUM(Distributievergoedingen!$O$12*AA299+Distributievergoedingen!$R$12+Distributievergoedingen!$U$12+Distributievergoedingen!$X$12)/(MAX(36,12*C299))</f>
        <v>112.77777777777777</v>
      </c>
      <c r="BT299" s="150"/>
      <c r="BU299" s="150">
        <f t="shared" si="154"/>
        <v>215.55555555555554</v>
      </c>
      <c r="BW299" s="522">
        <f t="shared" si="155"/>
        <v>217.55555555555554</v>
      </c>
      <c r="BY299" s="527">
        <f t="shared" si="156"/>
        <v>810.22222222222229</v>
      </c>
      <c r="BZ299" s="181">
        <f t="shared" si="157"/>
        <v>0.78832432432432431</v>
      </c>
      <c r="CA299" s="520" t="b">
        <f t="shared" si="158"/>
        <v>0</v>
      </c>
    </row>
    <row r="300" spans="1:79" s="151" customFormat="1">
      <c r="A300" s="151" t="str">
        <f t="shared" si="151"/>
        <v>3EoKPremiumCity50</v>
      </c>
      <c r="B300" s="520" t="str">
        <f t="shared" si="169"/>
        <v>3EoKPremiumCity50</v>
      </c>
      <c r="C300" s="179">
        <v>3</v>
      </c>
      <c r="D300" s="179" t="s">
        <v>303</v>
      </c>
      <c r="E300" s="178" t="s">
        <v>267</v>
      </c>
      <c r="F300" s="178" t="s">
        <v>262</v>
      </c>
      <c r="G300" s="185" t="s">
        <v>416</v>
      </c>
      <c r="J300" s="520" t="str">
        <f t="shared" si="159"/>
        <v>PremiumCity50</v>
      </c>
      <c r="L300" s="204">
        <f>INDEX(Mapping!$H:$H,MATCH(C$3&amp;C300,Mapping!$B:$B,0))</f>
        <v>1</v>
      </c>
      <c r="M300" s="204" t="str">
        <f>INDEX(Mapping!$H:$H,MATCH(D$3&amp;$D300,Mapping!$B:$B,0))</f>
        <v>EoK</v>
      </c>
      <c r="N300" s="204" t="str">
        <f>INDEX(Mapping!$H:$H,MATCH(E$3&amp;E300,Mapping!$B:$B,0))</f>
        <v>Premium</v>
      </c>
      <c r="O300" s="204" t="str">
        <f>INDEX(Mapping!$H:$H,MATCH(F$3&amp;F300,Mapping!$B:$B,0))</f>
        <v>Metro</v>
      </c>
      <c r="P300" s="204">
        <f>INDEX(Mapping!$H:$H,MATCH(G$3&amp;G300,Mapping!$B:$B,0))</f>
        <v>50</v>
      </c>
      <c r="Q300" s="204" t="str">
        <f>INDEX(Mapping!$H:$H,MATCH(Q$3&amp;$F300,Mapping!$B:$B,0))</f>
        <v>Metro - Regionaal</v>
      </c>
      <c r="R300" s="204" t="str">
        <f>INDEX(Mapping!$H:$H,MATCH("ZM VPN Service Level"&amp;E300,Mapping!$B:$B,0))</f>
        <v>Advanced</v>
      </c>
      <c r="S300" s="139" t="b">
        <f>IF($D300="EoK",INDEX(Mapping!$I:$I,MATCH($G$3&amp;$G300,Mapping!B:B,0)),FALSE)</f>
        <v>0</v>
      </c>
      <c r="T300" s="139"/>
      <c r="U300" s="520" t="str">
        <f t="shared" si="160"/>
        <v>PremiumMetro50</v>
      </c>
      <c r="W300" s="521">
        <f>MATCH($J300,'Tarieven ZM'!$B:$B,0)</f>
        <v>76</v>
      </c>
      <c r="X300" s="204">
        <f>INDEX('Tarieven ZM'!$H:$H,$W300)</f>
        <v>1000</v>
      </c>
      <c r="Y300" s="198">
        <f>-INDEX(Parameters!$B:$B,MATCH(Y$3&amp;$C300,Parameters!$A:$A,0))*$X300</f>
        <v>0</v>
      </c>
      <c r="Z300" s="198">
        <f>-INDEX(Parameters!$B:$B,MATCH(Z$3&amp;$C300,Parameters!$A:$A,0))*$X300</f>
        <v>0</v>
      </c>
      <c r="AA300" s="139">
        <f t="shared" si="162"/>
        <v>1000</v>
      </c>
      <c r="AB300" s="205">
        <f>AA300/INDEX(Parameters!$B:$B,MATCH("AfschrijftermijnVVE"&amp;12*$C300,Parameters!$A:$A,0))</f>
        <v>27.777777777777779</v>
      </c>
      <c r="AC300" s="204">
        <f>INDEX('Tarieven ZM'!$G:$G,$W300)</f>
        <v>1000</v>
      </c>
      <c r="AD300" s="198">
        <f>-INDEX(Parameters!$B:$B,MATCH(AD$3&amp;$C300,Parameters!$A:$A,0))*$AC300</f>
        <v>0</v>
      </c>
      <c r="AE300" s="198">
        <f>-INDEX(Parameters!$B:$B,MATCH(AE$3,Parameters!$A:$A,0))*$AC300</f>
        <v>0</v>
      </c>
      <c r="AF300" s="139">
        <f t="shared" si="163"/>
        <v>1000</v>
      </c>
      <c r="AG300" s="522">
        <f t="shared" si="164"/>
        <v>1027.7777777777778</v>
      </c>
      <c r="AH300" s="175"/>
      <c r="AI300" s="523">
        <f>MATCH($U300,'Tarieven W&amp;O'!$B:$B,0)</f>
        <v>68</v>
      </c>
      <c r="AJ300" s="204">
        <f>IF(AI300&lt;&gt;"nvt",INDEX('Tarieven W&amp;O'!$H:$H,$AI300),0)</f>
        <v>0</v>
      </c>
      <c r="AK300" s="204">
        <f>IF(AI300&lt;&gt;"nvt",INDEX('Tarieven W&amp;O'!$I:$I,$AI300),0)</f>
        <v>25</v>
      </c>
      <c r="AL300" s="524">
        <f>IF(AI300&lt;&gt;"nvt",-INDEX(Parameters!$B:$B,MATCH(AL$3,Parameters!$A:$A,0))*(AJ300+AK300),0)</f>
        <v>0</v>
      </c>
      <c r="AM300" s="525"/>
      <c r="AN300" s="139">
        <f t="shared" si="165"/>
        <v>25</v>
      </c>
      <c r="AO300" s="205">
        <f>AN300/INDEX(Parameters!$B:$B,MATCH("AfschrijftermijnVVE"&amp;12*$C300,Parameters!$A:$A,0))</f>
        <v>0.69444444444444442</v>
      </c>
      <c r="AP300" s="139">
        <f t="shared" si="166"/>
        <v>68</v>
      </c>
      <c r="AQ300" s="526">
        <f>IF(AP300&lt;&gt;"nvt",INDEX('Tarieven W&amp;O'!$G:$G,$AP300),0)</f>
        <v>133.4</v>
      </c>
      <c r="AR300" s="251">
        <f>IF($S300,INDEX('Tarieven W&amp;O'!$G:$G,MATCH(N300&amp;R300,'Tarieven W&amp;O'!$B:$B,0)),0)</f>
        <v>0</v>
      </c>
      <c r="AS300" s="205">
        <f>-INDEX(Parameters!$B:$B,MATCH(AS$3,Parameters!$A:$A,0))*(AQ300+AR300)</f>
        <v>0</v>
      </c>
      <c r="AT300" s="205">
        <f>INDEX(hulpblad!$E:$E,MATCH(M300&amp;Q300,hulpblad!$B:$B,0))</f>
        <v>1</v>
      </c>
      <c r="AU300" s="150">
        <f t="shared" si="147"/>
        <v>134.4</v>
      </c>
      <c r="AV300" s="150">
        <f t="shared" si="148"/>
        <v>135.09444444444446</v>
      </c>
      <c r="AX300" s="526">
        <f>Parameters!$B$6*AV300</f>
        <v>1.3509444444444447</v>
      </c>
      <c r="AY300" s="150">
        <v>0</v>
      </c>
      <c r="AZ300" s="150"/>
      <c r="BA300" s="150">
        <f t="shared" si="167"/>
        <v>1.3509444444444447</v>
      </c>
      <c r="BB300" s="150"/>
      <c r="BC300" s="522">
        <f t="shared" si="168"/>
        <v>136.44538888888891</v>
      </c>
      <c r="BD300" s="175"/>
      <c r="BE300" s="527">
        <f t="shared" si="149"/>
        <v>891.33238888888889</v>
      </c>
      <c r="BF300" s="181">
        <f t="shared" si="150"/>
        <v>0.86724232432432424</v>
      </c>
      <c r="BG300" s="520" t="b">
        <f t="shared" si="161"/>
        <v>0</v>
      </c>
      <c r="BI300" s="528" t="s">
        <v>2181</v>
      </c>
      <c r="BL300" s="151" t="str">
        <f t="shared" si="152"/>
        <v>EoKMetro - Regionaal</v>
      </c>
      <c r="BM300" s="529">
        <v>0</v>
      </c>
      <c r="BN300" s="180">
        <f>BM300/INDEX(Parameters!$B:$B,MATCH("AfschrijftermijnVVE"&amp;12*$C300,Parameters!$A:$A,0))</f>
        <v>0</v>
      </c>
      <c r="BO300" s="184">
        <f>INDEX('inkoop ULL tbv EVPN'!I:I,MATCH(BL300,'inkoop ULL tbv EVPN'!H:H,0))</f>
        <v>2</v>
      </c>
      <c r="BP300" s="184">
        <f t="shared" si="153"/>
        <v>2</v>
      </c>
      <c r="BR300" s="180">
        <f>Parameters!$B$12*AG300</f>
        <v>102.77777777777779</v>
      </c>
      <c r="BS300" s="180">
        <f>SUM(Distributievergoedingen!$F$12,Distributievergoedingen!$I$12,Distributievergoedingen!$L$12,Distributievergoedingen!$O$12)*AF300+SUM(Distributievergoedingen!$O$12*AA300+Distributievergoedingen!$R$12+Distributievergoedingen!$U$12+Distributievergoedingen!$X$12)/(MAX(36,12*C300))</f>
        <v>112.77777777777777</v>
      </c>
      <c r="BT300" s="150"/>
      <c r="BU300" s="150">
        <f t="shared" si="154"/>
        <v>215.55555555555554</v>
      </c>
      <c r="BW300" s="522">
        <f t="shared" si="155"/>
        <v>217.55555555555554</v>
      </c>
      <c r="BY300" s="527">
        <f t="shared" si="156"/>
        <v>810.22222222222229</v>
      </c>
      <c r="BZ300" s="181">
        <f t="shared" si="157"/>
        <v>0.78832432432432431</v>
      </c>
      <c r="CA300" s="520" t="b">
        <f t="shared" si="158"/>
        <v>0</v>
      </c>
    </row>
    <row r="301" spans="1:79" s="151" customFormat="1">
      <c r="A301" s="151" t="str">
        <f t="shared" si="151"/>
        <v>3EoKPremiumCity80</v>
      </c>
      <c r="B301" s="520" t="str">
        <f t="shared" si="169"/>
        <v>3EoKPremiumCity80</v>
      </c>
      <c r="C301" s="179">
        <v>3</v>
      </c>
      <c r="D301" s="179" t="s">
        <v>303</v>
      </c>
      <c r="E301" s="178" t="s">
        <v>267</v>
      </c>
      <c r="F301" s="178" t="s">
        <v>262</v>
      </c>
      <c r="G301" s="185" t="s">
        <v>417</v>
      </c>
      <c r="J301" s="520" t="str">
        <f t="shared" si="159"/>
        <v>PremiumCity80</v>
      </c>
      <c r="L301" s="204">
        <f>INDEX(Mapping!$H:$H,MATCH(C$3&amp;C301,Mapping!$B:$B,0))</f>
        <v>1</v>
      </c>
      <c r="M301" s="204" t="str">
        <f>INDEX(Mapping!$H:$H,MATCH(D$3&amp;$D301,Mapping!$B:$B,0))</f>
        <v>EoK</v>
      </c>
      <c r="N301" s="204" t="str">
        <f>INDEX(Mapping!$H:$H,MATCH(E$3&amp;E301,Mapping!$B:$B,0))</f>
        <v>Premium</v>
      </c>
      <c r="O301" s="204" t="str">
        <f>INDEX(Mapping!$H:$H,MATCH(F$3&amp;F301,Mapping!$B:$B,0))</f>
        <v>Metro</v>
      </c>
      <c r="P301" s="204">
        <f>INDEX(Mapping!$H:$H,MATCH(G$3&amp;G301,Mapping!$B:$B,0))</f>
        <v>80</v>
      </c>
      <c r="Q301" s="204" t="str">
        <f>INDEX(Mapping!$H:$H,MATCH(Q$3&amp;$F301,Mapping!$B:$B,0))</f>
        <v>Metro - Regionaal</v>
      </c>
      <c r="R301" s="204" t="str">
        <f>INDEX(Mapping!$H:$H,MATCH("ZM VPN Service Level"&amp;E301,Mapping!$B:$B,0))</f>
        <v>Advanced</v>
      </c>
      <c r="S301" s="139" t="b">
        <f>IF($D301="EoK",INDEX(Mapping!$I:$I,MATCH($G$3&amp;$G301,Mapping!B:B,0)),FALSE)</f>
        <v>0</v>
      </c>
      <c r="T301" s="139"/>
      <c r="U301" s="520" t="str">
        <f t="shared" si="160"/>
        <v>PremiumMetro80</v>
      </c>
      <c r="W301" s="521">
        <f>MATCH($J301,'Tarieven ZM'!$B:$B,0)</f>
        <v>77</v>
      </c>
      <c r="X301" s="204">
        <f>INDEX('Tarieven ZM'!$H:$H,$W301)</f>
        <v>1000</v>
      </c>
      <c r="Y301" s="198">
        <f>-INDEX(Parameters!$B:$B,MATCH(Y$3&amp;$C301,Parameters!$A:$A,0))*$X301</f>
        <v>0</v>
      </c>
      <c r="Z301" s="198">
        <f>-INDEX(Parameters!$B:$B,MATCH(Z$3&amp;$C301,Parameters!$A:$A,0))*$X301</f>
        <v>0</v>
      </c>
      <c r="AA301" s="139">
        <f t="shared" si="162"/>
        <v>1000</v>
      </c>
      <c r="AB301" s="205">
        <f>AA301/INDEX(Parameters!$B:$B,MATCH("AfschrijftermijnVVE"&amp;12*$C301,Parameters!$A:$A,0))</f>
        <v>27.777777777777779</v>
      </c>
      <c r="AC301" s="204">
        <f>INDEX('Tarieven ZM'!$G:$G,$W301)</f>
        <v>1000</v>
      </c>
      <c r="AD301" s="198">
        <f>-INDEX(Parameters!$B:$B,MATCH(AD$3&amp;$C301,Parameters!$A:$A,0))*$AC301</f>
        <v>0</v>
      </c>
      <c r="AE301" s="198">
        <f>-INDEX(Parameters!$B:$B,MATCH(AE$3,Parameters!$A:$A,0))*$AC301</f>
        <v>0</v>
      </c>
      <c r="AF301" s="139">
        <f t="shared" si="163"/>
        <v>1000</v>
      </c>
      <c r="AG301" s="522">
        <f t="shared" si="164"/>
        <v>1027.7777777777778</v>
      </c>
      <c r="AH301" s="175"/>
      <c r="AI301" s="523">
        <f>MATCH($U301,'Tarieven W&amp;O'!$B:$B,0)</f>
        <v>69</v>
      </c>
      <c r="AJ301" s="204">
        <f>IF(AI301&lt;&gt;"nvt",INDEX('Tarieven W&amp;O'!$H:$H,$AI301),0)</f>
        <v>0</v>
      </c>
      <c r="AK301" s="204">
        <f>IF(AI301&lt;&gt;"nvt",INDEX('Tarieven W&amp;O'!$I:$I,$AI301),0)</f>
        <v>25</v>
      </c>
      <c r="AL301" s="524">
        <f>IF(AI301&lt;&gt;"nvt",-INDEX(Parameters!$B:$B,MATCH(AL$3,Parameters!$A:$A,0))*(AJ301+AK301),0)</f>
        <v>0</v>
      </c>
      <c r="AM301" s="525"/>
      <c r="AN301" s="139">
        <f t="shared" si="165"/>
        <v>25</v>
      </c>
      <c r="AO301" s="205">
        <f>AN301/INDEX(Parameters!$B:$B,MATCH("AfschrijftermijnVVE"&amp;12*$C301,Parameters!$A:$A,0))</f>
        <v>0.69444444444444442</v>
      </c>
      <c r="AP301" s="139">
        <f t="shared" si="166"/>
        <v>69</v>
      </c>
      <c r="AQ301" s="526">
        <f>IF(AP301&lt;&gt;"nvt",INDEX('Tarieven W&amp;O'!$G:$G,$AP301),0)</f>
        <v>159.78</v>
      </c>
      <c r="AR301" s="251">
        <f>IF($S301,INDEX('Tarieven W&amp;O'!$G:$G,MATCH(N301&amp;R301,'Tarieven W&amp;O'!$B:$B,0)),0)</f>
        <v>0</v>
      </c>
      <c r="AS301" s="205">
        <f>-INDEX(Parameters!$B:$B,MATCH(AS$3,Parameters!$A:$A,0))*(AQ301+AR301)</f>
        <v>0</v>
      </c>
      <c r="AT301" s="205">
        <f>INDEX(hulpblad!$E:$E,MATCH(M301&amp;Q301,hulpblad!$B:$B,0))</f>
        <v>1</v>
      </c>
      <c r="AU301" s="150">
        <f t="shared" si="147"/>
        <v>160.78</v>
      </c>
      <c r="AV301" s="150">
        <f t="shared" si="148"/>
        <v>161.47444444444446</v>
      </c>
      <c r="AX301" s="526">
        <f>Parameters!$B$6*AV301</f>
        <v>1.6147444444444445</v>
      </c>
      <c r="AY301" s="150">
        <v>0</v>
      </c>
      <c r="AZ301" s="150"/>
      <c r="BA301" s="150">
        <f t="shared" si="167"/>
        <v>1.6147444444444445</v>
      </c>
      <c r="BB301" s="150"/>
      <c r="BC301" s="522">
        <f t="shared" si="168"/>
        <v>163.08918888888891</v>
      </c>
      <c r="BD301" s="175"/>
      <c r="BE301" s="527">
        <f t="shared" si="149"/>
        <v>864.68858888888894</v>
      </c>
      <c r="BF301" s="181">
        <f t="shared" si="150"/>
        <v>0.84131862702702709</v>
      </c>
      <c r="BG301" s="520" t="b">
        <f t="shared" si="161"/>
        <v>0</v>
      </c>
      <c r="BI301" s="528" t="s">
        <v>2181</v>
      </c>
      <c r="BL301" s="151" t="str">
        <f t="shared" si="152"/>
        <v>EoKMetro - Regionaal</v>
      </c>
      <c r="BM301" s="529">
        <v>0</v>
      </c>
      <c r="BN301" s="180">
        <f>BM301/INDEX(Parameters!$B:$B,MATCH("AfschrijftermijnVVE"&amp;12*$C301,Parameters!$A:$A,0))</f>
        <v>0</v>
      </c>
      <c r="BO301" s="184">
        <f>INDEX('inkoop ULL tbv EVPN'!I:I,MATCH(BL301,'inkoop ULL tbv EVPN'!H:H,0))</f>
        <v>2</v>
      </c>
      <c r="BP301" s="184">
        <f t="shared" si="153"/>
        <v>2</v>
      </c>
      <c r="BR301" s="180">
        <f>Parameters!$B$12*AG301</f>
        <v>102.77777777777779</v>
      </c>
      <c r="BS301" s="180">
        <f>SUM(Distributievergoedingen!$F$12,Distributievergoedingen!$I$12,Distributievergoedingen!$L$12,Distributievergoedingen!$O$12)*AF301+SUM(Distributievergoedingen!$O$12*AA301+Distributievergoedingen!$R$12+Distributievergoedingen!$U$12+Distributievergoedingen!$X$12)/(MAX(36,12*C301))</f>
        <v>112.77777777777777</v>
      </c>
      <c r="BT301" s="150"/>
      <c r="BU301" s="150">
        <f t="shared" si="154"/>
        <v>215.55555555555554</v>
      </c>
      <c r="BW301" s="522">
        <f t="shared" si="155"/>
        <v>217.55555555555554</v>
      </c>
      <c r="BY301" s="527">
        <f t="shared" si="156"/>
        <v>810.22222222222229</v>
      </c>
      <c r="BZ301" s="181">
        <f t="shared" si="157"/>
        <v>0.78832432432432431</v>
      </c>
      <c r="CA301" s="520" t="b">
        <f t="shared" si="158"/>
        <v>0</v>
      </c>
    </row>
    <row r="302" spans="1:79" s="151" customFormat="1">
      <c r="A302" s="151" t="str">
        <f t="shared" si="151"/>
        <v>3EoKPremiumCity100</v>
      </c>
      <c r="B302" s="520" t="str">
        <f t="shared" si="169"/>
        <v>3EoKPremiumCity100</v>
      </c>
      <c r="C302" s="179">
        <v>3</v>
      </c>
      <c r="D302" s="179" t="s">
        <v>303</v>
      </c>
      <c r="E302" s="178" t="s">
        <v>267</v>
      </c>
      <c r="F302" s="178" t="s">
        <v>262</v>
      </c>
      <c r="G302" s="185" t="s">
        <v>418</v>
      </c>
      <c r="J302" s="520" t="str">
        <f t="shared" si="159"/>
        <v>PremiumCity100</v>
      </c>
      <c r="L302" s="204">
        <f>INDEX(Mapping!$H:$H,MATCH(C$3&amp;C302,Mapping!$B:$B,0))</f>
        <v>1</v>
      </c>
      <c r="M302" s="204" t="str">
        <f>INDEX(Mapping!$H:$H,MATCH(D$3&amp;$D302,Mapping!$B:$B,0))</f>
        <v>EoK</v>
      </c>
      <c r="N302" s="204" t="str">
        <f>INDEX(Mapping!$H:$H,MATCH(E$3&amp;E302,Mapping!$B:$B,0))</f>
        <v>Premium</v>
      </c>
      <c r="O302" s="204" t="str">
        <f>INDEX(Mapping!$H:$H,MATCH(F$3&amp;F302,Mapping!$B:$B,0))</f>
        <v>Metro</v>
      </c>
      <c r="P302" s="204">
        <f>INDEX(Mapping!$H:$H,MATCH(G$3&amp;G302,Mapping!$B:$B,0))</f>
        <v>100</v>
      </c>
      <c r="Q302" s="204" t="str">
        <f>INDEX(Mapping!$H:$H,MATCH(Q$3&amp;$F302,Mapping!$B:$B,0))</f>
        <v>Metro - Regionaal</v>
      </c>
      <c r="R302" s="204" t="str">
        <f>INDEX(Mapping!$H:$H,MATCH("ZM VPN Service Level"&amp;E302,Mapping!$B:$B,0))</f>
        <v>Advanced</v>
      </c>
      <c r="S302" s="139" t="b">
        <f>IF($D302="EoK",INDEX(Mapping!$I:$I,MATCH($G$3&amp;$G302,Mapping!B:B,0)),FALSE)</f>
        <v>0</v>
      </c>
      <c r="T302" s="139"/>
      <c r="U302" s="520" t="str">
        <f t="shared" si="160"/>
        <v>PremiumMetro100</v>
      </c>
      <c r="W302" s="521">
        <f>MATCH($J302,'Tarieven ZM'!$B:$B,0)</f>
        <v>78</v>
      </c>
      <c r="X302" s="204">
        <f>INDEX('Tarieven ZM'!$H:$H,$W302)</f>
        <v>1000</v>
      </c>
      <c r="Y302" s="198">
        <f>-INDEX(Parameters!$B:$B,MATCH(Y$3&amp;$C302,Parameters!$A:$A,0))*$X302</f>
        <v>0</v>
      </c>
      <c r="Z302" s="198">
        <f>-INDEX(Parameters!$B:$B,MATCH(Z$3&amp;$C302,Parameters!$A:$A,0))*$X302</f>
        <v>0</v>
      </c>
      <c r="AA302" s="139">
        <f t="shared" si="162"/>
        <v>1000</v>
      </c>
      <c r="AB302" s="205">
        <f>AA302/INDEX(Parameters!$B:$B,MATCH("AfschrijftermijnVVE"&amp;12*$C302,Parameters!$A:$A,0))</f>
        <v>27.777777777777779</v>
      </c>
      <c r="AC302" s="204">
        <f>INDEX('Tarieven ZM'!$G:$G,$W302)</f>
        <v>1000</v>
      </c>
      <c r="AD302" s="198">
        <f>-INDEX(Parameters!$B:$B,MATCH(AD$3&amp;$C302,Parameters!$A:$A,0))*$AC302</f>
        <v>0</v>
      </c>
      <c r="AE302" s="198">
        <f>-INDEX(Parameters!$B:$B,MATCH(AE$3,Parameters!$A:$A,0))*$AC302</f>
        <v>0</v>
      </c>
      <c r="AF302" s="139">
        <f t="shared" si="163"/>
        <v>1000</v>
      </c>
      <c r="AG302" s="522">
        <f t="shared" si="164"/>
        <v>1027.7777777777778</v>
      </c>
      <c r="AH302" s="175"/>
      <c r="AI302" s="523">
        <f>MATCH($U302,'Tarieven W&amp;O'!$B:$B,0)</f>
        <v>70</v>
      </c>
      <c r="AJ302" s="204">
        <f>IF(AI302&lt;&gt;"nvt",INDEX('Tarieven W&amp;O'!$H:$H,$AI302),0)</f>
        <v>0</v>
      </c>
      <c r="AK302" s="204">
        <f>IF(AI302&lt;&gt;"nvt",INDEX('Tarieven W&amp;O'!$I:$I,$AI302),0)</f>
        <v>25</v>
      </c>
      <c r="AL302" s="524">
        <f>IF(AI302&lt;&gt;"nvt",-INDEX(Parameters!$B:$B,MATCH(AL$3,Parameters!$A:$A,0))*(AJ302+AK302),0)</f>
        <v>0</v>
      </c>
      <c r="AM302" s="525"/>
      <c r="AN302" s="139">
        <f t="shared" si="165"/>
        <v>25</v>
      </c>
      <c r="AO302" s="205">
        <f>AN302/INDEX(Parameters!$B:$B,MATCH("AfschrijftermijnVVE"&amp;12*$C302,Parameters!$A:$A,0))</f>
        <v>0.69444444444444442</v>
      </c>
      <c r="AP302" s="139">
        <f t="shared" si="166"/>
        <v>70</v>
      </c>
      <c r="AQ302" s="526">
        <f>IF(AP302&lt;&gt;"nvt",INDEX('Tarieven W&amp;O'!$G:$G,$AP302),0)</f>
        <v>178.63</v>
      </c>
      <c r="AR302" s="251">
        <f>IF($S302,INDEX('Tarieven W&amp;O'!$G:$G,MATCH(N302&amp;R302,'Tarieven W&amp;O'!$B:$B,0)),0)</f>
        <v>0</v>
      </c>
      <c r="AS302" s="205">
        <f>-INDEX(Parameters!$B:$B,MATCH(AS$3,Parameters!$A:$A,0))*(AQ302+AR302)</f>
        <v>0</v>
      </c>
      <c r="AT302" s="205">
        <f>INDEX(hulpblad!$E:$E,MATCH(M302&amp;Q302,hulpblad!$B:$B,0))</f>
        <v>1</v>
      </c>
      <c r="AU302" s="150">
        <f t="shared" si="147"/>
        <v>179.63</v>
      </c>
      <c r="AV302" s="150">
        <f t="shared" si="148"/>
        <v>180.32444444444445</v>
      </c>
      <c r="AX302" s="526">
        <f>Parameters!$B$6*AV302</f>
        <v>1.8032444444444446</v>
      </c>
      <c r="AY302" s="150">
        <v>0</v>
      </c>
      <c r="AZ302" s="150"/>
      <c r="BA302" s="150">
        <f t="shared" si="167"/>
        <v>1.8032444444444446</v>
      </c>
      <c r="BB302" s="150"/>
      <c r="BC302" s="522">
        <f t="shared" si="168"/>
        <v>182.12768888888888</v>
      </c>
      <c r="BD302" s="175"/>
      <c r="BE302" s="527">
        <f t="shared" si="149"/>
        <v>845.65008888888894</v>
      </c>
      <c r="BF302" s="181">
        <f t="shared" si="150"/>
        <v>0.82279468108108111</v>
      </c>
      <c r="BG302" s="520" t="b">
        <f t="shared" si="161"/>
        <v>0</v>
      </c>
      <c r="BI302" s="528" t="s">
        <v>2181</v>
      </c>
      <c r="BL302" s="151" t="str">
        <f t="shared" si="152"/>
        <v>EoKMetro - Regionaal</v>
      </c>
      <c r="BM302" s="529">
        <v>0</v>
      </c>
      <c r="BN302" s="180">
        <f>BM302/INDEX(Parameters!$B:$B,MATCH("AfschrijftermijnVVE"&amp;12*$C302,Parameters!$A:$A,0))</f>
        <v>0</v>
      </c>
      <c r="BO302" s="184">
        <f>INDEX('inkoop ULL tbv EVPN'!I:I,MATCH(BL302,'inkoop ULL tbv EVPN'!H:H,0))</f>
        <v>2</v>
      </c>
      <c r="BP302" s="184">
        <f t="shared" si="153"/>
        <v>2</v>
      </c>
      <c r="BR302" s="180">
        <f>Parameters!$B$12*AG302</f>
        <v>102.77777777777779</v>
      </c>
      <c r="BS302" s="180">
        <f>SUM(Distributievergoedingen!$F$12,Distributievergoedingen!$I$12,Distributievergoedingen!$L$12,Distributievergoedingen!$O$12)*AF302+SUM(Distributievergoedingen!$O$12*AA302+Distributievergoedingen!$R$12+Distributievergoedingen!$U$12+Distributievergoedingen!$X$12)/(MAX(36,12*C302))</f>
        <v>112.77777777777777</v>
      </c>
      <c r="BT302" s="150"/>
      <c r="BU302" s="150">
        <f t="shared" si="154"/>
        <v>215.55555555555554</v>
      </c>
      <c r="BW302" s="522">
        <f t="shared" si="155"/>
        <v>217.55555555555554</v>
      </c>
      <c r="BY302" s="527">
        <f t="shared" si="156"/>
        <v>810.22222222222229</v>
      </c>
      <c r="BZ302" s="181">
        <f t="shared" si="157"/>
        <v>0.78832432432432431</v>
      </c>
      <c r="CA302" s="520" t="b">
        <f t="shared" si="158"/>
        <v>0</v>
      </c>
    </row>
    <row r="303" spans="1:79" s="151" customFormat="1">
      <c r="A303" s="151" t="str">
        <f t="shared" si="151"/>
        <v>3EoKPremiumCity200</v>
      </c>
      <c r="B303" s="520" t="str">
        <f t="shared" si="169"/>
        <v>3EoKPremiumCity200</v>
      </c>
      <c r="C303" s="179">
        <v>3</v>
      </c>
      <c r="D303" s="179" t="s">
        <v>303</v>
      </c>
      <c r="E303" s="178" t="s">
        <v>267</v>
      </c>
      <c r="F303" s="178" t="s">
        <v>262</v>
      </c>
      <c r="G303" s="185" t="s">
        <v>419</v>
      </c>
      <c r="J303" s="520" t="str">
        <f t="shared" si="159"/>
        <v>PremiumCity200</v>
      </c>
      <c r="L303" s="204">
        <f>INDEX(Mapping!$H:$H,MATCH(C$3&amp;C303,Mapping!$B:$B,0))</f>
        <v>1</v>
      </c>
      <c r="M303" s="204" t="str">
        <f>INDEX(Mapping!$H:$H,MATCH(D$3&amp;$D303,Mapping!$B:$B,0))</f>
        <v>EoK</v>
      </c>
      <c r="N303" s="204" t="str">
        <f>INDEX(Mapping!$H:$H,MATCH(E$3&amp;E303,Mapping!$B:$B,0))</f>
        <v>Premium</v>
      </c>
      <c r="O303" s="204" t="str">
        <f>INDEX(Mapping!$H:$H,MATCH(F$3&amp;F303,Mapping!$B:$B,0))</f>
        <v>Metro</v>
      </c>
      <c r="P303" s="204">
        <f>INDEX(Mapping!$H:$H,MATCH(G$3&amp;G303,Mapping!$B:$B,0))</f>
        <v>200</v>
      </c>
      <c r="Q303" s="204" t="str">
        <f>INDEX(Mapping!$H:$H,MATCH(Q$3&amp;$F303,Mapping!$B:$B,0))</f>
        <v>Metro - Regionaal</v>
      </c>
      <c r="R303" s="204" t="str">
        <f>INDEX(Mapping!$H:$H,MATCH("ZM VPN Service Level"&amp;E303,Mapping!$B:$B,0))</f>
        <v>Advanced</v>
      </c>
      <c r="S303" s="139" t="b">
        <f>IF($D303="EoK",INDEX(Mapping!$I:$I,MATCH($G$3&amp;$G303,Mapping!B:B,0)),FALSE)</f>
        <v>0</v>
      </c>
      <c r="T303" s="139"/>
      <c r="U303" s="520" t="str">
        <f t="shared" si="160"/>
        <v>PremiumMetro200</v>
      </c>
      <c r="W303" s="521">
        <f>MATCH($J303,'Tarieven ZM'!$B:$B,0)</f>
        <v>79</v>
      </c>
      <c r="X303" s="204">
        <f>INDEX('Tarieven ZM'!$H:$H,$W303)</f>
        <v>1000</v>
      </c>
      <c r="Y303" s="198">
        <f>-INDEX(Parameters!$B:$B,MATCH(Y$3&amp;$C303,Parameters!$A:$A,0))*$X303</f>
        <v>0</v>
      </c>
      <c r="Z303" s="198">
        <f>-INDEX(Parameters!$B:$B,MATCH(Z$3&amp;$C303,Parameters!$A:$A,0))*$X303</f>
        <v>0</v>
      </c>
      <c r="AA303" s="139">
        <f t="shared" si="162"/>
        <v>1000</v>
      </c>
      <c r="AB303" s="205">
        <f>AA303/INDEX(Parameters!$B:$B,MATCH("AfschrijftermijnVVE"&amp;12*$C303,Parameters!$A:$A,0))</f>
        <v>27.777777777777779</v>
      </c>
      <c r="AC303" s="204">
        <f>INDEX('Tarieven ZM'!$G:$G,$W303)</f>
        <v>1000</v>
      </c>
      <c r="AD303" s="198">
        <f>-INDEX(Parameters!$B:$B,MATCH(AD$3&amp;$C303,Parameters!$A:$A,0))*$AC303</f>
        <v>0</v>
      </c>
      <c r="AE303" s="198">
        <f>-INDEX(Parameters!$B:$B,MATCH(AE$3,Parameters!$A:$A,0))*$AC303</f>
        <v>0</v>
      </c>
      <c r="AF303" s="139">
        <f t="shared" si="163"/>
        <v>1000</v>
      </c>
      <c r="AG303" s="522">
        <f t="shared" si="164"/>
        <v>1027.7777777777778</v>
      </c>
      <c r="AH303" s="175"/>
      <c r="AI303" s="523">
        <f>MATCH($U303,'Tarieven W&amp;O'!$B:$B,0)</f>
        <v>71</v>
      </c>
      <c r="AJ303" s="204">
        <f>IF(AI303&lt;&gt;"nvt",INDEX('Tarieven W&amp;O'!$H:$H,$AI303),0)</f>
        <v>0</v>
      </c>
      <c r="AK303" s="204">
        <f>IF(AI303&lt;&gt;"nvt",INDEX('Tarieven W&amp;O'!$I:$I,$AI303),0)</f>
        <v>25</v>
      </c>
      <c r="AL303" s="524">
        <f>IF(AI303&lt;&gt;"nvt",-INDEX(Parameters!$B:$B,MATCH(AL$3,Parameters!$A:$A,0))*(AJ303+AK303),0)</f>
        <v>0</v>
      </c>
      <c r="AM303" s="525"/>
      <c r="AN303" s="139">
        <f t="shared" si="165"/>
        <v>25</v>
      </c>
      <c r="AO303" s="205">
        <f>AN303/INDEX(Parameters!$B:$B,MATCH("AfschrijftermijnVVE"&amp;12*$C303,Parameters!$A:$A,0))</f>
        <v>0.69444444444444442</v>
      </c>
      <c r="AP303" s="139">
        <f t="shared" si="166"/>
        <v>71</v>
      </c>
      <c r="AQ303" s="526">
        <f>IF(AP303&lt;&gt;"nvt",INDEX('Tarieven W&amp;O'!$G:$G,$AP303),0)</f>
        <v>216.32</v>
      </c>
      <c r="AR303" s="251">
        <f>IF($S303,INDEX('Tarieven W&amp;O'!$G:$G,MATCH(N303&amp;R303,'Tarieven W&amp;O'!$B:$B,0)),0)</f>
        <v>0</v>
      </c>
      <c r="AS303" s="205">
        <f>-INDEX(Parameters!$B:$B,MATCH(AS$3,Parameters!$A:$A,0))*(AQ303+AR303)</f>
        <v>0</v>
      </c>
      <c r="AT303" s="205">
        <f>INDEX(hulpblad!$E:$E,MATCH(M303&amp;Q303,hulpblad!$B:$B,0))</f>
        <v>1</v>
      </c>
      <c r="AU303" s="150">
        <f t="shared" si="147"/>
        <v>217.32</v>
      </c>
      <c r="AV303" s="150">
        <f t="shared" si="148"/>
        <v>218.01444444444445</v>
      </c>
      <c r="AX303" s="526">
        <f>Parameters!$B$6*AV303</f>
        <v>2.1801444444444447</v>
      </c>
      <c r="AY303" s="150">
        <v>0</v>
      </c>
      <c r="AZ303" s="150"/>
      <c r="BA303" s="150">
        <f t="shared" si="167"/>
        <v>2.1801444444444447</v>
      </c>
      <c r="BB303" s="150"/>
      <c r="BC303" s="522">
        <f t="shared" si="168"/>
        <v>220.19458888888889</v>
      </c>
      <c r="BD303" s="175"/>
      <c r="BE303" s="527">
        <f t="shared" si="149"/>
        <v>807.58318888888891</v>
      </c>
      <c r="BF303" s="181">
        <f t="shared" si="150"/>
        <v>0.78575661621621617</v>
      </c>
      <c r="BG303" s="520" t="b">
        <f t="shared" si="161"/>
        <v>0</v>
      </c>
      <c r="BI303" s="528" t="s">
        <v>2181</v>
      </c>
      <c r="BL303" s="151" t="str">
        <f t="shared" si="152"/>
        <v>EoKMetro - Regionaal</v>
      </c>
      <c r="BM303" s="529">
        <v>0</v>
      </c>
      <c r="BN303" s="180">
        <f>BM303/INDEX(Parameters!$B:$B,MATCH("AfschrijftermijnVVE"&amp;12*$C303,Parameters!$A:$A,0))</f>
        <v>0</v>
      </c>
      <c r="BO303" s="184">
        <f>INDEX('inkoop ULL tbv EVPN'!I:I,MATCH(BL303,'inkoop ULL tbv EVPN'!H:H,0))</f>
        <v>2</v>
      </c>
      <c r="BP303" s="184">
        <f t="shared" si="153"/>
        <v>2</v>
      </c>
      <c r="BR303" s="180">
        <f>Parameters!$B$12*AG303</f>
        <v>102.77777777777779</v>
      </c>
      <c r="BS303" s="180">
        <f>SUM(Distributievergoedingen!$F$12,Distributievergoedingen!$I$12,Distributievergoedingen!$L$12,Distributievergoedingen!$O$12)*AF303+SUM(Distributievergoedingen!$O$12*AA303+Distributievergoedingen!$R$12+Distributievergoedingen!$U$12+Distributievergoedingen!$X$12)/(MAX(36,12*C303))</f>
        <v>112.77777777777777</v>
      </c>
      <c r="BT303" s="150"/>
      <c r="BU303" s="150">
        <f t="shared" si="154"/>
        <v>215.55555555555554</v>
      </c>
      <c r="BW303" s="522">
        <f t="shared" si="155"/>
        <v>217.55555555555554</v>
      </c>
      <c r="BY303" s="527">
        <f t="shared" si="156"/>
        <v>810.22222222222229</v>
      </c>
      <c r="BZ303" s="181">
        <f t="shared" si="157"/>
        <v>0.78832432432432431</v>
      </c>
      <c r="CA303" s="520" t="b">
        <f t="shared" si="158"/>
        <v>0</v>
      </c>
    </row>
    <row r="304" spans="1:79" s="151" customFormat="1">
      <c r="A304" s="151" t="str">
        <f t="shared" si="151"/>
        <v>3EoKPremiumCity300</v>
      </c>
      <c r="B304" s="520" t="str">
        <f t="shared" si="169"/>
        <v>3EoKPremiumCity300</v>
      </c>
      <c r="C304" s="179">
        <v>3</v>
      </c>
      <c r="D304" s="179" t="s">
        <v>303</v>
      </c>
      <c r="E304" s="178" t="s">
        <v>267</v>
      </c>
      <c r="F304" s="178" t="s">
        <v>262</v>
      </c>
      <c r="G304" s="185" t="s">
        <v>420</v>
      </c>
      <c r="J304" s="520" t="str">
        <f t="shared" si="159"/>
        <v>PremiumCity300</v>
      </c>
      <c r="L304" s="204">
        <f>INDEX(Mapping!$H:$H,MATCH(C$3&amp;C304,Mapping!$B:$B,0))</f>
        <v>1</v>
      </c>
      <c r="M304" s="204" t="str">
        <f>INDEX(Mapping!$H:$H,MATCH(D$3&amp;$D304,Mapping!$B:$B,0))</f>
        <v>EoK</v>
      </c>
      <c r="N304" s="204" t="str">
        <f>INDEX(Mapping!$H:$H,MATCH(E$3&amp;E304,Mapping!$B:$B,0))</f>
        <v>Premium</v>
      </c>
      <c r="O304" s="204" t="str">
        <f>INDEX(Mapping!$H:$H,MATCH(F$3&amp;F304,Mapping!$B:$B,0))</f>
        <v>Metro</v>
      </c>
      <c r="P304" s="204">
        <f>INDEX(Mapping!$H:$H,MATCH(G$3&amp;G304,Mapping!$B:$B,0))</f>
        <v>300</v>
      </c>
      <c r="Q304" s="204" t="str">
        <f>INDEX(Mapping!$H:$H,MATCH(Q$3&amp;$F304,Mapping!$B:$B,0))</f>
        <v>Metro - Regionaal</v>
      </c>
      <c r="R304" s="204" t="str">
        <f>INDEX(Mapping!$H:$H,MATCH("ZM VPN Service Level"&amp;E304,Mapping!$B:$B,0))</f>
        <v>Advanced</v>
      </c>
      <c r="S304" s="139" t="b">
        <f>IF($D304="EoK",INDEX(Mapping!$I:$I,MATCH($G$3&amp;$G304,Mapping!B:B,0)),FALSE)</f>
        <v>0</v>
      </c>
      <c r="T304" s="139"/>
      <c r="U304" s="520" t="str">
        <f t="shared" si="160"/>
        <v>PremiumMetro300</v>
      </c>
      <c r="W304" s="521">
        <f>MATCH($J304,'Tarieven ZM'!$B:$B,0)</f>
        <v>80</v>
      </c>
      <c r="X304" s="204">
        <f>INDEX('Tarieven ZM'!$H:$H,$W304)</f>
        <v>1000</v>
      </c>
      <c r="Y304" s="198">
        <f>-INDEX(Parameters!$B:$B,MATCH(Y$3&amp;$C304,Parameters!$A:$A,0))*$X304</f>
        <v>0</v>
      </c>
      <c r="Z304" s="198">
        <f>-INDEX(Parameters!$B:$B,MATCH(Z$3&amp;$C304,Parameters!$A:$A,0))*$X304</f>
        <v>0</v>
      </c>
      <c r="AA304" s="139">
        <f t="shared" si="162"/>
        <v>1000</v>
      </c>
      <c r="AB304" s="205">
        <f>AA304/INDEX(Parameters!$B:$B,MATCH("AfschrijftermijnVVE"&amp;12*$C304,Parameters!$A:$A,0))</f>
        <v>27.777777777777779</v>
      </c>
      <c r="AC304" s="204">
        <f>INDEX('Tarieven ZM'!$G:$G,$W304)</f>
        <v>1000</v>
      </c>
      <c r="AD304" s="198">
        <f>-INDEX(Parameters!$B:$B,MATCH(AD$3&amp;$C304,Parameters!$A:$A,0))*$AC304</f>
        <v>0</v>
      </c>
      <c r="AE304" s="198">
        <f>-INDEX(Parameters!$B:$B,MATCH(AE$3,Parameters!$A:$A,0))*$AC304</f>
        <v>0</v>
      </c>
      <c r="AF304" s="139">
        <f t="shared" si="163"/>
        <v>1000</v>
      </c>
      <c r="AG304" s="522">
        <f t="shared" si="164"/>
        <v>1027.7777777777778</v>
      </c>
      <c r="AH304" s="175"/>
      <c r="AI304" s="523">
        <f>MATCH($U304,'Tarieven W&amp;O'!$B:$B,0)</f>
        <v>72</v>
      </c>
      <c r="AJ304" s="204">
        <f>IF(AI304&lt;&gt;"nvt",INDEX('Tarieven W&amp;O'!$H:$H,$AI304),0)</f>
        <v>0</v>
      </c>
      <c r="AK304" s="204">
        <f>IF(AI304&lt;&gt;"nvt",INDEX('Tarieven W&amp;O'!$I:$I,$AI304),0)</f>
        <v>25</v>
      </c>
      <c r="AL304" s="524">
        <f>IF(AI304&lt;&gt;"nvt",-INDEX(Parameters!$B:$B,MATCH(AL$3,Parameters!$A:$A,0))*(AJ304+AK304),0)</f>
        <v>0</v>
      </c>
      <c r="AM304" s="525"/>
      <c r="AN304" s="139">
        <f t="shared" si="165"/>
        <v>25</v>
      </c>
      <c r="AO304" s="205">
        <f>AN304/INDEX(Parameters!$B:$B,MATCH("AfschrijftermijnVVE"&amp;12*$C304,Parameters!$A:$A,0))</f>
        <v>0.69444444444444442</v>
      </c>
      <c r="AP304" s="139">
        <f t="shared" si="166"/>
        <v>72</v>
      </c>
      <c r="AQ304" s="526">
        <f>IF(AP304&lt;&gt;"nvt",INDEX('Tarieven W&amp;O'!$G:$G,$AP304),0)</f>
        <v>254.01</v>
      </c>
      <c r="AR304" s="251">
        <f>IF($S304,INDEX('Tarieven W&amp;O'!$G:$G,MATCH(N304&amp;R304,'Tarieven W&amp;O'!$B:$B,0)),0)</f>
        <v>0</v>
      </c>
      <c r="AS304" s="205">
        <f>-INDEX(Parameters!$B:$B,MATCH(AS$3,Parameters!$A:$A,0))*(AQ304+AR304)</f>
        <v>0</v>
      </c>
      <c r="AT304" s="205">
        <f>INDEX(hulpblad!$E:$E,MATCH(M304&amp;Q304,hulpblad!$B:$B,0))</f>
        <v>1</v>
      </c>
      <c r="AU304" s="150">
        <f t="shared" si="147"/>
        <v>255.01</v>
      </c>
      <c r="AV304" s="150">
        <f t="shared" si="148"/>
        <v>255.70444444444445</v>
      </c>
      <c r="AX304" s="526">
        <f>Parameters!$B$6*AV304</f>
        <v>2.5570444444444447</v>
      </c>
      <c r="AY304" s="150">
        <v>0</v>
      </c>
      <c r="AZ304" s="150"/>
      <c r="BA304" s="150">
        <f t="shared" si="167"/>
        <v>2.5570444444444447</v>
      </c>
      <c r="BB304" s="150"/>
      <c r="BC304" s="522">
        <f t="shared" si="168"/>
        <v>258.26148888888889</v>
      </c>
      <c r="BD304" s="175"/>
      <c r="BE304" s="527">
        <f t="shared" si="149"/>
        <v>769.51628888888899</v>
      </c>
      <c r="BF304" s="181">
        <f t="shared" si="150"/>
        <v>0.74871855135135146</v>
      </c>
      <c r="BG304" s="520" t="b">
        <f t="shared" si="161"/>
        <v>0</v>
      </c>
      <c r="BI304" s="528" t="s">
        <v>2181</v>
      </c>
      <c r="BL304" s="151" t="str">
        <f t="shared" si="152"/>
        <v>EoKMetro - Regionaal</v>
      </c>
      <c r="BM304" s="529">
        <v>0</v>
      </c>
      <c r="BN304" s="180">
        <f>BM304/INDEX(Parameters!$B:$B,MATCH("AfschrijftermijnVVE"&amp;12*$C304,Parameters!$A:$A,0))</f>
        <v>0</v>
      </c>
      <c r="BO304" s="184">
        <f>INDEX('inkoop ULL tbv EVPN'!I:I,MATCH(BL304,'inkoop ULL tbv EVPN'!H:H,0))</f>
        <v>2</v>
      </c>
      <c r="BP304" s="184">
        <f t="shared" si="153"/>
        <v>2</v>
      </c>
      <c r="BR304" s="180">
        <f>Parameters!$B$12*AG304</f>
        <v>102.77777777777779</v>
      </c>
      <c r="BS304" s="180">
        <f>SUM(Distributievergoedingen!$F$12,Distributievergoedingen!$I$12,Distributievergoedingen!$L$12,Distributievergoedingen!$O$12)*AF304+SUM(Distributievergoedingen!$O$12*AA304+Distributievergoedingen!$R$12+Distributievergoedingen!$U$12+Distributievergoedingen!$X$12)/(MAX(36,12*C304))</f>
        <v>112.77777777777777</v>
      </c>
      <c r="BT304" s="150"/>
      <c r="BU304" s="150">
        <f t="shared" si="154"/>
        <v>215.55555555555554</v>
      </c>
      <c r="BW304" s="522">
        <f t="shared" si="155"/>
        <v>217.55555555555554</v>
      </c>
      <c r="BY304" s="527">
        <f t="shared" si="156"/>
        <v>810.22222222222229</v>
      </c>
      <c r="BZ304" s="181">
        <f t="shared" si="157"/>
        <v>0.78832432432432431</v>
      </c>
      <c r="CA304" s="520" t="b">
        <f t="shared" si="158"/>
        <v>0</v>
      </c>
    </row>
    <row r="305" spans="1:79" s="151" customFormat="1">
      <c r="A305" s="151" t="str">
        <f t="shared" si="151"/>
        <v>3EoKPremiumCity500</v>
      </c>
      <c r="B305" s="520" t="str">
        <f t="shared" si="169"/>
        <v>3EoKPremiumCity500</v>
      </c>
      <c r="C305" s="179">
        <v>3</v>
      </c>
      <c r="D305" s="179" t="s">
        <v>303</v>
      </c>
      <c r="E305" s="178" t="s">
        <v>267</v>
      </c>
      <c r="F305" s="178" t="s">
        <v>262</v>
      </c>
      <c r="G305" s="185" t="s">
        <v>421</v>
      </c>
      <c r="J305" s="520" t="str">
        <f t="shared" si="159"/>
        <v>PremiumCity500</v>
      </c>
      <c r="L305" s="204">
        <f>INDEX(Mapping!$H:$H,MATCH(C$3&amp;C305,Mapping!$B:$B,0))</f>
        <v>1</v>
      </c>
      <c r="M305" s="204" t="str">
        <f>INDEX(Mapping!$H:$H,MATCH(D$3&amp;$D305,Mapping!$B:$B,0))</f>
        <v>EoK</v>
      </c>
      <c r="N305" s="204" t="str">
        <f>INDEX(Mapping!$H:$H,MATCH(E$3&amp;E305,Mapping!$B:$B,0))</f>
        <v>Premium</v>
      </c>
      <c r="O305" s="204" t="str">
        <f>INDEX(Mapping!$H:$H,MATCH(F$3&amp;F305,Mapping!$B:$B,0))</f>
        <v>Metro</v>
      </c>
      <c r="P305" s="204">
        <f>INDEX(Mapping!$H:$H,MATCH(G$3&amp;G305,Mapping!$B:$B,0))</f>
        <v>500</v>
      </c>
      <c r="Q305" s="204" t="str">
        <f>INDEX(Mapping!$H:$H,MATCH(Q$3&amp;$F305,Mapping!$B:$B,0))</f>
        <v>Metro - Regionaal</v>
      </c>
      <c r="R305" s="204" t="str">
        <f>INDEX(Mapping!$H:$H,MATCH("ZM VPN Service Level"&amp;E305,Mapping!$B:$B,0))</f>
        <v>Advanced</v>
      </c>
      <c r="S305" s="139" t="b">
        <f>IF($D305="EoK",INDEX(Mapping!$I:$I,MATCH($G$3&amp;$G305,Mapping!B:B,0)),FALSE)</f>
        <v>0</v>
      </c>
      <c r="T305" s="139"/>
      <c r="U305" s="520" t="str">
        <f t="shared" si="160"/>
        <v>PremiumMetro500</v>
      </c>
      <c r="W305" s="521">
        <f>MATCH($J305,'Tarieven ZM'!$B:$B,0)</f>
        <v>81</v>
      </c>
      <c r="X305" s="204">
        <f>INDEX('Tarieven ZM'!$H:$H,$W305)</f>
        <v>1000</v>
      </c>
      <c r="Y305" s="198">
        <f>-INDEX(Parameters!$B:$B,MATCH(Y$3&amp;$C305,Parameters!$A:$A,0))*$X305</f>
        <v>0</v>
      </c>
      <c r="Z305" s="198">
        <f>-INDEX(Parameters!$B:$B,MATCH(Z$3&amp;$C305,Parameters!$A:$A,0))*$X305</f>
        <v>0</v>
      </c>
      <c r="AA305" s="139">
        <f t="shared" si="162"/>
        <v>1000</v>
      </c>
      <c r="AB305" s="205">
        <f>AA305/INDEX(Parameters!$B:$B,MATCH("AfschrijftermijnVVE"&amp;12*$C305,Parameters!$A:$A,0))</f>
        <v>27.777777777777779</v>
      </c>
      <c r="AC305" s="204">
        <f>INDEX('Tarieven ZM'!$G:$G,$W305)</f>
        <v>1000</v>
      </c>
      <c r="AD305" s="198">
        <f>-INDEX(Parameters!$B:$B,MATCH(AD$3&amp;$C305,Parameters!$A:$A,0))*$AC305</f>
        <v>0</v>
      </c>
      <c r="AE305" s="198">
        <f>-INDEX(Parameters!$B:$B,MATCH(AE$3,Parameters!$A:$A,0))*$AC305</f>
        <v>0</v>
      </c>
      <c r="AF305" s="139">
        <f t="shared" si="163"/>
        <v>1000</v>
      </c>
      <c r="AG305" s="522">
        <f t="shared" si="164"/>
        <v>1027.7777777777778</v>
      </c>
      <c r="AH305" s="175"/>
      <c r="AI305" s="523">
        <f>MATCH($U305,'Tarieven W&amp;O'!$B:$B,0)</f>
        <v>73</v>
      </c>
      <c r="AJ305" s="204">
        <f>IF(AI305&lt;&gt;"nvt",INDEX('Tarieven W&amp;O'!$H:$H,$AI305),0)</f>
        <v>0</v>
      </c>
      <c r="AK305" s="204">
        <f>IF(AI305&lt;&gt;"nvt",INDEX('Tarieven W&amp;O'!$I:$I,$AI305),0)</f>
        <v>25</v>
      </c>
      <c r="AL305" s="524">
        <f>IF(AI305&lt;&gt;"nvt",-INDEX(Parameters!$B:$B,MATCH(AL$3,Parameters!$A:$A,0))*(AJ305+AK305),0)</f>
        <v>0</v>
      </c>
      <c r="AM305" s="525"/>
      <c r="AN305" s="139">
        <f t="shared" si="165"/>
        <v>25</v>
      </c>
      <c r="AO305" s="205">
        <f>AN305/INDEX(Parameters!$B:$B,MATCH("AfschrijftermijnVVE"&amp;12*$C305,Parameters!$A:$A,0))</f>
        <v>0.69444444444444442</v>
      </c>
      <c r="AP305" s="139">
        <f t="shared" si="166"/>
        <v>73</v>
      </c>
      <c r="AQ305" s="526">
        <f>IF(AP305&lt;&gt;"nvt",INDEX('Tarieven W&amp;O'!$G:$G,$AP305),0)</f>
        <v>310.54000000000002</v>
      </c>
      <c r="AR305" s="251">
        <f>IF($S305,INDEX('Tarieven W&amp;O'!$G:$G,MATCH(N305&amp;R305,'Tarieven W&amp;O'!$B:$B,0)),0)</f>
        <v>0</v>
      </c>
      <c r="AS305" s="205">
        <f>-INDEX(Parameters!$B:$B,MATCH(AS$3,Parameters!$A:$A,0))*(AQ305+AR305)</f>
        <v>0</v>
      </c>
      <c r="AT305" s="205">
        <f>INDEX(hulpblad!$E:$E,MATCH(M305&amp;Q305,hulpblad!$B:$B,0))</f>
        <v>1</v>
      </c>
      <c r="AU305" s="150">
        <f t="shared" si="147"/>
        <v>311.54000000000002</v>
      </c>
      <c r="AV305" s="150">
        <f t="shared" si="148"/>
        <v>312.23444444444448</v>
      </c>
      <c r="AX305" s="526">
        <f>Parameters!$B$6*AV305</f>
        <v>3.1223444444444448</v>
      </c>
      <c r="AY305" s="150">
        <v>0</v>
      </c>
      <c r="AZ305" s="150"/>
      <c r="BA305" s="150">
        <f t="shared" si="167"/>
        <v>3.1223444444444448</v>
      </c>
      <c r="BB305" s="150"/>
      <c r="BC305" s="522">
        <f t="shared" si="168"/>
        <v>315.3567888888889</v>
      </c>
      <c r="BD305" s="175"/>
      <c r="BE305" s="527">
        <f t="shared" si="149"/>
        <v>712.42098888888893</v>
      </c>
      <c r="BF305" s="181">
        <f t="shared" si="150"/>
        <v>0.69316636756756755</v>
      </c>
      <c r="BG305" s="520" t="b">
        <f t="shared" si="161"/>
        <v>0</v>
      </c>
      <c r="BI305" s="528" t="s">
        <v>2181</v>
      </c>
      <c r="BL305" s="151" t="str">
        <f t="shared" si="152"/>
        <v>EoKMetro - Regionaal</v>
      </c>
      <c r="BM305" s="529">
        <v>0</v>
      </c>
      <c r="BN305" s="180">
        <f>BM305/INDEX(Parameters!$B:$B,MATCH("AfschrijftermijnVVE"&amp;12*$C305,Parameters!$A:$A,0))</f>
        <v>0</v>
      </c>
      <c r="BO305" s="184">
        <f>INDEX('inkoop ULL tbv EVPN'!I:I,MATCH(BL305,'inkoop ULL tbv EVPN'!H:H,0))</f>
        <v>2</v>
      </c>
      <c r="BP305" s="184">
        <f t="shared" si="153"/>
        <v>2</v>
      </c>
      <c r="BR305" s="180">
        <f>Parameters!$B$12*AG305</f>
        <v>102.77777777777779</v>
      </c>
      <c r="BS305" s="180">
        <f>SUM(Distributievergoedingen!$F$12,Distributievergoedingen!$I$12,Distributievergoedingen!$L$12,Distributievergoedingen!$O$12)*AF305+SUM(Distributievergoedingen!$O$12*AA305+Distributievergoedingen!$R$12+Distributievergoedingen!$U$12+Distributievergoedingen!$X$12)/(MAX(36,12*C305))</f>
        <v>112.77777777777777</v>
      </c>
      <c r="BT305" s="150"/>
      <c r="BU305" s="150">
        <f t="shared" si="154"/>
        <v>215.55555555555554</v>
      </c>
      <c r="BW305" s="522">
        <f t="shared" si="155"/>
        <v>217.55555555555554</v>
      </c>
      <c r="BY305" s="527">
        <f t="shared" si="156"/>
        <v>810.22222222222229</v>
      </c>
      <c r="BZ305" s="181">
        <f t="shared" si="157"/>
        <v>0.78832432432432431</v>
      </c>
      <c r="CA305" s="520" t="b">
        <f t="shared" si="158"/>
        <v>0</v>
      </c>
    </row>
    <row r="306" spans="1:79" s="151" customFormat="1">
      <c r="A306" s="151" t="str">
        <f t="shared" si="151"/>
        <v>3EoKPremiumCity800</v>
      </c>
      <c r="B306" s="520" t="str">
        <f t="shared" si="169"/>
        <v>3EoKPremiumCity800</v>
      </c>
      <c r="C306" s="179">
        <v>3</v>
      </c>
      <c r="D306" s="179" t="s">
        <v>303</v>
      </c>
      <c r="E306" s="178" t="s">
        <v>267</v>
      </c>
      <c r="F306" s="178" t="s">
        <v>262</v>
      </c>
      <c r="G306" s="185" t="s">
        <v>422</v>
      </c>
      <c r="J306" s="520" t="str">
        <f t="shared" si="159"/>
        <v>PremiumCity800</v>
      </c>
      <c r="L306" s="204">
        <f>INDEX(Mapping!$H:$H,MATCH(C$3&amp;C306,Mapping!$B:$B,0))</f>
        <v>1</v>
      </c>
      <c r="M306" s="204" t="str">
        <f>INDEX(Mapping!$H:$H,MATCH(D$3&amp;$D306,Mapping!$B:$B,0))</f>
        <v>EoK</v>
      </c>
      <c r="N306" s="204" t="str">
        <f>INDEX(Mapping!$H:$H,MATCH(E$3&amp;E306,Mapping!$B:$B,0))</f>
        <v>Premium</v>
      </c>
      <c r="O306" s="204" t="str">
        <f>INDEX(Mapping!$H:$H,MATCH(F$3&amp;F306,Mapping!$B:$B,0))</f>
        <v>Metro</v>
      </c>
      <c r="P306" s="204">
        <f>INDEX(Mapping!$H:$H,MATCH(G$3&amp;G306,Mapping!$B:$B,0))</f>
        <v>800</v>
      </c>
      <c r="Q306" s="204" t="str">
        <f>INDEX(Mapping!$H:$H,MATCH(Q$3&amp;$F306,Mapping!$B:$B,0))</f>
        <v>Metro - Regionaal</v>
      </c>
      <c r="R306" s="204" t="str">
        <f>INDEX(Mapping!$H:$H,MATCH("ZM VPN Service Level"&amp;E306,Mapping!$B:$B,0))</f>
        <v>Advanced</v>
      </c>
      <c r="S306" s="139" t="b">
        <f>IF($D306="EoK",INDEX(Mapping!$I:$I,MATCH($G$3&amp;$G306,Mapping!B:B,0)),FALSE)</f>
        <v>0</v>
      </c>
      <c r="T306" s="139"/>
      <c r="U306" s="520" t="str">
        <f t="shared" si="160"/>
        <v>PremiumMetro800</v>
      </c>
      <c r="W306" s="521">
        <f>MATCH($J306,'Tarieven ZM'!$B:$B,0)</f>
        <v>82</v>
      </c>
      <c r="X306" s="204">
        <f>INDEX('Tarieven ZM'!$H:$H,$W306)</f>
        <v>1000</v>
      </c>
      <c r="Y306" s="198">
        <f>-INDEX(Parameters!$B:$B,MATCH(Y$3&amp;$C306,Parameters!$A:$A,0))*$X306</f>
        <v>0</v>
      </c>
      <c r="Z306" s="198">
        <f>-INDEX(Parameters!$B:$B,MATCH(Z$3&amp;$C306,Parameters!$A:$A,0))*$X306</f>
        <v>0</v>
      </c>
      <c r="AA306" s="139">
        <f t="shared" si="162"/>
        <v>1000</v>
      </c>
      <c r="AB306" s="205">
        <f>AA306/INDEX(Parameters!$B:$B,MATCH("AfschrijftermijnVVE"&amp;12*$C306,Parameters!$A:$A,0))</f>
        <v>27.777777777777779</v>
      </c>
      <c r="AC306" s="204">
        <f>INDEX('Tarieven ZM'!$G:$G,$W306)</f>
        <v>1000</v>
      </c>
      <c r="AD306" s="198">
        <f>-INDEX(Parameters!$B:$B,MATCH(AD$3&amp;$C306,Parameters!$A:$A,0))*$AC306</f>
        <v>0</v>
      </c>
      <c r="AE306" s="198">
        <f>-INDEX(Parameters!$B:$B,MATCH(AE$3,Parameters!$A:$A,0))*$AC306</f>
        <v>0</v>
      </c>
      <c r="AF306" s="139">
        <f t="shared" si="163"/>
        <v>1000</v>
      </c>
      <c r="AG306" s="522">
        <f t="shared" si="164"/>
        <v>1027.7777777777778</v>
      </c>
      <c r="AH306" s="175"/>
      <c r="AI306" s="523">
        <f>MATCH($U306,'Tarieven W&amp;O'!$B:$B,0)</f>
        <v>74</v>
      </c>
      <c r="AJ306" s="204">
        <f>IF(AI306&lt;&gt;"nvt",INDEX('Tarieven W&amp;O'!$H:$H,$AI306),0)</f>
        <v>0</v>
      </c>
      <c r="AK306" s="204">
        <f>IF(AI306&lt;&gt;"nvt",INDEX('Tarieven W&amp;O'!$I:$I,$AI306),0)</f>
        <v>25</v>
      </c>
      <c r="AL306" s="524">
        <f>IF(AI306&lt;&gt;"nvt",-INDEX(Parameters!$B:$B,MATCH(AL$3,Parameters!$A:$A,0))*(AJ306+AK306),0)</f>
        <v>0</v>
      </c>
      <c r="AM306" s="525"/>
      <c r="AN306" s="139">
        <f t="shared" si="165"/>
        <v>25</v>
      </c>
      <c r="AO306" s="205">
        <f>AN306/INDEX(Parameters!$B:$B,MATCH("AfschrijftermijnVVE"&amp;12*$C306,Parameters!$A:$A,0))</f>
        <v>0.69444444444444442</v>
      </c>
      <c r="AP306" s="139">
        <f t="shared" si="166"/>
        <v>74</v>
      </c>
      <c r="AQ306" s="526">
        <f>IF(AP306&lt;&gt;"nvt",INDEX('Tarieven W&amp;O'!$G:$G,$AP306),0)</f>
        <v>348.23</v>
      </c>
      <c r="AR306" s="251">
        <f>IF($S306,INDEX('Tarieven W&amp;O'!$G:$G,MATCH(N306&amp;R306,'Tarieven W&amp;O'!$B:$B,0)),0)</f>
        <v>0</v>
      </c>
      <c r="AS306" s="205">
        <f>-INDEX(Parameters!$B:$B,MATCH(AS$3,Parameters!$A:$A,0))*(AQ306+AR306)</f>
        <v>0</v>
      </c>
      <c r="AT306" s="205">
        <f>INDEX(hulpblad!$E:$E,MATCH(M306&amp;Q306,hulpblad!$B:$B,0))</f>
        <v>1</v>
      </c>
      <c r="AU306" s="150">
        <f t="shared" si="147"/>
        <v>349.23</v>
      </c>
      <c r="AV306" s="150">
        <f t="shared" si="148"/>
        <v>349.92444444444448</v>
      </c>
      <c r="AX306" s="526">
        <f>Parameters!$B$6*AV306</f>
        <v>3.4992444444444448</v>
      </c>
      <c r="AY306" s="150">
        <v>0</v>
      </c>
      <c r="AZ306" s="150"/>
      <c r="BA306" s="150">
        <f t="shared" si="167"/>
        <v>3.4992444444444448</v>
      </c>
      <c r="BB306" s="150"/>
      <c r="BC306" s="522">
        <f t="shared" si="168"/>
        <v>353.42368888888893</v>
      </c>
      <c r="BD306" s="175"/>
      <c r="BE306" s="527">
        <f t="shared" si="149"/>
        <v>674.3540888888889</v>
      </c>
      <c r="BF306" s="181">
        <f t="shared" si="150"/>
        <v>0.65612830270270273</v>
      </c>
      <c r="BG306" s="520" t="b">
        <f t="shared" si="161"/>
        <v>0</v>
      </c>
      <c r="BI306" s="528" t="s">
        <v>2181</v>
      </c>
      <c r="BL306" s="151" t="str">
        <f t="shared" si="152"/>
        <v>EoKMetro - Regionaal</v>
      </c>
      <c r="BM306" s="529">
        <v>0</v>
      </c>
      <c r="BN306" s="180">
        <f>BM306/INDEX(Parameters!$B:$B,MATCH("AfschrijftermijnVVE"&amp;12*$C306,Parameters!$A:$A,0))</f>
        <v>0</v>
      </c>
      <c r="BO306" s="184">
        <f>INDEX('inkoop ULL tbv EVPN'!I:I,MATCH(BL306,'inkoop ULL tbv EVPN'!H:H,0))</f>
        <v>2</v>
      </c>
      <c r="BP306" s="184">
        <f t="shared" si="153"/>
        <v>2</v>
      </c>
      <c r="BR306" s="180">
        <f>Parameters!$B$12*AG306</f>
        <v>102.77777777777779</v>
      </c>
      <c r="BS306" s="180">
        <f>SUM(Distributievergoedingen!$F$12,Distributievergoedingen!$I$12,Distributievergoedingen!$L$12,Distributievergoedingen!$O$12)*AF306+SUM(Distributievergoedingen!$O$12*AA306+Distributievergoedingen!$R$12+Distributievergoedingen!$U$12+Distributievergoedingen!$X$12)/(MAX(36,12*C306))</f>
        <v>112.77777777777777</v>
      </c>
      <c r="BT306" s="150"/>
      <c r="BU306" s="150">
        <f t="shared" si="154"/>
        <v>215.55555555555554</v>
      </c>
      <c r="BW306" s="522">
        <f t="shared" si="155"/>
        <v>217.55555555555554</v>
      </c>
      <c r="BY306" s="527">
        <f t="shared" si="156"/>
        <v>810.22222222222229</v>
      </c>
      <c r="BZ306" s="181">
        <f t="shared" si="157"/>
        <v>0.78832432432432431</v>
      </c>
      <c r="CA306" s="520" t="b">
        <f t="shared" si="158"/>
        <v>0</v>
      </c>
    </row>
    <row r="307" spans="1:79" s="151" customFormat="1">
      <c r="A307" s="151" t="str">
        <f t="shared" si="151"/>
        <v>3EoKPremiumCity1000</v>
      </c>
      <c r="B307" s="520" t="str">
        <f t="shared" si="169"/>
        <v>3EoKPremiumCity1000</v>
      </c>
      <c r="C307" s="179">
        <v>3</v>
      </c>
      <c r="D307" s="179" t="s">
        <v>303</v>
      </c>
      <c r="E307" s="178" t="s">
        <v>267</v>
      </c>
      <c r="F307" s="178" t="s">
        <v>262</v>
      </c>
      <c r="G307" s="185" t="s">
        <v>423</v>
      </c>
      <c r="J307" s="520" t="str">
        <f t="shared" si="159"/>
        <v>PremiumCity1000</v>
      </c>
      <c r="L307" s="204">
        <f>INDEX(Mapping!$H:$H,MATCH(C$3&amp;C307,Mapping!$B:$B,0))</f>
        <v>1</v>
      </c>
      <c r="M307" s="204" t="str">
        <f>INDEX(Mapping!$H:$H,MATCH(D$3&amp;$D307,Mapping!$B:$B,0))</f>
        <v>EoK</v>
      </c>
      <c r="N307" s="204" t="str">
        <f>INDEX(Mapping!$H:$H,MATCH(E$3&amp;E307,Mapping!$B:$B,0))</f>
        <v>Premium</v>
      </c>
      <c r="O307" s="204" t="str">
        <f>INDEX(Mapping!$H:$H,MATCH(F$3&amp;F307,Mapping!$B:$B,0))</f>
        <v>Metro</v>
      </c>
      <c r="P307" s="204">
        <f>INDEX(Mapping!$H:$H,MATCH(G$3&amp;G307,Mapping!$B:$B,0))</f>
        <v>1000</v>
      </c>
      <c r="Q307" s="204" t="str">
        <f>INDEX(Mapping!$H:$H,MATCH(Q$3&amp;$F307,Mapping!$B:$B,0))</f>
        <v>Metro - Regionaal</v>
      </c>
      <c r="R307" s="204" t="str">
        <f>INDEX(Mapping!$H:$H,MATCH("ZM VPN Service Level"&amp;E307,Mapping!$B:$B,0))</f>
        <v>Advanced</v>
      </c>
      <c r="S307" s="139" t="b">
        <f>IF($D307="EoK",INDEX(Mapping!$I:$I,MATCH($G$3&amp;$G307,Mapping!B:B,0)),FALSE)</f>
        <v>0</v>
      </c>
      <c r="T307" s="139"/>
      <c r="U307" s="520" t="str">
        <f t="shared" si="160"/>
        <v>PremiumMetro1000</v>
      </c>
      <c r="W307" s="521">
        <f>MATCH($J307,'Tarieven ZM'!$B:$B,0)</f>
        <v>83</v>
      </c>
      <c r="X307" s="204">
        <f>INDEX('Tarieven ZM'!$H:$H,$W307)</f>
        <v>1000</v>
      </c>
      <c r="Y307" s="198">
        <f>-INDEX(Parameters!$B:$B,MATCH(Y$3&amp;$C307,Parameters!$A:$A,0))*$X307</f>
        <v>0</v>
      </c>
      <c r="Z307" s="198">
        <f>-INDEX(Parameters!$B:$B,MATCH(Z$3&amp;$C307,Parameters!$A:$A,0))*$X307</f>
        <v>0</v>
      </c>
      <c r="AA307" s="139">
        <f t="shared" si="162"/>
        <v>1000</v>
      </c>
      <c r="AB307" s="205">
        <f>AA307/INDEX(Parameters!$B:$B,MATCH("AfschrijftermijnVVE"&amp;12*$C307,Parameters!$A:$A,0))</f>
        <v>27.777777777777779</v>
      </c>
      <c r="AC307" s="204">
        <f>INDEX('Tarieven ZM'!$G:$G,$W307)</f>
        <v>1000</v>
      </c>
      <c r="AD307" s="198">
        <f>-INDEX(Parameters!$B:$B,MATCH(AD$3&amp;$C307,Parameters!$A:$A,0))*$AC307</f>
        <v>0</v>
      </c>
      <c r="AE307" s="198">
        <f>-INDEX(Parameters!$B:$B,MATCH(AE$3,Parameters!$A:$A,0))*$AC307</f>
        <v>0</v>
      </c>
      <c r="AF307" s="139">
        <f t="shared" si="163"/>
        <v>1000</v>
      </c>
      <c r="AG307" s="522">
        <f t="shared" si="164"/>
        <v>1027.7777777777778</v>
      </c>
      <c r="AH307" s="175"/>
      <c r="AI307" s="523">
        <f>MATCH($U307,'Tarieven W&amp;O'!$B:$B,0)</f>
        <v>75</v>
      </c>
      <c r="AJ307" s="204">
        <f>IF(AI307&lt;&gt;"nvt",INDEX('Tarieven W&amp;O'!$H:$H,$AI307),0)</f>
        <v>0</v>
      </c>
      <c r="AK307" s="204">
        <f>IF(AI307&lt;&gt;"nvt",INDEX('Tarieven W&amp;O'!$I:$I,$AI307),0)</f>
        <v>25</v>
      </c>
      <c r="AL307" s="524">
        <f>IF(AI307&lt;&gt;"nvt",-INDEX(Parameters!$B:$B,MATCH(AL$3,Parameters!$A:$A,0))*(AJ307+AK307),0)</f>
        <v>0</v>
      </c>
      <c r="AM307" s="525"/>
      <c r="AN307" s="139">
        <f t="shared" si="165"/>
        <v>25</v>
      </c>
      <c r="AO307" s="205">
        <f>AN307/INDEX(Parameters!$B:$B,MATCH("AfschrijftermijnVVE"&amp;12*$C307,Parameters!$A:$A,0))</f>
        <v>0.69444444444444442</v>
      </c>
      <c r="AP307" s="139">
        <f t="shared" si="166"/>
        <v>75</v>
      </c>
      <c r="AQ307" s="526">
        <f>IF(AP307&lt;&gt;"nvt",INDEX('Tarieven W&amp;O'!$G:$G,$AP307),0)</f>
        <v>385.93</v>
      </c>
      <c r="AR307" s="251">
        <f>IF($S307,INDEX('Tarieven W&amp;O'!$G:$G,MATCH(N307&amp;R307,'Tarieven W&amp;O'!$B:$B,0)),0)</f>
        <v>0</v>
      </c>
      <c r="AS307" s="205">
        <f>-INDEX(Parameters!$B:$B,MATCH(AS$3,Parameters!$A:$A,0))*(AQ307+AR307)</f>
        <v>0</v>
      </c>
      <c r="AT307" s="205">
        <f>INDEX(hulpblad!$E:$E,MATCH(M307&amp;Q307,hulpblad!$B:$B,0))</f>
        <v>1</v>
      </c>
      <c r="AU307" s="150">
        <f t="shared" si="147"/>
        <v>386.93</v>
      </c>
      <c r="AV307" s="150">
        <f t="shared" si="148"/>
        <v>387.62444444444446</v>
      </c>
      <c r="AX307" s="526">
        <f>Parameters!$B$6*AV307</f>
        <v>3.8762444444444446</v>
      </c>
      <c r="AY307" s="150">
        <v>0</v>
      </c>
      <c r="AZ307" s="150"/>
      <c r="BA307" s="150">
        <f t="shared" si="167"/>
        <v>3.8762444444444446</v>
      </c>
      <c r="BB307" s="150"/>
      <c r="BC307" s="522">
        <f t="shared" si="168"/>
        <v>391.50068888888893</v>
      </c>
      <c r="BD307" s="175"/>
      <c r="BE307" s="527">
        <f t="shared" si="149"/>
        <v>636.2770888888889</v>
      </c>
      <c r="BF307" s="181">
        <f t="shared" si="150"/>
        <v>0.61908041081081078</v>
      </c>
      <c r="BG307" s="520" t="b">
        <f t="shared" si="161"/>
        <v>0</v>
      </c>
      <c r="BI307" s="528" t="s">
        <v>2181</v>
      </c>
      <c r="BL307" s="151" t="str">
        <f t="shared" si="152"/>
        <v>EoKMetro - Regionaal</v>
      </c>
      <c r="BM307" s="529">
        <v>0</v>
      </c>
      <c r="BN307" s="180">
        <f>BM307/INDEX(Parameters!$B:$B,MATCH("AfschrijftermijnVVE"&amp;12*$C307,Parameters!$A:$A,0))</f>
        <v>0</v>
      </c>
      <c r="BO307" s="184">
        <f>INDEX('inkoop ULL tbv EVPN'!I:I,MATCH(BL307,'inkoop ULL tbv EVPN'!H:H,0))</f>
        <v>2</v>
      </c>
      <c r="BP307" s="184">
        <f t="shared" si="153"/>
        <v>2</v>
      </c>
      <c r="BR307" s="180">
        <f>Parameters!$B$12*AG307</f>
        <v>102.77777777777779</v>
      </c>
      <c r="BS307" s="180">
        <f>SUM(Distributievergoedingen!$F$12,Distributievergoedingen!$I$12,Distributievergoedingen!$L$12,Distributievergoedingen!$O$12)*AF307+SUM(Distributievergoedingen!$O$12*AA307+Distributievergoedingen!$R$12+Distributievergoedingen!$U$12+Distributievergoedingen!$X$12)/(MAX(36,12*C307))</f>
        <v>112.77777777777777</v>
      </c>
      <c r="BT307" s="150"/>
      <c r="BU307" s="150">
        <f t="shared" si="154"/>
        <v>215.55555555555554</v>
      </c>
      <c r="BW307" s="522">
        <f t="shared" si="155"/>
        <v>217.55555555555554</v>
      </c>
      <c r="BY307" s="527">
        <f t="shared" si="156"/>
        <v>810.22222222222229</v>
      </c>
      <c r="BZ307" s="181">
        <f t="shared" si="157"/>
        <v>0.78832432432432431</v>
      </c>
      <c r="CA307" s="520" t="b">
        <f t="shared" si="158"/>
        <v>0</v>
      </c>
    </row>
    <row r="308" spans="1:79" s="151" customFormat="1">
      <c r="A308" s="151" t="str">
        <f t="shared" si="151"/>
        <v>3EoKPremiumRegionaal1</v>
      </c>
      <c r="B308" s="520" t="str">
        <f t="shared" si="169"/>
        <v>3EoKPremiumRegionaal1</v>
      </c>
      <c r="C308" s="179">
        <v>3</v>
      </c>
      <c r="D308" s="179" t="s">
        <v>303</v>
      </c>
      <c r="E308" s="178" t="s">
        <v>267</v>
      </c>
      <c r="F308" s="178" t="s">
        <v>265</v>
      </c>
      <c r="G308" s="185" t="s">
        <v>362</v>
      </c>
      <c r="J308" s="520" t="str">
        <f t="shared" si="159"/>
        <v>PremiumRegionaal1</v>
      </c>
      <c r="L308" s="204">
        <f>INDEX(Mapping!$H:$H,MATCH(C$3&amp;C308,Mapping!$B:$B,0))</f>
        <v>1</v>
      </c>
      <c r="M308" s="204" t="str">
        <f>INDEX(Mapping!$H:$H,MATCH(D$3&amp;$D308,Mapping!$B:$B,0))</f>
        <v>EoK</v>
      </c>
      <c r="N308" s="204" t="str">
        <f>INDEX(Mapping!$H:$H,MATCH(E$3&amp;E308,Mapping!$B:$B,0))</f>
        <v>Premium</v>
      </c>
      <c r="O308" s="204" t="str">
        <f>INDEX(Mapping!$H:$H,MATCH(F$3&amp;F308,Mapping!$B:$B,0))</f>
        <v>Metro</v>
      </c>
      <c r="P308" s="204">
        <f>INDEX(Mapping!$H:$H,MATCH(G$3&amp;G308,Mapping!$B:$B,0))</f>
        <v>1</v>
      </c>
      <c r="Q308" s="204" t="str">
        <f>INDEX(Mapping!$H:$H,MATCH(Q$3&amp;$F308,Mapping!$B:$B,0))</f>
        <v>Metro - Nationaal</v>
      </c>
      <c r="R308" s="204" t="str">
        <f>INDEX(Mapping!$H:$H,MATCH("ZM VPN Service Level"&amp;E308,Mapping!$B:$B,0))</f>
        <v>Advanced</v>
      </c>
      <c r="S308" s="139" t="b">
        <f>IF($D308="EoK",INDEX(Mapping!$I:$I,MATCH($G$3&amp;$G308,Mapping!B:B,0)),FALSE)</f>
        <v>1</v>
      </c>
      <c r="T308" s="139"/>
      <c r="U308" s="520" t="str">
        <f t="shared" si="160"/>
        <v>PremiumMetro1</v>
      </c>
      <c r="W308" s="521">
        <f>MATCH($J308,'Tarieven ZM'!$B:$B,0)</f>
        <v>84</v>
      </c>
      <c r="X308" s="204">
        <f>INDEX('Tarieven ZM'!$H:$H,$W308)</f>
        <v>1000</v>
      </c>
      <c r="Y308" s="198">
        <f>-INDEX(Parameters!$B:$B,MATCH(Y$3&amp;$C308,Parameters!$A:$A,0))*$X308</f>
        <v>0</v>
      </c>
      <c r="Z308" s="198">
        <f>-INDEX(Parameters!$B:$B,MATCH(Z$3&amp;$C308,Parameters!$A:$A,0))*$X308</f>
        <v>0</v>
      </c>
      <c r="AA308" s="139">
        <f t="shared" si="162"/>
        <v>1000</v>
      </c>
      <c r="AB308" s="205">
        <f>AA308/INDEX(Parameters!$B:$B,MATCH("AfschrijftermijnVVE"&amp;12*$C308,Parameters!$A:$A,0))</f>
        <v>27.777777777777779</v>
      </c>
      <c r="AC308" s="204">
        <f>INDEX('Tarieven ZM'!$G:$G,$W308)</f>
        <v>1000</v>
      </c>
      <c r="AD308" s="198">
        <f>-INDEX(Parameters!$B:$B,MATCH(AD$3&amp;$C308,Parameters!$A:$A,0))*$AC308</f>
        <v>0</v>
      </c>
      <c r="AE308" s="198">
        <f>-INDEX(Parameters!$B:$B,MATCH(AE$3,Parameters!$A:$A,0))*$AC308</f>
        <v>0</v>
      </c>
      <c r="AF308" s="139">
        <f t="shared" si="163"/>
        <v>1000</v>
      </c>
      <c r="AG308" s="522">
        <f t="shared" si="164"/>
        <v>1027.7777777777778</v>
      </c>
      <c r="AH308" s="175"/>
      <c r="AI308" s="523">
        <f>MATCH($U308,'Tarieven W&amp;O'!$B:$B,0)</f>
        <v>57</v>
      </c>
      <c r="AJ308" s="204">
        <f>IF(AI308&lt;&gt;"nvt",INDEX('Tarieven W&amp;O'!$H:$H,$AI308),0)</f>
        <v>0</v>
      </c>
      <c r="AK308" s="204">
        <f>IF(AI308&lt;&gt;"nvt",INDEX('Tarieven W&amp;O'!$I:$I,$AI308),0)</f>
        <v>25</v>
      </c>
      <c r="AL308" s="524">
        <f>IF(AI308&lt;&gt;"nvt",-INDEX(Parameters!$B:$B,MATCH(AL$3,Parameters!$A:$A,0))*(AJ308+AK308),0)</f>
        <v>0</v>
      </c>
      <c r="AM308" s="525"/>
      <c r="AN308" s="139">
        <f t="shared" si="165"/>
        <v>25</v>
      </c>
      <c r="AO308" s="205">
        <f>AN308/INDEX(Parameters!$B:$B,MATCH("AfschrijftermijnVVE"&amp;12*$C308,Parameters!$A:$A,0))</f>
        <v>0.69444444444444442</v>
      </c>
      <c r="AP308" s="139">
        <f t="shared" si="166"/>
        <v>57</v>
      </c>
      <c r="AQ308" s="526">
        <f>IF(AP308&lt;&gt;"nvt",INDEX('Tarieven W&amp;O'!$G:$G,$AP308),0)</f>
        <v>14.29</v>
      </c>
      <c r="AR308" s="251">
        <f>IF($S308,INDEX('Tarieven W&amp;O'!$G:$G,MATCH(N308&amp;R308,'Tarieven W&amp;O'!$B:$B,0)),0)</f>
        <v>0</v>
      </c>
      <c r="AS308" s="205">
        <f>-INDEX(Parameters!$B:$B,MATCH(AS$3,Parameters!$A:$A,0))*(AQ308+AR308)</f>
        <v>0</v>
      </c>
      <c r="AT308" s="205">
        <f>INDEX(hulpblad!$E:$E,MATCH(M308&amp;Q308,hulpblad!$B:$B,0))</f>
        <v>2</v>
      </c>
      <c r="AU308" s="150">
        <f t="shared" si="147"/>
        <v>16.29</v>
      </c>
      <c r="AV308" s="150">
        <f t="shared" si="148"/>
        <v>16.984444444444442</v>
      </c>
      <c r="AX308" s="526">
        <f>Parameters!$B$6*AV308</f>
        <v>0.16984444444444444</v>
      </c>
      <c r="AY308" s="150">
        <v>0</v>
      </c>
      <c r="AZ308" s="150"/>
      <c r="BA308" s="150">
        <f t="shared" si="167"/>
        <v>0.16984444444444444</v>
      </c>
      <c r="BB308" s="150"/>
      <c r="BC308" s="522">
        <f t="shared" si="168"/>
        <v>17.154288888888885</v>
      </c>
      <c r="BD308" s="175"/>
      <c r="BE308" s="527">
        <f t="shared" si="149"/>
        <v>1010.6234888888889</v>
      </c>
      <c r="BF308" s="181">
        <f t="shared" si="150"/>
        <v>0.98330934054054053</v>
      </c>
      <c r="BG308" s="520" t="b">
        <f t="shared" si="161"/>
        <v>0</v>
      </c>
      <c r="BI308" s="528" t="s">
        <v>2181</v>
      </c>
      <c r="BL308" s="151" t="str">
        <f t="shared" si="152"/>
        <v>EoKMetro - Nationaal</v>
      </c>
      <c r="BM308" s="529">
        <v>0</v>
      </c>
      <c r="BN308" s="180">
        <f>BM308/INDEX(Parameters!$B:$B,MATCH("AfschrijftermijnVVE"&amp;12*$C308,Parameters!$A:$A,0))</f>
        <v>0</v>
      </c>
      <c r="BO308" s="184">
        <f>INDEX('inkoop ULL tbv EVPN'!I:I,MATCH(BL308,'inkoop ULL tbv EVPN'!H:H,0))</f>
        <v>2</v>
      </c>
      <c r="BP308" s="184">
        <f t="shared" si="153"/>
        <v>2</v>
      </c>
      <c r="BR308" s="180">
        <f>Parameters!$B$12*AG308</f>
        <v>102.77777777777779</v>
      </c>
      <c r="BS308" s="180">
        <f>SUM(Distributievergoedingen!$F$12,Distributievergoedingen!$I$12,Distributievergoedingen!$L$12,Distributievergoedingen!$O$12)*AF308+SUM(Distributievergoedingen!$O$12*AA308+Distributievergoedingen!$R$12+Distributievergoedingen!$U$12+Distributievergoedingen!$X$12)/(MAX(36,12*C308))</f>
        <v>112.77777777777777</v>
      </c>
      <c r="BT308" s="150"/>
      <c r="BU308" s="150">
        <f t="shared" si="154"/>
        <v>215.55555555555554</v>
      </c>
      <c r="BW308" s="522">
        <f t="shared" si="155"/>
        <v>217.55555555555554</v>
      </c>
      <c r="BY308" s="527">
        <f t="shared" si="156"/>
        <v>810.22222222222229</v>
      </c>
      <c r="BZ308" s="181">
        <f t="shared" si="157"/>
        <v>0.78832432432432431</v>
      </c>
      <c r="CA308" s="520" t="b">
        <f t="shared" si="158"/>
        <v>0</v>
      </c>
    </row>
    <row r="309" spans="1:79" s="151" customFormat="1">
      <c r="A309" s="151" t="str">
        <f t="shared" si="151"/>
        <v>3EoKPremiumRegionaal2</v>
      </c>
      <c r="B309" s="520" t="str">
        <f t="shared" si="169"/>
        <v>3EoKPremiumRegionaal2</v>
      </c>
      <c r="C309" s="179">
        <v>3</v>
      </c>
      <c r="D309" s="179" t="s">
        <v>303</v>
      </c>
      <c r="E309" s="178" t="s">
        <v>267</v>
      </c>
      <c r="F309" s="178" t="s">
        <v>265</v>
      </c>
      <c r="G309" s="185" t="s">
        <v>363</v>
      </c>
      <c r="J309" s="520" t="str">
        <f t="shared" si="159"/>
        <v>PremiumRegionaal2</v>
      </c>
      <c r="L309" s="204">
        <f>INDEX(Mapping!$H:$H,MATCH(C$3&amp;C309,Mapping!$B:$B,0))</f>
        <v>1</v>
      </c>
      <c r="M309" s="204" t="str">
        <f>INDEX(Mapping!$H:$H,MATCH(D$3&amp;$D309,Mapping!$B:$B,0))</f>
        <v>EoK</v>
      </c>
      <c r="N309" s="204" t="str">
        <f>INDEX(Mapping!$H:$H,MATCH(E$3&amp;E309,Mapping!$B:$B,0))</f>
        <v>Premium</v>
      </c>
      <c r="O309" s="204" t="str">
        <f>INDEX(Mapping!$H:$H,MATCH(F$3&amp;F309,Mapping!$B:$B,0))</f>
        <v>Metro</v>
      </c>
      <c r="P309" s="204">
        <f>INDEX(Mapping!$H:$H,MATCH(G$3&amp;G309,Mapping!$B:$B,0))</f>
        <v>2</v>
      </c>
      <c r="Q309" s="204" t="str">
        <f>INDEX(Mapping!$H:$H,MATCH(Q$3&amp;$F309,Mapping!$B:$B,0))</f>
        <v>Metro - Nationaal</v>
      </c>
      <c r="R309" s="204" t="str">
        <f>INDEX(Mapping!$H:$H,MATCH("ZM VPN Service Level"&amp;E309,Mapping!$B:$B,0))</f>
        <v>Advanced</v>
      </c>
      <c r="S309" s="139" t="b">
        <f>IF($D309="EoK",INDEX(Mapping!$I:$I,MATCH($G$3&amp;$G309,Mapping!B:B,0)),FALSE)</f>
        <v>1</v>
      </c>
      <c r="T309" s="139"/>
      <c r="U309" s="520" t="str">
        <f t="shared" si="160"/>
        <v>PremiumMetro2</v>
      </c>
      <c r="W309" s="521">
        <f>MATCH($J309,'Tarieven ZM'!$B:$B,0)</f>
        <v>85</v>
      </c>
      <c r="X309" s="204">
        <f>INDEX('Tarieven ZM'!$H:$H,$W309)</f>
        <v>1000</v>
      </c>
      <c r="Y309" s="198">
        <f>-INDEX(Parameters!$B:$B,MATCH(Y$3&amp;$C309,Parameters!$A:$A,0))*$X309</f>
        <v>0</v>
      </c>
      <c r="Z309" s="198">
        <f>-INDEX(Parameters!$B:$B,MATCH(Z$3&amp;$C309,Parameters!$A:$A,0))*$X309</f>
        <v>0</v>
      </c>
      <c r="AA309" s="139">
        <f t="shared" si="162"/>
        <v>1000</v>
      </c>
      <c r="AB309" s="205">
        <f>AA309/INDEX(Parameters!$B:$B,MATCH("AfschrijftermijnVVE"&amp;12*$C309,Parameters!$A:$A,0))</f>
        <v>27.777777777777779</v>
      </c>
      <c r="AC309" s="204">
        <f>INDEX('Tarieven ZM'!$G:$G,$W309)</f>
        <v>1000</v>
      </c>
      <c r="AD309" s="198">
        <f>-INDEX(Parameters!$B:$B,MATCH(AD$3&amp;$C309,Parameters!$A:$A,0))*$AC309</f>
        <v>0</v>
      </c>
      <c r="AE309" s="198">
        <f>-INDEX(Parameters!$B:$B,MATCH(AE$3,Parameters!$A:$A,0))*$AC309</f>
        <v>0</v>
      </c>
      <c r="AF309" s="139">
        <f t="shared" si="163"/>
        <v>1000</v>
      </c>
      <c r="AG309" s="522">
        <f t="shared" si="164"/>
        <v>1027.7777777777778</v>
      </c>
      <c r="AH309" s="175"/>
      <c r="AI309" s="523">
        <f>MATCH($U309,'Tarieven W&amp;O'!$B:$B,0)</f>
        <v>58</v>
      </c>
      <c r="AJ309" s="204">
        <f>IF(AI309&lt;&gt;"nvt",INDEX('Tarieven W&amp;O'!$H:$H,$AI309),0)</f>
        <v>0</v>
      </c>
      <c r="AK309" s="204">
        <f>IF(AI309&lt;&gt;"nvt",INDEX('Tarieven W&amp;O'!$I:$I,$AI309),0)</f>
        <v>25</v>
      </c>
      <c r="AL309" s="524">
        <f>IF(AI309&lt;&gt;"nvt",-INDEX(Parameters!$B:$B,MATCH(AL$3,Parameters!$A:$A,0))*(AJ309+AK309),0)</f>
        <v>0</v>
      </c>
      <c r="AM309" s="525"/>
      <c r="AN309" s="139">
        <f t="shared" si="165"/>
        <v>25</v>
      </c>
      <c r="AO309" s="205">
        <f>AN309/INDEX(Parameters!$B:$B,MATCH("AfschrijftermijnVVE"&amp;12*$C309,Parameters!$A:$A,0))</f>
        <v>0.69444444444444442</v>
      </c>
      <c r="AP309" s="139">
        <f t="shared" si="166"/>
        <v>58</v>
      </c>
      <c r="AQ309" s="526">
        <f>IF(AP309&lt;&gt;"nvt",INDEX('Tarieven W&amp;O'!$G:$G,$AP309),0)</f>
        <v>16.55</v>
      </c>
      <c r="AR309" s="251">
        <f>IF($S309,INDEX('Tarieven W&amp;O'!$G:$G,MATCH(N309&amp;R309,'Tarieven W&amp;O'!$B:$B,0)),0)</f>
        <v>0</v>
      </c>
      <c r="AS309" s="205">
        <f>-INDEX(Parameters!$B:$B,MATCH(AS$3,Parameters!$A:$A,0))*(AQ309+AR309)</f>
        <v>0</v>
      </c>
      <c r="AT309" s="205">
        <f>INDEX(hulpblad!$E:$E,MATCH(M309&amp;Q309,hulpblad!$B:$B,0))</f>
        <v>2</v>
      </c>
      <c r="AU309" s="150">
        <f t="shared" si="147"/>
        <v>18.55</v>
      </c>
      <c r="AV309" s="150">
        <f t="shared" si="148"/>
        <v>19.244444444444444</v>
      </c>
      <c r="AX309" s="526">
        <f>Parameters!$B$6*AV309</f>
        <v>0.19244444444444445</v>
      </c>
      <c r="AY309" s="150">
        <v>0</v>
      </c>
      <c r="AZ309" s="150"/>
      <c r="BA309" s="150">
        <f t="shared" si="167"/>
        <v>0.19244444444444445</v>
      </c>
      <c r="BB309" s="150"/>
      <c r="BC309" s="522">
        <f t="shared" si="168"/>
        <v>19.436888888888888</v>
      </c>
      <c r="BD309" s="175"/>
      <c r="BE309" s="527">
        <f t="shared" si="149"/>
        <v>1008.3408888888889</v>
      </c>
      <c r="BF309" s="181">
        <f t="shared" si="150"/>
        <v>0.98108843243243238</v>
      </c>
      <c r="BG309" s="520" t="b">
        <f t="shared" si="161"/>
        <v>0</v>
      </c>
      <c r="BI309" s="528" t="s">
        <v>2181</v>
      </c>
      <c r="BL309" s="151" t="str">
        <f t="shared" si="152"/>
        <v>EoKMetro - Nationaal</v>
      </c>
      <c r="BM309" s="529">
        <v>0</v>
      </c>
      <c r="BN309" s="180">
        <f>BM309/INDEX(Parameters!$B:$B,MATCH("AfschrijftermijnVVE"&amp;12*$C309,Parameters!$A:$A,0))</f>
        <v>0</v>
      </c>
      <c r="BO309" s="184">
        <f>INDEX('inkoop ULL tbv EVPN'!I:I,MATCH(BL309,'inkoop ULL tbv EVPN'!H:H,0))</f>
        <v>2</v>
      </c>
      <c r="BP309" s="184">
        <f t="shared" si="153"/>
        <v>2</v>
      </c>
      <c r="BR309" s="180">
        <f>Parameters!$B$12*AG309</f>
        <v>102.77777777777779</v>
      </c>
      <c r="BS309" s="180">
        <f>SUM(Distributievergoedingen!$F$12,Distributievergoedingen!$I$12,Distributievergoedingen!$L$12,Distributievergoedingen!$O$12)*AF309+SUM(Distributievergoedingen!$O$12*AA309+Distributievergoedingen!$R$12+Distributievergoedingen!$U$12+Distributievergoedingen!$X$12)/(MAX(36,12*C309))</f>
        <v>112.77777777777777</v>
      </c>
      <c r="BT309" s="150"/>
      <c r="BU309" s="150">
        <f t="shared" si="154"/>
        <v>215.55555555555554</v>
      </c>
      <c r="BW309" s="522">
        <f t="shared" si="155"/>
        <v>217.55555555555554</v>
      </c>
      <c r="BY309" s="527">
        <f t="shared" si="156"/>
        <v>810.22222222222229</v>
      </c>
      <c r="BZ309" s="181">
        <f t="shared" si="157"/>
        <v>0.78832432432432431</v>
      </c>
      <c r="CA309" s="520" t="b">
        <f t="shared" si="158"/>
        <v>0</v>
      </c>
    </row>
    <row r="310" spans="1:79" s="151" customFormat="1">
      <c r="A310" s="151" t="str">
        <f t="shared" si="151"/>
        <v>3EoKPremiumRegionaal3</v>
      </c>
      <c r="B310" s="520" t="str">
        <f t="shared" si="169"/>
        <v>3EoKPremiumRegionaal3</v>
      </c>
      <c r="C310" s="179">
        <v>3</v>
      </c>
      <c r="D310" s="179" t="s">
        <v>303</v>
      </c>
      <c r="E310" s="178" t="s">
        <v>267</v>
      </c>
      <c r="F310" s="178" t="s">
        <v>265</v>
      </c>
      <c r="G310" s="185" t="s">
        <v>407</v>
      </c>
      <c r="J310" s="520" t="str">
        <f t="shared" si="159"/>
        <v>PremiumRegionaal3</v>
      </c>
      <c r="L310" s="204">
        <f>INDEX(Mapping!$H:$H,MATCH(C$3&amp;C310,Mapping!$B:$B,0))</f>
        <v>1</v>
      </c>
      <c r="M310" s="204" t="str">
        <f>INDEX(Mapping!$H:$H,MATCH(D$3&amp;$D310,Mapping!$B:$B,0))</f>
        <v>EoK</v>
      </c>
      <c r="N310" s="204" t="str">
        <f>INDEX(Mapping!$H:$H,MATCH(E$3&amp;E310,Mapping!$B:$B,0))</f>
        <v>Premium</v>
      </c>
      <c r="O310" s="204" t="str">
        <f>INDEX(Mapping!$H:$H,MATCH(F$3&amp;F310,Mapping!$B:$B,0))</f>
        <v>Metro</v>
      </c>
      <c r="P310" s="204">
        <f>INDEX(Mapping!$H:$H,MATCH(G$3&amp;G310,Mapping!$B:$B,0))</f>
        <v>3</v>
      </c>
      <c r="Q310" s="204" t="str">
        <f>INDEX(Mapping!$H:$H,MATCH(Q$3&amp;$F310,Mapping!$B:$B,0))</f>
        <v>Metro - Nationaal</v>
      </c>
      <c r="R310" s="204" t="str">
        <f>INDEX(Mapping!$H:$H,MATCH("ZM VPN Service Level"&amp;E310,Mapping!$B:$B,0))</f>
        <v>Advanced</v>
      </c>
      <c r="S310" s="139" t="b">
        <f>IF($D310="EoK",INDEX(Mapping!$I:$I,MATCH($G$3&amp;$G310,Mapping!B:B,0)),FALSE)</f>
        <v>0</v>
      </c>
      <c r="T310" s="139"/>
      <c r="U310" s="520" t="str">
        <f t="shared" si="160"/>
        <v>PremiumMetro3</v>
      </c>
      <c r="W310" s="521">
        <f>MATCH($J310,'Tarieven ZM'!$B:$B,0)</f>
        <v>86</v>
      </c>
      <c r="X310" s="204">
        <f>INDEX('Tarieven ZM'!$H:$H,$W310)</f>
        <v>1000</v>
      </c>
      <c r="Y310" s="198">
        <f>-INDEX(Parameters!$B:$B,MATCH(Y$3&amp;$C310,Parameters!$A:$A,0))*$X310</f>
        <v>0</v>
      </c>
      <c r="Z310" s="198">
        <f>-INDEX(Parameters!$B:$B,MATCH(Z$3&amp;$C310,Parameters!$A:$A,0))*$X310</f>
        <v>0</v>
      </c>
      <c r="AA310" s="139">
        <f t="shared" si="162"/>
        <v>1000</v>
      </c>
      <c r="AB310" s="205">
        <f>AA310/INDEX(Parameters!$B:$B,MATCH("AfschrijftermijnVVE"&amp;12*$C310,Parameters!$A:$A,0))</f>
        <v>27.777777777777779</v>
      </c>
      <c r="AC310" s="204">
        <f>INDEX('Tarieven ZM'!$G:$G,$W310)</f>
        <v>1000</v>
      </c>
      <c r="AD310" s="198">
        <f>-INDEX(Parameters!$B:$B,MATCH(AD$3&amp;$C310,Parameters!$A:$A,0))*$AC310</f>
        <v>0</v>
      </c>
      <c r="AE310" s="198">
        <f>-INDEX(Parameters!$B:$B,MATCH(AE$3,Parameters!$A:$A,0))*$AC310</f>
        <v>0</v>
      </c>
      <c r="AF310" s="139">
        <f t="shared" si="163"/>
        <v>1000</v>
      </c>
      <c r="AG310" s="522">
        <f t="shared" si="164"/>
        <v>1027.7777777777778</v>
      </c>
      <c r="AH310" s="175"/>
      <c r="AI310" s="523">
        <f>MATCH($U310,'Tarieven W&amp;O'!$B:$B,0)</f>
        <v>59</v>
      </c>
      <c r="AJ310" s="204">
        <f>IF(AI310&lt;&gt;"nvt",INDEX('Tarieven W&amp;O'!$H:$H,$AI310),0)</f>
        <v>0</v>
      </c>
      <c r="AK310" s="204">
        <f>IF(AI310&lt;&gt;"nvt",INDEX('Tarieven W&amp;O'!$I:$I,$AI310),0)</f>
        <v>25</v>
      </c>
      <c r="AL310" s="524">
        <f>IF(AI310&lt;&gt;"nvt",-INDEX(Parameters!$B:$B,MATCH(AL$3,Parameters!$A:$A,0))*(AJ310+AK310),0)</f>
        <v>0</v>
      </c>
      <c r="AM310" s="525"/>
      <c r="AN310" s="139">
        <f t="shared" si="165"/>
        <v>25</v>
      </c>
      <c r="AO310" s="205">
        <f>AN310/INDEX(Parameters!$B:$B,MATCH("AfschrijftermijnVVE"&amp;12*$C310,Parameters!$A:$A,0))</f>
        <v>0.69444444444444442</v>
      </c>
      <c r="AP310" s="139">
        <f t="shared" si="166"/>
        <v>59</v>
      </c>
      <c r="AQ310" s="526">
        <f>IF(AP310&lt;&gt;"nvt",INDEX('Tarieven W&amp;O'!$G:$G,$AP310),0)</f>
        <v>27.86</v>
      </c>
      <c r="AR310" s="251">
        <f>IF($S310,INDEX('Tarieven W&amp;O'!$G:$G,MATCH(N310&amp;R310,'Tarieven W&amp;O'!$B:$B,0)),0)</f>
        <v>0</v>
      </c>
      <c r="AS310" s="205">
        <f>-INDEX(Parameters!$B:$B,MATCH(AS$3,Parameters!$A:$A,0))*(AQ310+AR310)</f>
        <v>0</v>
      </c>
      <c r="AT310" s="205">
        <f>INDEX(hulpblad!$E:$E,MATCH(M310&amp;Q310,hulpblad!$B:$B,0))</f>
        <v>2</v>
      </c>
      <c r="AU310" s="150">
        <f t="shared" si="147"/>
        <v>29.86</v>
      </c>
      <c r="AV310" s="150">
        <f t="shared" si="148"/>
        <v>30.554444444444442</v>
      </c>
      <c r="AX310" s="526">
        <f>Parameters!$B$6*AV310</f>
        <v>0.30554444444444445</v>
      </c>
      <c r="AY310" s="150">
        <v>0</v>
      </c>
      <c r="AZ310" s="150"/>
      <c r="BA310" s="150">
        <f t="shared" si="167"/>
        <v>0.30554444444444445</v>
      </c>
      <c r="BB310" s="150"/>
      <c r="BC310" s="522">
        <f t="shared" si="168"/>
        <v>30.859988888888886</v>
      </c>
      <c r="BD310" s="175"/>
      <c r="BE310" s="527">
        <f t="shared" si="149"/>
        <v>996.91778888888894</v>
      </c>
      <c r="BF310" s="181">
        <f t="shared" si="150"/>
        <v>0.96997406486486482</v>
      </c>
      <c r="BG310" s="520" t="b">
        <f t="shared" si="161"/>
        <v>0</v>
      </c>
      <c r="BI310" s="528" t="s">
        <v>2181</v>
      </c>
      <c r="BL310" s="151" t="str">
        <f t="shared" si="152"/>
        <v>EoKMetro - Nationaal</v>
      </c>
      <c r="BM310" s="529">
        <v>0</v>
      </c>
      <c r="BN310" s="180">
        <f>BM310/INDEX(Parameters!$B:$B,MATCH("AfschrijftermijnVVE"&amp;12*$C310,Parameters!$A:$A,0))</f>
        <v>0</v>
      </c>
      <c r="BO310" s="184">
        <f>INDEX('inkoop ULL tbv EVPN'!I:I,MATCH(BL310,'inkoop ULL tbv EVPN'!H:H,0))</f>
        <v>2</v>
      </c>
      <c r="BP310" s="184">
        <f t="shared" si="153"/>
        <v>2</v>
      </c>
      <c r="BR310" s="180">
        <f>Parameters!$B$12*AG310</f>
        <v>102.77777777777779</v>
      </c>
      <c r="BS310" s="180">
        <f>SUM(Distributievergoedingen!$F$12,Distributievergoedingen!$I$12,Distributievergoedingen!$L$12,Distributievergoedingen!$O$12)*AF310+SUM(Distributievergoedingen!$O$12*AA310+Distributievergoedingen!$R$12+Distributievergoedingen!$U$12+Distributievergoedingen!$X$12)/(MAX(36,12*C310))</f>
        <v>112.77777777777777</v>
      </c>
      <c r="BT310" s="150"/>
      <c r="BU310" s="150">
        <f t="shared" si="154"/>
        <v>215.55555555555554</v>
      </c>
      <c r="BW310" s="522">
        <f t="shared" si="155"/>
        <v>217.55555555555554</v>
      </c>
      <c r="BY310" s="527">
        <f t="shared" si="156"/>
        <v>810.22222222222229</v>
      </c>
      <c r="BZ310" s="181">
        <f t="shared" si="157"/>
        <v>0.78832432432432431</v>
      </c>
      <c r="CA310" s="520" t="b">
        <f t="shared" si="158"/>
        <v>0</v>
      </c>
    </row>
    <row r="311" spans="1:79" s="151" customFormat="1">
      <c r="A311" s="151" t="str">
        <f t="shared" si="151"/>
        <v>3EoKPremiumRegionaal4</v>
      </c>
      <c r="B311" s="520" t="str">
        <f t="shared" si="169"/>
        <v>3EoKPremiumRegionaal4</v>
      </c>
      <c r="C311" s="179">
        <v>3</v>
      </c>
      <c r="D311" s="179" t="s">
        <v>303</v>
      </c>
      <c r="E311" s="178" t="s">
        <v>267</v>
      </c>
      <c r="F311" s="178" t="s">
        <v>265</v>
      </c>
      <c r="G311" s="185" t="s">
        <v>408</v>
      </c>
      <c r="J311" s="520" t="str">
        <f t="shared" si="159"/>
        <v>PremiumRegionaal4</v>
      </c>
      <c r="L311" s="204">
        <f>INDEX(Mapping!$H:$H,MATCH(C$3&amp;C311,Mapping!$B:$B,0))</f>
        <v>1</v>
      </c>
      <c r="M311" s="204" t="str">
        <f>INDEX(Mapping!$H:$H,MATCH(D$3&amp;$D311,Mapping!$B:$B,0))</f>
        <v>EoK</v>
      </c>
      <c r="N311" s="204" t="str">
        <f>INDEX(Mapping!$H:$H,MATCH(E$3&amp;E311,Mapping!$B:$B,0))</f>
        <v>Premium</v>
      </c>
      <c r="O311" s="204" t="str">
        <f>INDEX(Mapping!$H:$H,MATCH(F$3&amp;F311,Mapping!$B:$B,0))</f>
        <v>Metro</v>
      </c>
      <c r="P311" s="204">
        <f>INDEX(Mapping!$H:$H,MATCH(G$3&amp;G311,Mapping!$B:$B,0))</f>
        <v>4</v>
      </c>
      <c r="Q311" s="204" t="str">
        <f>INDEX(Mapping!$H:$H,MATCH(Q$3&amp;$F311,Mapping!$B:$B,0))</f>
        <v>Metro - Nationaal</v>
      </c>
      <c r="R311" s="204" t="str">
        <f>INDEX(Mapping!$H:$H,MATCH("ZM VPN Service Level"&amp;E311,Mapping!$B:$B,0))</f>
        <v>Advanced</v>
      </c>
      <c r="S311" s="139" t="b">
        <f>IF($D311="EoK",INDEX(Mapping!$I:$I,MATCH($G$3&amp;$G311,Mapping!B:B,0)),FALSE)</f>
        <v>0</v>
      </c>
      <c r="T311" s="139"/>
      <c r="U311" s="520" t="str">
        <f t="shared" si="160"/>
        <v>PremiumMetro4</v>
      </c>
      <c r="W311" s="521">
        <f>MATCH($J311,'Tarieven ZM'!$B:$B,0)</f>
        <v>87</v>
      </c>
      <c r="X311" s="204">
        <f>INDEX('Tarieven ZM'!$H:$H,$W311)</f>
        <v>1000</v>
      </c>
      <c r="Y311" s="198">
        <f>-INDEX(Parameters!$B:$B,MATCH(Y$3&amp;$C311,Parameters!$A:$A,0))*$X311</f>
        <v>0</v>
      </c>
      <c r="Z311" s="198">
        <f>-INDEX(Parameters!$B:$B,MATCH(Z$3&amp;$C311,Parameters!$A:$A,0))*$X311</f>
        <v>0</v>
      </c>
      <c r="AA311" s="139">
        <f t="shared" si="162"/>
        <v>1000</v>
      </c>
      <c r="AB311" s="205">
        <f>AA311/INDEX(Parameters!$B:$B,MATCH("AfschrijftermijnVVE"&amp;12*$C311,Parameters!$A:$A,0))</f>
        <v>27.777777777777779</v>
      </c>
      <c r="AC311" s="204">
        <f>INDEX('Tarieven ZM'!$G:$G,$W311)</f>
        <v>1000</v>
      </c>
      <c r="AD311" s="198">
        <f>-INDEX(Parameters!$B:$B,MATCH(AD$3&amp;$C311,Parameters!$A:$A,0))*$AC311</f>
        <v>0</v>
      </c>
      <c r="AE311" s="198">
        <f>-INDEX(Parameters!$B:$B,MATCH(AE$3,Parameters!$A:$A,0))*$AC311</f>
        <v>0</v>
      </c>
      <c r="AF311" s="139">
        <f t="shared" si="163"/>
        <v>1000</v>
      </c>
      <c r="AG311" s="522">
        <f t="shared" si="164"/>
        <v>1027.7777777777778</v>
      </c>
      <c r="AH311" s="175"/>
      <c r="AI311" s="523">
        <f>MATCH($U311,'Tarieven W&amp;O'!$B:$B,0)</f>
        <v>60</v>
      </c>
      <c r="AJ311" s="204">
        <f>IF(AI311&lt;&gt;"nvt",INDEX('Tarieven W&amp;O'!$H:$H,$AI311),0)</f>
        <v>0</v>
      </c>
      <c r="AK311" s="204">
        <f>IF(AI311&lt;&gt;"nvt",INDEX('Tarieven W&amp;O'!$I:$I,$AI311),0)</f>
        <v>25</v>
      </c>
      <c r="AL311" s="524">
        <f>IF(AI311&lt;&gt;"nvt",-INDEX(Parameters!$B:$B,MATCH(AL$3,Parameters!$A:$A,0))*(AJ311+AK311),0)</f>
        <v>0</v>
      </c>
      <c r="AM311" s="525"/>
      <c r="AN311" s="139">
        <f t="shared" si="165"/>
        <v>25</v>
      </c>
      <c r="AO311" s="205">
        <f>AN311/INDEX(Parameters!$B:$B,MATCH("AfschrijftermijnVVE"&amp;12*$C311,Parameters!$A:$A,0))</f>
        <v>0.69444444444444442</v>
      </c>
      <c r="AP311" s="139">
        <f t="shared" si="166"/>
        <v>60</v>
      </c>
      <c r="AQ311" s="526">
        <f>IF(AP311&lt;&gt;"nvt",INDEX('Tarieven W&amp;O'!$G:$G,$AP311),0)</f>
        <v>42.94</v>
      </c>
      <c r="AR311" s="251">
        <f>IF($S311,INDEX('Tarieven W&amp;O'!$G:$G,MATCH(N311&amp;R311,'Tarieven W&amp;O'!$B:$B,0)),0)</f>
        <v>0</v>
      </c>
      <c r="AS311" s="205">
        <f>-INDEX(Parameters!$B:$B,MATCH(AS$3,Parameters!$A:$A,0))*(AQ311+AR311)</f>
        <v>0</v>
      </c>
      <c r="AT311" s="205">
        <f>INDEX(hulpblad!$E:$E,MATCH(M311&amp;Q311,hulpblad!$B:$B,0))</f>
        <v>2</v>
      </c>
      <c r="AU311" s="150">
        <f t="shared" si="147"/>
        <v>44.94</v>
      </c>
      <c r="AV311" s="150">
        <f t="shared" si="148"/>
        <v>45.634444444444441</v>
      </c>
      <c r="AX311" s="526">
        <f>Parameters!$B$6*AV311</f>
        <v>0.45634444444444444</v>
      </c>
      <c r="AY311" s="150">
        <v>0</v>
      </c>
      <c r="AZ311" s="150"/>
      <c r="BA311" s="150">
        <f t="shared" si="167"/>
        <v>0.45634444444444444</v>
      </c>
      <c r="BB311" s="150"/>
      <c r="BC311" s="522">
        <f t="shared" si="168"/>
        <v>46.090788888888888</v>
      </c>
      <c r="BD311" s="175"/>
      <c r="BE311" s="527">
        <f t="shared" si="149"/>
        <v>981.68698888888889</v>
      </c>
      <c r="BF311" s="181">
        <f t="shared" si="150"/>
        <v>0.9551549081081081</v>
      </c>
      <c r="BG311" s="520" t="b">
        <f t="shared" si="161"/>
        <v>0</v>
      </c>
      <c r="BI311" s="528" t="s">
        <v>2181</v>
      </c>
      <c r="BL311" s="151" t="str">
        <f t="shared" si="152"/>
        <v>EoKMetro - Nationaal</v>
      </c>
      <c r="BM311" s="529">
        <v>0</v>
      </c>
      <c r="BN311" s="180">
        <f>BM311/INDEX(Parameters!$B:$B,MATCH("AfschrijftermijnVVE"&amp;12*$C311,Parameters!$A:$A,0))</f>
        <v>0</v>
      </c>
      <c r="BO311" s="184">
        <f>INDEX('inkoop ULL tbv EVPN'!I:I,MATCH(BL311,'inkoop ULL tbv EVPN'!H:H,0))</f>
        <v>2</v>
      </c>
      <c r="BP311" s="184">
        <f t="shared" si="153"/>
        <v>2</v>
      </c>
      <c r="BR311" s="180">
        <f>Parameters!$B$12*AG311</f>
        <v>102.77777777777779</v>
      </c>
      <c r="BS311" s="180">
        <f>SUM(Distributievergoedingen!$F$12,Distributievergoedingen!$I$12,Distributievergoedingen!$L$12,Distributievergoedingen!$O$12)*AF311+SUM(Distributievergoedingen!$O$12*AA311+Distributievergoedingen!$R$12+Distributievergoedingen!$U$12+Distributievergoedingen!$X$12)/(MAX(36,12*C311))</f>
        <v>112.77777777777777</v>
      </c>
      <c r="BT311" s="150"/>
      <c r="BU311" s="150">
        <f t="shared" si="154"/>
        <v>215.55555555555554</v>
      </c>
      <c r="BW311" s="522">
        <f t="shared" si="155"/>
        <v>217.55555555555554</v>
      </c>
      <c r="BY311" s="527">
        <f t="shared" si="156"/>
        <v>810.22222222222229</v>
      </c>
      <c r="BZ311" s="181">
        <f t="shared" si="157"/>
        <v>0.78832432432432431</v>
      </c>
      <c r="CA311" s="520" t="b">
        <f t="shared" si="158"/>
        <v>0</v>
      </c>
    </row>
    <row r="312" spans="1:79" s="151" customFormat="1">
      <c r="A312" s="151" t="str">
        <f t="shared" si="151"/>
        <v>3EoKPremiumRegionaal5</v>
      </c>
      <c r="B312" s="520" t="str">
        <f t="shared" si="169"/>
        <v>3EoKPremiumRegionaal5</v>
      </c>
      <c r="C312" s="179">
        <v>3</v>
      </c>
      <c r="D312" s="179" t="s">
        <v>303</v>
      </c>
      <c r="E312" s="178" t="s">
        <v>267</v>
      </c>
      <c r="F312" s="178" t="s">
        <v>265</v>
      </c>
      <c r="G312" s="185" t="s">
        <v>409</v>
      </c>
      <c r="J312" s="520" t="str">
        <f t="shared" si="159"/>
        <v>PremiumRegionaal5</v>
      </c>
      <c r="L312" s="204">
        <f>INDEX(Mapping!$H:$H,MATCH(C$3&amp;C312,Mapping!$B:$B,0))</f>
        <v>1</v>
      </c>
      <c r="M312" s="204" t="str">
        <f>INDEX(Mapping!$H:$H,MATCH(D$3&amp;$D312,Mapping!$B:$B,0))</f>
        <v>EoK</v>
      </c>
      <c r="N312" s="204" t="str">
        <f>INDEX(Mapping!$H:$H,MATCH(E$3&amp;E312,Mapping!$B:$B,0))</f>
        <v>Premium</v>
      </c>
      <c r="O312" s="204" t="str">
        <f>INDEX(Mapping!$H:$H,MATCH(F$3&amp;F312,Mapping!$B:$B,0))</f>
        <v>Metro</v>
      </c>
      <c r="P312" s="204">
        <f>INDEX(Mapping!$H:$H,MATCH(G$3&amp;G312,Mapping!$B:$B,0))</f>
        <v>5</v>
      </c>
      <c r="Q312" s="204" t="str">
        <f>INDEX(Mapping!$H:$H,MATCH(Q$3&amp;$F312,Mapping!$B:$B,0))</f>
        <v>Metro - Nationaal</v>
      </c>
      <c r="R312" s="204" t="str">
        <f>INDEX(Mapping!$H:$H,MATCH("ZM VPN Service Level"&amp;E312,Mapping!$B:$B,0))</f>
        <v>Advanced</v>
      </c>
      <c r="S312" s="139" t="b">
        <f>IF($D312="EoK",INDEX(Mapping!$I:$I,MATCH($G$3&amp;$G312,Mapping!B:B,0)),FALSE)</f>
        <v>0</v>
      </c>
      <c r="T312" s="139"/>
      <c r="U312" s="520" t="str">
        <f t="shared" si="160"/>
        <v>PremiumMetro5</v>
      </c>
      <c r="W312" s="521">
        <f>MATCH($J312,'Tarieven ZM'!$B:$B,0)</f>
        <v>88</v>
      </c>
      <c r="X312" s="204">
        <f>INDEX('Tarieven ZM'!$H:$H,$W312)</f>
        <v>1000</v>
      </c>
      <c r="Y312" s="198">
        <f>-INDEX(Parameters!$B:$B,MATCH(Y$3&amp;$C312,Parameters!$A:$A,0))*$X312</f>
        <v>0</v>
      </c>
      <c r="Z312" s="198">
        <f>-INDEX(Parameters!$B:$B,MATCH(Z$3&amp;$C312,Parameters!$A:$A,0))*$X312</f>
        <v>0</v>
      </c>
      <c r="AA312" s="139">
        <f t="shared" si="162"/>
        <v>1000</v>
      </c>
      <c r="AB312" s="205">
        <f>AA312/INDEX(Parameters!$B:$B,MATCH("AfschrijftermijnVVE"&amp;12*$C312,Parameters!$A:$A,0))</f>
        <v>27.777777777777779</v>
      </c>
      <c r="AC312" s="204">
        <f>INDEX('Tarieven ZM'!$G:$G,$W312)</f>
        <v>1000</v>
      </c>
      <c r="AD312" s="198">
        <f>-INDEX(Parameters!$B:$B,MATCH(AD$3&amp;$C312,Parameters!$A:$A,0))*$AC312</f>
        <v>0</v>
      </c>
      <c r="AE312" s="198">
        <f>-INDEX(Parameters!$B:$B,MATCH(AE$3,Parameters!$A:$A,0))*$AC312</f>
        <v>0</v>
      </c>
      <c r="AF312" s="139">
        <f t="shared" si="163"/>
        <v>1000</v>
      </c>
      <c r="AG312" s="522">
        <f t="shared" si="164"/>
        <v>1027.7777777777778</v>
      </c>
      <c r="AH312" s="175"/>
      <c r="AI312" s="523">
        <f>MATCH($U312,'Tarieven W&amp;O'!$B:$B,0)</f>
        <v>61</v>
      </c>
      <c r="AJ312" s="204">
        <f>IF(AI312&lt;&gt;"nvt",INDEX('Tarieven W&amp;O'!$H:$H,$AI312),0)</f>
        <v>0</v>
      </c>
      <c r="AK312" s="204">
        <f>IF(AI312&lt;&gt;"nvt",INDEX('Tarieven W&amp;O'!$I:$I,$AI312),0)</f>
        <v>25</v>
      </c>
      <c r="AL312" s="524">
        <f>IF(AI312&lt;&gt;"nvt",-INDEX(Parameters!$B:$B,MATCH(AL$3,Parameters!$A:$A,0))*(AJ312+AK312),0)</f>
        <v>0</v>
      </c>
      <c r="AM312" s="525"/>
      <c r="AN312" s="139">
        <f t="shared" si="165"/>
        <v>25</v>
      </c>
      <c r="AO312" s="205">
        <f>AN312/INDEX(Parameters!$B:$B,MATCH("AfschrijftermijnVVE"&amp;12*$C312,Parameters!$A:$A,0))</f>
        <v>0.69444444444444442</v>
      </c>
      <c r="AP312" s="139">
        <f t="shared" si="166"/>
        <v>61</v>
      </c>
      <c r="AQ312" s="526">
        <f>IF(AP312&lt;&gt;"nvt",INDEX('Tarieven W&amp;O'!$G:$G,$AP312),0)</f>
        <v>46.71</v>
      </c>
      <c r="AR312" s="251">
        <f>IF($S312,INDEX('Tarieven W&amp;O'!$G:$G,MATCH(N312&amp;R312,'Tarieven W&amp;O'!$B:$B,0)),0)</f>
        <v>0</v>
      </c>
      <c r="AS312" s="205">
        <f>-INDEX(Parameters!$B:$B,MATCH(AS$3,Parameters!$A:$A,0))*(AQ312+AR312)</f>
        <v>0</v>
      </c>
      <c r="AT312" s="205">
        <f>INDEX(hulpblad!$E:$E,MATCH(M312&amp;Q312,hulpblad!$B:$B,0))</f>
        <v>2</v>
      </c>
      <c r="AU312" s="150">
        <f t="shared" si="147"/>
        <v>48.71</v>
      </c>
      <c r="AV312" s="150">
        <f t="shared" si="148"/>
        <v>49.404444444444444</v>
      </c>
      <c r="AX312" s="526">
        <f>Parameters!$B$6*AV312</f>
        <v>0.49404444444444445</v>
      </c>
      <c r="AY312" s="150">
        <v>0</v>
      </c>
      <c r="AZ312" s="150"/>
      <c r="BA312" s="150">
        <f t="shared" si="167"/>
        <v>0.49404444444444445</v>
      </c>
      <c r="BB312" s="150"/>
      <c r="BC312" s="522">
        <f t="shared" si="168"/>
        <v>49.898488888888885</v>
      </c>
      <c r="BD312" s="175"/>
      <c r="BE312" s="527">
        <f t="shared" si="149"/>
        <v>977.87928888888894</v>
      </c>
      <c r="BF312" s="181">
        <f t="shared" si="150"/>
        <v>0.95145011891891895</v>
      </c>
      <c r="BG312" s="520" t="b">
        <f t="shared" si="161"/>
        <v>0</v>
      </c>
      <c r="BI312" s="528" t="s">
        <v>2181</v>
      </c>
      <c r="BL312" s="151" t="str">
        <f t="shared" si="152"/>
        <v>EoKMetro - Nationaal</v>
      </c>
      <c r="BM312" s="529">
        <v>0</v>
      </c>
      <c r="BN312" s="180">
        <f>BM312/INDEX(Parameters!$B:$B,MATCH("AfschrijftermijnVVE"&amp;12*$C312,Parameters!$A:$A,0))</f>
        <v>0</v>
      </c>
      <c r="BO312" s="184">
        <f>INDEX('inkoop ULL tbv EVPN'!I:I,MATCH(BL312,'inkoop ULL tbv EVPN'!H:H,0))</f>
        <v>2</v>
      </c>
      <c r="BP312" s="184">
        <f t="shared" si="153"/>
        <v>2</v>
      </c>
      <c r="BR312" s="180">
        <f>Parameters!$B$12*AG312</f>
        <v>102.77777777777779</v>
      </c>
      <c r="BS312" s="180">
        <f>SUM(Distributievergoedingen!$F$12,Distributievergoedingen!$I$12,Distributievergoedingen!$L$12,Distributievergoedingen!$O$12)*AF312+SUM(Distributievergoedingen!$O$12*AA312+Distributievergoedingen!$R$12+Distributievergoedingen!$U$12+Distributievergoedingen!$X$12)/(MAX(36,12*C312))</f>
        <v>112.77777777777777</v>
      </c>
      <c r="BT312" s="150"/>
      <c r="BU312" s="150">
        <f t="shared" si="154"/>
        <v>215.55555555555554</v>
      </c>
      <c r="BW312" s="522">
        <f t="shared" si="155"/>
        <v>217.55555555555554</v>
      </c>
      <c r="BY312" s="527">
        <f t="shared" si="156"/>
        <v>810.22222222222229</v>
      </c>
      <c r="BZ312" s="181">
        <f t="shared" si="157"/>
        <v>0.78832432432432431</v>
      </c>
      <c r="CA312" s="520" t="b">
        <f t="shared" si="158"/>
        <v>0</v>
      </c>
    </row>
    <row r="313" spans="1:79" s="151" customFormat="1">
      <c r="A313" s="151" t="str">
        <f t="shared" si="151"/>
        <v>3EoKPremiumRegionaal6</v>
      </c>
      <c r="B313" s="520" t="str">
        <f t="shared" si="169"/>
        <v>3EoKPremiumRegionaal6</v>
      </c>
      <c r="C313" s="179">
        <v>3</v>
      </c>
      <c r="D313" s="179" t="s">
        <v>303</v>
      </c>
      <c r="E313" s="178" t="s">
        <v>267</v>
      </c>
      <c r="F313" s="178" t="s">
        <v>265</v>
      </c>
      <c r="G313" s="185" t="s">
        <v>410</v>
      </c>
      <c r="J313" s="520" t="str">
        <f t="shared" si="159"/>
        <v>PremiumRegionaal6</v>
      </c>
      <c r="L313" s="204">
        <f>INDEX(Mapping!$H:$H,MATCH(C$3&amp;C313,Mapping!$B:$B,0))</f>
        <v>1</v>
      </c>
      <c r="M313" s="204" t="str">
        <f>INDEX(Mapping!$H:$H,MATCH(D$3&amp;$D313,Mapping!$B:$B,0))</f>
        <v>EoK</v>
      </c>
      <c r="N313" s="204" t="str">
        <f>INDEX(Mapping!$H:$H,MATCH(E$3&amp;E313,Mapping!$B:$B,0))</f>
        <v>Premium</v>
      </c>
      <c r="O313" s="204" t="str">
        <f>INDEX(Mapping!$H:$H,MATCH(F$3&amp;F313,Mapping!$B:$B,0))</f>
        <v>Metro</v>
      </c>
      <c r="P313" s="204">
        <f>INDEX(Mapping!$H:$H,MATCH(G$3&amp;G313,Mapping!$B:$B,0))</f>
        <v>6</v>
      </c>
      <c r="Q313" s="204" t="str">
        <f>INDEX(Mapping!$H:$H,MATCH(Q$3&amp;$F313,Mapping!$B:$B,0))</f>
        <v>Metro - Nationaal</v>
      </c>
      <c r="R313" s="204" t="str">
        <f>INDEX(Mapping!$H:$H,MATCH("ZM VPN Service Level"&amp;E313,Mapping!$B:$B,0))</f>
        <v>Advanced</v>
      </c>
      <c r="S313" s="139" t="b">
        <f>IF($D313="EoK",INDEX(Mapping!$I:$I,MATCH($G$3&amp;$G313,Mapping!B:B,0)),FALSE)</f>
        <v>0</v>
      </c>
      <c r="T313" s="139"/>
      <c r="U313" s="520" t="str">
        <f t="shared" si="160"/>
        <v>PremiumMetro6</v>
      </c>
      <c r="W313" s="521">
        <f>MATCH($J313,'Tarieven ZM'!$B:$B,0)</f>
        <v>89</v>
      </c>
      <c r="X313" s="204">
        <f>INDEX('Tarieven ZM'!$H:$H,$W313)</f>
        <v>1000</v>
      </c>
      <c r="Y313" s="198">
        <f>-INDEX(Parameters!$B:$B,MATCH(Y$3&amp;$C313,Parameters!$A:$A,0))*$X313</f>
        <v>0</v>
      </c>
      <c r="Z313" s="198">
        <f>-INDEX(Parameters!$B:$B,MATCH(Z$3&amp;$C313,Parameters!$A:$A,0))*$X313</f>
        <v>0</v>
      </c>
      <c r="AA313" s="139">
        <f t="shared" si="162"/>
        <v>1000</v>
      </c>
      <c r="AB313" s="205">
        <f>AA313/INDEX(Parameters!$B:$B,MATCH("AfschrijftermijnVVE"&amp;12*$C313,Parameters!$A:$A,0))</f>
        <v>27.777777777777779</v>
      </c>
      <c r="AC313" s="204">
        <f>INDEX('Tarieven ZM'!$G:$G,$W313)</f>
        <v>1000</v>
      </c>
      <c r="AD313" s="198">
        <f>-INDEX(Parameters!$B:$B,MATCH(AD$3&amp;$C313,Parameters!$A:$A,0))*$AC313</f>
        <v>0</v>
      </c>
      <c r="AE313" s="198">
        <f>-INDEX(Parameters!$B:$B,MATCH(AE$3,Parameters!$A:$A,0))*$AC313</f>
        <v>0</v>
      </c>
      <c r="AF313" s="139">
        <f t="shared" si="163"/>
        <v>1000</v>
      </c>
      <c r="AG313" s="522">
        <f t="shared" si="164"/>
        <v>1027.7777777777778</v>
      </c>
      <c r="AH313" s="175"/>
      <c r="AI313" s="523">
        <f>MATCH($U313,'Tarieven W&amp;O'!$B:$B,0)</f>
        <v>62</v>
      </c>
      <c r="AJ313" s="204">
        <f>IF(AI313&lt;&gt;"nvt",INDEX('Tarieven W&amp;O'!$H:$H,$AI313),0)</f>
        <v>0</v>
      </c>
      <c r="AK313" s="204">
        <f>IF(AI313&lt;&gt;"nvt",INDEX('Tarieven W&amp;O'!$I:$I,$AI313),0)</f>
        <v>25</v>
      </c>
      <c r="AL313" s="524">
        <f>IF(AI313&lt;&gt;"nvt",-INDEX(Parameters!$B:$B,MATCH(AL$3,Parameters!$A:$A,0))*(AJ313+AK313),0)</f>
        <v>0</v>
      </c>
      <c r="AM313" s="525"/>
      <c r="AN313" s="139">
        <f t="shared" si="165"/>
        <v>25</v>
      </c>
      <c r="AO313" s="205">
        <f>AN313/INDEX(Parameters!$B:$B,MATCH("AfschrijftermijnVVE"&amp;12*$C313,Parameters!$A:$A,0))</f>
        <v>0.69444444444444442</v>
      </c>
      <c r="AP313" s="139">
        <f t="shared" si="166"/>
        <v>62</v>
      </c>
      <c r="AQ313" s="526">
        <f>IF(AP313&lt;&gt;"nvt",INDEX('Tarieven W&amp;O'!$G:$G,$AP313),0)</f>
        <v>50.48</v>
      </c>
      <c r="AR313" s="251">
        <f>IF($S313,INDEX('Tarieven W&amp;O'!$G:$G,MATCH(N313&amp;R313,'Tarieven W&amp;O'!$B:$B,0)),0)</f>
        <v>0</v>
      </c>
      <c r="AS313" s="205">
        <f>-INDEX(Parameters!$B:$B,MATCH(AS$3,Parameters!$A:$A,0))*(AQ313+AR313)</f>
        <v>0</v>
      </c>
      <c r="AT313" s="205">
        <f>INDEX(hulpblad!$E:$E,MATCH(M313&amp;Q313,hulpblad!$B:$B,0))</f>
        <v>2</v>
      </c>
      <c r="AU313" s="150">
        <f t="shared" si="147"/>
        <v>52.48</v>
      </c>
      <c r="AV313" s="150">
        <f t="shared" si="148"/>
        <v>53.17444444444444</v>
      </c>
      <c r="AX313" s="526">
        <f>Parameters!$B$6*AV313</f>
        <v>0.53174444444444435</v>
      </c>
      <c r="AY313" s="150">
        <v>0</v>
      </c>
      <c r="AZ313" s="150"/>
      <c r="BA313" s="150">
        <f t="shared" si="167"/>
        <v>0.53174444444444435</v>
      </c>
      <c r="BB313" s="150"/>
      <c r="BC313" s="522">
        <f t="shared" si="168"/>
        <v>53.706188888888882</v>
      </c>
      <c r="BD313" s="175"/>
      <c r="BE313" s="527">
        <f t="shared" si="149"/>
        <v>974.07158888888898</v>
      </c>
      <c r="BF313" s="181">
        <f t="shared" si="150"/>
        <v>0.9477453297297298</v>
      </c>
      <c r="BG313" s="520" t="b">
        <f t="shared" si="161"/>
        <v>0</v>
      </c>
      <c r="BI313" s="528" t="s">
        <v>2181</v>
      </c>
      <c r="BL313" s="151" t="str">
        <f t="shared" si="152"/>
        <v>EoKMetro - Nationaal</v>
      </c>
      <c r="BM313" s="529">
        <v>0</v>
      </c>
      <c r="BN313" s="180">
        <f>BM313/INDEX(Parameters!$B:$B,MATCH("AfschrijftermijnVVE"&amp;12*$C313,Parameters!$A:$A,0))</f>
        <v>0</v>
      </c>
      <c r="BO313" s="184">
        <f>INDEX('inkoop ULL tbv EVPN'!I:I,MATCH(BL313,'inkoop ULL tbv EVPN'!H:H,0))</f>
        <v>2</v>
      </c>
      <c r="BP313" s="184">
        <f t="shared" si="153"/>
        <v>2</v>
      </c>
      <c r="BR313" s="180">
        <f>Parameters!$B$12*AG313</f>
        <v>102.77777777777779</v>
      </c>
      <c r="BS313" s="180">
        <f>SUM(Distributievergoedingen!$F$12,Distributievergoedingen!$I$12,Distributievergoedingen!$L$12,Distributievergoedingen!$O$12)*AF313+SUM(Distributievergoedingen!$O$12*AA313+Distributievergoedingen!$R$12+Distributievergoedingen!$U$12+Distributievergoedingen!$X$12)/(MAX(36,12*C313))</f>
        <v>112.77777777777777</v>
      </c>
      <c r="BT313" s="150"/>
      <c r="BU313" s="150">
        <f t="shared" si="154"/>
        <v>215.55555555555554</v>
      </c>
      <c r="BW313" s="522">
        <f t="shared" si="155"/>
        <v>217.55555555555554</v>
      </c>
      <c r="BY313" s="527">
        <f t="shared" si="156"/>
        <v>810.22222222222229</v>
      </c>
      <c r="BZ313" s="181">
        <f t="shared" si="157"/>
        <v>0.78832432432432431</v>
      </c>
      <c r="CA313" s="520" t="b">
        <f t="shared" si="158"/>
        <v>0</v>
      </c>
    </row>
    <row r="314" spans="1:79" s="151" customFormat="1">
      <c r="A314" s="151" t="str">
        <f t="shared" si="151"/>
        <v>3EoKPremiumRegionaal8</v>
      </c>
      <c r="B314" s="520" t="str">
        <f t="shared" si="169"/>
        <v>3EoKPremiumRegionaal8</v>
      </c>
      <c r="C314" s="179">
        <v>3</v>
      </c>
      <c r="D314" s="179" t="s">
        <v>303</v>
      </c>
      <c r="E314" s="178" t="s">
        <v>267</v>
      </c>
      <c r="F314" s="178" t="s">
        <v>265</v>
      </c>
      <c r="G314" s="185" t="s">
        <v>411</v>
      </c>
      <c r="J314" s="520" t="str">
        <f t="shared" si="159"/>
        <v>PremiumRegionaal8</v>
      </c>
      <c r="L314" s="204">
        <f>INDEX(Mapping!$H:$H,MATCH(C$3&amp;C314,Mapping!$B:$B,0))</f>
        <v>1</v>
      </c>
      <c r="M314" s="204" t="str">
        <f>INDEX(Mapping!$H:$H,MATCH(D$3&amp;$D314,Mapping!$B:$B,0))</f>
        <v>EoK</v>
      </c>
      <c r="N314" s="204" t="str">
        <f>INDEX(Mapping!$H:$H,MATCH(E$3&amp;E314,Mapping!$B:$B,0))</f>
        <v>Premium</v>
      </c>
      <c r="O314" s="204" t="str">
        <f>INDEX(Mapping!$H:$H,MATCH(F$3&amp;F314,Mapping!$B:$B,0))</f>
        <v>Metro</v>
      </c>
      <c r="P314" s="204">
        <f>INDEX(Mapping!$H:$H,MATCH(G$3&amp;G314,Mapping!$B:$B,0))</f>
        <v>8</v>
      </c>
      <c r="Q314" s="204" t="str">
        <f>INDEX(Mapping!$H:$H,MATCH(Q$3&amp;$F314,Mapping!$B:$B,0))</f>
        <v>Metro - Nationaal</v>
      </c>
      <c r="R314" s="204" t="str">
        <f>INDEX(Mapping!$H:$H,MATCH("ZM VPN Service Level"&amp;E314,Mapping!$B:$B,0))</f>
        <v>Advanced</v>
      </c>
      <c r="S314" s="139" t="b">
        <f>IF($D314="EoK",INDEX(Mapping!$I:$I,MATCH($G$3&amp;$G314,Mapping!B:B,0)),FALSE)</f>
        <v>0</v>
      </c>
      <c r="T314" s="139"/>
      <c r="U314" s="520" t="str">
        <f t="shared" si="160"/>
        <v>PremiumMetro8</v>
      </c>
      <c r="W314" s="521">
        <f>MATCH($J314,'Tarieven ZM'!$B:$B,0)</f>
        <v>90</v>
      </c>
      <c r="X314" s="204">
        <f>INDEX('Tarieven ZM'!$H:$H,$W314)</f>
        <v>1000</v>
      </c>
      <c r="Y314" s="198">
        <f>-INDEX(Parameters!$B:$B,MATCH(Y$3&amp;$C314,Parameters!$A:$A,0))*$X314</f>
        <v>0</v>
      </c>
      <c r="Z314" s="198">
        <f>-INDEX(Parameters!$B:$B,MATCH(Z$3&amp;$C314,Parameters!$A:$A,0))*$X314</f>
        <v>0</v>
      </c>
      <c r="AA314" s="139">
        <f t="shared" si="162"/>
        <v>1000</v>
      </c>
      <c r="AB314" s="205">
        <f>AA314/INDEX(Parameters!$B:$B,MATCH("AfschrijftermijnVVE"&amp;12*$C314,Parameters!$A:$A,0))</f>
        <v>27.777777777777779</v>
      </c>
      <c r="AC314" s="204">
        <f>INDEX('Tarieven ZM'!$G:$G,$W314)</f>
        <v>1000</v>
      </c>
      <c r="AD314" s="198">
        <f>-INDEX(Parameters!$B:$B,MATCH(AD$3&amp;$C314,Parameters!$A:$A,0))*$AC314</f>
        <v>0</v>
      </c>
      <c r="AE314" s="198">
        <f>-INDEX(Parameters!$B:$B,MATCH(AE$3,Parameters!$A:$A,0))*$AC314</f>
        <v>0</v>
      </c>
      <c r="AF314" s="139">
        <f t="shared" si="163"/>
        <v>1000</v>
      </c>
      <c r="AG314" s="522">
        <f t="shared" si="164"/>
        <v>1027.7777777777778</v>
      </c>
      <c r="AH314" s="175"/>
      <c r="AI314" s="523">
        <f>MATCH($U314,'Tarieven W&amp;O'!$B:$B,0)</f>
        <v>63</v>
      </c>
      <c r="AJ314" s="204">
        <f>IF(AI314&lt;&gt;"nvt",INDEX('Tarieven W&amp;O'!$H:$H,$AI314),0)</f>
        <v>0</v>
      </c>
      <c r="AK314" s="204">
        <f>IF(AI314&lt;&gt;"nvt",INDEX('Tarieven W&amp;O'!$I:$I,$AI314),0)</f>
        <v>25</v>
      </c>
      <c r="AL314" s="524">
        <f>IF(AI314&lt;&gt;"nvt",-INDEX(Parameters!$B:$B,MATCH(AL$3,Parameters!$A:$A,0))*(AJ314+AK314),0)</f>
        <v>0</v>
      </c>
      <c r="AM314" s="525"/>
      <c r="AN314" s="139">
        <f t="shared" si="165"/>
        <v>25</v>
      </c>
      <c r="AO314" s="205">
        <f>AN314/INDEX(Parameters!$B:$B,MATCH("AfschrijftermijnVVE"&amp;12*$C314,Parameters!$A:$A,0))</f>
        <v>0.69444444444444442</v>
      </c>
      <c r="AP314" s="139">
        <f t="shared" si="166"/>
        <v>63</v>
      </c>
      <c r="AQ314" s="526">
        <f>IF(AP314&lt;&gt;"nvt",INDEX('Tarieven W&amp;O'!$G:$G,$AP314),0)</f>
        <v>54.24</v>
      </c>
      <c r="AR314" s="251">
        <f>IF($S314,INDEX('Tarieven W&amp;O'!$G:$G,MATCH(N314&amp;R314,'Tarieven W&amp;O'!$B:$B,0)),0)</f>
        <v>0</v>
      </c>
      <c r="AS314" s="205">
        <f>-INDEX(Parameters!$B:$B,MATCH(AS$3,Parameters!$A:$A,0))*(AQ314+AR314)</f>
        <v>0</v>
      </c>
      <c r="AT314" s="205">
        <f>INDEX(hulpblad!$E:$E,MATCH(M314&amp;Q314,hulpblad!$B:$B,0))</f>
        <v>2</v>
      </c>
      <c r="AU314" s="150">
        <f t="shared" si="147"/>
        <v>56.24</v>
      </c>
      <c r="AV314" s="150">
        <f t="shared" si="148"/>
        <v>56.934444444444445</v>
      </c>
      <c r="AX314" s="526">
        <f>Parameters!$B$6*AV314</f>
        <v>0.56934444444444443</v>
      </c>
      <c r="AY314" s="150">
        <v>0</v>
      </c>
      <c r="AZ314" s="150"/>
      <c r="BA314" s="150">
        <f t="shared" si="167"/>
        <v>0.56934444444444443</v>
      </c>
      <c r="BB314" s="150"/>
      <c r="BC314" s="522">
        <f t="shared" si="168"/>
        <v>57.503788888888892</v>
      </c>
      <c r="BD314" s="175"/>
      <c r="BE314" s="527">
        <f t="shared" si="149"/>
        <v>970.27398888888888</v>
      </c>
      <c r="BF314" s="181">
        <f t="shared" si="150"/>
        <v>0.94405036756756755</v>
      </c>
      <c r="BG314" s="520" t="b">
        <f t="shared" si="161"/>
        <v>0</v>
      </c>
      <c r="BI314" s="528" t="s">
        <v>2181</v>
      </c>
      <c r="BL314" s="151" t="str">
        <f t="shared" si="152"/>
        <v>EoKMetro - Nationaal</v>
      </c>
      <c r="BM314" s="529">
        <v>0</v>
      </c>
      <c r="BN314" s="180">
        <f>BM314/INDEX(Parameters!$B:$B,MATCH("AfschrijftermijnVVE"&amp;12*$C314,Parameters!$A:$A,0))</f>
        <v>0</v>
      </c>
      <c r="BO314" s="184">
        <f>INDEX('inkoop ULL tbv EVPN'!I:I,MATCH(BL314,'inkoop ULL tbv EVPN'!H:H,0))</f>
        <v>2</v>
      </c>
      <c r="BP314" s="184">
        <f t="shared" si="153"/>
        <v>2</v>
      </c>
      <c r="BR314" s="180">
        <f>Parameters!$B$12*AG314</f>
        <v>102.77777777777779</v>
      </c>
      <c r="BS314" s="180">
        <f>SUM(Distributievergoedingen!$F$12,Distributievergoedingen!$I$12,Distributievergoedingen!$L$12,Distributievergoedingen!$O$12)*AF314+SUM(Distributievergoedingen!$O$12*AA314+Distributievergoedingen!$R$12+Distributievergoedingen!$U$12+Distributievergoedingen!$X$12)/(MAX(36,12*C314))</f>
        <v>112.77777777777777</v>
      </c>
      <c r="BT314" s="150"/>
      <c r="BU314" s="150">
        <f t="shared" si="154"/>
        <v>215.55555555555554</v>
      </c>
      <c r="BW314" s="522">
        <f t="shared" si="155"/>
        <v>217.55555555555554</v>
      </c>
      <c r="BY314" s="527">
        <f t="shared" si="156"/>
        <v>810.22222222222229</v>
      </c>
      <c r="BZ314" s="181">
        <f t="shared" si="157"/>
        <v>0.78832432432432431</v>
      </c>
      <c r="CA314" s="520" t="b">
        <f t="shared" si="158"/>
        <v>0</v>
      </c>
    </row>
    <row r="315" spans="1:79" s="151" customFormat="1">
      <c r="A315" s="151" t="str">
        <f t="shared" si="151"/>
        <v>3EoKPremiumRegionaal10</v>
      </c>
      <c r="B315" s="520" t="str">
        <f t="shared" si="169"/>
        <v>3EoKPremiumRegionaal10</v>
      </c>
      <c r="C315" s="179">
        <v>3</v>
      </c>
      <c r="D315" s="179" t="s">
        <v>303</v>
      </c>
      <c r="E315" s="178" t="s">
        <v>267</v>
      </c>
      <c r="F315" s="178" t="s">
        <v>265</v>
      </c>
      <c r="G315" s="185" t="s">
        <v>412</v>
      </c>
      <c r="J315" s="520" t="str">
        <f t="shared" si="159"/>
        <v>PremiumRegionaal10</v>
      </c>
      <c r="L315" s="204">
        <f>INDEX(Mapping!$H:$H,MATCH(C$3&amp;C315,Mapping!$B:$B,0))</f>
        <v>1</v>
      </c>
      <c r="M315" s="204" t="str">
        <f>INDEX(Mapping!$H:$H,MATCH(D$3&amp;$D315,Mapping!$B:$B,0))</f>
        <v>EoK</v>
      </c>
      <c r="N315" s="204" t="str">
        <f>INDEX(Mapping!$H:$H,MATCH(E$3&amp;E315,Mapping!$B:$B,0))</f>
        <v>Premium</v>
      </c>
      <c r="O315" s="204" t="str">
        <f>INDEX(Mapping!$H:$H,MATCH(F$3&amp;F315,Mapping!$B:$B,0))</f>
        <v>Metro</v>
      </c>
      <c r="P315" s="204">
        <f>INDEX(Mapping!$H:$H,MATCH(G$3&amp;G315,Mapping!$B:$B,0))</f>
        <v>10</v>
      </c>
      <c r="Q315" s="204" t="str">
        <f>INDEX(Mapping!$H:$H,MATCH(Q$3&amp;$F315,Mapping!$B:$B,0))</f>
        <v>Metro - Nationaal</v>
      </c>
      <c r="R315" s="204" t="str">
        <f>INDEX(Mapping!$H:$H,MATCH("ZM VPN Service Level"&amp;E315,Mapping!$B:$B,0))</f>
        <v>Advanced</v>
      </c>
      <c r="S315" s="139" t="b">
        <f>IF($D315="EoK",INDEX(Mapping!$I:$I,MATCH($G$3&amp;$G315,Mapping!B:B,0)),FALSE)</f>
        <v>0</v>
      </c>
      <c r="T315" s="139"/>
      <c r="U315" s="520" t="str">
        <f t="shared" si="160"/>
        <v>PremiumMetro10</v>
      </c>
      <c r="W315" s="521">
        <f>MATCH($J315,'Tarieven ZM'!$B:$B,0)</f>
        <v>91</v>
      </c>
      <c r="X315" s="204">
        <f>INDEX('Tarieven ZM'!$H:$H,$W315)</f>
        <v>1000</v>
      </c>
      <c r="Y315" s="198">
        <f>-INDEX(Parameters!$B:$B,MATCH(Y$3&amp;$C315,Parameters!$A:$A,0))*$X315</f>
        <v>0</v>
      </c>
      <c r="Z315" s="198">
        <f>-INDEX(Parameters!$B:$B,MATCH(Z$3&amp;$C315,Parameters!$A:$A,0))*$X315</f>
        <v>0</v>
      </c>
      <c r="AA315" s="139">
        <f t="shared" si="162"/>
        <v>1000</v>
      </c>
      <c r="AB315" s="205">
        <f>AA315/INDEX(Parameters!$B:$B,MATCH("AfschrijftermijnVVE"&amp;12*$C315,Parameters!$A:$A,0))</f>
        <v>27.777777777777779</v>
      </c>
      <c r="AC315" s="204">
        <f>INDEX('Tarieven ZM'!$G:$G,$W315)</f>
        <v>1000</v>
      </c>
      <c r="AD315" s="198">
        <f>-INDEX(Parameters!$B:$B,MATCH(AD$3&amp;$C315,Parameters!$A:$A,0))*$AC315</f>
        <v>0</v>
      </c>
      <c r="AE315" s="198">
        <f>-INDEX(Parameters!$B:$B,MATCH(AE$3,Parameters!$A:$A,0))*$AC315</f>
        <v>0</v>
      </c>
      <c r="AF315" s="139">
        <f t="shared" si="163"/>
        <v>1000</v>
      </c>
      <c r="AG315" s="522">
        <f t="shared" si="164"/>
        <v>1027.7777777777778</v>
      </c>
      <c r="AH315" s="175"/>
      <c r="AI315" s="523">
        <f>MATCH($U315,'Tarieven W&amp;O'!$B:$B,0)</f>
        <v>64</v>
      </c>
      <c r="AJ315" s="204">
        <f>IF(AI315&lt;&gt;"nvt",INDEX('Tarieven W&amp;O'!$H:$H,$AI315),0)</f>
        <v>0</v>
      </c>
      <c r="AK315" s="204">
        <f>IF(AI315&lt;&gt;"nvt",INDEX('Tarieven W&amp;O'!$I:$I,$AI315),0)</f>
        <v>25</v>
      </c>
      <c r="AL315" s="524">
        <f>IF(AI315&lt;&gt;"nvt",-INDEX(Parameters!$B:$B,MATCH(AL$3,Parameters!$A:$A,0))*(AJ315+AK315),0)</f>
        <v>0</v>
      </c>
      <c r="AM315" s="525"/>
      <c r="AN315" s="139">
        <f t="shared" si="165"/>
        <v>25</v>
      </c>
      <c r="AO315" s="205">
        <f>AN315/INDEX(Parameters!$B:$B,MATCH("AfschrijftermijnVVE"&amp;12*$C315,Parameters!$A:$A,0))</f>
        <v>0.69444444444444442</v>
      </c>
      <c r="AP315" s="139">
        <f t="shared" si="166"/>
        <v>64</v>
      </c>
      <c r="AQ315" s="526">
        <f>IF(AP315&lt;&gt;"nvt",INDEX('Tarieven W&amp;O'!$G:$G,$AP315),0)</f>
        <v>58.01</v>
      </c>
      <c r="AR315" s="251">
        <f>IF($S315,INDEX('Tarieven W&amp;O'!$G:$G,MATCH(N315&amp;R315,'Tarieven W&amp;O'!$B:$B,0)),0)</f>
        <v>0</v>
      </c>
      <c r="AS315" s="205">
        <f>-INDEX(Parameters!$B:$B,MATCH(AS$3,Parameters!$A:$A,0))*(AQ315+AR315)</f>
        <v>0</v>
      </c>
      <c r="AT315" s="205">
        <f>INDEX(hulpblad!$E:$E,MATCH(M315&amp;Q315,hulpblad!$B:$B,0))</f>
        <v>2</v>
      </c>
      <c r="AU315" s="150">
        <f t="shared" si="147"/>
        <v>60.01</v>
      </c>
      <c r="AV315" s="150">
        <f t="shared" si="148"/>
        <v>60.704444444444441</v>
      </c>
      <c r="AX315" s="526">
        <f>Parameters!$B$6*AV315</f>
        <v>0.60704444444444439</v>
      </c>
      <c r="AY315" s="150">
        <v>0</v>
      </c>
      <c r="AZ315" s="150"/>
      <c r="BA315" s="150">
        <f t="shared" si="167"/>
        <v>0.60704444444444439</v>
      </c>
      <c r="BB315" s="150"/>
      <c r="BC315" s="522">
        <f t="shared" si="168"/>
        <v>61.311488888888888</v>
      </c>
      <c r="BD315" s="175"/>
      <c r="BE315" s="527">
        <f t="shared" si="149"/>
        <v>966.46628888888893</v>
      </c>
      <c r="BF315" s="181">
        <f t="shared" si="150"/>
        <v>0.9403455783783784</v>
      </c>
      <c r="BG315" s="520" t="b">
        <f t="shared" si="161"/>
        <v>0</v>
      </c>
      <c r="BI315" s="528" t="s">
        <v>2181</v>
      </c>
      <c r="BL315" s="151" t="str">
        <f t="shared" si="152"/>
        <v>EoKMetro - Nationaal</v>
      </c>
      <c r="BM315" s="529">
        <v>0</v>
      </c>
      <c r="BN315" s="180">
        <f>BM315/INDEX(Parameters!$B:$B,MATCH("AfschrijftermijnVVE"&amp;12*$C315,Parameters!$A:$A,0))</f>
        <v>0</v>
      </c>
      <c r="BO315" s="184">
        <f>INDEX('inkoop ULL tbv EVPN'!I:I,MATCH(BL315,'inkoop ULL tbv EVPN'!H:H,0))</f>
        <v>2</v>
      </c>
      <c r="BP315" s="184">
        <f t="shared" si="153"/>
        <v>2</v>
      </c>
      <c r="BR315" s="180">
        <f>Parameters!$B$12*AG315</f>
        <v>102.77777777777779</v>
      </c>
      <c r="BS315" s="180">
        <f>SUM(Distributievergoedingen!$F$12,Distributievergoedingen!$I$12,Distributievergoedingen!$L$12,Distributievergoedingen!$O$12)*AF315+SUM(Distributievergoedingen!$O$12*AA315+Distributievergoedingen!$R$12+Distributievergoedingen!$U$12+Distributievergoedingen!$X$12)/(MAX(36,12*C315))</f>
        <v>112.77777777777777</v>
      </c>
      <c r="BT315" s="150"/>
      <c r="BU315" s="150">
        <f t="shared" si="154"/>
        <v>215.55555555555554</v>
      </c>
      <c r="BW315" s="522">
        <f t="shared" si="155"/>
        <v>217.55555555555554</v>
      </c>
      <c r="BY315" s="527">
        <f t="shared" si="156"/>
        <v>810.22222222222229</v>
      </c>
      <c r="BZ315" s="181">
        <f t="shared" si="157"/>
        <v>0.78832432432432431</v>
      </c>
      <c r="CA315" s="520" t="b">
        <f t="shared" si="158"/>
        <v>0</v>
      </c>
    </row>
    <row r="316" spans="1:79" s="151" customFormat="1">
      <c r="A316" s="151" t="str">
        <f t="shared" si="151"/>
        <v>3EoKPremiumRegionaal15</v>
      </c>
      <c r="B316" s="520" t="str">
        <f t="shared" si="169"/>
        <v>3EoKPremiumRegionaal15</v>
      </c>
      <c r="C316" s="179">
        <v>3</v>
      </c>
      <c r="D316" s="179" t="s">
        <v>303</v>
      </c>
      <c r="E316" s="178" t="s">
        <v>267</v>
      </c>
      <c r="F316" s="178" t="s">
        <v>265</v>
      </c>
      <c r="G316" s="185" t="s">
        <v>413</v>
      </c>
      <c r="J316" s="520" t="str">
        <f t="shared" si="159"/>
        <v>PremiumRegionaal15</v>
      </c>
      <c r="L316" s="204">
        <f>INDEX(Mapping!$H:$H,MATCH(C$3&amp;C316,Mapping!$B:$B,0))</f>
        <v>1</v>
      </c>
      <c r="M316" s="204" t="str">
        <f>INDEX(Mapping!$H:$H,MATCH(D$3&amp;$D316,Mapping!$B:$B,0))</f>
        <v>EoK</v>
      </c>
      <c r="N316" s="204" t="str">
        <f>INDEX(Mapping!$H:$H,MATCH(E$3&amp;E316,Mapping!$B:$B,0))</f>
        <v>Premium</v>
      </c>
      <c r="O316" s="204" t="str">
        <f>INDEX(Mapping!$H:$H,MATCH(F$3&amp;F316,Mapping!$B:$B,0))</f>
        <v>Metro</v>
      </c>
      <c r="P316" s="204">
        <f>INDEX(Mapping!$H:$H,MATCH(G$3&amp;G316,Mapping!$B:$B,0))</f>
        <v>15</v>
      </c>
      <c r="Q316" s="204" t="str">
        <f>INDEX(Mapping!$H:$H,MATCH(Q$3&amp;$F316,Mapping!$B:$B,0))</f>
        <v>Metro - Nationaal</v>
      </c>
      <c r="R316" s="204" t="str">
        <f>INDEX(Mapping!$H:$H,MATCH("ZM VPN Service Level"&amp;E316,Mapping!$B:$B,0))</f>
        <v>Advanced</v>
      </c>
      <c r="S316" s="139" t="b">
        <f>IF($D316="EoK",INDEX(Mapping!$I:$I,MATCH($G$3&amp;$G316,Mapping!B:B,0)),FALSE)</f>
        <v>0</v>
      </c>
      <c r="T316" s="139"/>
      <c r="U316" s="520" t="str">
        <f t="shared" si="160"/>
        <v>PremiumMetro15</v>
      </c>
      <c r="W316" s="521">
        <f>MATCH($J316,'Tarieven ZM'!$B:$B,0)</f>
        <v>92</v>
      </c>
      <c r="X316" s="204">
        <f>INDEX('Tarieven ZM'!$H:$H,$W316)</f>
        <v>1000</v>
      </c>
      <c r="Y316" s="198">
        <f>-INDEX(Parameters!$B:$B,MATCH(Y$3&amp;$C316,Parameters!$A:$A,0))*$X316</f>
        <v>0</v>
      </c>
      <c r="Z316" s="198">
        <f>-INDEX(Parameters!$B:$B,MATCH(Z$3&amp;$C316,Parameters!$A:$A,0))*$X316</f>
        <v>0</v>
      </c>
      <c r="AA316" s="139">
        <f t="shared" si="162"/>
        <v>1000</v>
      </c>
      <c r="AB316" s="205">
        <f>AA316/INDEX(Parameters!$B:$B,MATCH("AfschrijftermijnVVE"&amp;12*$C316,Parameters!$A:$A,0))</f>
        <v>27.777777777777779</v>
      </c>
      <c r="AC316" s="204">
        <f>INDEX('Tarieven ZM'!$G:$G,$W316)</f>
        <v>1000</v>
      </c>
      <c r="AD316" s="198">
        <f>-INDEX(Parameters!$B:$B,MATCH(AD$3&amp;$C316,Parameters!$A:$A,0))*$AC316</f>
        <v>0</v>
      </c>
      <c r="AE316" s="198">
        <f>-INDEX(Parameters!$B:$B,MATCH(AE$3,Parameters!$A:$A,0))*$AC316</f>
        <v>0</v>
      </c>
      <c r="AF316" s="139">
        <f t="shared" si="163"/>
        <v>1000</v>
      </c>
      <c r="AG316" s="522">
        <f t="shared" si="164"/>
        <v>1027.7777777777778</v>
      </c>
      <c r="AH316" s="175"/>
      <c r="AI316" s="523">
        <f>MATCH($U316,'Tarieven W&amp;O'!$B:$B,0)</f>
        <v>65</v>
      </c>
      <c r="AJ316" s="204">
        <f>IF(AI316&lt;&gt;"nvt",INDEX('Tarieven W&amp;O'!$H:$H,$AI316),0)</f>
        <v>0</v>
      </c>
      <c r="AK316" s="204">
        <f>IF(AI316&lt;&gt;"nvt",INDEX('Tarieven W&amp;O'!$I:$I,$AI316),0)</f>
        <v>25</v>
      </c>
      <c r="AL316" s="524">
        <f>IF(AI316&lt;&gt;"nvt",-INDEX(Parameters!$B:$B,MATCH(AL$3,Parameters!$A:$A,0))*(AJ316+AK316),0)</f>
        <v>0</v>
      </c>
      <c r="AM316" s="525"/>
      <c r="AN316" s="139">
        <f t="shared" si="165"/>
        <v>25</v>
      </c>
      <c r="AO316" s="205">
        <f>AN316/INDEX(Parameters!$B:$B,MATCH("AfschrijftermijnVVE"&amp;12*$C316,Parameters!$A:$A,0))</f>
        <v>0.69444444444444442</v>
      </c>
      <c r="AP316" s="139">
        <f t="shared" si="166"/>
        <v>65</v>
      </c>
      <c r="AQ316" s="526">
        <f>IF(AP316&lt;&gt;"nvt",INDEX('Tarieven W&amp;O'!$G:$G,$AP316),0)</f>
        <v>80.63</v>
      </c>
      <c r="AR316" s="251">
        <f>IF($S316,INDEX('Tarieven W&amp;O'!$G:$G,MATCH(N316&amp;R316,'Tarieven W&amp;O'!$B:$B,0)),0)</f>
        <v>0</v>
      </c>
      <c r="AS316" s="205">
        <f>-INDEX(Parameters!$B:$B,MATCH(AS$3,Parameters!$A:$A,0))*(AQ316+AR316)</f>
        <v>0</v>
      </c>
      <c r="AT316" s="205">
        <f>INDEX(hulpblad!$E:$E,MATCH(M316&amp;Q316,hulpblad!$B:$B,0))</f>
        <v>2</v>
      </c>
      <c r="AU316" s="150">
        <f t="shared" si="147"/>
        <v>82.63</v>
      </c>
      <c r="AV316" s="150">
        <f t="shared" si="148"/>
        <v>83.324444444444438</v>
      </c>
      <c r="AX316" s="526">
        <f>Parameters!$B$6*AV316</f>
        <v>0.83324444444444445</v>
      </c>
      <c r="AY316" s="150">
        <v>0</v>
      </c>
      <c r="AZ316" s="150"/>
      <c r="BA316" s="150">
        <f t="shared" si="167"/>
        <v>0.83324444444444445</v>
      </c>
      <c r="BB316" s="150"/>
      <c r="BC316" s="522">
        <f t="shared" si="168"/>
        <v>84.157688888888885</v>
      </c>
      <c r="BD316" s="175"/>
      <c r="BE316" s="527">
        <f t="shared" si="149"/>
        <v>943.62008888888897</v>
      </c>
      <c r="BF316" s="181">
        <f t="shared" si="150"/>
        <v>0.91811684324324327</v>
      </c>
      <c r="BG316" s="520" t="b">
        <f t="shared" si="161"/>
        <v>0</v>
      </c>
      <c r="BI316" s="528" t="s">
        <v>2181</v>
      </c>
      <c r="BL316" s="151" t="str">
        <f t="shared" si="152"/>
        <v>EoKMetro - Nationaal</v>
      </c>
      <c r="BM316" s="529">
        <v>0</v>
      </c>
      <c r="BN316" s="180">
        <f>BM316/INDEX(Parameters!$B:$B,MATCH("AfschrijftermijnVVE"&amp;12*$C316,Parameters!$A:$A,0))</f>
        <v>0</v>
      </c>
      <c r="BO316" s="184">
        <f>INDEX('inkoop ULL tbv EVPN'!I:I,MATCH(BL316,'inkoop ULL tbv EVPN'!H:H,0))</f>
        <v>2</v>
      </c>
      <c r="BP316" s="184">
        <f t="shared" si="153"/>
        <v>2</v>
      </c>
      <c r="BR316" s="180">
        <f>Parameters!$B$12*AG316</f>
        <v>102.77777777777779</v>
      </c>
      <c r="BS316" s="180">
        <f>SUM(Distributievergoedingen!$F$12,Distributievergoedingen!$I$12,Distributievergoedingen!$L$12,Distributievergoedingen!$O$12)*AF316+SUM(Distributievergoedingen!$O$12*AA316+Distributievergoedingen!$R$12+Distributievergoedingen!$U$12+Distributievergoedingen!$X$12)/(MAX(36,12*C316))</f>
        <v>112.77777777777777</v>
      </c>
      <c r="BT316" s="150"/>
      <c r="BU316" s="150">
        <f t="shared" si="154"/>
        <v>215.55555555555554</v>
      </c>
      <c r="BW316" s="522">
        <f t="shared" si="155"/>
        <v>217.55555555555554</v>
      </c>
      <c r="BY316" s="527">
        <f t="shared" si="156"/>
        <v>810.22222222222229</v>
      </c>
      <c r="BZ316" s="181">
        <f t="shared" si="157"/>
        <v>0.78832432432432431</v>
      </c>
      <c r="CA316" s="520" t="b">
        <f t="shared" si="158"/>
        <v>0</v>
      </c>
    </row>
    <row r="317" spans="1:79" s="151" customFormat="1">
      <c r="A317" s="151" t="str">
        <f t="shared" si="151"/>
        <v>3EoKPremiumRegionaal20</v>
      </c>
      <c r="B317" s="520" t="str">
        <f t="shared" si="169"/>
        <v>3EoKPremiumRegionaal20</v>
      </c>
      <c r="C317" s="179">
        <v>3</v>
      </c>
      <c r="D317" s="179" t="s">
        <v>303</v>
      </c>
      <c r="E317" s="178" t="s">
        <v>267</v>
      </c>
      <c r="F317" s="178" t="s">
        <v>265</v>
      </c>
      <c r="G317" s="185" t="s">
        <v>414</v>
      </c>
      <c r="J317" s="520" t="str">
        <f t="shared" si="159"/>
        <v>PremiumRegionaal20</v>
      </c>
      <c r="L317" s="204">
        <f>INDEX(Mapping!$H:$H,MATCH(C$3&amp;C317,Mapping!$B:$B,0))</f>
        <v>1</v>
      </c>
      <c r="M317" s="204" t="str">
        <f>INDEX(Mapping!$H:$H,MATCH(D$3&amp;$D317,Mapping!$B:$B,0))</f>
        <v>EoK</v>
      </c>
      <c r="N317" s="204" t="str">
        <f>INDEX(Mapping!$H:$H,MATCH(E$3&amp;E317,Mapping!$B:$B,0))</f>
        <v>Premium</v>
      </c>
      <c r="O317" s="204" t="str">
        <f>INDEX(Mapping!$H:$H,MATCH(F$3&amp;F317,Mapping!$B:$B,0))</f>
        <v>Metro</v>
      </c>
      <c r="P317" s="204">
        <f>INDEX(Mapping!$H:$H,MATCH(G$3&amp;G317,Mapping!$B:$B,0))</f>
        <v>20</v>
      </c>
      <c r="Q317" s="204" t="str">
        <f>INDEX(Mapping!$H:$H,MATCH(Q$3&amp;$F317,Mapping!$B:$B,0))</f>
        <v>Metro - Nationaal</v>
      </c>
      <c r="R317" s="204" t="str">
        <f>INDEX(Mapping!$H:$H,MATCH("ZM VPN Service Level"&amp;E317,Mapping!$B:$B,0))</f>
        <v>Advanced</v>
      </c>
      <c r="S317" s="139" t="b">
        <f>IF($D317="EoK",INDEX(Mapping!$I:$I,MATCH($G$3&amp;$G317,Mapping!B:B,0)),FALSE)</f>
        <v>0</v>
      </c>
      <c r="T317" s="139"/>
      <c r="U317" s="520" t="str">
        <f t="shared" si="160"/>
        <v>PremiumMetro20</v>
      </c>
      <c r="W317" s="521">
        <f>MATCH($J317,'Tarieven ZM'!$B:$B,0)</f>
        <v>93</v>
      </c>
      <c r="X317" s="204">
        <f>INDEX('Tarieven ZM'!$H:$H,$W317)</f>
        <v>1000</v>
      </c>
      <c r="Y317" s="198">
        <f>-INDEX(Parameters!$B:$B,MATCH(Y$3&amp;$C317,Parameters!$A:$A,0))*$X317</f>
        <v>0</v>
      </c>
      <c r="Z317" s="198">
        <f>-INDEX(Parameters!$B:$B,MATCH(Z$3&amp;$C317,Parameters!$A:$A,0))*$X317</f>
        <v>0</v>
      </c>
      <c r="AA317" s="139">
        <f t="shared" si="162"/>
        <v>1000</v>
      </c>
      <c r="AB317" s="205">
        <f>AA317/INDEX(Parameters!$B:$B,MATCH("AfschrijftermijnVVE"&amp;12*$C317,Parameters!$A:$A,0))</f>
        <v>27.777777777777779</v>
      </c>
      <c r="AC317" s="204">
        <f>INDEX('Tarieven ZM'!$G:$G,$W317)</f>
        <v>1000</v>
      </c>
      <c r="AD317" s="198">
        <f>-INDEX(Parameters!$B:$B,MATCH(AD$3&amp;$C317,Parameters!$A:$A,0))*$AC317</f>
        <v>0</v>
      </c>
      <c r="AE317" s="198">
        <f>-INDEX(Parameters!$B:$B,MATCH(AE$3,Parameters!$A:$A,0))*$AC317</f>
        <v>0</v>
      </c>
      <c r="AF317" s="139">
        <f t="shared" si="163"/>
        <v>1000</v>
      </c>
      <c r="AG317" s="522">
        <f t="shared" si="164"/>
        <v>1027.7777777777778</v>
      </c>
      <c r="AH317" s="175"/>
      <c r="AI317" s="523">
        <f>MATCH($U317,'Tarieven W&amp;O'!$B:$B,0)</f>
        <v>66</v>
      </c>
      <c r="AJ317" s="204">
        <f>IF(AI317&lt;&gt;"nvt",INDEX('Tarieven W&amp;O'!$H:$H,$AI317),0)</f>
        <v>0</v>
      </c>
      <c r="AK317" s="204">
        <f>IF(AI317&lt;&gt;"nvt",INDEX('Tarieven W&amp;O'!$I:$I,$AI317),0)</f>
        <v>25</v>
      </c>
      <c r="AL317" s="524">
        <f>IF(AI317&lt;&gt;"nvt",-INDEX(Parameters!$B:$B,MATCH(AL$3,Parameters!$A:$A,0))*(AJ317+AK317),0)</f>
        <v>0</v>
      </c>
      <c r="AM317" s="525"/>
      <c r="AN317" s="139">
        <f t="shared" si="165"/>
        <v>25</v>
      </c>
      <c r="AO317" s="205">
        <f>AN317/INDEX(Parameters!$B:$B,MATCH("AfschrijftermijnVVE"&amp;12*$C317,Parameters!$A:$A,0))</f>
        <v>0.69444444444444442</v>
      </c>
      <c r="AP317" s="139">
        <f t="shared" si="166"/>
        <v>66</v>
      </c>
      <c r="AQ317" s="526">
        <f>IF(AP317&lt;&gt;"nvt",INDEX('Tarieven W&amp;O'!$G:$G,$AP317),0)</f>
        <v>88.17</v>
      </c>
      <c r="AR317" s="251">
        <f>IF($S317,INDEX('Tarieven W&amp;O'!$G:$G,MATCH(N317&amp;R317,'Tarieven W&amp;O'!$B:$B,0)),0)</f>
        <v>0</v>
      </c>
      <c r="AS317" s="205">
        <f>-INDEX(Parameters!$B:$B,MATCH(AS$3,Parameters!$A:$A,0))*(AQ317+AR317)</f>
        <v>0</v>
      </c>
      <c r="AT317" s="205">
        <f>INDEX(hulpblad!$E:$E,MATCH(M317&amp;Q317,hulpblad!$B:$B,0))</f>
        <v>2</v>
      </c>
      <c r="AU317" s="150">
        <f t="shared" si="147"/>
        <v>90.17</v>
      </c>
      <c r="AV317" s="150">
        <f t="shared" si="148"/>
        <v>90.864444444444445</v>
      </c>
      <c r="AX317" s="526">
        <f>Parameters!$B$6*AV317</f>
        <v>0.90864444444444448</v>
      </c>
      <c r="AY317" s="150">
        <v>0</v>
      </c>
      <c r="AZ317" s="150"/>
      <c r="BA317" s="150">
        <f t="shared" si="167"/>
        <v>0.90864444444444448</v>
      </c>
      <c r="BB317" s="150"/>
      <c r="BC317" s="522">
        <f t="shared" si="168"/>
        <v>91.773088888888893</v>
      </c>
      <c r="BD317" s="175"/>
      <c r="BE317" s="527">
        <f t="shared" si="149"/>
        <v>936.00468888888895</v>
      </c>
      <c r="BF317" s="181">
        <f t="shared" si="150"/>
        <v>0.91070726486486486</v>
      </c>
      <c r="BG317" s="520" t="b">
        <f t="shared" si="161"/>
        <v>0</v>
      </c>
      <c r="BI317" s="528" t="s">
        <v>2181</v>
      </c>
      <c r="BL317" s="151" t="str">
        <f t="shared" si="152"/>
        <v>EoKMetro - Nationaal</v>
      </c>
      <c r="BM317" s="529">
        <v>0</v>
      </c>
      <c r="BN317" s="180">
        <f>BM317/INDEX(Parameters!$B:$B,MATCH("AfschrijftermijnVVE"&amp;12*$C317,Parameters!$A:$A,0))</f>
        <v>0</v>
      </c>
      <c r="BO317" s="184">
        <f>INDEX('inkoop ULL tbv EVPN'!I:I,MATCH(BL317,'inkoop ULL tbv EVPN'!H:H,0))</f>
        <v>2</v>
      </c>
      <c r="BP317" s="184">
        <f t="shared" si="153"/>
        <v>2</v>
      </c>
      <c r="BR317" s="180">
        <f>Parameters!$B$12*AG317</f>
        <v>102.77777777777779</v>
      </c>
      <c r="BS317" s="180">
        <f>SUM(Distributievergoedingen!$F$12,Distributievergoedingen!$I$12,Distributievergoedingen!$L$12,Distributievergoedingen!$O$12)*AF317+SUM(Distributievergoedingen!$O$12*AA317+Distributievergoedingen!$R$12+Distributievergoedingen!$U$12+Distributievergoedingen!$X$12)/(MAX(36,12*C317))</f>
        <v>112.77777777777777</v>
      </c>
      <c r="BT317" s="150"/>
      <c r="BU317" s="150">
        <f t="shared" si="154"/>
        <v>215.55555555555554</v>
      </c>
      <c r="BW317" s="522">
        <f t="shared" si="155"/>
        <v>217.55555555555554</v>
      </c>
      <c r="BY317" s="527">
        <f t="shared" si="156"/>
        <v>810.22222222222229</v>
      </c>
      <c r="BZ317" s="181">
        <f t="shared" si="157"/>
        <v>0.78832432432432431</v>
      </c>
      <c r="CA317" s="520" t="b">
        <f t="shared" si="158"/>
        <v>0</v>
      </c>
    </row>
    <row r="318" spans="1:79" s="151" customFormat="1">
      <c r="A318" s="151" t="str">
        <f t="shared" si="151"/>
        <v>3EoKPremiumRegionaal30</v>
      </c>
      <c r="B318" s="520" t="str">
        <f t="shared" si="169"/>
        <v>3EoKPremiumRegionaal30</v>
      </c>
      <c r="C318" s="179">
        <v>3</v>
      </c>
      <c r="D318" s="179" t="s">
        <v>303</v>
      </c>
      <c r="E318" s="178" t="s">
        <v>267</v>
      </c>
      <c r="F318" s="178" t="s">
        <v>265</v>
      </c>
      <c r="G318" s="185" t="s">
        <v>415</v>
      </c>
      <c r="J318" s="520" t="str">
        <f t="shared" si="159"/>
        <v>PremiumRegionaal30</v>
      </c>
      <c r="L318" s="204">
        <f>INDEX(Mapping!$H:$H,MATCH(C$3&amp;C318,Mapping!$B:$B,0))</f>
        <v>1</v>
      </c>
      <c r="M318" s="204" t="str">
        <f>INDEX(Mapping!$H:$H,MATCH(D$3&amp;$D318,Mapping!$B:$B,0))</f>
        <v>EoK</v>
      </c>
      <c r="N318" s="204" t="str">
        <f>INDEX(Mapping!$H:$H,MATCH(E$3&amp;E318,Mapping!$B:$B,0))</f>
        <v>Premium</v>
      </c>
      <c r="O318" s="204" t="str">
        <f>INDEX(Mapping!$H:$H,MATCH(F$3&amp;F318,Mapping!$B:$B,0))</f>
        <v>Metro</v>
      </c>
      <c r="P318" s="204">
        <f>INDEX(Mapping!$H:$H,MATCH(G$3&amp;G318,Mapping!$B:$B,0))</f>
        <v>30</v>
      </c>
      <c r="Q318" s="204" t="str">
        <f>INDEX(Mapping!$H:$H,MATCH(Q$3&amp;$F318,Mapping!$B:$B,0))</f>
        <v>Metro - Nationaal</v>
      </c>
      <c r="R318" s="204" t="str">
        <f>INDEX(Mapping!$H:$H,MATCH("ZM VPN Service Level"&amp;E318,Mapping!$B:$B,0))</f>
        <v>Advanced</v>
      </c>
      <c r="S318" s="139" t="b">
        <f>IF($D318="EoK",INDEX(Mapping!$I:$I,MATCH($G$3&amp;$G318,Mapping!B:B,0)),FALSE)</f>
        <v>0</v>
      </c>
      <c r="T318" s="139"/>
      <c r="U318" s="520" t="str">
        <f t="shared" si="160"/>
        <v>PremiumMetro30</v>
      </c>
      <c r="W318" s="521">
        <f>MATCH($J318,'Tarieven ZM'!$B:$B,0)</f>
        <v>94</v>
      </c>
      <c r="X318" s="204">
        <f>INDEX('Tarieven ZM'!$H:$H,$W318)</f>
        <v>1000</v>
      </c>
      <c r="Y318" s="198">
        <f>-INDEX(Parameters!$B:$B,MATCH(Y$3&amp;$C318,Parameters!$A:$A,0))*$X318</f>
        <v>0</v>
      </c>
      <c r="Z318" s="198">
        <f>-INDEX(Parameters!$B:$B,MATCH(Z$3&amp;$C318,Parameters!$A:$A,0))*$X318</f>
        <v>0</v>
      </c>
      <c r="AA318" s="139">
        <f t="shared" si="162"/>
        <v>1000</v>
      </c>
      <c r="AB318" s="205">
        <f>AA318/INDEX(Parameters!$B:$B,MATCH("AfschrijftermijnVVE"&amp;12*$C318,Parameters!$A:$A,0))</f>
        <v>27.777777777777779</v>
      </c>
      <c r="AC318" s="204">
        <f>INDEX('Tarieven ZM'!$G:$G,$W318)</f>
        <v>1000</v>
      </c>
      <c r="AD318" s="198">
        <f>-INDEX(Parameters!$B:$B,MATCH(AD$3&amp;$C318,Parameters!$A:$A,0))*$AC318</f>
        <v>0</v>
      </c>
      <c r="AE318" s="198">
        <f>-INDEX(Parameters!$B:$B,MATCH(AE$3,Parameters!$A:$A,0))*$AC318</f>
        <v>0</v>
      </c>
      <c r="AF318" s="139">
        <f t="shared" si="163"/>
        <v>1000</v>
      </c>
      <c r="AG318" s="522">
        <f t="shared" si="164"/>
        <v>1027.7777777777778</v>
      </c>
      <c r="AH318" s="175"/>
      <c r="AI318" s="523">
        <f>MATCH($U318,'Tarieven W&amp;O'!$B:$B,0)</f>
        <v>67</v>
      </c>
      <c r="AJ318" s="204">
        <f>IF(AI318&lt;&gt;"nvt",INDEX('Tarieven W&amp;O'!$H:$H,$AI318),0)</f>
        <v>0</v>
      </c>
      <c r="AK318" s="204">
        <f>IF(AI318&lt;&gt;"nvt",INDEX('Tarieven W&amp;O'!$I:$I,$AI318),0)</f>
        <v>25</v>
      </c>
      <c r="AL318" s="524">
        <f>IF(AI318&lt;&gt;"nvt",-INDEX(Parameters!$B:$B,MATCH(AL$3,Parameters!$A:$A,0))*(AJ318+AK318),0)</f>
        <v>0</v>
      </c>
      <c r="AM318" s="525"/>
      <c r="AN318" s="139">
        <f t="shared" si="165"/>
        <v>25</v>
      </c>
      <c r="AO318" s="205">
        <f>AN318/INDEX(Parameters!$B:$B,MATCH("AfschrijftermijnVVE"&amp;12*$C318,Parameters!$A:$A,0))</f>
        <v>0.69444444444444442</v>
      </c>
      <c r="AP318" s="139">
        <f t="shared" si="166"/>
        <v>67</v>
      </c>
      <c r="AQ318" s="526">
        <f>IF(AP318&lt;&gt;"nvt",INDEX('Tarieven W&amp;O'!$G:$G,$AP318),0)</f>
        <v>110.78</v>
      </c>
      <c r="AR318" s="251">
        <f>IF($S318,INDEX('Tarieven W&amp;O'!$G:$G,MATCH(N318&amp;R318,'Tarieven W&amp;O'!$B:$B,0)),0)</f>
        <v>0</v>
      </c>
      <c r="AS318" s="205">
        <f>-INDEX(Parameters!$B:$B,MATCH(AS$3,Parameters!$A:$A,0))*(AQ318+AR318)</f>
        <v>0</v>
      </c>
      <c r="AT318" s="205">
        <f>INDEX(hulpblad!$E:$E,MATCH(M318&amp;Q318,hulpblad!$B:$B,0))</f>
        <v>2</v>
      </c>
      <c r="AU318" s="150">
        <f t="shared" si="147"/>
        <v>112.78</v>
      </c>
      <c r="AV318" s="150">
        <f t="shared" si="148"/>
        <v>113.47444444444444</v>
      </c>
      <c r="AX318" s="526">
        <f>Parameters!$B$6*AV318</f>
        <v>1.1347444444444446</v>
      </c>
      <c r="AY318" s="150">
        <v>0</v>
      </c>
      <c r="AZ318" s="150"/>
      <c r="BA318" s="150">
        <f t="shared" si="167"/>
        <v>1.1347444444444446</v>
      </c>
      <c r="BB318" s="150"/>
      <c r="BC318" s="522">
        <f t="shared" si="168"/>
        <v>114.60918888888889</v>
      </c>
      <c r="BD318" s="175"/>
      <c r="BE318" s="527">
        <f t="shared" si="149"/>
        <v>913.16858888888896</v>
      </c>
      <c r="BF318" s="181">
        <f t="shared" si="150"/>
        <v>0.88848835675675675</v>
      </c>
      <c r="BG318" s="520" t="b">
        <f t="shared" si="161"/>
        <v>0</v>
      </c>
      <c r="BI318" s="528" t="s">
        <v>2181</v>
      </c>
      <c r="BL318" s="151" t="str">
        <f t="shared" si="152"/>
        <v>EoKMetro - Nationaal</v>
      </c>
      <c r="BM318" s="529">
        <v>0</v>
      </c>
      <c r="BN318" s="180">
        <f>BM318/INDEX(Parameters!$B:$B,MATCH("AfschrijftermijnVVE"&amp;12*$C318,Parameters!$A:$A,0))</f>
        <v>0</v>
      </c>
      <c r="BO318" s="184">
        <f>INDEX('inkoop ULL tbv EVPN'!I:I,MATCH(BL318,'inkoop ULL tbv EVPN'!H:H,0))</f>
        <v>2</v>
      </c>
      <c r="BP318" s="184">
        <f t="shared" si="153"/>
        <v>2</v>
      </c>
      <c r="BR318" s="180">
        <f>Parameters!$B$12*AG318</f>
        <v>102.77777777777779</v>
      </c>
      <c r="BS318" s="180">
        <f>SUM(Distributievergoedingen!$F$12,Distributievergoedingen!$I$12,Distributievergoedingen!$L$12,Distributievergoedingen!$O$12)*AF318+SUM(Distributievergoedingen!$O$12*AA318+Distributievergoedingen!$R$12+Distributievergoedingen!$U$12+Distributievergoedingen!$X$12)/(MAX(36,12*C318))</f>
        <v>112.77777777777777</v>
      </c>
      <c r="BT318" s="150"/>
      <c r="BU318" s="150">
        <f t="shared" si="154"/>
        <v>215.55555555555554</v>
      </c>
      <c r="BW318" s="522">
        <f t="shared" si="155"/>
        <v>217.55555555555554</v>
      </c>
      <c r="BY318" s="527">
        <f t="shared" si="156"/>
        <v>810.22222222222229</v>
      </c>
      <c r="BZ318" s="181">
        <f t="shared" si="157"/>
        <v>0.78832432432432431</v>
      </c>
      <c r="CA318" s="520" t="b">
        <f t="shared" si="158"/>
        <v>0</v>
      </c>
    </row>
    <row r="319" spans="1:79" s="151" customFormat="1">
      <c r="A319" s="151" t="str">
        <f t="shared" si="151"/>
        <v>3EoKPremiumRegionaal50</v>
      </c>
      <c r="B319" s="520" t="str">
        <f t="shared" si="169"/>
        <v>3EoKPremiumRegionaal50</v>
      </c>
      <c r="C319" s="179">
        <v>3</v>
      </c>
      <c r="D319" s="179" t="s">
        <v>303</v>
      </c>
      <c r="E319" s="178" t="s">
        <v>267</v>
      </c>
      <c r="F319" s="178" t="s">
        <v>265</v>
      </c>
      <c r="G319" s="185" t="s">
        <v>416</v>
      </c>
      <c r="J319" s="520" t="str">
        <f t="shared" si="159"/>
        <v>PremiumRegionaal50</v>
      </c>
      <c r="L319" s="204">
        <f>INDEX(Mapping!$H:$H,MATCH(C$3&amp;C319,Mapping!$B:$B,0))</f>
        <v>1</v>
      </c>
      <c r="M319" s="204" t="str">
        <f>INDEX(Mapping!$H:$H,MATCH(D$3&amp;$D319,Mapping!$B:$B,0))</f>
        <v>EoK</v>
      </c>
      <c r="N319" s="204" t="str">
        <f>INDEX(Mapping!$H:$H,MATCH(E$3&amp;E319,Mapping!$B:$B,0))</f>
        <v>Premium</v>
      </c>
      <c r="O319" s="204" t="str">
        <f>INDEX(Mapping!$H:$H,MATCH(F$3&amp;F319,Mapping!$B:$B,0))</f>
        <v>Metro</v>
      </c>
      <c r="P319" s="204">
        <f>INDEX(Mapping!$H:$H,MATCH(G$3&amp;G319,Mapping!$B:$B,0))</f>
        <v>50</v>
      </c>
      <c r="Q319" s="204" t="str">
        <f>INDEX(Mapping!$H:$H,MATCH(Q$3&amp;$F319,Mapping!$B:$B,0))</f>
        <v>Metro - Nationaal</v>
      </c>
      <c r="R319" s="204" t="str">
        <f>INDEX(Mapping!$H:$H,MATCH("ZM VPN Service Level"&amp;E319,Mapping!$B:$B,0))</f>
        <v>Advanced</v>
      </c>
      <c r="S319" s="139" t="b">
        <f>IF($D319="EoK",INDEX(Mapping!$I:$I,MATCH($G$3&amp;$G319,Mapping!B:B,0)),FALSE)</f>
        <v>0</v>
      </c>
      <c r="T319" s="139"/>
      <c r="U319" s="520" t="str">
        <f t="shared" si="160"/>
        <v>PremiumMetro50</v>
      </c>
      <c r="W319" s="521">
        <f>MATCH($J319,'Tarieven ZM'!$B:$B,0)</f>
        <v>95</v>
      </c>
      <c r="X319" s="204">
        <f>INDEX('Tarieven ZM'!$H:$H,$W319)</f>
        <v>1000</v>
      </c>
      <c r="Y319" s="198">
        <f>-INDEX(Parameters!$B:$B,MATCH(Y$3&amp;$C319,Parameters!$A:$A,0))*$X319</f>
        <v>0</v>
      </c>
      <c r="Z319" s="198">
        <f>-INDEX(Parameters!$B:$B,MATCH(Z$3&amp;$C319,Parameters!$A:$A,0))*$X319</f>
        <v>0</v>
      </c>
      <c r="AA319" s="139">
        <f t="shared" si="162"/>
        <v>1000</v>
      </c>
      <c r="AB319" s="205">
        <f>AA319/INDEX(Parameters!$B:$B,MATCH("AfschrijftermijnVVE"&amp;12*$C319,Parameters!$A:$A,0))</f>
        <v>27.777777777777779</v>
      </c>
      <c r="AC319" s="204">
        <f>INDEX('Tarieven ZM'!$G:$G,$W319)</f>
        <v>1000</v>
      </c>
      <c r="AD319" s="198">
        <f>-INDEX(Parameters!$B:$B,MATCH(AD$3&amp;$C319,Parameters!$A:$A,0))*$AC319</f>
        <v>0</v>
      </c>
      <c r="AE319" s="198">
        <f>-INDEX(Parameters!$B:$B,MATCH(AE$3,Parameters!$A:$A,0))*$AC319</f>
        <v>0</v>
      </c>
      <c r="AF319" s="139">
        <f t="shared" si="163"/>
        <v>1000</v>
      </c>
      <c r="AG319" s="522">
        <f t="shared" si="164"/>
        <v>1027.7777777777778</v>
      </c>
      <c r="AH319" s="175"/>
      <c r="AI319" s="523">
        <f>MATCH($U319,'Tarieven W&amp;O'!$B:$B,0)</f>
        <v>68</v>
      </c>
      <c r="AJ319" s="204">
        <f>IF(AI319&lt;&gt;"nvt",INDEX('Tarieven W&amp;O'!$H:$H,$AI319),0)</f>
        <v>0</v>
      </c>
      <c r="AK319" s="204">
        <f>IF(AI319&lt;&gt;"nvt",INDEX('Tarieven W&amp;O'!$I:$I,$AI319),0)</f>
        <v>25</v>
      </c>
      <c r="AL319" s="524">
        <f>IF(AI319&lt;&gt;"nvt",-INDEX(Parameters!$B:$B,MATCH(AL$3,Parameters!$A:$A,0))*(AJ319+AK319),0)</f>
        <v>0</v>
      </c>
      <c r="AM319" s="525"/>
      <c r="AN319" s="139">
        <f t="shared" si="165"/>
        <v>25</v>
      </c>
      <c r="AO319" s="205">
        <f>AN319/INDEX(Parameters!$B:$B,MATCH("AfschrijftermijnVVE"&amp;12*$C319,Parameters!$A:$A,0))</f>
        <v>0.69444444444444442</v>
      </c>
      <c r="AP319" s="139">
        <f t="shared" si="166"/>
        <v>68</v>
      </c>
      <c r="AQ319" s="526">
        <f>IF(AP319&lt;&gt;"nvt",INDEX('Tarieven W&amp;O'!$G:$G,$AP319),0)</f>
        <v>133.4</v>
      </c>
      <c r="AR319" s="251">
        <f>IF($S319,INDEX('Tarieven W&amp;O'!$G:$G,MATCH(N319&amp;R319,'Tarieven W&amp;O'!$B:$B,0)),0)</f>
        <v>0</v>
      </c>
      <c r="AS319" s="205">
        <f>-INDEX(Parameters!$B:$B,MATCH(AS$3,Parameters!$A:$A,0))*(AQ319+AR319)</f>
        <v>0</v>
      </c>
      <c r="AT319" s="205">
        <f>INDEX(hulpblad!$E:$E,MATCH(M319&amp;Q319,hulpblad!$B:$B,0))</f>
        <v>2</v>
      </c>
      <c r="AU319" s="150">
        <f t="shared" si="147"/>
        <v>135.4</v>
      </c>
      <c r="AV319" s="150">
        <f t="shared" si="148"/>
        <v>136.09444444444446</v>
      </c>
      <c r="AX319" s="526">
        <f>Parameters!$B$6*AV319</f>
        <v>1.3609444444444447</v>
      </c>
      <c r="AY319" s="150">
        <v>0</v>
      </c>
      <c r="AZ319" s="150"/>
      <c r="BA319" s="150">
        <f t="shared" si="167"/>
        <v>1.3609444444444447</v>
      </c>
      <c r="BB319" s="150"/>
      <c r="BC319" s="522">
        <f t="shared" si="168"/>
        <v>137.4553888888889</v>
      </c>
      <c r="BD319" s="175"/>
      <c r="BE319" s="527">
        <f t="shared" si="149"/>
        <v>890.3223888888889</v>
      </c>
      <c r="BF319" s="181">
        <f t="shared" si="150"/>
        <v>0.86625962162162162</v>
      </c>
      <c r="BG319" s="520" t="b">
        <f t="shared" si="161"/>
        <v>0</v>
      </c>
      <c r="BI319" s="528" t="s">
        <v>2181</v>
      </c>
      <c r="BL319" s="151" t="str">
        <f t="shared" si="152"/>
        <v>EoKMetro - Nationaal</v>
      </c>
      <c r="BM319" s="529">
        <v>0</v>
      </c>
      <c r="BN319" s="180">
        <f>BM319/INDEX(Parameters!$B:$B,MATCH("AfschrijftermijnVVE"&amp;12*$C319,Parameters!$A:$A,0))</f>
        <v>0</v>
      </c>
      <c r="BO319" s="184">
        <f>INDEX('inkoop ULL tbv EVPN'!I:I,MATCH(BL319,'inkoop ULL tbv EVPN'!H:H,0))</f>
        <v>2</v>
      </c>
      <c r="BP319" s="184">
        <f t="shared" si="153"/>
        <v>2</v>
      </c>
      <c r="BR319" s="180">
        <f>Parameters!$B$12*AG319</f>
        <v>102.77777777777779</v>
      </c>
      <c r="BS319" s="180">
        <f>SUM(Distributievergoedingen!$F$12,Distributievergoedingen!$I$12,Distributievergoedingen!$L$12,Distributievergoedingen!$O$12)*AF319+SUM(Distributievergoedingen!$O$12*AA319+Distributievergoedingen!$R$12+Distributievergoedingen!$U$12+Distributievergoedingen!$X$12)/(MAX(36,12*C319))</f>
        <v>112.77777777777777</v>
      </c>
      <c r="BT319" s="150"/>
      <c r="BU319" s="150">
        <f t="shared" si="154"/>
        <v>215.55555555555554</v>
      </c>
      <c r="BW319" s="522">
        <f t="shared" si="155"/>
        <v>217.55555555555554</v>
      </c>
      <c r="BY319" s="527">
        <f t="shared" si="156"/>
        <v>810.22222222222229</v>
      </c>
      <c r="BZ319" s="181">
        <f t="shared" si="157"/>
        <v>0.78832432432432431</v>
      </c>
      <c r="CA319" s="520" t="b">
        <f t="shared" si="158"/>
        <v>0</v>
      </c>
    </row>
    <row r="320" spans="1:79" s="151" customFormat="1">
      <c r="A320" s="151" t="str">
        <f t="shared" si="151"/>
        <v>3EoKPremiumRegionaal80</v>
      </c>
      <c r="B320" s="520" t="str">
        <f t="shared" si="169"/>
        <v>3EoKPremiumRegionaal80</v>
      </c>
      <c r="C320" s="179">
        <v>3</v>
      </c>
      <c r="D320" s="179" t="s">
        <v>303</v>
      </c>
      <c r="E320" s="178" t="s">
        <v>267</v>
      </c>
      <c r="F320" s="178" t="s">
        <v>265</v>
      </c>
      <c r="G320" s="185" t="s">
        <v>417</v>
      </c>
      <c r="J320" s="520" t="str">
        <f t="shared" si="159"/>
        <v>PremiumRegionaal80</v>
      </c>
      <c r="L320" s="204">
        <f>INDEX(Mapping!$H:$H,MATCH(C$3&amp;C320,Mapping!$B:$B,0))</f>
        <v>1</v>
      </c>
      <c r="M320" s="204" t="str">
        <f>INDEX(Mapping!$H:$H,MATCH(D$3&amp;$D320,Mapping!$B:$B,0))</f>
        <v>EoK</v>
      </c>
      <c r="N320" s="204" t="str">
        <f>INDEX(Mapping!$H:$H,MATCH(E$3&amp;E320,Mapping!$B:$B,0))</f>
        <v>Premium</v>
      </c>
      <c r="O320" s="204" t="str">
        <f>INDEX(Mapping!$H:$H,MATCH(F$3&amp;F320,Mapping!$B:$B,0))</f>
        <v>Metro</v>
      </c>
      <c r="P320" s="204">
        <f>INDEX(Mapping!$H:$H,MATCH(G$3&amp;G320,Mapping!$B:$B,0))</f>
        <v>80</v>
      </c>
      <c r="Q320" s="204" t="str">
        <f>INDEX(Mapping!$H:$H,MATCH(Q$3&amp;$F320,Mapping!$B:$B,0))</f>
        <v>Metro - Nationaal</v>
      </c>
      <c r="R320" s="204" t="str">
        <f>INDEX(Mapping!$H:$H,MATCH("ZM VPN Service Level"&amp;E320,Mapping!$B:$B,0))</f>
        <v>Advanced</v>
      </c>
      <c r="S320" s="139" t="b">
        <f>IF($D320="EoK",INDEX(Mapping!$I:$I,MATCH($G$3&amp;$G320,Mapping!B:B,0)),FALSE)</f>
        <v>0</v>
      </c>
      <c r="T320" s="139"/>
      <c r="U320" s="520" t="str">
        <f t="shared" si="160"/>
        <v>PremiumMetro80</v>
      </c>
      <c r="W320" s="521">
        <f>MATCH($J320,'Tarieven ZM'!$B:$B,0)</f>
        <v>96</v>
      </c>
      <c r="X320" s="204">
        <f>INDEX('Tarieven ZM'!$H:$H,$W320)</f>
        <v>1000</v>
      </c>
      <c r="Y320" s="198">
        <f>-INDEX(Parameters!$B:$B,MATCH(Y$3&amp;$C320,Parameters!$A:$A,0))*$X320</f>
        <v>0</v>
      </c>
      <c r="Z320" s="198">
        <f>-INDEX(Parameters!$B:$B,MATCH(Z$3&amp;$C320,Parameters!$A:$A,0))*$X320</f>
        <v>0</v>
      </c>
      <c r="AA320" s="139">
        <f t="shared" si="162"/>
        <v>1000</v>
      </c>
      <c r="AB320" s="205">
        <f>AA320/INDEX(Parameters!$B:$B,MATCH("AfschrijftermijnVVE"&amp;12*$C320,Parameters!$A:$A,0))</f>
        <v>27.777777777777779</v>
      </c>
      <c r="AC320" s="204">
        <f>INDEX('Tarieven ZM'!$G:$G,$W320)</f>
        <v>1000</v>
      </c>
      <c r="AD320" s="198">
        <f>-INDEX(Parameters!$B:$B,MATCH(AD$3&amp;$C320,Parameters!$A:$A,0))*$AC320</f>
        <v>0</v>
      </c>
      <c r="AE320" s="198">
        <f>-INDEX(Parameters!$B:$B,MATCH(AE$3,Parameters!$A:$A,0))*$AC320</f>
        <v>0</v>
      </c>
      <c r="AF320" s="139">
        <f t="shared" si="163"/>
        <v>1000</v>
      </c>
      <c r="AG320" s="522">
        <f t="shared" si="164"/>
        <v>1027.7777777777778</v>
      </c>
      <c r="AH320" s="175"/>
      <c r="AI320" s="523">
        <f>MATCH($U320,'Tarieven W&amp;O'!$B:$B,0)</f>
        <v>69</v>
      </c>
      <c r="AJ320" s="204">
        <f>IF(AI320&lt;&gt;"nvt",INDEX('Tarieven W&amp;O'!$H:$H,$AI320),0)</f>
        <v>0</v>
      </c>
      <c r="AK320" s="204">
        <f>IF(AI320&lt;&gt;"nvt",INDEX('Tarieven W&amp;O'!$I:$I,$AI320),0)</f>
        <v>25</v>
      </c>
      <c r="AL320" s="524">
        <f>IF(AI320&lt;&gt;"nvt",-INDEX(Parameters!$B:$B,MATCH(AL$3,Parameters!$A:$A,0))*(AJ320+AK320),0)</f>
        <v>0</v>
      </c>
      <c r="AM320" s="525"/>
      <c r="AN320" s="139">
        <f t="shared" si="165"/>
        <v>25</v>
      </c>
      <c r="AO320" s="205">
        <f>AN320/INDEX(Parameters!$B:$B,MATCH("AfschrijftermijnVVE"&amp;12*$C320,Parameters!$A:$A,0))</f>
        <v>0.69444444444444442</v>
      </c>
      <c r="AP320" s="139">
        <f t="shared" si="166"/>
        <v>69</v>
      </c>
      <c r="AQ320" s="526">
        <f>IF(AP320&lt;&gt;"nvt",INDEX('Tarieven W&amp;O'!$G:$G,$AP320),0)</f>
        <v>159.78</v>
      </c>
      <c r="AR320" s="251">
        <f>IF($S320,INDEX('Tarieven W&amp;O'!$G:$G,MATCH(N320&amp;R320,'Tarieven W&amp;O'!$B:$B,0)),0)</f>
        <v>0</v>
      </c>
      <c r="AS320" s="205">
        <f>-INDEX(Parameters!$B:$B,MATCH(AS$3,Parameters!$A:$A,0))*(AQ320+AR320)</f>
        <v>0</v>
      </c>
      <c r="AT320" s="205">
        <f>INDEX(hulpblad!$E:$E,MATCH(M320&amp;Q320,hulpblad!$B:$B,0))</f>
        <v>2</v>
      </c>
      <c r="AU320" s="150">
        <f t="shared" si="147"/>
        <v>161.78</v>
      </c>
      <c r="AV320" s="150">
        <f t="shared" si="148"/>
        <v>162.47444444444446</v>
      </c>
      <c r="AX320" s="526">
        <f>Parameters!$B$6*AV320</f>
        <v>1.6247444444444445</v>
      </c>
      <c r="AY320" s="150">
        <v>0</v>
      </c>
      <c r="AZ320" s="150"/>
      <c r="BA320" s="150">
        <f t="shared" si="167"/>
        <v>1.6247444444444445</v>
      </c>
      <c r="BB320" s="150"/>
      <c r="BC320" s="522">
        <f t="shared" si="168"/>
        <v>164.0991888888889</v>
      </c>
      <c r="BD320" s="175"/>
      <c r="BE320" s="527">
        <f t="shared" si="149"/>
        <v>863.67858888888895</v>
      </c>
      <c r="BF320" s="181">
        <f t="shared" si="150"/>
        <v>0.84033592432432436</v>
      </c>
      <c r="BG320" s="520" t="b">
        <f t="shared" si="161"/>
        <v>0</v>
      </c>
      <c r="BI320" s="528" t="s">
        <v>2181</v>
      </c>
      <c r="BL320" s="151" t="str">
        <f t="shared" si="152"/>
        <v>EoKMetro - Nationaal</v>
      </c>
      <c r="BM320" s="529">
        <v>0</v>
      </c>
      <c r="BN320" s="180">
        <f>BM320/INDEX(Parameters!$B:$B,MATCH("AfschrijftermijnVVE"&amp;12*$C320,Parameters!$A:$A,0))</f>
        <v>0</v>
      </c>
      <c r="BO320" s="184">
        <f>INDEX('inkoop ULL tbv EVPN'!I:I,MATCH(BL320,'inkoop ULL tbv EVPN'!H:H,0))</f>
        <v>2</v>
      </c>
      <c r="BP320" s="184">
        <f t="shared" si="153"/>
        <v>2</v>
      </c>
      <c r="BR320" s="180">
        <f>Parameters!$B$12*AG320</f>
        <v>102.77777777777779</v>
      </c>
      <c r="BS320" s="180">
        <f>SUM(Distributievergoedingen!$F$12,Distributievergoedingen!$I$12,Distributievergoedingen!$L$12,Distributievergoedingen!$O$12)*AF320+SUM(Distributievergoedingen!$O$12*AA320+Distributievergoedingen!$R$12+Distributievergoedingen!$U$12+Distributievergoedingen!$X$12)/(MAX(36,12*C320))</f>
        <v>112.77777777777777</v>
      </c>
      <c r="BT320" s="150"/>
      <c r="BU320" s="150">
        <f t="shared" si="154"/>
        <v>215.55555555555554</v>
      </c>
      <c r="BW320" s="522">
        <f t="shared" si="155"/>
        <v>217.55555555555554</v>
      </c>
      <c r="BY320" s="527">
        <f t="shared" si="156"/>
        <v>810.22222222222229</v>
      </c>
      <c r="BZ320" s="181">
        <f t="shared" si="157"/>
        <v>0.78832432432432431</v>
      </c>
      <c r="CA320" s="520" t="b">
        <f t="shared" si="158"/>
        <v>0</v>
      </c>
    </row>
    <row r="321" spans="1:79" s="151" customFormat="1">
      <c r="A321" s="151" t="str">
        <f t="shared" si="151"/>
        <v>3EoKPremiumRegionaal100</v>
      </c>
      <c r="B321" s="520" t="str">
        <f t="shared" si="169"/>
        <v>3EoKPremiumRegionaal100</v>
      </c>
      <c r="C321" s="179">
        <v>3</v>
      </c>
      <c r="D321" s="179" t="s">
        <v>303</v>
      </c>
      <c r="E321" s="178" t="s">
        <v>267</v>
      </c>
      <c r="F321" s="178" t="s">
        <v>265</v>
      </c>
      <c r="G321" s="185" t="s">
        <v>418</v>
      </c>
      <c r="J321" s="520" t="str">
        <f t="shared" si="159"/>
        <v>PremiumRegionaal100</v>
      </c>
      <c r="L321" s="204">
        <f>INDEX(Mapping!$H:$H,MATCH(C$3&amp;C321,Mapping!$B:$B,0))</f>
        <v>1</v>
      </c>
      <c r="M321" s="204" t="str">
        <f>INDEX(Mapping!$H:$H,MATCH(D$3&amp;$D321,Mapping!$B:$B,0))</f>
        <v>EoK</v>
      </c>
      <c r="N321" s="204" t="str">
        <f>INDEX(Mapping!$H:$H,MATCH(E$3&amp;E321,Mapping!$B:$B,0))</f>
        <v>Premium</v>
      </c>
      <c r="O321" s="204" t="str">
        <f>INDEX(Mapping!$H:$H,MATCH(F$3&amp;F321,Mapping!$B:$B,0))</f>
        <v>Metro</v>
      </c>
      <c r="P321" s="204">
        <f>INDEX(Mapping!$H:$H,MATCH(G$3&amp;G321,Mapping!$B:$B,0))</f>
        <v>100</v>
      </c>
      <c r="Q321" s="204" t="str">
        <f>INDEX(Mapping!$H:$H,MATCH(Q$3&amp;$F321,Mapping!$B:$B,0))</f>
        <v>Metro - Nationaal</v>
      </c>
      <c r="R321" s="204" t="str">
        <f>INDEX(Mapping!$H:$H,MATCH("ZM VPN Service Level"&amp;E321,Mapping!$B:$B,0))</f>
        <v>Advanced</v>
      </c>
      <c r="S321" s="139" t="b">
        <f>IF($D321="EoK",INDEX(Mapping!$I:$I,MATCH($G$3&amp;$G321,Mapping!B:B,0)),FALSE)</f>
        <v>0</v>
      </c>
      <c r="T321" s="139"/>
      <c r="U321" s="520" t="str">
        <f t="shared" si="160"/>
        <v>PremiumMetro100</v>
      </c>
      <c r="W321" s="521">
        <f>MATCH($J321,'Tarieven ZM'!$B:$B,0)</f>
        <v>97</v>
      </c>
      <c r="X321" s="204">
        <f>INDEX('Tarieven ZM'!$H:$H,$W321)</f>
        <v>1000</v>
      </c>
      <c r="Y321" s="198">
        <f>-INDEX(Parameters!$B:$B,MATCH(Y$3&amp;$C321,Parameters!$A:$A,0))*$X321</f>
        <v>0</v>
      </c>
      <c r="Z321" s="198">
        <f>-INDEX(Parameters!$B:$B,MATCH(Z$3&amp;$C321,Parameters!$A:$A,0))*$X321</f>
        <v>0</v>
      </c>
      <c r="AA321" s="139">
        <f t="shared" si="162"/>
        <v>1000</v>
      </c>
      <c r="AB321" s="205">
        <f>AA321/INDEX(Parameters!$B:$B,MATCH("AfschrijftermijnVVE"&amp;12*$C321,Parameters!$A:$A,0))</f>
        <v>27.777777777777779</v>
      </c>
      <c r="AC321" s="204">
        <f>INDEX('Tarieven ZM'!$G:$G,$W321)</f>
        <v>1000</v>
      </c>
      <c r="AD321" s="198">
        <f>-INDEX(Parameters!$B:$B,MATCH(AD$3&amp;$C321,Parameters!$A:$A,0))*$AC321</f>
        <v>0</v>
      </c>
      <c r="AE321" s="198">
        <f>-INDEX(Parameters!$B:$B,MATCH(AE$3,Parameters!$A:$A,0))*$AC321</f>
        <v>0</v>
      </c>
      <c r="AF321" s="139">
        <f t="shared" si="163"/>
        <v>1000</v>
      </c>
      <c r="AG321" s="522">
        <f t="shared" si="164"/>
        <v>1027.7777777777778</v>
      </c>
      <c r="AH321" s="175"/>
      <c r="AI321" s="523">
        <f>MATCH($U321,'Tarieven W&amp;O'!$B:$B,0)</f>
        <v>70</v>
      </c>
      <c r="AJ321" s="204">
        <f>IF(AI321&lt;&gt;"nvt",INDEX('Tarieven W&amp;O'!$H:$H,$AI321),0)</f>
        <v>0</v>
      </c>
      <c r="AK321" s="204">
        <f>IF(AI321&lt;&gt;"nvt",INDEX('Tarieven W&amp;O'!$I:$I,$AI321),0)</f>
        <v>25</v>
      </c>
      <c r="AL321" s="524">
        <f>IF(AI321&lt;&gt;"nvt",-INDEX(Parameters!$B:$B,MATCH(AL$3,Parameters!$A:$A,0))*(AJ321+AK321),0)</f>
        <v>0</v>
      </c>
      <c r="AM321" s="525"/>
      <c r="AN321" s="139">
        <f t="shared" si="165"/>
        <v>25</v>
      </c>
      <c r="AO321" s="205">
        <f>AN321/INDEX(Parameters!$B:$B,MATCH("AfschrijftermijnVVE"&amp;12*$C321,Parameters!$A:$A,0))</f>
        <v>0.69444444444444442</v>
      </c>
      <c r="AP321" s="139">
        <f t="shared" si="166"/>
        <v>70</v>
      </c>
      <c r="AQ321" s="526">
        <f>IF(AP321&lt;&gt;"nvt",INDEX('Tarieven W&amp;O'!$G:$G,$AP321),0)</f>
        <v>178.63</v>
      </c>
      <c r="AR321" s="251">
        <f>IF($S321,INDEX('Tarieven W&amp;O'!$G:$G,MATCH(N321&amp;R321,'Tarieven W&amp;O'!$B:$B,0)),0)</f>
        <v>0</v>
      </c>
      <c r="AS321" s="205">
        <f>-INDEX(Parameters!$B:$B,MATCH(AS$3,Parameters!$A:$A,0))*(AQ321+AR321)</f>
        <v>0</v>
      </c>
      <c r="AT321" s="205">
        <f>INDEX(hulpblad!$E:$E,MATCH(M321&amp;Q321,hulpblad!$B:$B,0))</f>
        <v>2</v>
      </c>
      <c r="AU321" s="150">
        <f t="shared" si="147"/>
        <v>180.63</v>
      </c>
      <c r="AV321" s="150">
        <f t="shared" si="148"/>
        <v>181.32444444444445</v>
      </c>
      <c r="AX321" s="526">
        <f>Parameters!$B$6*AV321</f>
        <v>1.8132444444444447</v>
      </c>
      <c r="AY321" s="150">
        <v>0</v>
      </c>
      <c r="AZ321" s="150"/>
      <c r="BA321" s="150">
        <f t="shared" si="167"/>
        <v>1.8132444444444447</v>
      </c>
      <c r="BB321" s="150"/>
      <c r="BC321" s="522">
        <f t="shared" si="168"/>
        <v>183.1376888888889</v>
      </c>
      <c r="BD321" s="175"/>
      <c r="BE321" s="527">
        <f t="shared" si="149"/>
        <v>844.64008888888895</v>
      </c>
      <c r="BF321" s="181">
        <f t="shared" si="150"/>
        <v>0.82181197837837838</v>
      </c>
      <c r="BG321" s="520" t="b">
        <f t="shared" si="161"/>
        <v>0</v>
      </c>
      <c r="BI321" s="528" t="s">
        <v>2181</v>
      </c>
      <c r="BL321" s="151" t="str">
        <f t="shared" si="152"/>
        <v>EoKMetro - Nationaal</v>
      </c>
      <c r="BM321" s="529">
        <v>0</v>
      </c>
      <c r="BN321" s="180">
        <f>BM321/INDEX(Parameters!$B:$B,MATCH("AfschrijftermijnVVE"&amp;12*$C321,Parameters!$A:$A,0))</f>
        <v>0</v>
      </c>
      <c r="BO321" s="184">
        <f>INDEX('inkoop ULL tbv EVPN'!I:I,MATCH(BL321,'inkoop ULL tbv EVPN'!H:H,0))</f>
        <v>2</v>
      </c>
      <c r="BP321" s="184">
        <f t="shared" si="153"/>
        <v>2</v>
      </c>
      <c r="BR321" s="180">
        <f>Parameters!$B$12*AG321</f>
        <v>102.77777777777779</v>
      </c>
      <c r="BS321" s="180">
        <f>SUM(Distributievergoedingen!$F$12,Distributievergoedingen!$I$12,Distributievergoedingen!$L$12,Distributievergoedingen!$O$12)*AF321+SUM(Distributievergoedingen!$O$12*AA321+Distributievergoedingen!$R$12+Distributievergoedingen!$U$12+Distributievergoedingen!$X$12)/(MAX(36,12*C321))</f>
        <v>112.77777777777777</v>
      </c>
      <c r="BT321" s="150"/>
      <c r="BU321" s="150">
        <f t="shared" si="154"/>
        <v>215.55555555555554</v>
      </c>
      <c r="BW321" s="522">
        <f t="shared" si="155"/>
        <v>217.55555555555554</v>
      </c>
      <c r="BY321" s="527">
        <f t="shared" si="156"/>
        <v>810.22222222222229</v>
      </c>
      <c r="BZ321" s="181">
        <f t="shared" si="157"/>
        <v>0.78832432432432431</v>
      </c>
      <c r="CA321" s="520" t="b">
        <f t="shared" si="158"/>
        <v>0</v>
      </c>
    </row>
    <row r="322" spans="1:79" s="151" customFormat="1">
      <c r="A322" s="151" t="str">
        <f t="shared" si="151"/>
        <v>3EoKPremiumRegionaal200</v>
      </c>
      <c r="B322" s="520" t="str">
        <f t="shared" si="169"/>
        <v>3EoKPremiumRegionaal200</v>
      </c>
      <c r="C322" s="179">
        <v>3</v>
      </c>
      <c r="D322" s="179" t="s">
        <v>303</v>
      </c>
      <c r="E322" s="178" t="s">
        <v>267</v>
      </c>
      <c r="F322" s="178" t="s">
        <v>265</v>
      </c>
      <c r="G322" s="185" t="s">
        <v>419</v>
      </c>
      <c r="J322" s="520" t="str">
        <f t="shared" si="159"/>
        <v>PremiumRegionaal200</v>
      </c>
      <c r="L322" s="204">
        <f>INDEX(Mapping!$H:$H,MATCH(C$3&amp;C322,Mapping!$B:$B,0))</f>
        <v>1</v>
      </c>
      <c r="M322" s="204" t="str">
        <f>INDEX(Mapping!$H:$H,MATCH(D$3&amp;$D322,Mapping!$B:$B,0))</f>
        <v>EoK</v>
      </c>
      <c r="N322" s="204" t="str">
        <f>INDEX(Mapping!$H:$H,MATCH(E$3&amp;E322,Mapping!$B:$B,0))</f>
        <v>Premium</v>
      </c>
      <c r="O322" s="204" t="str">
        <f>INDEX(Mapping!$H:$H,MATCH(F$3&amp;F322,Mapping!$B:$B,0))</f>
        <v>Metro</v>
      </c>
      <c r="P322" s="204">
        <f>INDEX(Mapping!$H:$H,MATCH(G$3&amp;G322,Mapping!$B:$B,0))</f>
        <v>200</v>
      </c>
      <c r="Q322" s="204" t="str">
        <f>INDEX(Mapping!$H:$H,MATCH(Q$3&amp;$F322,Mapping!$B:$B,0))</f>
        <v>Metro - Nationaal</v>
      </c>
      <c r="R322" s="204" t="str">
        <f>INDEX(Mapping!$H:$H,MATCH("ZM VPN Service Level"&amp;E322,Mapping!$B:$B,0))</f>
        <v>Advanced</v>
      </c>
      <c r="S322" s="139" t="b">
        <f>IF($D322="EoK",INDEX(Mapping!$I:$I,MATCH($G$3&amp;$G322,Mapping!B:B,0)),FALSE)</f>
        <v>0</v>
      </c>
      <c r="T322" s="139"/>
      <c r="U322" s="520" t="str">
        <f t="shared" si="160"/>
        <v>PremiumMetro200</v>
      </c>
      <c r="W322" s="521">
        <f>MATCH($J322,'Tarieven ZM'!$B:$B,0)</f>
        <v>98</v>
      </c>
      <c r="X322" s="204">
        <f>INDEX('Tarieven ZM'!$H:$H,$W322)</f>
        <v>1000</v>
      </c>
      <c r="Y322" s="198">
        <f>-INDEX(Parameters!$B:$B,MATCH(Y$3&amp;$C322,Parameters!$A:$A,0))*$X322</f>
        <v>0</v>
      </c>
      <c r="Z322" s="198">
        <f>-INDEX(Parameters!$B:$B,MATCH(Z$3&amp;$C322,Parameters!$A:$A,0))*$X322</f>
        <v>0</v>
      </c>
      <c r="AA322" s="139">
        <f t="shared" si="162"/>
        <v>1000</v>
      </c>
      <c r="AB322" s="205">
        <f>AA322/INDEX(Parameters!$B:$B,MATCH("AfschrijftermijnVVE"&amp;12*$C322,Parameters!$A:$A,0))</f>
        <v>27.777777777777779</v>
      </c>
      <c r="AC322" s="204">
        <f>INDEX('Tarieven ZM'!$G:$G,$W322)</f>
        <v>1000</v>
      </c>
      <c r="AD322" s="198">
        <f>-INDEX(Parameters!$B:$B,MATCH(AD$3&amp;$C322,Parameters!$A:$A,0))*$AC322</f>
        <v>0</v>
      </c>
      <c r="AE322" s="198">
        <f>-INDEX(Parameters!$B:$B,MATCH(AE$3,Parameters!$A:$A,0))*$AC322</f>
        <v>0</v>
      </c>
      <c r="AF322" s="139">
        <f t="shared" si="163"/>
        <v>1000</v>
      </c>
      <c r="AG322" s="522">
        <f t="shared" si="164"/>
        <v>1027.7777777777778</v>
      </c>
      <c r="AH322" s="175"/>
      <c r="AI322" s="523">
        <f>MATCH($U322,'Tarieven W&amp;O'!$B:$B,0)</f>
        <v>71</v>
      </c>
      <c r="AJ322" s="204">
        <f>IF(AI322&lt;&gt;"nvt",INDEX('Tarieven W&amp;O'!$H:$H,$AI322),0)</f>
        <v>0</v>
      </c>
      <c r="AK322" s="204">
        <f>IF(AI322&lt;&gt;"nvt",INDEX('Tarieven W&amp;O'!$I:$I,$AI322),0)</f>
        <v>25</v>
      </c>
      <c r="AL322" s="524">
        <f>IF(AI322&lt;&gt;"nvt",-INDEX(Parameters!$B:$B,MATCH(AL$3,Parameters!$A:$A,0))*(AJ322+AK322),0)</f>
        <v>0</v>
      </c>
      <c r="AM322" s="525"/>
      <c r="AN322" s="139">
        <f t="shared" si="165"/>
        <v>25</v>
      </c>
      <c r="AO322" s="205">
        <f>AN322/INDEX(Parameters!$B:$B,MATCH("AfschrijftermijnVVE"&amp;12*$C322,Parameters!$A:$A,0))</f>
        <v>0.69444444444444442</v>
      </c>
      <c r="AP322" s="139">
        <f t="shared" si="166"/>
        <v>71</v>
      </c>
      <c r="AQ322" s="526">
        <f>IF(AP322&lt;&gt;"nvt",INDEX('Tarieven W&amp;O'!$G:$G,$AP322),0)</f>
        <v>216.32</v>
      </c>
      <c r="AR322" s="251">
        <f>IF($S322,INDEX('Tarieven W&amp;O'!$G:$G,MATCH(N322&amp;R322,'Tarieven W&amp;O'!$B:$B,0)),0)</f>
        <v>0</v>
      </c>
      <c r="AS322" s="205">
        <f>-INDEX(Parameters!$B:$B,MATCH(AS$3,Parameters!$A:$A,0))*(AQ322+AR322)</f>
        <v>0</v>
      </c>
      <c r="AT322" s="205">
        <f>INDEX(hulpblad!$E:$E,MATCH(M322&amp;Q322,hulpblad!$B:$B,0))</f>
        <v>2</v>
      </c>
      <c r="AU322" s="150">
        <f t="shared" si="147"/>
        <v>218.32</v>
      </c>
      <c r="AV322" s="150">
        <f t="shared" si="148"/>
        <v>219.01444444444445</v>
      </c>
      <c r="AX322" s="526">
        <f>Parameters!$B$6*AV322</f>
        <v>2.1901444444444444</v>
      </c>
      <c r="AY322" s="150">
        <v>0</v>
      </c>
      <c r="AZ322" s="150"/>
      <c r="BA322" s="150">
        <f t="shared" si="167"/>
        <v>2.1901444444444444</v>
      </c>
      <c r="BB322" s="150"/>
      <c r="BC322" s="522">
        <f t="shared" si="168"/>
        <v>221.20458888888891</v>
      </c>
      <c r="BD322" s="175"/>
      <c r="BE322" s="527">
        <f t="shared" si="149"/>
        <v>806.57318888888892</v>
      </c>
      <c r="BF322" s="181">
        <f t="shared" si="150"/>
        <v>0.78477391351351355</v>
      </c>
      <c r="BG322" s="520" t="b">
        <f t="shared" si="161"/>
        <v>0</v>
      </c>
      <c r="BI322" s="528" t="s">
        <v>2181</v>
      </c>
      <c r="BL322" s="151" t="str">
        <f t="shared" si="152"/>
        <v>EoKMetro - Nationaal</v>
      </c>
      <c r="BM322" s="529">
        <v>0</v>
      </c>
      <c r="BN322" s="180">
        <f>BM322/INDEX(Parameters!$B:$B,MATCH("AfschrijftermijnVVE"&amp;12*$C322,Parameters!$A:$A,0))</f>
        <v>0</v>
      </c>
      <c r="BO322" s="184">
        <f>INDEX('inkoop ULL tbv EVPN'!I:I,MATCH(BL322,'inkoop ULL tbv EVPN'!H:H,0))</f>
        <v>2</v>
      </c>
      <c r="BP322" s="184">
        <f t="shared" si="153"/>
        <v>2</v>
      </c>
      <c r="BR322" s="180">
        <f>Parameters!$B$12*AG322</f>
        <v>102.77777777777779</v>
      </c>
      <c r="BS322" s="180">
        <f>SUM(Distributievergoedingen!$F$12,Distributievergoedingen!$I$12,Distributievergoedingen!$L$12,Distributievergoedingen!$O$12)*AF322+SUM(Distributievergoedingen!$O$12*AA322+Distributievergoedingen!$R$12+Distributievergoedingen!$U$12+Distributievergoedingen!$X$12)/(MAX(36,12*C322))</f>
        <v>112.77777777777777</v>
      </c>
      <c r="BT322" s="150"/>
      <c r="BU322" s="150">
        <f t="shared" si="154"/>
        <v>215.55555555555554</v>
      </c>
      <c r="BW322" s="522">
        <f t="shared" si="155"/>
        <v>217.55555555555554</v>
      </c>
      <c r="BY322" s="527">
        <f t="shared" si="156"/>
        <v>810.22222222222229</v>
      </c>
      <c r="BZ322" s="181">
        <f t="shared" si="157"/>
        <v>0.78832432432432431</v>
      </c>
      <c r="CA322" s="520" t="b">
        <f t="shared" si="158"/>
        <v>0</v>
      </c>
    </row>
    <row r="323" spans="1:79" s="151" customFormat="1">
      <c r="A323" s="151" t="str">
        <f t="shared" si="151"/>
        <v>3EoKPremiumRegionaal300</v>
      </c>
      <c r="B323" s="520" t="str">
        <f t="shared" si="169"/>
        <v>3EoKPremiumRegionaal300</v>
      </c>
      <c r="C323" s="179">
        <v>3</v>
      </c>
      <c r="D323" s="179" t="s">
        <v>303</v>
      </c>
      <c r="E323" s="178" t="s">
        <v>267</v>
      </c>
      <c r="F323" s="178" t="s">
        <v>265</v>
      </c>
      <c r="G323" s="185" t="s">
        <v>420</v>
      </c>
      <c r="J323" s="520" t="str">
        <f t="shared" si="159"/>
        <v>PremiumRegionaal300</v>
      </c>
      <c r="L323" s="204">
        <f>INDEX(Mapping!$H:$H,MATCH(C$3&amp;C323,Mapping!$B:$B,0))</f>
        <v>1</v>
      </c>
      <c r="M323" s="204" t="str">
        <f>INDEX(Mapping!$H:$H,MATCH(D$3&amp;$D323,Mapping!$B:$B,0))</f>
        <v>EoK</v>
      </c>
      <c r="N323" s="204" t="str">
        <f>INDEX(Mapping!$H:$H,MATCH(E$3&amp;E323,Mapping!$B:$B,0))</f>
        <v>Premium</v>
      </c>
      <c r="O323" s="204" t="str">
        <f>INDEX(Mapping!$H:$H,MATCH(F$3&amp;F323,Mapping!$B:$B,0))</f>
        <v>Metro</v>
      </c>
      <c r="P323" s="204">
        <f>INDEX(Mapping!$H:$H,MATCH(G$3&amp;G323,Mapping!$B:$B,0))</f>
        <v>300</v>
      </c>
      <c r="Q323" s="204" t="str">
        <f>INDEX(Mapping!$H:$H,MATCH(Q$3&amp;$F323,Mapping!$B:$B,0))</f>
        <v>Metro - Nationaal</v>
      </c>
      <c r="R323" s="204" t="str">
        <f>INDEX(Mapping!$H:$H,MATCH("ZM VPN Service Level"&amp;E323,Mapping!$B:$B,0))</f>
        <v>Advanced</v>
      </c>
      <c r="S323" s="139" t="b">
        <f>IF($D323="EoK",INDEX(Mapping!$I:$I,MATCH($G$3&amp;$G323,Mapping!B:B,0)),FALSE)</f>
        <v>0</v>
      </c>
      <c r="T323" s="139"/>
      <c r="U323" s="520" t="str">
        <f t="shared" si="160"/>
        <v>PremiumMetro300</v>
      </c>
      <c r="W323" s="521">
        <f>MATCH($J323,'Tarieven ZM'!$B:$B,0)</f>
        <v>99</v>
      </c>
      <c r="X323" s="204">
        <f>INDEX('Tarieven ZM'!$H:$H,$W323)</f>
        <v>1000</v>
      </c>
      <c r="Y323" s="198">
        <f>-INDEX(Parameters!$B:$B,MATCH(Y$3&amp;$C323,Parameters!$A:$A,0))*$X323</f>
        <v>0</v>
      </c>
      <c r="Z323" s="198">
        <f>-INDEX(Parameters!$B:$B,MATCH(Z$3&amp;$C323,Parameters!$A:$A,0))*$X323</f>
        <v>0</v>
      </c>
      <c r="AA323" s="139">
        <f t="shared" si="162"/>
        <v>1000</v>
      </c>
      <c r="AB323" s="205">
        <f>AA323/INDEX(Parameters!$B:$B,MATCH("AfschrijftermijnVVE"&amp;12*$C323,Parameters!$A:$A,0))</f>
        <v>27.777777777777779</v>
      </c>
      <c r="AC323" s="204">
        <f>INDEX('Tarieven ZM'!$G:$G,$W323)</f>
        <v>1000</v>
      </c>
      <c r="AD323" s="198">
        <f>-INDEX(Parameters!$B:$B,MATCH(AD$3&amp;$C323,Parameters!$A:$A,0))*$AC323</f>
        <v>0</v>
      </c>
      <c r="AE323" s="198">
        <f>-INDEX(Parameters!$B:$B,MATCH(AE$3,Parameters!$A:$A,0))*$AC323</f>
        <v>0</v>
      </c>
      <c r="AF323" s="139">
        <f t="shared" si="163"/>
        <v>1000</v>
      </c>
      <c r="AG323" s="522">
        <f t="shared" si="164"/>
        <v>1027.7777777777778</v>
      </c>
      <c r="AH323" s="175"/>
      <c r="AI323" s="523">
        <f>MATCH($U323,'Tarieven W&amp;O'!$B:$B,0)</f>
        <v>72</v>
      </c>
      <c r="AJ323" s="204">
        <f>IF(AI323&lt;&gt;"nvt",INDEX('Tarieven W&amp;O'!$H:$H,$AI323),0)</f>
        <v>0</v>
      </c>
      <c r="AK323" s="204">
        <f>IF(AI323&lt;&gt;"nvt",INDEX('Tarieven W&amp;O'!$I:$I,$AI323),0)</f>
        <v>25</v>
      </c>
      <c r="AL323" s="524">
        <f>IF(AI323&lt;&gt;"nvt",-INDEX(Parameters!$B:$B,MATCH(AL$3,Parameters!$A:$A,0))*(AJ323+AK323),0)</f>
        <v>0</v>
      </c>
      <c r="AM323" s="525"/>
      <c r="AN323" s="139">
        <f t="shared" si="165"/>
        <v>25</v>
      </c>
      <c r="AO323" s="205">
        <f>AN323/INDEX(Parameters!$B:$B,MATCH("AfschrijftermijnVVE"&amp;12*$C323,Parameters!$A:$A,0))</f>
        <v>0.69444444444444442</v>
      </c>
      <c r="AP323" s="139">
        <f t="shared" si="166"/>
        <v>72</v>
      </c>
      <c r="AQ323" s="526">
        <f>IF(AP323&lt;&gt;"nvt",INDEX('Tarieven W&amp;O'!$G:$G,$AP323),0)</f>
        <v>254.01</v>
      </c>
      <c r="AR323" s="251">
        <f>IF($S323,INDEX('Tarieven W&amp;O'!$G:$G,MATCH(N323&amp;R323,'Tarieven W&amp;O'!$B:$B,0)),0)</f>
        <v>0</v>
      </c>
      <c r="AS323" s="205">
        <f>-INDEX(Parameters!$B:$B,MATCH(AS$3,Parameters!$A:$A,0))*(AQ323+AR323)</f>
        <v>0</v>
      </c>
      <c r="AT323" s="205">
        <f>INDEX(hulpblad!$E:$E,MATCH(M323&amp;Q323,hulpblad!$B:$B,0))</f>
        <v>2</v>
      </c>
      <c r="AU323" s="150">
        <f t="shared" si="147"/>
        <v>256.01</v>
      </c>
      <c r="AV323" s="150">
        <f t="shared" si="148"/>
        <v>256.70444444444445</v>
      </c>
      <c r="AX323" s="526">
        <f>Parameters!$B$6*AV323</f>
        <v>2.5670444444444445</v>
      </c>
      <c r="AY323" s="150">
        <v>0</v>
      </c>
      <c r="AZ323" s="150"/>
      <c r="BA323" s="150">
        <f t="shared" si="167"/>
        <v>2.5670444444444445</v>
      </c>
      <c r="BB323" s="150"/>
      <c r="BC323" s="522">
        <f t="shared" si="168"/>
        <v>259.27148888888888</v>
      </c>
      <c r="BD323" s="175"/>
      <c r="BE323" s="527">
        <f t="shared" si="149"/>
        <v>768.506288888889</v>
      </c>
      <c r="BF323" s="181">
        <f t="shared" si="150"/>
        <v>0.74773584864864873</v>
      </c>
      <c r="BG323" s="520" t="b">
        <f t="shared" si="161"/>
        <v>0</v>
      </c>
      <c r="BI323" s="528" t="s">
        <v>2181</v>
      </c>
      <c r="BL323" s="151" t="str">
        <f t="shared" si="152"/>
        <v>EoKMetro - Nationaal</v>
      </c>
      <c r="BM323" s="529">
        <v>0</v>
      </c>
      <c r="BN323" s="180">
        <f>BM323/INDEX(Parameters!$B:$B,MATCH("AfschrijftermijnVVE"&amp;12*$C323,Parameters!$A:$A,0))</f>
        <v>0</v>
      </c>
      <c r="BO323" s="184">
        <f>INDEX('inkoop ULL tbv EVPN'!I:I,MATCH(BL323,'inkoop ULL tbv EVPN'!H:H,0))</f>
        <v>2</v>
      </c>
      <c r="BP323" s="184">
        <f t="shared" si="153"/>
        <v>2</v>
      </c>
      <c r="BR323" s="180">
        <f>Parameters!$B$12*AG323</f>
        <v>102.77777777777779</v>
      </c>
      <c r="BS323" s="180">
        <f>SUM(Distributievergoedingen!$F$12,Distributievergoedingen!$I$12,Distributievergoedingen!$L$12,Distributievergoedingen!$O$12)*AF323+SUM(Distributievergoedingen!$O$12*AA323+Distributievergoedingen!$R$12+Distributievergoedingen!$U$12+Distributievergoedingen!$X$12)/(MAX(36,12*C323))</f>
        <v>112.77777777777777</v>
      </c>
      <c r="BT323" s="150"/>
      <c r="BU323" s="150">
        <f t="shared" si="154"/>
        <v>215.55555555555554</v>
      </c>
      <c r="BW323" s="522">
        <f t="shared" si="155"/>
        <v>217.55555555555554</v>
      </c>
      <c r="BY323" s="527">
        <f t="shared" si="156"/>
        <v>810.22222222222229</v>
      </c>
      <c r="BZ323" s="181">
        <f t="shared" si="157"/>
        <v>0.78832432432432431</v>
      </c>
      <c r="CA323" s="520" t="b">
        <f t="shared" si="158"/>
        <v>0</v>
      </c>
    </row>
    <row r="324" spans="1:79" s="151" customFormat="1">
      <c r="A324" s="151" t="str">
        <f t="shared" si="151"/>
        <v>3EoKPremiumRegionaal500</v>
      </c>
      <c r="B324" s="520" t="str">
        <f t="shared" si="169"/>
        <v>3EoKPremiumRegionaal500</v>
      </c>
      <c r="C324" s="179">
        <v>3</v>
      </c>
      <c r="D324" s="179" t="s">
        <v>303</v>
      </c>
      <c r="E324" s="178" t="s">
        <v>267</v>
      </c>
      <c r="F324" s="178" t="s">
        <v>265</v>
      </c>
      <c r="G324" s="185" t="s">
        <v>421</v>
      </c>
      <c r="J324" s="520" t="str">
        <f t="shared" si="159"/>
        <v>PremiumRegionaal500</v>
      </c>
      <c r="L324" s="204">
        <f>INDEX(Mapping!$H:$H,MATCH(C$3&amp;C324,Mapping!$B:$B,0))</f>
        <v>1</v>
      </c>
      <c r="M324" s="204" t="str">
        <f>INDEX(Mapping!$H:$H,MATCH(D$3&amp;$D324,Mapping!$B:$B,0))</f>
        <v>EoK</v>
      </c>
      <c r="N324" s="204" t="str">
        <f>INDEX(Mapping!$H:$H,MATCH(E$3&amp;E324,Mapping!$B:$B,0))</f>
        <v>Premium</v>
      </c>
      <c r="O324" s="204" t="str">
        <f>INDEX(Mapping!$H:$H,MATCH(F$3&amp;F324,Mapping!$B:$B,0))</f>
        <v>Metro</v>
      </c>
      <c r="P324" s="204">
        <f>INDEX(Mapping!$H:$H,MATCH(G$3&amp;G324,Mapping!$B:$B,0))</f>
        <v>500</v>
      </c>
      <c r="Q324" s="204" t="str">
        <f>INDEX(Mapping!$H:$H,MATCH(Q$3&amp;$F324,Mapping!$B:$B,0))</f>
        <v>Metro - Nationaal</v>
      </c>
      <c r="R324" s="204" t="str">
        <f>INDEX(Mapping!$H:$H,MATCH("ZM VPN Service Level"&amp;E324,Mapping!$B:$B,0))</f>
        <v>Advanced</v>
      </c>
      <c r="S324" s="139" t="b">
        <f>IF($D324="EoK",INDEX(Mapping!$I:$I,MATCH($G$3&amp;$G324,Mapping!B:B,0)),FALSE)</f>
        <v>0</v>
      </c>
      <c r="T324" s="139"/>
      <c r="U324" s="520" t="str">
        <f t="shared" si="160"/>
        <v>PremiumMetro500</v>
      </c>
      <c r="W324" s="521">
        <f>MATCH($J324,'Tarieven ZM'!$B:$B,0)</f>
        <v>100</v>
      </c>
      <c r="X324" s="204">
        <f>INDEX('Tarieven ZM'!$H:$H,$W324)</f>
        <v>1000</v>
      </c>
      <c r="Y324" s="198">
        <f>-INDEX(Parameters!$B:$B,MATCH(Y$3&amp;$C324,Parameters!$A:$A,0))*$X324</f>
        <v>0</v>
      </c>
      <c r="Z324" s="198">
        <f>-INDEX(Parameters!$B:$B,MATCH(Z$3&amp;$C324,Parameters!$A:$A,0))*$X324</f>
        <v>0</v>
      </c>
      <c r="AA324" s="139">
        <f t="shared" si="162"/>
        <v>1000</v>
      </c>
      <c r="AB324" s="205">
        <f>AA324/INDEX(Parameters!$B:$B,MATCH("AfschrijftermijnVVE"&amp;12*$C324,Parameters!$A:$A,0))</f>
        <v>27.777777777777779</v>
      </c>
      <c r="AC324" s="204">
        <f>INDEX('Tarieven ZM'!$G:$G,$W324)</f>
        <v>1000</v>
      </c>
      <c r="AD324" s="198">
        <f>-INDEX(Parameters!$B:$B,MATCH(AD$3&amp;$C324,Parameters!$A:$A,0))*$AC324</f>
        <v>0</v>
      </c>
      <c r="AE324" s="198">
        <f>-INDEX(Parameters!$B:$B,MATCH(AE$3,Parameters!$A:$A,0))*$AC324</f>
        <v>0</v>
      </c>
      <c r="AF324" s="139">
        <f t="shared" si="163"/>
        <v>1000</v>
      </c>
      <c r="AG324" s="522">
        <f t="shared" si="164"/>
        <v>1027.7777777777778</v>
      </c>
      <c r="AH324" s="175"/>
      <c r="AI324" s="523">
        <f>MATCH($U324,'Tarieven W&amp;O'!$B:$B,0)</f>
        <v>73</v>
      </c>
      <c r="AJ324" s="204">
        <f>IF(AI324&lt;&gt;"nvt",INDEX('Tarieven W&amp;O'!$H:$H,$AI324),0)</f>
        <v>0</v>
      </c>
      <c r="AK324" s="204">
        <f>IF(AI324&lt;&gt;"nvt",INDEX('Tarieven W&amp;O'!$I:$I,$AI324),0)</f>
        <v>25</v>
      </c>
      <c r="AL324" s="524">
        <f>IF(AI324&lt;&gt;"nvt",-INDEX(Parameters!$B:$B,MATCH(AL$3,Parameters!$A:$A,0))*(AJ324+AK324),0)</f>
        <v>0</v>
      </c>
      <c r="AM324" s="525"/>
      <c r="AN324" s="139">
        <f t="shared" si="165"/>
        <v>25</v>
      </c>
      <c r="AO324" s="205">
        <f>AN324/INDEX(Parameters!$B:$B,MATCH("AfschrijftermijnVVE"&amp;12*$C324,Parameters!$A:$A,0))</f>
        <v>0.69444444444444442</v>
      </c>
      <c r="AP324" s="139">
        <f t="shared" si="166"/>
        <v>73</v>
      </c>
      <c r="AQ324" s="526">
        <f>IF(AP324&lt;&gt;"nvt",INDEX('Tarieven W&amp;O'!$G:$G,$AP324),0)</f>
        <v>310.54000000000002</v>
      </c>
      <c r="AR324" s="251">
        <f>IF($S324,INDEX('Tarieven W&amp;O'!$G:$G,MATCH(N324&amp;R324,'Tarieven W&amp;O'!$B:$B,0)),0)</f>
        <v>0</v>
      </c>
      <c r="AS324" s="205">
        <f>-INDEX(Parameters!$B:$B,MATCH(AS$3,Parameters!$A:$A,0))*(AQ324+AR324)</f>
        <v>0</v>
      </c>
      <c r="AT324" s="205">
        <f>INDEX(hulpblad!$E:$E,MATCH(M324&amp;Q324,hulpblad!$B:$B,0))</f>
        <v>2</v>
      </c>
      <c r="AU324" s="150">
        <f t="shared" si="147"/>
        <v>312.54000000000002</v>
      </c>
      <c r="AV324" s="150">
        <f t="shared" si="148"/>
        <v>313.23444444444448</v>
      </c>
      <c r="AX324" s="526">
        <f>Parameters!$B$6*AV324</f>
        <v>3.132344444444445</v>
      </c>
      <c r="AY324" s="150">
        <v>0</v>
      </c>
      <c r="AZ324" s="150"/>
      <c r="BA324" s="150">
        <f t="shared" si="167"/>
        <v>3.132344444444445</v>
      </c>
      <c r="BB324" s="150"/>
      <c r="BC324" s="522">
        <f t="shared" si="168"/>
        <v>316.36678888888895</v>
      </c>
      <c r="BD324" s="175"/>
      <c r="BE324" s="527">
        <f t="shared" si="149"/>
        <v>711.41098888888882</v>
      </c>
      <c r="BF324" s="181">
        <f t="shared" si="150"/>
        <v>0.69218366486486482</v>
      </c>
      <c r="BG324" s="520" t="b">
        <f t="shared" si="161"/>
        <v>0</v>
      </c>
      <c r="BI324" s="528" t="s">
        <v>2181</v>
      </c>
      <c r="BL324" s="151" t="str">
        <f t="shared" si="152"/>
        <v>EoKMetro - Nationaal</v>
      </c>
      <c r="BM324" s="529">
        <v>0</v>
      </c>
      <c r="BN324" s="180">
        <f>BM324/INDEX(Parameters!$B:$B,MATCH("AfschrijftermijnVVE"&amp;12*$C324,Parameters!$A:$A,0))</f>
        <v>0</v>
      </c>
      <c r="BO324" s="184">
        <f>INDEX('inkoop ULL tbv EVPN'!I:I,MATCH(BL324,'inkoop ULL tbv EVPN'!H:H,0))</f>
        <v>2</v>
      </c>
      <c r="BP324" s="184">
        <f t="shared" si="153"/>
        <v>2</v>
      </c>
      <c r="BR324" s="180">
        <f>Parameters!$B$12*AG324</f>
        <v>102.77777777777779</v>
      </c>
      <c r="BS324" s="180">
        <f>SUM(Distributievergoedingen!$F$12,Distributievergoedingen!$I$12,Distributievergoedingen!$L$12,Distributievergoedingen!$O$12)*AF324+SUM(Distributievergoedingen!$O$12*AA324+Distributievergoedingen!$R$12+Distributievergoedingen!$U$12+Distributievergoedingen!$X$12)/(MAX(36,12*C324))</f>
        <v>112.77777777777777</v>
      </c>
      <c r="BT324" s="150"/>
      <c r="BU324" s="150">
        <f t="shared" si="154"/>
        <v>215.55555555555554</v>
      </c>
      <c r="BW324" s="522">
        <f t="shared" si="155"/>
        <v>217.55555555555554</v>
      </c>
      <c r="BY324" s="527">
        <f t="shared" si="156"/>
        <v>810.22222222222229</v>
      </c>
      <c r="BZ324" s="181">
        <f t="shared" si="157"/>
        <v>0.78832432432432431</v>
      </c>
      <c r="CA324" s="520" t="b">
        <f t="shared" si="158"/>
        <v>0</v>
      </c>
    </row>
    <row r="325" spans="1:79" s="151" customFormat="1">
      <c r="A325" s="151" t="str">
        <f t="shared" si="151"/>
        <v>3EoKPremiumRegionaal800</v>
      </c>
      <c r="B325" s="520" t="str">
        <f t="shared" si="169"/>
        <v>3EoKPremiumRegionaal800</v>
      </c>
      <c r="C325" s="179">
        <v>3</v>
      </c>
      <c r="D325" s="179" t="s">
        <v>303</v>
      </c>
      <c r="E325" s="178" t="s">
        <v>267</v>
      </c>
      <c r="F325" s="178" t="s">
        <v>265</v>
      </c>
      <c r="G325" s="185" t="s">
        <v>422</v>
      </c>
      <c r="J325" s="520" t="str">
        <f t="shared" si="159"/>
        <v>PremiumRegionaal800</v>
      </c>
      <c r="L325" s="204">
        <f>INDEX(Mapping!$H:$H,MATCH(C$3&amp;C325,Mapping!$B:$B,0))</f>
        <v>1</v>
      </c>
      <c r="M325" s="204" t="str">
        <f>INDEX(Mapping!$H:$H,MATCH(D$3&amp;$D325,Mapping!$B:$B,0))</f>
        <v>EoK</v>
      </c>
      <c r="N325" s="204" t="str">
        <f>INDEX(Mapping!$H:$H,MATCH(E$3&amp;E325,Mapping!$B:$B,0))</f>
        <v>Premium</v>
      </c>
      <c r="O325" s="204" t="str">
        <f>INDEX(Mapping!$H:$H,MATCH(F$3&amp;F325,Mapping!$B:$B,0))</f>
        <v>Metro</v>
      </c>
      <c r="P325" s="204">
        <f>INDEX(Mapping!$H:$H,MATCH(G$3&amp;G325,Mapping!$B:$B,0))</f>
        <v>800</v>
      </c>
      <c r="Q325" s="204" t="str">
        <f>INDEX(Mapping!$H:$H,MATCH(Q$3&amp;$F325,Mapping!$B:$B,0))</f>
        <v>Metro - Nationaal</v>
      </c>
      <c r="R325" s="204" t="str">
        <f>INDEX(Mapping!$H:$H,MATCH("ZM VPN Service Level"&amp;E325,Mapping!$B:$B,0))</f>
        <v>Advanced</v>
      </c>
      <c r="S325" s="139" t="b">
        <f>IF($D325="EoK",INDEX(Mapping!$I:$I,MATCH($G$3&amp;$G325,Mapping!B:B,0)),FALSE)</f>
        <v>0</v>
      </c>
      <c r="T325" s="139"/>
      <c r="U325" s="520" t="str">
        <f t="shared" si="160"/>
        <v>PremiumMetro800</v>
      </c>
      <c r="W325" s="521">
        <f>MATCH($J325,'Tarieven ZM'!$B:$B,0)</f>
        <v>101</v>
      </c>
      <c r="X325" s="204">
        <f>INDEX('Tarieven ZM'!$H:$H,$W325)</f>
        <v>1000</v>
      </c>
      <c r="Y325" s="198">
        <f>-INDEX(Parameters!$B:$B,MATCH(Y$3&amp;$C325,Parameters!$A:$A,0))*$X325</f>
        <v>0</v>
      </c>
      <c r="Z325" s="198">
        <f>-INDEX(Parameters!$B:$B,MATCH(Z$3&amp;$C325,Parameters!$A:$A,0))*$X325</f>
        <v>0</v>
      </c>
      <c r="AA325" s="139">
        <f t="shared" si="162"/>
        <v>1000</v>
      </c>
      <c r="AB325" s="205">
        <f>AA325/INDEX(Parameters!$B:$B,MATCH("AfschrijftermijnVVE"&amp;12*$C325,Parameters!$A:$A,0))</f>
        <v>27.777777777777779</v>
      </c>
      <c r="AC325" s="204">
        <f>INDEX('Tarieven ZM'!$G:$G,$W325)</f>
        <v>1000</v>
      </c>
      <c r="AD325" s="198">
        <f>-INDEX(Parameters!$B:$B,MATCH(AD$3&amp;$C325,Parameters!$A:$A,0))*$AC325</f>
        <v>0</v>
      </c>
      <c r="AE325" s="198">
        <f>-INDEX(Parameters!$B:$B,MATCH(AE$3,Parameters!$A:$A,0))*$AC325</f>
        <v>0</v>
      </c>
      <c r="AF325" s="139">
        <f t="shared" si="163"/>
        <v>1000</v>
      </c>
      <c r="AG325" s="522">
        <f t="shared" si="164"/>
        <v>1027.7777777777778</v>
      </c>
      <c r="AH325" s="175"/>
      <c r="AI325" s="523">
        <f>MATCH($U325,'Tarieven W&amp;O'!$B:$B,0)</f>
        <v>74</v>
      </c>
      <c r="AJ325" s="204">
        <f>IF(AI325&lt;&gt;"nvt",INDEX('Tarieven W&amp;O'!$H:$H,$AI325),0)</f>
        <v>0</v>
      </c>
      <c r="AK325" s="204">
        <f>IF(AI325&lt;&gt;"nvt",INDEX('Tarieven W&amp;O'!$I:$I,$AI325),0)</f>
        <v>25</v>
      </c>
      <c r="AL325" s="524">
        <f>IF(AI325&lt;&gt;"nvt",-INDEX(Parameters!$B:$B,MATCH(AL$3,Parameters!$A:$A,0))*(AJ325+AK325),0)</f>
        <v>0</v>
      </c>
      <c r="AM325" s="525"/>
      <c r="AN325" s="139">
        <f t="shared" si="165"/>
        <v>25</v>
      </c>
      <c r="AO325" s="205">
        <f>AN325/INDEX(Parameters!$B:$B,MATCH("AfschrijftermijnVVE"&amp;12*$C325,Parameters!$A:$A,0))</f>
        <v>0.69444444444444442</v>
      </c>
      <c r="AP325" s="139">
        <f t="shared" si="166"/>
        <v>74</v>
      </c>
      <c r="AQ325" s="526">
        <f>IF(AP325&lt;&gt;"nvt",INDEX('Tarieven W&amp;O'!$G:$G,$AP325),0)</f>
        <v>348.23</v>
      </c>
      <c r="AR325" s="251">
        <f>IF($S325,INDEX('Tarieven W&amp;O'!$G:$G,MATCH(N325&amp;R325,'Tarieven W&amp;O'!$B:$B,0)),0)</f>
        <v>0</v>
      </c>
      <c r="AS325" s="205">
        <f>-INDEX(Parameters!$B:$B,MATCH(AS$3,Parameters!$A:$A,0))*(AQ325+AR325)</f>
        <v>0</v>
      </c>
      <c r="AT325" s="205">
        <f>INDEX(hulpblad!$E:$E,MATCH(M325&amp;Q325,hulpblad!$B:$B,0))</f>
        <v>2</v>
      </c>
      <c r="AU325" s="150">
        <f t="shared" si="147"/>
        <v>350.23</v>
      </c>
      <c r="AV325" s="150">
        <f t="shared" si="148"/>
        <v>350.92444444444448</v>
      </c>
      <c r="AX325" s="526">
        <f>Parameters!$B$6*AV325</f>
        <v>3.5092444444444446</v>
      </c>
      <c r="AY325" s="150">
        <v>0</v>
      </c>
      <c r="AZ325" s="150"/>
      <c r="BA325" s="150">
        <f t="shared" si="167"/>
        <v>3.5092444444444446</v>
      </c>
      <c r="BB325" s="150"/>
      <c r="BC325" s="522">
        <f t="shared" si="168"/>
        <v>354.43368888888892</v>
      </c>
      <c r="BD325" s="175"/>
      <c r="BE325" s="527">
        <f t="shared" si="149"/>
        <v>673.3440888888889</v>
      </c>
      <c r="BF325" s="181">
        <f t="shared" si="150"/>
        <v>0.65514559999999999</v>
      </c>
      <c r="BG325" s="520" t="b">
        <f t="shared" si="161"/>
        <v>0</v>
      </c>
      <c r="BI325" s="528" t="s">
        <v>2181</v>
      </c>
      <c r="BL325" s="151" t="str">
        <f t="shared" si="152"/>
        <v>EoKMetro - Nationaal</v>
      </c>
      <c r="BM325" s="529">
        <v>0</v>
      </c>
      <c r="BN325" s="180">
        <f>BM325/INDEX(Parameters!$B:$B,MATCH("AfschrijftermijnVVE"&amp;12*$C325,Parameters!$A:$A,0))</f>
        <v>0</v>
      </c>
      <c r="BO325" s="184">
        <f>INDEX('inkoop ULL tbv EVPN'!I:I,MATCH(BL325,'inkoop ULL tbv EVPN'!H:H,0))</f>
        <v>2</v>
      </c>
      <c r="BP325" s="184">
        <f t="shared" si="153"/>
        <v>2</v>
      </c>
      <c r="BR325" s="180">
        <f>Parameters!$B$12*AG325</f>
        <v>102.77777777777779</v>
      </c>
      <c r="BS325" s="180">
        <f>SUM(Distributievergoedingen!$F$12,Distributievergoedingen!$I$12,Distributievergoedingen!$L$12,Distributievergoedingen!$O$12)*AF325+SUM(Distributievergoedingen!$O$12*AA325+Distributievergoedingen!$R$12+Distributievergoedingen!$U$12+Distributievergoedingen!$X$12)/(MAX(36,12*C325))</f>
        <v>112.77777777777777</v>
      </c>
      <c r="BT325" s="150"/>
      <c r="BU325" s="150">
        <f t="shared" si="154"/>
        <v>215.55555555555554</v>
      </c>
      <c r="BW325" s="522">
        <f t="shared" si="155"/>
        <v>217.55555555555554</v>
      </c>
      <c r="BY325" s="527">
        <f t="shared" si="156"/>
        <v>810.22222222222229</v>
      </c>
      <c r="BZ325" s="181">
        <f t="shared" si="157"/>
        <v>0.78832432432432431</v>
      </c>
      <c r="CA325" s="520" t="b">
        <f t="shared" si="158"/>
        <v>0</v>
      </c>
    </row>
    <row r="326" spans="1:79" s="151" customFormat="1">
      <c r="A326" s="151" t="str">
        <f t="shared" si="151"/>
        <v>3EoKPremiumRegionaal1000</v>
      </c>
      <c r="B326" s="520" t="str">
        <f t="shared" si="169"/>
        <v>3EoKPremiumRegionaal1000</v>
      </c>
      <c r="C326" s="179">
        <v>3</v>
      </c>
      <c r="D326" s="179" t="s">
        <v>303</v>
      </c>
      <c r="E326" s="178" t="s">
        <v>267</v>
      </c>
      <c r="F326" s="178" t="s">
        <v>265</v>
      </c>
      <c r="G326" s="185" t="s">
        <v>423</v>
      </c>
      <c r="J326" s="520" t="str">
        <f t="shared" si="159"/>
        <v>PremiumRegionaal1000</v>
      </c>
      <c r="L326" s="204">
        <f>INDEX(Mapping!$H:$H,MATCH(C$3&amp;C326,Mapping!$B:$B,0))</f>
        <v>1</v>
      </c>
      <c r="M326" s="204" t="str">
        <f>INDEX(Mapping!$H:$H,MATCH(D$3&amp;$D326,Mapping!$B:$B,0))</f>
        <v>EoK</v>
      </c>
      <c r="N326" s="204" t="str">
        <f>INDEX(Mapping!$H:$H,MATCH(E$3&amp;E326,Mapping!$B:$B,0))</f>
        <v>Premium</v>
      </c>
      <c r="O326" s="204" t="str">
        <f>INDEX(Mapping!$H:$H,MATCH(F$3&amp;F326,Mapping!$B:$B,0))</f>
        <v>Metro</v>
      </c>
      <c r="P326" s="204">
        <f>INDEX(Mapping!$H:$H,MATCH(G$3&amp;G326,Mapping!$B:$B,0))</f>
        <v>1000</v>
      </c>
      <c r="Q326" s="204" t="str">
        <f>INDEX(Mapping!$H:$H,MATCH(Q$3&amp;$F326,Mapping!$B:$B,0))</f>
        <v>Metro - Nationaal</v>
      </c>
      <c r="R326" s="204" t="str">
        <f>INDEX(Mapping!$H:$H,MATCH("ZM VPN Service Level"&amp;E326,Mapping!$B:$B,0))</f>
        <v>Advanced</v>
      </c>
      <c r="S326" s="139" t="b">
        <f>IF($D326="EoK",INDEX(Mapping!$I:$I,MATCH($G$3&amp;$G326,Mapping!B:B,0)),FALSE)</f>
        <v>0</v>
      </c>
      <c r="T326" s="139"/>
      <c r="U326" s="520" t="str">
        <f t="shared" si="160"/>
        <v>PremiumMetro1000</v>
      </c>
      <c r="W326" s="521">
        <f>MATCH($J326,'Tarieven ZM'!$B:$B,0)</f>
        <v>102</v>
      </c>
      <c r="X326" s="204">
        <f>INDEX('Tarieven ZM'!$H:$H,$W326)</f>
        <v>1000</v>
      </c>
      <c r="Y326" s="198">
        <f>-INDEX(Parameters!$B:$B,MATCH(Y$3&amp;$C326,Parameters!$A:$A,0))*$X326</f>
        <v>0</v>
      </c>
      <c r="Z326" s="198">
        <f>-INDEX(Parameters!$B:$B,MATCH(Z$3&amp;$C326,Parameters!$A:$A,0))*$X326</f>
        <v>0</v>
      </c>
      <c r="AA326" s="139">
        <f t="shared" si="162"/>
        <v>1000</v>
      </c>
      <c r="AB326" s="205">
        <f>AA326/INDEX(Parameters!$B:$B,MATCH("AfschrijftermijnVVE"&amp;12*$C326,Parameters!$A:$A,0))</f>
        <v>27.777777777777779</v>
      </c>
      <c r="AC326" s="204">
        <f>INDEX('Tarieven ZM'!$G:$G,$W326)</f>
        <v>1000</v>
      </c>
      <c r="AD326" s="198">
        <f>-INDEX(Parameters!$B:$B,MATCH(AD$3&amp;$C326,Parameters!$A:$A,0))*$AC326</f>
        <v>0</v>
      </c>
      <c r="AE326" s="198">
        <f>-INDEX(Parameters!$B:$B,MATCH(AE$3,Parameters!$A:$A,0))*$AC326</f>
        <v>0</v>
      </c>
      <c r="AF326" s="139">
        <f t="shared" si="163"/>
        <v>1000</v>
      </c>
      <c r="AG326" s="522">
        <f t="shared" si="164"/>
        <v>1027.7777777777778</v>
      </c>
      <c r="AH326" s="175"/>
      <c r="AI326" s="523">
        <f>MATCH($U326,'Tarieven W&amp;O'!$B:$B,0)</f>
        <v>75</v>
      </c>
      <c r="AJ326" s="204">
        <f>IF(AI326&lt;&gt;"nvt",INDEX('Tarieven W&amp;O'!$H:$H,$AI326),0)</f>
        <v>0</v>
      </c>
      <c r="AK326" s="204">
        <f>IF(AI326&lt;&gt;"nvt",INDEX('Tarieven W&amp;O'!$I:$I,$AI326),0)</f>
        <v>25</v>
      </c>
      <c r="AL326" s="524">
        <f>IF(AI326&lt;&gt;"nvt",-INDEX(Parameters!$B:$B,MATCH(AL$3,Parameters!$A:$A,0))*(AJ326+AK326),0)</f>
        <v>0</v>
      </c>
      <c r="AM326" s="525"/>
      <c r="AN326" s="139">
        <f t="shared" si="165"/>
        <v>25</v>
      </c>
      <c r="AO326" s="205">
        <f>AN326/INDEX(Parameters!$B:$B,MATCH("AfschrijftermijnVVE"&amp;12*$C326,Parameters!$A:$A,0))</f>
        <v>0.69444444444444442</v>
      </c>
      <c r="AP326" s="139">
        <f t="shared" si="166"/>
        <v>75</v>
      </c>
      <c r="AQ326" s="526">
        <f>IF(AP326&lt;&gt;"nvt",INDEX('Tarieven W&amp;O'!$G:$G,$AP326),0)</f>
        <v>385.93</v>
      </c>
      <c r="AR326" s="251">
        <f>IF($S326,INDEX('Tarieven W&amp;O'!$G:$G,MATCH(N326&amp;R326,'Tarieven W&amp;O'!$B:$B,0)),0)</f>
        <v>0</v>
      </c>
      <c r="AS326" s="205">
        <f>-INDEX(Parameters!$B:$B,MATCH(AS$3,Parameters!$A:$A,0))*(AQ326+AR326)</f>
        <v>0</v>
      </c>
      <c r="AT326" s="205">
        <f>INDEX(hulpblad!$E:$E,MATCH(M326&amp;Q326,hulpblad!$B:$B,0))</f>
        <v>2</v>
      </c>
      <c r="AU326" s="150">
        <f t="shared" si="147"/>
        <v>387.93</v>
      </c>
      <c r="AV326" s="150">
        <f t="shared" si="148"/>
        <v>388.62444444444446</v>
      </c>
      <c r="AX326" s="526">
        <f>Parameters!$B$6*AV326</f>
        <v>3.8862444444444448</v>
      </c>
      <c r="AY326" s="150">
        <v>0</v>
      </c>
      <c r="AZ326" s="150"/>
      <c r="BA326" s="150">
        <f t="shared" si="167"/>
        <v>3.8862444444444448</v>
      </c>
      <c r="BB326" s="150"/>
      <c r="BC326" s="522">
        <f t="shared" si="168"/>
        <v>392.51068888888892</v>
      </c>
      <c r="BD326" s="175"/>
      <c r="BE326" s="527">
        <f t="shared" si="149"/>
        <v>635.26708888888891</v>
      </c>
      <c r="BF326" s="181">
        <f t="shared" si="150"/>
        <v>0.61809770810810805</v>
      </c>
      <c r="BG326" s="520" t="b">
        <f t="shared" si="161"/>
        <v>0</v>
      </c>
      <c r="BI326" s="528" t="s">
        <v>2181</v>
      </c>
      <c r="BL326" s="151" t="str">
        <f t="shared" si="152"/>
        <v>EoKMetro - Nationaal</v>
      </c>
      <c r="BM326" s="529">
        <v>0</v>
      </c>
      <c r="BN326" s="180">
        <f>BM326/INDEX(Parameters!$B:$B,MATCH("AfschrijftermijnVVE"&amp;12*$C326,Parameters!$A:$A,0))</f>
        <v>0</v>
      </c>
      <c r="BO326" s="184">
        <f>INDEX('inkoop ULL tbv EVPN'!I:I,MATCH(BL326,'inkoop ULL tbv EVPN'!H:H,0))</f>
        <v>2</v>
      </c>
      <c r="BP326" s="184">
        <f t="shared" si="153"/>
        <v>2</v>
      </c>
      <c r="BR326" s="180">
        <f>Parameters!$B$12*AG326</f>
        <v>102.77777777777779</v>
      </c>
      <c r="BS326" s="180">
        <f>SUM(Distributievergoedingen!$F$12,Distributievergoedingen!$I$12,Distributievergoedingen!$L$12,Distributievergoedingen!$O$12)*AF326+SUM(Distributievergoedingen!$O$12*AA326+Distributievergoedingen!$R$12+Distributievergoedingen!$U$12+Distributievergoedingen!$X$12)/(MAX(36,12*C326))</f>
        <v>112.77777777777777</v>
      </c>
      <c r="BT326" s="150"/>
      <c r="BU326" s="150">
        <f t="shared" si="154"/>
        <v>215.55555555555554</v>
      </c>
      <c r="BW326" s="522">
        <f t="shared" si="155"/>
        <v>217.55555555555554</v>
      </c>
      <c r="BY326" s="527">
        <f t="shared" si="156"/>
        <v>810.22222222222229</v>
      </c>
      <c r="BZ326" s="181">
        <f t="shared" si="157"/>
        <v>0.78832432432432431</v>
      </c>
      <c r="CA326" s="520" t="b">
        <f t="shared" si="158"/>
        <v>0</v>
      </c>
    </row>
    <row r="327" spans="1:79" s="151" customFormat="1">
      <c r="A327" s="151" t="str">
        <f t="shared" si="151"/>
        <v>3EoKPremiumNationaal1</v>
      </c>
      <c r="B327" s="520" t="str">
        <f t="shared" si="169"/>
        <v>3EoKPremiumNationaal1</v>
      </c>
      <c r="C327" s="179">
        <v>3</v>
      </c>
      <c r="D327" s="179" t="s">
        <v>303</v>
      </c>
      <c r="E327" s="178" t="s">
        <v>267</v>
      </c>
      <c r="F327" s="178" t="s">
        <v>266</v>
      </c>
      <c r="G327" s="185" t="s">
        <v>362</v>
      </c>
      <c r="J327" s="520" t="str">
        <f t="shared" si="159"/>
        <v>PremiumNationaal1</v>
      </c>
      <c r="L327" s="204">
        <f>INDEX(Mapping!$H:$H,MATCH(C$3&amp;C327,Mapping!$B:$B,0))</f>
        <v>1</v>
      </c>
      <c r="M327" s="204" t="str">
        <f>INDEX(Mapping!$H:$H,MATCH(D$3&amp;$D327,Mapping!$B:$B,0))</f>
        <v>EoK</v>
      </c>
      <c r="N327" s="204" t="str">
        <f>INDEX(Mapping!$H:$H,MATCH(E$3&amp;E327,Mapping!$B:$B,0))</f>
        <v>Premium</v>
      </c>
      <c r="O327" s="204" t="str">
        <f>INDEX(Mapping!$H:$H,MATCH(F$3&amp;F327,Mapping!$B:$B,0))</f>
        <v>Metro</v>
      </c>
      <c r="P327" s="204">
        <f>INDEX(Mapping!$H:$H,MATCH(G$3&amp;G327,Mapping!$B:$B,0))</f>
        <v>1</v>
      </c>
      <c r="Q327" s="204" t="str">
        <f>INDEX(Mapping!$H:$H,MATCH(Q$3&amp;$F327,Mapping!$B:$B,0))</f>
        <v>Metro - Nationaal</v>
      </c>
      <c r="R327" s="204" t="str">
        <f>INDEX(Mapping!$H:$H,MATCH("ZM VPN Service Level"&amp;E327,Mapping!$B:$B,0))</f>
        <v>Advanced</v>
      </c>
      <c r="S327" s="139" t="b">
        <f>IF($D327="EoK",INDEX(Mapping!$I:$I,MATCH($G$3&amp;$G327,Mapping!B:B,0)),FALSE)</f>
        <v>1</v>
      </c>
      <c r="T327" s="139"/>
      <c r="U327" s="520" t="str">
        <f t="shared" si="160"/>
        <v>PremiumMetro1</v>
      </c>
      <c r="W327" s="521">
        <f>MATCH($J327,'Tarieven ZM'!$B:$B,0)</f>
        <v>103</v>
      </c>
      <c r="X327" s="204">
        <f>INDEX('Tarieven ZM'!$H:$H,$W327)</f>
        <v>1000</v>
      </c>
      <c r="Y327" s="198">
        <f>-INDEX(Parameters!$B:$B,MATCH(Y$3&amp;$C327,Parameters!$A:$A,0))*$X327</f>
        <v>0</v>
      </c>
      <c r="Z327" s="198">
        <f>-INDEX(Parameters!$B:$B,MATCH(Z$3&amp;$C327,Parameters!$A:$A,0))*$X327</f>
        <v>0</v>
      </c>
      <c r="AA327" s="139">
        <f t="shared" si="162"/>
        <v>1000</v>
      </c>
      <c r="AB327" s="205">
        <f>AA327/INDEX(Parameters!$B:$B,MATCH("AfschrijftermijnVVE"&amp;12*$C327,Parameters!$A:$A,0))</f>
        <v>27.777777777777779</v>
      </c>
      <c r="AC327" s="204">
        <f>INDEX('Tarieven ZM'!$G:$G,$W327)</f>
        <v>1000</v>
      </c>
      <c r="AD327" s="198">
        <f>-INDEX(Parameters!$B:$B,MATCH(AD$3&amp;$C327,Parameters!$A:$A,0))*$AC327</f>
        <v>0</v>
      </c>
      <c r="AE327" s="198">
        <f>-INDEX(Parameters!$B:$B,MATCH(AE$3,Parameters!$A:$A,0))*$AC327</f>
        <v>0</v>
      </c>
      <c r="AF327" s="139">
        <f t="shared" si="163"/>
        <v>1000</v>
      </c>
      <c r="AG327" s="522">
        <f t="shared" si="164"/>
        <v>1027.7777777777778</v>
      </c>
      <c r="AH327" s="175"/>
      <c r="AI327" s="523">
        <f>MATCH($U327,'Tarieven W&amp;O'!$B:$B,0)</f>
        <v>57</v>
      </c>
      <c r="AJ327" s="204">
        <f>IF(AI327&lt;&gt;"nvt",INDEX('Tarieven W&amp;O'!$H:$H,$AI327),0)</f>
        <v>0</v>
      </c>
      <c r="AK327" s="204">
        <f>IF(AI327&lt;&gt;"nvt",INDEX('Tarieven W&amp;O'!$I:$I,$AI327),0)</f>
        <v>25</v>
      </c>
      <c r="AL327" s="524">
        <f>IF(AI327&lt;&gt;"nvt",-INDEX(Parameters!$B:$B,MATCH(AL$3,Parameters!$A:$A,0))*(AJ327+AK327),0)</f>
        <v>0</v>
      </c>
      <c r="AM327" s="525"/>
      <c r="AN327" s="139">
        <f t="shared" si="165"/>
        <v>25</v>
      </c>
      <c r="AO327" s="205">
        <f>AN327/INDEX(Parameters!$B:$B,MATCH("AfschrijftermijnVVE"&amp;12*$C327,Parameters!$A:$A,0))</f>
        <v>0.69444444444444442</v>
      </c>
      <c r="AP327" s="139">
        <f t="shared" si="166"/>
        <v>57</v>
      </c>
      <c r="AQ327" s="526">
        <f>IF(AP327&lt;&gt;"nvt",INDEX('Tarieven W&amp;O'!$G:$G,$AP327),0)</f>
        <v>14.29</v>
      </c>
      <c r="AR327" s="251">
        <f>IF($S327,INDEX('Tarieven W&amp;O'!$G:$G,MATCH(N327&amp;R327,'Tarieven W&amp;O'!$B:$B,0)),0)</f>
        <v>0</v>
      </c>
      <c r="AS327" s="205">
        <f>-INDEX(Parameters!$B:$B,MATCH(AS$3,Parameters!$A:$A,0))*(AQ327+AR327)</f>
        <v>0</v>
      </c>
      <c r="AT327" s="205">
        <f>INDEX(hulpblad!$E:$E,MATCH(M327&amp;Q327,hulpblad!$B:$B,0))</f>
        <v>2</v>
      </c>
      <c r="AU327" s="150">
        <f t="shared" si="147"/>
        <v>16.29</v>
      </c>
      <c r="AV327" s="150">
        <f t="shared" si="148"/>
        <v>16.984444444444442</v>
      </c>
      <c r="AX327" s="526">
        <f>Parameters!$B$6*AV327</f>
        <v>0.16984444444444444</v>
      </c>
      <c r="AY327" s="150">
        <v>0</v>
      </c>
      <c r="AZ327" s="150"/>
      <c r="BA327" s="150">
        <f t="shared" si="167"/>
        <v>0.16984444444444444</v>
      </c>
      <c r="BB327" s="150"/>
      <c r="BC327" s="522">
        <f t="shared" si="168"/>
        <v>17.154288888888885</v>
      </c>
      <c r="BD327" s="175"/>
      <c r="BE327" s="527">
        <f t="shared" si="149"/>
        <v>1010.6234888888889</v>
      </c>
      <c r="BF327" s="181">
        <f t="shared" si="150"/>
        <v>0.98330934054054053</v>
      </c>
      <c r="BG327" s="520" t="b">
        <f t="shared" si="161"/>
        <v>0</v>
      </c>
      <c r="BI327" s="528" t="s">
        <v>2181</v>
      </c>
      <c r="BL327" s="151" t="str">
        <f t="shared" si="152"/>
        <v>EoKMetro - Nationaal</v>
      </c>
      <c r="BM327" s="529">
        <v>0</v>
      </c>
      <c r="BN327" s="180">
        <f>BM327/INDEX(Parameters!$B:$B,MATCH("AfschrijftermijnVVE"&amp;12*$C327,Parameters!$A:$A,0))</f>
        <v>0</v>
      </c>
      <c r="BO327" s="184">
        <f>INDEX('inkoop ULL tbv EVPN'!I:I,MATCH(BL327,'inkoop ULL tbv EVPN'!H:H,0))</f>
        <v>2</v>
      </c>
      <c r="BP327" s="184">
        <f t="shared" si="153"/>
        <v>2</v>
      </c>
      <c r="BR327" s="180">
        <f>Parameters!$B$12*AG327</f>
        <v>102.77777777777779</v>
      </c>
      <c r="BS327" s="180">
        <f>SUM(Distributievergoedingen!$F$12,Distributievergoedingen!$I$12,Distributievergoedingen!$L$12,Distributievergoedingen!$O$12)*AF327+SUM(Distributievergoedingen!$O$12*AA327+Distributievergoedingen!$R$12+Distributievergoedingen!$U$12+Distributievergoedingen!$X$12)/(MAX(36,12*C327))</f>
        <v>112.77777777777777</v>
      </c>
      <c r="BT327" s="150"/>
      <c r="BU327" s="150">
        <f t="shared" si="154"/>
        <v>215.55555555555554</v>
      </c>
      <c r="BW327" s="522">
        <f t="shared" si="155"/>
        <v>217.55555555555554</v>
      </c>
      <c r="BY327" s="527">
        <f t="shared" si="156"/>
        <v>810.22222222222229</v>
      </c>
      <c r="BZ327" s="181">
        <f t="shared" si="157"/>
        <v>0.78832432432432431</v>
      </c>
      <c r="CA327" s="520" t="b">
        <f t="shared" si="158"/>
        <v>0</v>
      </c>
    </row>
    <row r="328" spans="1:79" s="151" customFormat="1">
      <c r="A328" s="151" t="str">
        <f t="shared" si="151"/>
        <v>3EoKPremiumNationaal2</v>
      </c>
      <c r="B328" s="520" t="str">
        <f t="shared" si="169"/>
        <v>3EoKPremiumNationaal2</v>
      </c>
      <c r="C328" s="179">
        <v>3</v>
      </c>
      <c r="D328" s="179" t="s">
        <v>303</v>
      </c>
      <c r="E328" s="178" t="s">
        <v>267</v>
      </c>
      <c r="F328" s="178" t="s">
        <v>266</v>
      </c>
      <c r="G328" s="185" t="s">
        <v>363</v>
      </c>
      <c r="J328" s="520" t="str">
        <f t="shared" si="159"/>
        <v>PremiumNationaal2</v>
      </c>
      <c r="L328" s="204">
        <f>INDEX(Mapping!$H:$H,MATCH(C$3&amp;C328,Mapping!$B:$B,0))</f>
        <v>1</v>
      </c>
      <c r="M328" s="204" t="str">
        <f>INDEX(Mapping!$H:$H,MATCH(D$3&amp;$D328,Mapping!$B:$B,0))</f>
        <v>EoK</v>
      </c>
      <c r="N328" s="204" t="str">
        <f>INDEX(Mapping!$H:$H,MATCH(E$3&amp;E328,Mapping!$B:$B,0))</f>
        <v>Premium</v>
      </c>
      <c r="O328" s="204" t="str">
        <f>INDEX(Mapping!$H:$H,MATCH(F$3&amp;F328,Mapping!$B:$B,0))</f>
        <v>Metro</v>
      </c>
      <c r="P328" s="204">
        <f>INDEX(Mapping!$H:$H,MATCH(G$3&amp;G328,Mapping!$B:$B,0))</f>
        <v>2</v>
      </c>
      <c r="Q328" s="204" t="str">
        <f>INDEX(Mapping!$H:$H,MATCH(Q$3&amp;$F328,Mapping!$B:$B,0))</f>
        <v>Metro - Nationaal</v>
      </c>
      <c r="R328" s="204" t="str">
        <f>INDEX(Mapping!$H:$H,MATCH("ZM VPN Service Level"&amp;E328,Mapping!$B:$B,0))</f>
        <v>Advanced</v>
      </c>
      <c r="S328" s="139" t="b">
        <f>IF($D328="EoK",INDEX(Mapping!$I:$I,MATCH($G$3&amp;$G328,Mapping!B:B,0)),FALSE)</f>
        <v>1</v>
      </c>
      <c r="T328" s="139"/>
      <c r="U328" s="520" t="str">
        <f t="shared" si="160"/>
        <v>PremiumMetro2</v>
      </c>
      <c r="W328" s="521">
        <f>MATCH($J328,'Tarieven ZM'!$B:$B,0)</f>
        <v>104</v>
      </c>
      <c r="X328" s="204">
        <f>INDEX('Tarieven ZM'!$H:$H,$W328)</f>
        <v>1000</v>
      </c>
      <c r="Y328" s="198">
        <f>-INDEX(Parameters!$B:$B,MATCH(Y$3&amp;$C328,Parameters!$A:$A,0))*$X328</f>
        <v>0</v>
      </c>
      <c r="Z328" s="198">
        <f>-INDEX(Parameters!$B:$B,MATCH(Z$3&amp;$C328,Parameters!$A:$A,0))*$X328</f>
        <v>0</v>
      </c>
      <c r="AA328" s="139">
        <f t="shared" si="162"/>
        <v>1000</v>
      </c>
      <c r="AB328" s="205">
        <f>AA328/INDEX(Parameters!$B:$B,MATCH("AfschrijftermijnVVE"&amp;12*$C328,Parameters!$A:$A,0))</f>
        <v>27.777777777777779</v>
      </c>
      <c r="AC328" s="204">
        <f>INDEX('Tarieven ZM'!$G:$G,$W328)</f>
        <v>1000</v>
      </c>
      <c r="AD328" s="198">
        <f>-INDEX(Parameters!$B:$B,MATCH(AD$3&amp;$C328,Parameters!$A:$A,0))*$AC328</f>
        <v>0</v>
      </c>
      <c r="AE328" s="198">
        <f>-INDEX(Parameters!$B:$B,MATCH(AE$3,Parameters!$A:$A,0))*$AC328</f>
        <v>0</v>
      </c>
      <c r="AF328" s="139">
        <f t="shared" si="163"/>
        <v>1000</v>
      </c>
      <c r="AG328" s="522">
        <f t="shared" si="164"/>
        <v>1027.7777777777778</v>
      </c>
      <c r="AH328" s="175"/>
      <c r="AI328" s="523">
        <f>MATCH($U328,'Tarieven W&amp;O'!$B:$B,0)</f>
        <v>58</v>
      </c>
      <c r="AJ328" s="204">
        <f>IF(AI328&lt;&gt;"nvt",INDEX('Tarieven W&amp;O'!$H:$H,$AI328),0)</f>
        <v>0</v>
      </c>
      <c r="AK328" s="204">
        <f>IF(AI328&lt;&gt;"nvt",INDEX('Tarieven W&amp;O'!$I:$I,$AI328),0)</f>
        <v>25</v>
      </c>
      <c r="AL328" s="524">
        <f>IF(AI328&lt;&gt;"nvt",-INDEX(Parameters!$B:$B,MATCH(AL$3,Parameters!$A:$A,0))*(AJ328+AK328),0)</f>
        <v>0</v>
      </c>
      <c r="AM328" s="525"/>
      <c r="AN328" s="139">
        <f t="shared" si="165"/>
        <v>25</v>
      </c>
      <c r="AO328" s="205">
        <f>AN328/INDEX(Parameters!$B:$B,MATCH("AfschrijftermijnVVE"&amp;12*$C328,Parameters!$A:$A,0))</f>
        <v>0.69444444444444442</v>
      </c>
      <c r="AP328" s="139">
        <f t="shared" si="166"/>
        <v>58</v>
      </c>
      <c r="AQ328" s="526">
        <f>IF(AP328&lt;&gt;"nvt",INDEX('Tarieven W&amp;O'!$G:$G,$AP328),0)</f>
        <v>16.55</v>
      </c>
      <c r="AR328" s="251">
        <f>IF($S328,INDEX('Tarieven W&amp;O'!$G:$G,MATCH(N328&amp;R328,'Tarieven W&amp;O'!$B:$B,0)),0)</f>
        <v>0</v>
      </c>
      <c r="AS328" s="205">
        <f>-INDEX(Parameters!$B:$B,MATCH(AS$3,Parameters!$A:$A,0))*(AQ328+AR328)</f>
        <v>0</v>
      </c>
      <c r="AT328" s="205">
        <f>INDEX(hulpblad!$E:$E,MATCH(M328&amp;Q328,hulpblad!$B:$B,0))</f>
        <v>2</v>
      </c>
      <c r="AU328" s="150">
        <f t="shared" si="147"/>
        <v>18.55</v>
      </c>
      <c r="AV328" s="150">
        <f t="shared" si="148"/>
        <v>19.244444444444444</v>
      </c>
      <c r="AX328" s="526">
        <f>Parameters!$B$6*AV328</f>
        <v>0.19244444444444445</v>
      </c>
      <c r="AY328" s="150">
        <v>0</v>
      </c>
      <c r="AZ328" s="150"/>
      <c r="BA328" s="150">
        <f t="shared" si="167"/>
        <v>0.19244444444444445</v>
      </c>
      <c r="BB328" s="150"/>
      <c r="BC328" s="522">
        <f t="shared" si="168"/>
        <v>19.436888888888888</v>
      </c>
      <c r="BD328" s="175"/>
      <c r="BE328" s="527">
        <f t="shared" si="149"/>
        <v>1008.3408888888889</v>
      </c>
      <c r="BF328" s="181">
        <f t="shared" si="150"/>
        <v>0.98108843243243238</v>
      </c>
      <c r="BG328" s="520" t="b">
        <f t="shared" si="161"/>
        <v>0</v>
      </c>
      <c r="BI328" s="528" t="s">
        <v>2181</v>
      </c>
      <c r="BL328" s="151" t="str">
        <f t="shared" si="152"/>
        <v>EoKMetro - Nationaal</v>
      </c>
      <c r="BM328" s="529">
        <v>0</v>
      </c>
      <c r="BN328" s="180">
        <f>BM328/INDEX(Parameters!$B:$B,MATCH("AfschrijftermijnVVE"&amp;12*$C328,Parameters!$A:$A,0))</f>
        <v>0</v>
      </c>
      <c r="BO328" s="184">
        <f>INDEX('inkoop ULL tbv EVPN'!I:I,MATCH(BL328,'inkoop ULL tbv EVPN'!H:H,0))</f>
        <v>2</v>
      </c>
      <c r="BP328" s="184">
        <f t="shared" si="153"/>
        <v>2</v>
      </c>
      <c r="BR328" s="180">
        <f>Parameters!$B$12*AG328</f>
        <v>102.77777777777779</v>
      </c>
      <c r="BS328" s="180">
        <f>SUM(Distributievergoedingen!$F$12,Distributievergoedingen!$I$12,Distributievergoedingen!$L$12,Distributievergoedingen!$O$12)*AF328+SUM(Distributievergoedingen!$O$12*AA328+Distributievergoedingen!$R$12+Distributievergoedingen!$U$12+Distributievergoedingen!$X$12)/(MAX(36,12*C328))</f>
        <v>112.77777777777777</v>
      </c>
      <c r="BT328" s="150"/>
      <c r="BU328" s="150">
        <f t="shared" si="154"/>
        <v>215.55555555555554</v>
      </c>
      <c r="BW328" s="522">
        <f t="shared" si="155"/>
        <v>217.55555555555554</v>
      </c>
      <c r="BY328" s="527">
        <f t="shared" si="156"/>
        <v>810.22222222222229</v>
      </c>
      <c r="BZ328" s="181">
        <f t="shared" si="157"/>
        <v>0.78832432432432431</v>
      </c>
      <c r="CA328" s="520" t="b">
        <f t="shared" si="158"/>
        <v>0</v>
      </c>
    </row>
    <row r="329" spans="1:79" s="151" customFormat="1">
      <c r="A329" s="151" t="str">
        <f t="shared" si="151"/>
        <v>3EoKPremiumNationaal3</v>
      </c>
      <c r="B329" s="520" t="str">
        <f t="shared" si="169"/>
        <v>3EoKPremiumNationaal3</v>
      </c>
      <c r="C329" s="179">
        <v>3</v>
      </c>
      <c r="D329" s="179" t="s">
        <v>303</v>
      </c>
      <c r="E329" s="178" t="s">
        <v>267</v>
      </c>
      <c r="F329" s="178" t="s">
        <v>266</v>
      </c>
      <c r="G329" s="185" t="s">
        <v>407</v>
      </c>
      <c r="J329" s="520" t="str">
        <f t="shared" si="159"/>
        <v>PremiumNationaal3</v>
      </c>
      <c r="L329" s="204">
        <f>INDEX(Mapping!$H:$H,MATCH(C$3&amp;C329,Mapping!$B:$B,0))</f>
        <v>1</v>
      </c>
      <c r="M329" s="204" t="str">
        <f>INDEX(Mapping!$H:$H,MATCH(D$3&amp;$D329,Mapping!$B:$B,0))</f>
        <v>EoK</v>
      </c>
      <c r="N329" s="204" t="str">
        <f>INDEX(Mapping!$H:$H,MATCH(E$3&amp;E329,Mapping!$B:$B,0))</f>
        <v>Premium</v>
      </c>
      <c r="O329" s="204" t="str">
        <f>INDEX(Mapping!$H:$H,MATCH(F$3&amp;F329,Mapping!$B:$B,0))</f>
        <v>Metro</v>
      </c>
      <c r="P329" s="204">
        <f>INDEX(Mapping!$H:$H,MATCH(G$3&amp;G329,Mapping!$B:$B,0))</f>
        <v>3</v>
      </c>
      <c r="Q329" s="204" t="str">
        <f>INDEX(Mapping!$H:$H,MATCH(Q$3&amp;$F329,Mapping!$B:$B,0))</f>
        <v>Metro - Nationaal</v>
      </c>
      <c r="R329" s="204" t="str">
        <f>INDEX(Mapping!$H:$H,MATCH("ZM VPN Service Level"&amp;E329,Mapping!$B:$B,0))</f>
        <v>Advanced</v>
      </c>
      <c r="S329" s="139" t="b">
        <f>IF($D329="EoK",INDEX(Mapping!$I:$I,MATCH($G$3&amp;$G329,Mapping!B:B,0)),FALSE)</f>
        <v>0</v>
      </c>
      <c r="T329" s="139"/>
      <c r="U329" s="520" t="str">
        <f t="shared" si="160"/>
        <v>PremiumMetro3</v>
      </c>
      <c r="W329" s="521">
        <f>MATCH($J329,'Tarieven ZM'!$B:$B,0)</f>
        <v>105</v>
      </c>
      <c r="X329" s="204">
        <f>INDEX('Tarieven ZM'!$H:$H,$W329)</f>
        <v>1000</v>
      </c>
      <c r="Y329" s="198">
        <f>-INDEX(Parameters!$B:$B,MATCH(Y$3&amp;$C329,Parameters!$A:$A,0))*$X329</f>
        <v>0</v>
      </c>
      <c r="Z329" s="198">
        <f>-INDEX(Parameters!$B:$B,MATCH(Z$3&amp;$C329,Parameters!$A:$A,0))*$X329</f>
        <v>0</v>
      </c>
      <c r="AA329" s="139">
        <f t="shared" si="162"/>
        <v>1000</v>
      </c>
      <c r="AB329" s="205">
        <f>AA329/INDEX(Parameters!$B:$B,MATCH("AfschrijftermijnVVE"&amp;12*$C329,Parameters!$A:$A,0))</f>
        <v>27.777777777777779</v>
      </c>
      <c r="AC329" s="204">
        <f>INDEX('Tarieven ZM'!$G:$G,$W329)</f>
        <v>1000</v>
      </c>
      <c r="AD329" s="198">
        <f>-INDEX(Parameters!$B:$B,MATCH(AD$3&amp;$C329,Parameters!$A:$A,0))*$AC329</f>
        <v>0</v>
      </c>
      <c r="AE329" s="198">
        <f>-INDEX(Parameters!$B:$B,MATCH(AE$3,Parameters!$A:$A,0))*$AC329</f>
        <v>0</v>
      </c>
      <c r="AF329" s="139">
        <f t="shared" si="163"/>
        <v>1000</v>
      </c>
      <c r="AG329" s="522">
        <f t="shared" si="164"/>
        <v>1027.7777777777778</v>
      </c>
      <c r="AH329" s="175"/>
      <c r="AI329" s="523">
        <f>MATCH($U329,'Tarieven W&amp;O'!$B:$B,0)</f>
        <v>59</v>
      </c>
      <c r="AJ329" s="204">
        <f>IF(AI329&lt;&gt;"nvt",INDEX('Tarieven W&amp;O'!$H:$H,$AI329),0)</f>
        <v>0</v>
      </c>
      <c r="AK329" s="204">
        <f>IF(AI329&lt;&gt;"nvt",INDEX('Tarieven W&amp;O'!$I:$I,$AI329),0)</f>
        <v>25</v>
      </c>
      <c r="AL329" s="524">
        <f>IF(AI329&lt;&gt;"nvt",-INDEX(Parameters!$B:$B,MATCH(AL$3,Parameters!$A:$A,0))*(AJ329+AK329),0)</f>
        <v>0</v>
      </c>
      <c r="AM329" s="525"/>
      <c r="AN329" s="139">
        <f t="shared" si="165"/>
        <v>25</v>
      </c>
      <c r="AO329" s="205">
        <f>AN329/INDEX(Parameters!$B:$B,MATCH("AfschrijftermijnVVE"&amp;12*$C329,Parameters!$A:$A,0))</f>
        <v>0.69444444444444442</v>
      </c>
      <c r="AP329" s="139">
        <f t="shared" si="166"/>
        <v>59</v>
      </c>
      <c r="AQ329" s="526">
        <f>IF(AP329&lt;&gt;"nvt",INDEX('Tarieven W&amp;O'!$G:$G,$AP329),0)</f>
        <v>27.86</v>
      </c>
      <c r="AR329" s="251">
        <f>IF($S329,INDEX('Tarieven W&amp;O'!$G:$G,MATCH(N329&amp;R329,'Tarieven W&amp;O'!$B:$B,0)),0)</f>
        <v>0</v>
      </c>
      <c r="AS329" s="205">
        <f>-INDEX(Parameters!$B:$B,MATCH(AS$3,Parameters!$A:$A,0))*(AQ329+AR329)</f>
        <v>0</v>
      </c>
      <c r="AT329" s="205">
        <f>INDEX(hulpblad!$E:$E,MATCH(M329&amp;Q329,hulpblad!$B:$B,0))</f>
        <v>2</v>
      </c>
      <c r="AU329" s="150">
        <f t="shared" si="147"/>
        <v>29.86</v>
      </c>
      <c r="AV329" s="150">
        <f t="shared" si="148"/>
        <v>30.554444444444442</v>
      </c>
      <c r="AX329" s="526">
        <f>Parameters!$B$6*AV329</f>
        <v>0.30554444444444445</v>
      </c>
      <c r="AY329" s="150">
        <v>0</v>
      </c>
      <c r="AZ329" s="150"/>
      <c r="BA329" s="150">
        <f t="shared" si="167"/>
        <v>0.30554444444444445</v>
      </c>
      <c r="BB329" s="150"/>
      <c r="BC329" s="522">
        <f t="shared" si="168"/>
        <v>30.859988888888886</v>
      </c>
      <c r="BD329" s="175"/>
      <c r="BE329" s="527">
        <f t="shared" si="149"/>
        <v>996.91778888888894</v>
      </c>
      <c r="BF329" s="181">
        <f t="shared" si="150"/>
        <v>0.96997406486486482</v>
      </c>
      <c r="BG329" s="520" t="b">
        <f t="shared" si="161"/>
        <v>0</v>
      </c>
      <c r="BI329" s="528" t="s">
        <v>2181</v>
      </c>
      <c r="BL329" s="151" t="str">
        <f t="shared" si="152"/>
        <v>EoKMetro - Nationaal</v>
      </c>
      <c r="BM329" s="529">
        <v>0</v>
      </c>
      <c r="BN329" s="180">
        <f>BM329/INDEX(Parameters!$B:$B,MATCH("AfschrijftermijnVVE"&amp;12*$C329,Parameters!$A:$A,0))</f>
        <v>0</v>
      </c>
      <c r="BO329" s="184">
        <f>INDEX('inkoop ULL tbv EVPN'!I:I,MATCH(BL329,'inkoop ULL tbv EVPN'!H:H,0))</f>
        <v>2</v>
      </c>
      <c r="BP329" s="184">
        <f t="shared" si="153"/>
        <v>2</v>
      </c>
      <c r="BR329" s="180">
        <f>Parameters!$B$12*AG329</f>
        <v>102.77777777777779</v>
      </c>
      <c r="BS329" s="180">
        <f>SUM(Distributievergoedingen!$F$12,Distributievergoedingen!$I$12,Distributievergoedingen!$L$12,Distributievergoedingen!$O$12)*AF329+SUM(Distributievergoedingen!$O$12*AA329+Distributievergoedingen!$R$12+Distributievergoedingen!$U$12+Distributievergoedingen!$X$12)/(MAX(36,12*C329))</f>
        <v>112.77777777777777</v>
      </c>
      <c r="BT329" s="150"/>
      <c r="BU329" s="150">
        <f t="shared" si="154"/>
        <v>215.55555555555554</v>
      </c>
      <c r="BW329" s="522">
        <f t="shared" si="155"/>
        <v>217.55555555555554</v>
      </c>
      <c r="BY329" s="527">
        <f t="shared" si="156"/>
        <v>810.22222222222229</v>
      </c>
      <c r="BZ329" s="181">
        <f t="shared" si="157"/>
        <v>0.78832432432432431</v>
      </c>
      <c r="CA329" s="520" t="b">
        <f t="shared" si="158"/>
        <v>0</v>
      </c>
    </row>
    <row r="330" spans="1:79" s="151" customFormat="1">
      <c r="A330" s="151" t="str">
        <f t="shared" si="151"/>
        <v>3EoKPremiumNationaal4</v>
      </c>
      <c r="B330" s="520" t="str">
        <f t="shared" si="169"/>
        <v>3EoKPremiumNationaal4</v>
      </c>
      <c r="C330" s="179">
        <v>3</v>
      </c>
      <c r="D330" s="179" t="s">
        <v>303</v>
      </c>
      <c r="E330" s="178" t="s">
        <v>267</v>
      </c>
      <c r="F330" s="178" t="s">
        <v>266</v>
      </c>
      <c r="G330" s="185" t="s">
        <v>408</v>
      </c>
      <c r="J330" s="520" t="str">
        <f t="shared" si="159"/>
        <v>PremiumNationaal4</v>
      </c>
      <c r="L330" s="204">
        <f>INDEX(Mapping!$H:$H,MATCH(C$3&amp;C330,Mapping!$B:$B,0))</f>
        <v>1</v>
      </c>
      <c r="M330" s="204" t="str">
        <f>INDEX(Mapping!$H:$H,MATCH(D$3&amp;$D330,Mapping!$B:$B,0))</f>
        <v>EoK</v>
      </c>
      <c r="N330" s="204" t="str">
        <f>INDEX(Mapping!$H:$H,MATCH(E$3&amp;E330,Mapping!$B:$B,0))</f>
        <v>Premium</v>
      </c>
      <c r="O330" s="204" t="str">
        <f>INDEX(Mapping!$H:$H,MATCH(F$3&amp;F330,Mapping!$B:$B,0))</f>
        <v>Metro</v>
      </c>
      <c r="P330" s="204">
        <f>INDEX(Mapping!$H:$H,MATCH(G$3&amp;G330,Mapping!$B:$B,0))</f>
        <v>4</v>
      </c>
      <c r="Q330" s="204" t="str">
        <f>INDEX(Mapping!$H:$H,MATCH(Q$3&amp;$F330,Mapping!$B:$B,0))</f>
        <v>Metro - Nationaal</v>
      </c>
      <c r="R330" s="204" t="str">
        <f>INDEX(Mapping!$H:$H,MATCH("ZM VPN Service Level"&amp;E330,Mapping!$B:$B,0))</f>
        <v>Advanced</v>
      </c>
      <c r="S330" s="139" t="b">
        <f>IF($D330="EoK",INDEX(Mapping!$I:$I,MATCH($G$3&amp;$G330,Mapping!B:B,0)),FALSE)</f>
        <v>0</v>
      </c>
      <c r="T330" s="139"/>
      <c r="U330" s="520" t="str">
        <f t="shared" si="160"/>
        <v>PremiumMetro4</v>
      </c>
      <c r="W330" s="521">
        <f>MATCH($J330,'Tarieven ZM'!$B:$B,0)</f>
        <v>106</v>
      </c>
      <c r="X330" s="204">
        <f>INDEX('Tarieven ZM'!$H:$H,$W330)</f>
        <v>1000</v>
      </c>
      <c r="Y330" s="198">
        <f>-INDEX(Parameters!$B:$B,MATCH(Y$3&amp;$C330,Parameters!$A:$A,0))*$X330</f>
        <v>0</v>
      </c>
      <c r="Z330" s="198">
        <f>-INDEX(Parameters!$B:$B,MATCH(Z$3&amp;$C330,Parameters!$A:$A,0))*$X330</f>
        <v>0</v>
      </c>
      <c r="AA330" s="139">
        <f t="shared" si="162"/>
        <v>1000</v>
      </c>
      <c r="AB330" s="205">
        <f>AA330/INDEX(Parameters!$B:$B,MATCH("AfschrijftermijnVVE"&amp;12*$C330,Parameters!$A:$A,0))</f>
        <v>27.777777777777779</v>
      </c>
      <c r="AC330" s="204">
        <f>INDEX('Tarieven ZM'!$G:$G,$W330)</f>
        <v>1000</v>
      </c>
      <c r="AD330" s="198">
        <f>-INDEX(Parameters!$B:$B,MATCH(AD$3&amp;$C330,Parameters!$A:$A,0))*$AC330</f>
        <v>0</v>
      </c>
      <c r="AE330" s="198">
        <f>-INDEX(Parameters!$B:$B,MATCH(AE$3,Parameters!$A:$A,0))*$AC330</f>
        <v>0</v>
      </c>
      <c r="AF330" s="139">
        <f t="shared" si="163"/>
        <v>1000</v>
      </c>
      <c r="AG330" s="522">
        <f t="shared" si="164"/>
        <v>1027.7777777777778</v>
      </c>
      <c r="AH330" s="175"/>
      <c r="AI330" s="523">
        <f>MATCH($U330,'Tarieven W&amp;O'!$B:$B,0)</f>
        <v>60</v>
      </c>
      <c r="AJ330" s="204">
        <f>IF(AI330&lt;&gt;"nvt",INDEX('Tarieven W&amp;O'!$H:$H,$AI330),0)</f>
        <v>0</v>
      </c>
      <c r="AK330" s="204">
        <f>IF(AI330&lt;&gt;"nvt",INDEX('Tarieven W&amp;O'!$I:$I,$AI330),0)</f>
        <v>25</v>
      </c>
      <c r="AL330" s="524">
        <f>IF(AI330&lt;&gt;"nvt",-INDEX(Parameters!$B:$B,MATCH(AL$3,Parameters!$A:$A,0))*(AJ330+AK330),0)</f>
        <v>0</v>
      </c>
      <c r="AM330" s="525"/>
      <c r="AN330" s="139">
        <f t="shared" si="165"/>
        <v>25</v>
      </c>
      <c r="AO330" s="205">
        <f>AN330/INDEX(Parameters!$B:$B,MATCH("AfschrijftermijnVVE"&amp;12*$C330,Parameters!$A:$A,0))</f>
        <v>0.69444444444444442</v>
      </c>
      <c r="AP330" s="139">
        <f t="shared" si="166"/>
        <v>60</v>
      </c>
      <c r="AQ330" s="526">
        <f>IF(AP330&lt;&gt;"nvt",INDEX('Tarieven W&amp;O'!$G:$G,$AP330),0)</f>
        <v>42.94</v>
      </c>
      <c r="AR330" s="251">
        <f>IF($S330,INDEX('Tarieven W&amp;O'!$G:$G,MATCH(N330&amp;R330,'Tarieven W&amp;O'!$B:$B,0)),0)</f>
        <v>0</v>
      </c>
      <c r="AS330" s="205">
        <f>-INDEX(Parameters!$B:$B,MATCH(AS$3,Parameters!$A:$A,0))*(AQ330+AR330)</f>
        <v>0</v>
      </c>
      <c r="AT330" s="205">
        <f>INDEX(hulpblad!$E:$E,MATCH(M330&amp;Q330,hulpblad!$B:$B,0))</f>
        <v>2</v>
      </c>
      <c r="AU330" s="150">
        <f t="shared" ref="AU330:AU345" si="170">SUM(AQ330:AT330)</f>
        <v>44.94</v>
      </c>
      <c r="AV330" s="150">
        <f t="shared" ref="AV330:AV345" si="171">SUM(AO330,AU330)</f>
        <v>45.634444444444441</v>
      </c>
      <c r="AX330" s="526">
        <f>Parameters!$B$6*AV330</f>
        <v>0.45634444444444444</v>
      </c>
      <c r="AY330" s="150">
        <v>0</v>
      </c>
      <c r="AZ330" s="150"/>
      <c r="BA330" s="150">
        <f t="shared" si="167"/>
        <v>0.45634444444444444</v>
      </c>
      <c r="BB330" s="150"/>
      <c r="BC330" s="522">
        <f t="shared" si="168"/>
        <v>46.090788888888888</v>
      </c>
      <c r="BD330" s="175"/>
      <c r="BE330" s="527">
        <f t="shared" ref="BE330:BE345" si="172">AG330-BC330</f>
        <v>981.68698888888889</v>
      </c>
      <c r="BF330" s="181">
        <f t="shared" ref="BF330:BF345" si="173">IF(AG330=0,-999%,BE330/AG330)</f>
        <v>0.9551549081081081</v>
      </c>
      <c r="BG330" s="520" t="b">
        <f t="shared" si="161"/>
        <v>0</v>
      </c>
      <c r="BI330" s="528" t="s">
        <v>2181</v>
      </c>
      <c r="BL330" s="151" t="str">
        <f t="shared" si="152"/>
        <v>EoKMetro - Nationaal</v>
      </c>
      <c r="BM330" s="529">
        <v>0</v>
      </c>
      <c r="BN330" s="180">
        <f>BM330/INDEX(Parameters!$B:$B,MATCH("AfschrijftermijnVVE"&amp;12*$C330,Parameters!$A:$A,0))</f>
        <v>0</v>
      </c>
      <c r="BO330" s="184">
        <f>INDEX('inkoop ULL tbv EVPN'!I:I,MATCH(BL330,'inkoop ULL tbv EVPN'!H:H,0))</f>
        <v>2</v>
      </c>
      <c r="BP330" s="184">
        <f t="shared" si="153"/>
        <v>2</v>
      </c>
      <c r="BR330" s="180">
        <f>Parameters!$B$12*AG330</f>
        <v>102.77777777777779</v>
      </c>
      <c r="BS330" s="180">
        <f>SUM(Distributievergoedingen!$F$12,Distributievergoedingen!$I$12,Distributievergoedingen!$L$12,Distributievergoedingen!$O$12)*AF330+SUM(Distributievergoedingen!$O$12*AA330+Distributievergoedingen!$R$12+Distributievergoedingen!$U$12+Distributievergoedingen!$X$12)/(MAX(36,12*C330))</f>
        <v>112.77777777777777</v>
      </c>
      <c r="BT330" s="150"/>
      <c r="BU330" s="150">
        <f t="shared" si="154"/>
        <v>215.55555555555554</v>
      </c>
      <c r="BW330" s="522">
        <f t="shared" si="155"/>
        <v>217.55555555555554</v>
      </c>
      <c r="BY330" s="527">
        <f t="shared" si="156"/>
        <v>810.22222222222229</v>
      </c>
      <c r="BZ330" s="181">
        <f t="shared" si="157"/>
        <v>0.78832432432432431</v>
      </c>
      <c r="CA330" s="520" t="b">
        <f t="shared" si="158"/>
        <v>0</v>
      </c>
    </row>
    <row r="331" spans="1:79" s="151" customFormat="1">
      <c r="A331" s="151" t="str">
        <f t="shared" ref="A331:A345" si="174">C331&amp;D331&amp;E331&amp;F331&amp;G331&amp;H331</f>
        <v>3EoKPremiumNationaal5</v>
      </c>
      <c r="B331" s="520" t="str">
        <f t="shared" si="169"/>
        <v>3EoKPremiumNationaal5</v>
      </c>
      <c r="C331" s="179">
        <v>3</v>
      </c>
      <c r="D331" s="179" t="s">
        <v>303</v>
      </c>
      <c r="E331" s="178" t="s">
        <v>267</v>
      </c>
      <c r="F331" s="178" t="s">
        <v>266</v>
      </c>
      <c r="G331" s="185" t="s">
        <v>409</v>
      </c>
      <c r="J331" s="520" t="str">
        <f t="shared" si="159"/>
        <v>PremiumNationaal5</v>
      </c>
      <c r="L331" s="204">
        <f>INDEX(Mapping!$H:$H,MATCH(C$3&amp;C331,Mapping!$B:$B,0))</f>
        <v>1</v>
      </c>
      <c r="M331" s="204" t="str">
        <f>INDEX(Mapping!$H:$H,MATCH(D$3&amp;$D331,Mapping!$B:$B,0))</f>
        <v>EoK</v>
      </c>
      <c r="N331" s="204" t="str">
        <f>INDEX(Mapping!$H:$H,MATCH(E$3&amp;E331,Mapping!$B:$B,0))</f>
        <v>Premium</v>
      </c>
      <c r="O331" s="204" t="str">
        <f>INDEX(Mapping!$H:$H,MATCH(F$3&amp;F331,Mapping!$B:$B,0))</f>
        <v>Metro</v>
      </c>
      <c r="P331" s="204">
        <f>INDEX(Mapping!$H:$H,MATCH(G$3&amp;G331,Mapping!$B:$B,0))</f>
        <v>5</v>
      </c>
      <c r="Q331" s="204" t="str">
        <f>INDEX(Mapping!$H:$H,MATCH(Q$3&amp;$F331,Mapping!$B:$B,0))</f>
        <v>Metro - Nationaal</v>
      </c>
      <c r="R331" s="204" t="str">
        <f>INDEX(Mapping!$H:$H,MATCH("ZM VPN Service Level"&amp;E331,Mapping!$B:$B,0))</f>
        <v>Advanced</v>
      </c>
      <c r="S331" s="139" t="b">
        <f>IF($D331="EoK",INDEX(Mapping!$I:$I,MATCH($G$3&amp;$G331,Mapping!B:B,0)),FALSE)</f>
        <v>0</v>
      </c>
      <c r="T331" s="139"/>
      <c r="U331" s="520" t="str">
        <f t="shared" si="160"/>
        <v>PremiumMetro5</v>
      </c>
      <c r="W331" s="521">
        <f>MATCH($J331,'Tarieven ZM'!$B:$B,0)</f>
        <v>107</v>
      </c>
      <c r="X331" s="204">
        <f>INDEX('Tarieven ZM'!$H:$H,$W331)</f>
        <v>1000</v>
      </c>
      <c r="Y331" s="198">
        <f>-INDEX(Parameters!$B:$B,MATCH(Y$3&amp;$C331,Parameters!$A:$A,0))*$X331</f>
        <v>0</v>
      </c>
      <c r="Z331" s="198">
        <f>-INDEX(Parameters!$B:$B,MATCH(Z$3&amp;$C331,Parameters!$A:$A,0))*$X331</f>
        <v>0</v>
      </c>
      <c r="AA331" s="139">
        <f t="shared" si="162"/>
        <v>1000</v>
      </c>
      <c r="AB331" s="205">
        <f>AA331/INDEX(Parameters!$B:$B,MATCH("AfschrijftermijnVVE"&amp;12*$C331,Parameters!$A:$A,0))</f>
        <v>27.777777777777779</v>
      </c>
      <c r="AC331" s="204">
        <f>INDEX('Tarieven ZM'!$G:$G,$W331)</f>
        <v>1000</v>
      </c>
      <c r="AD331" s="198">
        <f>-INDEX(Parameters!$B:$B,MATCH(AD$3&amp;$C331,Parameters!$A:$A,0))*$AC331</f>
        <v>0</v>
      </c>
      <c r="AE331" s="198">
        <f>-INDEX(Parameters!$B:$B,MATCH(AE$3,Parameters!$A:$A,0))*$AC331</f>
        <v>0</v>
      </c>
      <c r="AF331" s="139">
        <f t="shared" si="163"/>
        <v>1000</v>
      </c>
      <c r="AG331" s="522">
        <f t="shared" si="164"/>
        <v>1027.7777777777778</v>
      </c>
      <c r="AH331" s="175"/>
      <c r="AI331" s="523">
        <f>MATCH($U331,'Tarieven W&amp;O'!$B:$B,0)</f>
        <v>61</v>
      </c>
      <c r="AJ331" s="204">
        <f>IF(AI331&lt;&gt;"nvt",INDEX('Tarieven W&amp;O'!$H:$H,$AI331),0)</f>
        <v>0</v>
      </c>
      <c r="AK331" s="204">
        <f>IF(AI331&lt;&gt;"nvt",INDEX('Tarieven W&amp;O'!$I:$I,$AI331),0)</f>
        <v>25</v>
      </c>
      <c r="AL331" s="524">
        <f>IF(AI331&lt;&gt;"nvt",-INDEX(Parameters!$B:$B,MATCH(AL$3,Parameters!$A:$A,0))*(AJ331+AK331),0)</f>
        <v>0</v>
      </c>
      <c r="AM331" s="525"/>
      <c r="AN331" s="139">
        <f t="shared" si="165"/>
        <v>25</v>
      </c>
      <c r="AO331" s="205">
        <f>AN331/INDEX(Parameters!$B:$B,MATCH("AfschrijftermijnVVE"&amp;12*$C331,Parameters!$A:$A,0))</f>
        <v>0.69444444444444442</v>
      </c>
      <c r="AP331" s="139">
        <f t="shared" si="166"/>
        <v>61</v>
      </c>
      <c r="AQ331" s="526">
        <f>IF(AP331&lt;&gt;"nvt",INDEX('Tarieven W&amp;O'!$G:$G,$AP331),0)</f>
        <v>46.71</v>
      </c>
      <c r="AR331" s="251">
        <f>IF($S331,INDEX('Tarieven W&amp;O'!$G:$G,MATCH(N331&amp;R331,'Tarieven W&amp;O'!$B:$B,0)),0)</f>
        <v>0</v>
      </c>
      <c r="AS331" s="205">
        <f>-INDEX(Parameters!$B:$B,MATCH(AS$3,Parameters!$A:$A,0))*(AQ331+AR331)</f>
        <v>0</v>
      </c>
      <c r="AT331" s="205">
        <f>INDEX(hulpblad!$E:$E,MATCH(M331&amp;Q331,hulpblad!$B:$B,0))</f>
        <v>2</v>
      </c>
      <c r="AU331" s="150">
        <f t="shared" si="170"/>
        <v>48.71</v>
      </c>
      <c r="AV331" s="150">
        <f t="shared" si="171"/>
        <v>49.404444444444444</v>
      </c>
      <c r="AX331" s="526">
        <f>Parameters!$B$6*AV331</f>
        <v>0.49404444444444445</v>
      </c>
      <c r="AY331" s="150">
        <v>0</v>
      </c>
      <c r="AZ331" s="150"/>
      <c r="BA331" s="150">
        <f t="shared" si="167"/>
        <v>0.49404444444444445</v>
      </c>
      <c r="BB331" s="150"/>
      <c r="BC331" s="522">
        <f t="shared" si="168"/>
        <v>49.898488888888885</v>
      </c>
      <c r="BD331" s="175"/>
      <c r="BE331" s="527">
        <f t="shared" si="172"/>
        <v>977.87928888888894</v>
      </c>
      <c r="BF331" s="181">
        <f t="shared" si="173"/>
        <v>0.95145011891891895</v>
      </c>
      <c r="BG331" s="520" t="b">
        <f t="shared" si="161"/>
        <v>0</v>
      </c>
      <c r="BI331" s="528" t="s">
        <v>2181</v>
      </c>
      <c r="BL331" s="151" t="str">
        <f t="shared" ref="BL331:BL345" si="175">M331&amp;Q331</f>
        <v>EoKMetro - Nationaal</v>
      </c>
      <c r="BM331" s="529">
        <v>0</v>
      </c>
      <c r="BN331" s="180">
        <f>BM331/INDEX(Parameters!$B:$B,MATCH("AfschrijftermijnVVE"&amp;12*$C331,Parameters!$A:$A,0))</f>
        <v>0</v>
      </c>
      <c r="BO331" s="184">
        <f>INDEX('inkoop ULL tbv EVPN'!I:I,MATCH(BL331,'inkoop ULL tbv EVPN'!H:H,0))</f>
        <v>2</v>
      </c>
      <c r="BP331" s="184">
        <f t="shared" ref="BP331:BP345" si="176">BN331+BO331</f>
        <v>2</v>
      </c>
      <c r="BR331" s="180">
        <f>Parameters!$B$12*AG331</f>
        <v>102.77777777777779</v>
      </c>
      <c r="BS331" s="180">
        <f>SUM(Distributievergoedingen!$F$12,Distributievergoedingen!$I$12,Distributievergoedingen!$L$12,Distributievergoedingen!$O$12)*AF331+SUM(Distributievergoedingen!$O$12*AA331+Distributievergoedingen!$R$12+Distributievergoedingen!$U$12+Distributievergoedingen!$X$12)/(MAX(36,12*C331))</f>
        <v>112.77777777777777</v>
      </c>
      <c r="BT331" s="150"/>
      <c r="BU331" s="150">
        <f t="shared" ref="BU331:BU345" si="177">SUM(BR331:BT331)</f>
        <v>215.55555555555554</v>
      </c>
      <c r="BW331" s="522">
        <f t="shared" ref="BW331:BW345" si="178">SUM(BP331,BU331)</f>
        <v>217.55555555555554</v>
      </c>
      <c r="BY331" s="527">
        <f t="shared" ref="BY331:BY345" si="179">AG331-BW331</f>
        <v>810.22222222222229</v>
      </c>
      <c r="BZ331" s="181">
        <f t="shared" ref="BZ331:BZ345" si="180">IF(AG331=0,-999%,BY331/AG331)</f>
        <v>0.78832432432432431</v>
      </c>
      <c r="CA331" s="520" t="b">
        <f t="shared" ref="CA331:CA345" si="181">BZ331&lt;0</f>
        <v>0</v>
      </c>
    </row>
    <row r="332" spans="1:79" s="151" customFormat="1">
      <c r="A332" s="151" t="str">
        <f t="shared" si="174"/>
        <v>3EoKPremiumNationaal6</v>
      </c>
      <c r="B332" s="520" t="str">
        <f t="shared" si="169"/>
        <v>3EoKPremiumNationaal6</v>
      </c>
      <c r="C332" s="179">
        <v>3</v>
      </c>
      <c r="D332" s="179" t="s">
        <v>303</v>
      </c>
      <c r="E332" s="178" t="s">
        <v>267</v>
      </c>
      <c r="F332" s="178" t="s">
        <v>266</v>
      </c>
      <c r="G332" s="185" t="s">
        <v>410</v>
      </c>
      <c r="J332" s="520" t="str">
        <f t="shared" ref="J332:J345" si="182">E332&amp;F332&amp;G332&amp;H332</f>
        <v>PremiumNationaal6</v>
      </c>
      <c r="L332" s="204">
        <f>INDEX(Mapping!$H:$H,MATCH(C$3&amp;C332,Mapping!$B:$B,0))</f>
        <v>1</v>
      </c>
      <c r="M332" s="204" t="str">
        <f>INDEX(Mapping!$H:$H,MATCH(D$3&amp;$D332,Mapping!$B:$B,0))</f>
        <v>EoK</v>
      </c>
      <c r="N332" s="204" t="str">
        <f>INDEX(Mapping!$H:$H,MATCH(E$3&amp;E332,Mapping!$B:$B,0))</f>
        <v>Premium</v>
      </c>
      <c r="O332" s="204" t="str">
        <f>INDEX(Mapping!$H:$H,MATCH(F$3&amp;F332,Mapping!$B:$B,0))</f>
        <v>Metro</v>
      </c>
      <c r="P332" s="204">
        <f>INDEX(Mapping!$H:$H,MATCH(G$3&amp;G332,Mapping!$B:$B,0))</f>
        <v>6</v>
      </c>
      <c r="Q332" s="204" t="str">
        <f>INDEX(Mapping!$H:$H,MATCH(Q$3&amp;$F332,Mapping!$B:$B,0))</f>
        <v>Metro - Nationaal</v>
      </c>
      <c r="R332" s="204" t="str">
        <f>INDEX(Mapping!$H:$H,MATCH("ZM VPN Service Level"&amp;E332,Mapping!$B:$B,0))</f>
        <v>Advanced</v>
      </c>
      <c r="S332" s="139" t="b">
        <f>IF($D332="EoK",INDEX(Mapping!$I:$I,MATCH($G$3&amp;$G332,Mapping!B:B,0)),FALSE)</f>
        <v>0</v>
      </c>
      <c r="T332" s="139"/>
      <c r="U332" s="520" t="str">
        <f t="shared" ref="U332:U345" si="183">N332&amp;O332&amp;P332</f>
        <v>PremiumMetro6</v>
      </c>
      <c r="W332" s="521">
        <f>MATCH($J332,'Tarieven ZM'!$B:$B,0)</f>
        <v>108</v>
      </c>
      <c r="X332" s="204">
        <f>INDEX('Tarieven ZM'!$H:$H,$W332)</f>
        <v>1000</v>
      </c>
      <c r="Y332" s="198">
        <f>-INDEX(Parameters!$B:$B,MATCH(Y$3&amp;$C332,Parameters!$A:$A,0))*$X332</f>
        <v>0</v>
      </c>
      <c r="Z332" s="198">
        <f>-INDEX(Parameters!$B:$B,MATCH(Z$3&amp;$C332,Parameters!$A:$A,0))*$X332</f>
        <v>0</v>
      </c>
      <c r="AA332" s="139">
        <f t="shared" si="162"/>
        <v>1000</v>
      </c>
      <c r="AB332" s="205">
        <f>AA332/INDEX(Parameters!$B:$B,MATCH("AfschrijftermijnVVE"&amp;12*$C332,Parameters!$A:$A,0))</f>
        <v>27.777777777777779</v>
      </c>
      <c r="AC332" s="204">
        <f>INDEX('Tarieven ZM'!$G:$G,$W332)</f>
        <v>1000</v>
      </c>
      <c r="AD332" s="198">
        <f>-INDEX(Parameters!$B:$B,MATCH(AD$3&amp;$C332,Parameters!$A:$A,0))*$AC332</f>
        <v>0</v>
      </c>
      <c r="AE332" s="198">
        <f>-INDEX(Parameters!$B:$B,MATCH(AE$3,Parameters!$A:$A,0))*$AC332</f>
        <v>0</v>
      </c>
      <c r="AF332" s="139">
        <f t="shared" si="163"/>
        <v>1000</v>
      </c>
      <c r="AG332" s="522">
        <f t="shared" si="164"/>
        <v>1027.7777777777778</v>
      </c>
      <c r="AH332" s="175"/>
      <c r="AI332" s="523">
        <f>MATCH($U332,'Tarieven W&amp;O'!$B:$B,0)</f>
        <v>62</v>
      </c>
      <c r="AJ332" s="204">
        <f>IF(AI332&lt;&gt;"nvt",INDEX('Tarieven W&amp;O'!$H:$H,$AI332),0)</f>
        <v>0</v>
      </c>
      <c r="AK332" s="204">
        <f>IF(AI332&lt;&gt;"nvt",INDEX('Tarieven W&amp;O'!$I:$I,$AI332),0)</f>
        <v>25</v>
      </c>
      <c r="AL332" s="524">
        <f>IF(AI332&lt;&gt;"nvt",-INDEX(Parameters!$B:$B,MATCH(AL$3,Parameters!$A:$A,0))*(AJ332+AK332),0)</f>
        <v>0</v>
      </c>
      <c r="AM332" s="525"/>
      <c r="AN332" s="139">
        <f t="shared" si="165"/>
        <v>25</v>
      </c>
      <c r="AO332" s="205">
        <f>AN332/INDEX(Parameters!$B:$B,MATCH("AfschrijftermijnVVE"&amp;12*$C332,Parameters!$A:$A,0))</f>
        <v>0.69444444444444442</v>
      </c>
      <c r="AP332" s="139">
        <f t="shared" si="166"/>
        <v>62</v>
      </c>
      <c r="AQ332" s="526">
        <f>IF(AP332&lt;&gt;"nvt",INDEX('Tarieven W&amp;O'!$G:$G,$AP332),0)</f>
        <v>50.48</v>
      </c>
      <c r="AR332" s="251">
        <f>IF($S332,INDEX('Tarieven W&amp;O'!$G:$G,MATCH(N332&amp;R332,'Tarieven W&amp;O'!$B:$B,0)),0)</f>
        <v>0</v>
      </c>
      <c r="AS332" s="205">
        <f>-INDEX(Parameters!$B:$B,MATCH(AS$3,Parameters!$A:$A,0))*(AQ332+AR332)</f>
        <v>0</v>
      </c>
      <c r="AT332" s="205">
        <f>INDEX(hulpblad!$E:$E,MATCH(M332&amp;Q332,hulpblad!$B:$B,0))</f>
        <v>2</v>
      </c>
      <c r="AU332" s="150">
        <f t="shared" si="170"/>
        <v>52.48</v>
      </c>
      <c r="AV332" s="150">
        <f t="shared" si="171"/>
        <v>53.17444444444444</v>
      </c>
      <c r="AX332" s="526">
        <f>Parameters!$B$6*AV332</f>
        <v>0.53174444444444435</v>
      </c>
      <c r="AY332" s="150">
        <v>0</v>
      </c>
      <c r="AZ332" s="150"/>
      <c r="BA332" s="150">
        <f t="shared" si="167"/>
        <v>0.53174444444444435</v>
      </c>
      <c r="BB332" s="150"/>
      <c r="BC332" s="522">
        <f t="shared" si="168"/>
        <v>53.706188888888882</v>
      </c>
      <c r="BD332" s="175"/>
      <c r="BE332" s="527">
        <f t="shared" si="172"/>
        <v>974.07158888888898</v>
      </c>
      <c r="BF332" s="181">
        <f t="shared" si="173"/>
        <v>0.9477453297297298</v>
      </c>
      <c r="BG332" s="520" t="b">
        <f t="shared" ref="BG332:BG345" si="184">BF332&lt;0</f>
        <v>0</v>
      </c>
      <c r="BI332" s="528" t="s">
        <v>2181</v>
      </c>
      <c r="BL332" s="151" t="str">
        <f t="shared" si="175"/>
        <v>EoKMetro - Nationaal</v>
      </c>
      <c r="BM332" s="529">
        <v>0</v>
      </c>
      <c r="BN332" s="180">
        <f>BM332/INDEX(Parameters!$B:$B,MATCH("AfschrijftermijnVVE"&amp;12*$C332,Parameters!$A:$A,0))</f>
        <v>0</v>
      </c>
      <c r="BO332" s="184">
        <f>INDEX('inkoop ULL tbv EVPN'!I:I,MATCH(BL332,'inkoop ULL tbv EVPN'!H:H,0))</f>
        <v>2</v>
      </c>
      <c r="BP332" s="184">
        <f t="shared" si="176"/>
        <v>2</v>
      </c>
      <c r="BR332" s="180">
        <f>Parameters!$B$12*AG332</f>
        <v>102.77777777777779</v>
      </c>
      <c r="BS332" s="180">
        <f>SUM(Distributievergoedingen!$F$12,Distributievergoedingen!$I$12,Distributievergoedingen!$L$12,Distributievergoedingen!$O$12)*AF332+SUM(Distributievergoedingen!$O$12*AA332+Distributievergoedingen!$R$12+Distributievergoedingen!$U$12+Distributievergoedingen!$X$12)/(MAX(36,12*C332))</f>
        <v>112.77777777777777</v>
      </c>
      <c r="BT332" s="150"/>
      <c r="BU332" s="150">
        <f t="shared" si="177"/>
        <v>215.55555555555554</v>
      </c>
      <c r="BW332" s="522">
        <f t="shared" si="178"/>
        <v>217.55555555555554</v>
      </c>
      <c r="BY332" s="527">
        <f t="shared" si="179"/>
        <v>810.22222222222229</v>
      </c>
      <c r="BZ332" s="181">
        <f t="shared" si="180"/>
        <v>0.78832432432432431</v>
      </c>
      <c r="CA332" s="520" t="b">
        <f t="shared" si="181"/>
        <v>0</v>
      </c>
    </row>
    <row r="333" spans="1:79" s="151" customFormat="1">
      <c r="A333" s="151" t="str">
        <f t="shared" si="174"/>
        <v>3EoKPremiumNationaal8</v>
      </c>
      <c r="B333" s="520" t="str">
        <f t="shared" si="169"/>
        <v>3EoKPremiumNationaal8</v>
      </c>
      <c r="C333" s="179">
        <v>3</v>
      </c>
      <c r="D333" s="179" t="s">
        <v>303</v>
      </c>
      <c r="E333" s="178" t="s">
        <v>267</v>
      </c>
      <c r="F333" s="178" t="s">
        <v>266</v>
      </c>
      <c r="G333" s="185" t="s">
        <v>411</v>
      </c>
      <c r="J333" s="520" t="str">
        <f t="shared" si="182"/>
        <v>PremiumNationaal8</v>
      </c>
      <c r="L333" s="204">
        <f>INDEX(Mapping!$H:$H,MATCH(C$3&amp;C333,Mapping!$B:$B,0))</f>
        <v>1</v>
      </c>
      <c r="M333" s="204" t="str">
        <f>INDEX(Mapping!$H:$H,MATCH(D$3&amp;$D333,Mapping!$B:$B,0))</f>
        <v>EoK</v>
      </c>
      <c r="N333" s="204" t="str">
        <f>INDEX(Mapping!$H:$H,MATCH(E$3&amp;E333,Mapping!$B:$B,0))</f>
        <v>Premium</v>
      </c>
      <c r="O333" s="204" t="str">
        <f>INDEX(Mapping!$H:$H,MATCH(F$3&amp;F333,Mapping!$B:$B,0))</f>
        <v>Metro</v>
      </c>
      <c r="P333" s="204">
        <f>INDEX(Mapping!$H:$H,MATCH(G$3&amp;G333,Mapping!$B:$B,0))</f>
        <v>8</v>
      </c>
      <c r="Q333" s="204" t="str">
        <f>INDEX(Mapping!$H:$H,MATCH(Q$3&amp;$F333,Mapping!$B:$B,0))</f>
        <v>Metro - Nationaal</v>
      </c>
      <c r="R333" s="204" t="str">
        <f>INDEX(Mapping!$H:$H,MATCH("ZM VPN Service Level"&amp;E333,Mapping!$B:$B,0))</f>
        <v>Advanced</v>
      </c>
      <c r="S333" s="139" t="b">
        <f>IF($D333="EoK",INDEX(Mapping!$I:$I,MATCH($G$3&amp;$G333,Mapping!B:B,0)),FALSE)</f>
        <v>0</v>
      </c>
      <c r="T333" s="139"/>
      <c r="U333" s="520" t="str">
        <f t="shared" si="183"/>
        <v>PremiumMetro8</v>
      </c>
      <c r="W333" s="521">
        <f>MATCH($J333,'Tarieven ZM'!$B:$B,0)</f>
        <v>109</v>
      </c>
      <c r="X333" s="204">
        <f>INDEX('Tarieven ZM'!$H:$H,$W333)</f>
        <v>1000</v>
      </c>
      <c r="Y333" s="198">
        <f>-INDEX(Parameters!$B:$B,MATCH(Y$3&amp;$C333,Parameters!$A:$A,0))*$X333</f>
        <v>0</v>
      </c>
      <c r="Z333" s="198">
        <f>-INDEX(Parameters!$B:$B,MATCH(Z$3&amp;$C333,Parameters!$A:$A,0))*$X333</f>
        <v>0</v>
      </c>
      <c r="AA333" s="139">
        <f t="shared" si="162"/>
        <v>1000</v>
      </c>
      <c r="AB333" s="205">
        <f>AA333/INDEX(Parameters!$B:$B,MATCH("AfschrijftermijnVVE"&amp;12*$C333,Parameters!$A:$A,0))</f>
        <v>27.777777777777779</v>
      </c>
      <c r="AC333" s="204">
        <f>INDEX('Tarieven ZM'!$G:$G,$W333)</f>
        <v>1000</v>
      </c>
      <c r="AD333" s="198">
        <f>-INDEX(Parameters!$B:$B,MATCH(AD$3&amp;$C333,Parameters!$A:$A,0))*$AC333</f>
        <v>0</v>
      </c>
      <c r="AE333" s="198">
        <f>-INDEX(Parameters!$B:$B,MATCH(AE$3,Parameters!$A:$A,0))*$AC333</f>
        <v>0</v>
      </c>
      <c r="AF333" s="139">
        <f t="shared" si="163"/>
        <v>1000</v>
      </c>
      <c r="AG333" s="522">
        <f t="shared" si="164"/>
        <v>1027.7777777777778</v>
      </c>
      <c r="AH333" s="175"/>
      <c r="AI333" s="523">
        <f>MATCH($U333,'Tarieven W&amp;O'!$B:$B,0)</f>
        <v>63</v>
      </c>
      <c r="AJ333" s="204">
        <f>IF(AI333&lt;&gt;"nvt",INDEX('Tarieven W&amp;O'!$H:$H,$AI333),0)</f>
        <v>0</v>
      </c>
      <c r="AK333" s="204">
        <f>IF(AI333&lt;&gt;"nvt",INDEX('Tarieven W&amp;O'!$I:$I,$AI333),0)</f>
        <v>25</v>
      </c>
      <c r="AL333" s="524">
        <f>IF(AI333&lt;&gt;"nvt",-INDEX(Parameters!$B:$B,MATCH(AL$3,Parameters!$A:$A,0))*(AJ333+AK333),0)</f>
        <v>0</v>
      </c>
      <c r="AM333" s="525"/>
      <c r="AN333" s="139">
        <f t="shared" si="165"/>
        <v>25</v>
      </c>
      <c r="AO333" s="205">
        <f>AN333/INDEX(Parameters!$B:$B,MATCH("AfschrijftermijnVVE"&amp;12*$C333,Parameters!$A:$A,0))</f>
        <v>0.69444444444444442</v>
      </c>
      <c r="AP333" s="139">
        <f t="shared" si="166"/>
        <v>63</v>
      </c>
      <c r="AQ333" s="526">
        <f>IF(AP333&lt;&gt;"nvt",INDEX('Tarieven W&amp;O'!$G:$G,$AP333),0)</f>
        <v>54.24</v>
      </c>
      <c r="AR333" s="251">
        <f>IF($S333,INDEX('Tarieven W&amp;O'!$G:$G,MATCH(N333&amp;R333,'Tarieven W&amp;O'!$B:$B,0)),0)</f>
        <v>0</v>
      </c>
      <c r="AS333" s="205">
        <f>-INDEX(Parameters!$B:$B,MATCH(AS$3,Parameters!$A:$A,0))*(AQ333+AR333)</f>
        <v>0</v>
      </c>
      <c r="AT333" s="205">
        <f>INDEX(hulpblad!$E:$E,MATCH(M333&amp;Q333,hulpblad!$B:$B,0))</f>
        <v>2</v>
      </c>
      <c r="AU333" s="150">
        <f t="shared" si="170"/>
        <v>56.24</v>
      </c>
      <c r="AV333" s="150">
        <f t="shared" si="171"/>
        <v>56.934444444444445</v>
      </c>
      <c r="AX333" s="526">
        <f>Parameters!$B$6*AV333</f>
        <v>0.56934444444444443</v>
      </c>
      <c r="AY333" s="150">
        <v>0</v>
      </c>
      <c r="AZ333" s="150"/>
      <c r="BA333" s="150">
        <f t="shared" si="167"/>
        <v>0.56934444444444443</v>
      </c>
      <c r="BB333" s="150"/>
      <c r="BC333" s="522">
        <f t="shared" si="168"/>
        <v>57.503788888888892</v>
      </c>
      <c r="BD333" s="175"/>
      <c r="BE333" s="527">
        <f t="shared" si="172"/>
        <v>970.27398888888888</v>
      </c>
      <c r="BF333" s="181">
        <f t="shared" si="173"/>
        <v>0.94405036756756755</v>
      </c>
      <c r="BG333" s="520" t="b">
        <f t="shared" si="184"/>
        <v>0</v>
      </c>
      <c r="BI333" s="528" t="s">
        <v>2181</v>
      </c>
      <c r="BL333" s="151" t="str">
        <f t="shared" si="175"/>
        <v>EoKMetro - Nationaal</v>
      </c>
      <c r="BM333" s="529">
        <v>0</v>
      </c>
      <c r="BN333" s="180">
        <f>BM333/INDEX(Parameters!$B:$B,MATCH("AfschrijftermijnVVE"&amp;12*$C333,Parameters!$A:$A,0))</f>
        <v>0</v>
      </c>
      <c r="BO333" s="184">
        <f>INDEX('inkoop ULL tbv EVPN'!I:I,MATCH(BL333,'inkoop ULL tbv EVPN'!H:H,0))</f>
        <v>2</v>
      </c>
      <c r="BP333" s="184">
        <f t="shared" si="176"/>
        <v>2</v>
      </c>
      <c r="BR333" s="180">
        <f>Parameters!$B$12*AG333</f>
        <v>102.77777777777779</v>
      </c>
      <c r="BS333" s="180">
        <f>SUM(Distributievergoedingen!$F$12,Distributievergoedingen!$I$12,Distributievergoedingen!$L$12,Distributievergoedingen!$O$12)*AF333+SUM(Distributievergoedingen!$O$12*AA333+Distributievergoedingen!$R$12+Distributievergoedingen!$U$12+Distributievergoedingen!$X$12)/(MAX(36,12*C333))</f>
        <v>112.77777777777777</v>
      </c>
      <c r="BT333" s="150"/>
      <c r="BU333" s="150">
        <f t="shared" si="177"/>
        <v>215.55555555555554</v>
      </c>
      <c r="BW333" s="522">
        <f t="shared" si="178"/>
        <v>217.55555555555554</v>
      </c>
      <c r="BY333" s="527">
        <f t="shared" si="179"/>
        <v>810.22222222222229</v>
      </c>
      <c r="BZ333" s="181">
        <f t="shared" si="180"/>
        <v>0.78832432432432431</v>
      </c>
      <c r="CA333" s="520" t="b">
        <f t="shared" si="181"/>
        <v>0</v>
      </c>
    </row>
    <row r="334" spans="1:79" s="151" customFormat="1">
      <c r="A334" s="151" t="str">
        <f t="shared" si="174"/>
        <v>3EoKPremiumNationaal10</v>
      </c>
      <c r="B334" s="520" t="str">
        <f t="shared" si="169"/>
        <v>3EoKPremiumNationaal10</v>
      </c>
      <c r="C334" s="179">
        <v>3</v>
      </c>
      <c r="D334" s="179" t="s">
        <v>303</v>
      </c>
      <c r="E334" s="178" t="s">
        <v>267</v>
      </c>
      <c r="F334" s="178" t="s">
        <v>266</v>
      </c>
      <c r="G334" s="185" t="s">
        <v>412</v>
      </c>
      <c r="J334" s="520" t="str">
        <f t="shared" si="182"/>
        <v>PremiumNationaal10</v>
      </c>
      <c r="L334" s="204">
        <f>INDEX(Mapping!$H:$H,MATCH(C$3&amp;C334,Mapping!$B:$B,0))</f>
        <v>1</v>
      </c>
      <c r="M334" s="204" t="str">
        <f>INDEX(Mapping!$H:$H,MATCH(D$3&amp;$D334,Mapping!$B:$B,0))</f>
        <v>EoK</v>
      </c>
      <c r="N334" s="204" t="str">
        <f>INDEX(Mapping!$H:$H,MATCH(E$3&amp;E334,Mapping!$B:$B,0))</f>
        <v>Premium</v>
      </c>
      <c r="O334" s="204" t="str">
        <f>INDEX(Mapping!$H:$H,MATCH(F$3&amp;F334,Mapping!$B:$B,0))</f>
        <v>Metro</v>
      </c>
      <c r="P334" s="204">
        <f>INDEX(Mapping!$H:$H,MATCH(G$3&amp;G334,Mapping!$B:$B,0))</f>
        <v>10</v>
      </c>
      <c r="Q334" s="204" t="str">
        <f>INDEX(Mapping!$H:$H,MATCH(Q$3&amp;$F334,Mapping!$B:$B,0))</f>
        <v>Metro - Nationaal</v>
      </c>
      <c r="R334" s="204" t="str">
        <f>INDEX(Mapping!$H:$H,MATCH("ZM VPN Service Level"&amp;E334,Mapping!$B:$B,0))</f>
        <v>Advanced</v>
      </c>
      <c r="S334" s="139" t="b">
        <f>IF($D334="EoK",INDEX(Mapping!$I:$I,MATCH($G$3&amp;$G334,Mapping!B:B,0)),FALSE)</f>
        <v>0</v>
      </c>
      <c r="T334" s="139"/>
      <c r="U334" s="520" t="str">
        <f t="shared" si="183"/>
        <v>PremiumMetro10</v>
      </c>
      <c r="W334" s="521">
        <f>MATCH($J334,'Tarieven ZM'!$B:$B,0)</f>
        <v>110</v>
      </c>
      <c r="X334" s="204">
        <f>INDEX('Tarieven ZM'!$H:$H,$W334)</f>
        <v>1000</v>
      </c>
      <c r="Y334" s="198">
        <f>-INDEX(Parameters!$B:$B,MATCH(Y$3&amp;$C334,Parameters!$A:$A,0))*$X334</f>
        <v>0</v>
      </c>
      <c r="Z334" s="198">
        <f>-INDEX(Parameters!$B:$B,MATCH(Z$3&amp;$C334,Parameters!$A:$A,0))*$X334</f>
        <v>0</v>
      </c>
      <c r="AA334" s="139">
        <f t="shared" si="162"/>
        <v>1000</v>
      </c>
      <c r="AB334" s="205">
        <f>AA334/INDEX(Parameters!$B:$B,MATCH("AfschrijftermijnVVE"&amp;12*$C334,Parameters!$A:$A,0))</f>
        <v>27.777777777777779</v>
      </c>
      <c r="AC334" s="204">
        <f>INDEX('Tarieven ZM'!$G:$G,$W334)</f>
        <v>1000</v>
      </c>
      <c r="AD334" s="198">
        <f>-INDEX(Parameters!$B:$B,MATCH(AD$3&amp;$C334,Parameters!$A:$A,0))*$AC334</f>
        <v>0</v>
      </c>
      <c r="AE334" s="198">
        <f>-INDEX(Parameters!$B:$B,MATCH(AE$3,Parameters!$A:$A,0))*$AC334</f>
        <v>0</v>
      </c>
      <c r="AF334" s="139">
        <f t="shared" si="163"/>
        <v>1000</v>
      </c>
      <c r="AG334" s="522">
        <f t="shared" si="164"/>
        <v>1027.7777777777778</v>
      </c>
      <c r="AH334" s="175"/>
      <c r="AI334" s="523">
        <f>MATCH($U334,'Tarieven W&amp;O'!$B:$B,0)</f>
        <v>64</v>
      </c>
      <c r="AJ334" s="204">
        <f>IF(AI334&lt;&gt;"nvt",INDEX('Tarieven W&amp;O'!$H:$H,$AI334),0)</f>
        <v>0</v>
      </c>
      <c r="AK334" s="204">
        <f>IF(AI334&lt;&gt;"nvt",INDEX('Tarieven W&amp;O'!$I:$I,$AI334),0)</f>
        <v>25</v>
      </c>
      <c r="AL334" s="524">
        <f>IF(AI334&lt;&gt;"nvt",-INDEX(Parameters!$B:$B,MATCH(AL$3,Parameters!$A:$A,0))*(AJ334+AK334),0)</f>
        <v>0</v>
      </c>
      <c r="AM334" s="525"/>
      <c r="AN334" s="139">
        <f t="shared" si="165"/>
        <v>25</v>
      </c>
      <c r="AO334" s="205">
        <f>AN334/INDEX(Parameters!$B:$B,MATCH("AfschrijftermijnVVE"&amp;12*$C334,Parameters!$A:$A,0))</f>
        <v>0.69444444444444442</v>
      </c>
      <c r="AP334" s="139">
        <f t="shared" si="166"/>
        <v>64</v>
      </c>
      <c r="AQ334" s="526">
        <f>IF(AP334&lt;&gt;"nvt",INDEX('Tarieven W&amp;O'!$G:$G,$AP334),0)</f>
        <v>58.01</v>
      </c>
      <c r="AR334" s="251">
        <f>IF($S334,INDEX('Tarieven W&amp;O'!$G:$G,MATCH(N334&amp;R334,'Tarieven W&amp;O'!$B:$B,0)),0)</f>
        <v>0</v>
      </c>
      <c r="AS334" s="205">
        <f>-INDEX(Parameters!$B:$B,MATCH(AS$3,Parameters!$A:$A,0))*(AQ334+AR334)</f>
        <v>0</v>
      </c>
      <c r="AT334" s="205">
        <f>INDEX(hulpblad!$E:$E,MATCH(M334&amp;Q334,hulpblad!$B:$B,0))</f>
        <v>2</v>
      </c>
      <c r="AU334" s="150">
        <f t="shared" si="170"/>
        <v>60.01</v>
      </c>
      <c r="AV334" s="150">
        <f t="shared" si="171"/>
        <v>60.704444444444441</v>
      </c>
      <c r="AX334" s="526">
        <f>Parameters!$B$6*AV334</f>
        <v>0.60704444444444439</v>
      </c>
      <c r="AY334" s="150">
        <v>0</v>
      </c>
      <c r="AZ334" s="150"/>
      <c r="BA334" s="150">
        <f t="shared" si="167"/>
        <v>0.60704444444444439</v>
      </c>
      <c r="BB334" s="150"/>
      <c r="BC334" s="522">
        <f t="shared" si="168"/>
        <v>61.311488888888888</v>
      </c>
      <c r="BD334" s="175"/>
      <c r="BE334" s="527">
        <f t="shared" si="172"/>
        <v>966.46628888888893</v>
      </c>
      <c r="BF334" s="181">
        <f t="shared" si="173"/>
        <v>0.9403455783783784</v>
      </c>
      <c r="BG334" s="520" t="b">
        <f t="shared" si="184"/>
        <v>0</v>
      </c>
      <c r="BI334" s="528" t="s">
        <v>2181</v>
      </c>
      <c r="BL334" s="151" t="str">
        <f t="shared" si="175"/>
        <v>EoKMetro - Nationaal</v>
      </c>
      <c r="BM334" s="529">
        <v>0</v>
      </c>
      <c r="BN334" s="180">
        <f>BM334/INDEX(Parameters!$B:$B,MATCH("AfschrijftermijnVVE"&amp;12*$C334,Parameters!$A:$A,0))</f>
        <v>0</v>
      </c>
      <c r="BO334" s="184">
        <f>INDEX('inkoop ULL tbv EVPN'!I:I,MATCH(BL334,'inkoop ULL tbv EVPN'!H:H,0))</f>
        <v>2</v>
      </c>
      <c r="BP334" s="184">
        <f t="shared" si="176"/>
        <v>2</v>
      </c>
      <c r="BR334" s="180">
        <f>Parameters!$B$12*AG334</f>
        <v>102.77777777777779</v>
      </c>
      <c r="BS334" s="180">
        <f>SUM(Distributievergoedingen!$F$12,Distributievergoedingen!$I$12,Distributievergoedingen!$L$12,Distributievergoedingen!$O$12)*AF334+SUM(Distributievergoedingen!$O$12*AA334+Distributievergoedingen!$R$12+Distributievergoedingen!$U$12+Distributievergoedingen!$X$12)/(MAX(36,12*C334))</f>
        <v>112.77777777777777</v>
      </c>
      <c r="BT334" s="150"/>
      <c r="BU334" s="150">
        <f t="shared" si="177"/>
        <v>215.55555555555554</v>
      </c>
      <c r="BW334" s="522">
        <f t="shared" si="178"/>
        <v>217.55555555555554</v>
      </c>
      <c r="BY334" s="527">
        <f t="shared" si="179"/>
        <v>810.22222222222229</v>
      </c>
      <c r="BZ334" s="181">
        <f t="shared" si="180"/>
        <v>0.78832432432432431</v>
      </c>
      <c r="CA334" s="520" t="b">
        <f t="shared" si="181"/>
        <v>0</v>
      </c>
    </row>
    <row r="335" spans="1:79" s="151" customFormat="1">
      <c r="A335" s="151" t="str">
        <f t="shared" si="174"/>
        <v>3EoKPremiumNationaal15</v>
      </c>
      <c r="B335" s="520" t="str">
        <f t="shared" si="169"/>
        <v>3EoKPremiumNationaal15</v>
      </c>
      <c r="C335" s="179">
        <v>3</v>
      </c>
      <c r="D335" s="179" t="s">
        <v>303</v>
      </c>
      <c r="E335" s="178" t="s">
        <v>267</v>
      </c>
      <c r="F335" s="178" t="s">
        <v>266</v>
      </c>
      <c r="G335" s="185" t="s">
        <v>413</v>
      </c>
      <c r="J335" s="520" t="str">
        <f t="shared" si="182"/>
        <v>PremiumNationaal15</v>
      </c>
      <c r="L335" s="204">
        <f>INDEX(Mapping!$H:$H,MATCH(C$3&amp;C335,Mapping!$B:$B,0))</f>
        <v>1</v>
      </c>
      <c r="M335" s="204" t="str">
        <f>INDEX(Mapping!$H:$H,MATCH(D$3&amp;$D335,Mapping!$B:$B,0))</f>
        <v>EoK</v>
      </c>
      <c r="N335" s="204" t="str">
        <f>INDEX(Mapping!$H:$H,MATCH(E$3&amp;E335,Mapping!$B:$B,0))</f>
        <v>Premium</v>
      </c>
      <c r="O335" s="204" t="str">
        <f>INDEX(Mapping!$H:$H,MATCH(F$3&amp;F335,Mapping!$B:$B,0))</f>
        <v>Metro</v>
      </c>
      <c r="P335" s="204">
        <f>INDEX(Mapping!$H:$H,MATCH(G$3&amp;G335,Mapping!$B:$B,0))</f>
        <v>15</v>
      </c>
      <c r="Q335" s="204" t="str">
        <f>INDEX(Mapping!$H:$H,MATCH(Q$3&amp;$F335,Mapping!$B:$B,0))</f>
        <v>Metro - Nationaal</v>
      </c>
      <c r="R335" s="204" t="str">
        <f>INDEX(Mapping!$H:$H,MATCH("ZM VPN Service Level"&amp;E335,Mapping!$B:$B,0))</f>
        <v>Advanced</v>
      </c>
      <c r="S335" s="139" t="b">
        <f>IF($D335="EoK",INDEX(Mapping!$I:$I,MATCH($G$3&amp;$G335,Mapping!B:B,0)),FALSE)</f>
        <v>0</v>
      </c>
      <c r="T335" s="139"/>
      <c r="U335" s="520" t="str">
        <f t="shared" si="183"/>
        <v>PremiumMetro15</v>
      </c>
      <c r="W335" s="521">
        <f>MATCH($J335,'Tarieven ZM'!$B:$B,0)</f>
        <v>111</v>
      </c>
      <c r="X335" s="204">
        <f>INDEX('Tarieven ZM'!$H:$H,$W335)</f>
        <v>1000</v>
      </c>
      <c r="Y335" s="198">
        <f>-INDEX(Parameters!$B:$B,MATCH(Y$3&amp;$C335,Parameters!$A:$A,0))*$X335</f>
        <v>0</v>
      </c>
      <c r="Z335" s="198">
        <f>-INDEX(Parameters!$B:$B,MATCH(Z$3&amp;$C335,Parameters!$A:$A,0))*$X335</f>
        <v>0</v>
      </c>
      <c r="AA335" s="139">
        <f t="shared" si="162"/>
        <v>1000</v>
      </c>
      <c r="AB335" s="205">
        <f>AA335/INDEX(Parameters!$B:$B,MATCH("AfschrijftermijnVVE"&amp;12*$C335,Parameters!$A:$A,0))</f>
        <v>27.777777777777779</v>
      </c>
      <c r="AC335" s="204">
        <f>INDEX('Tarieven ZM'!$G:$G,$W335)</f>
        <v>1000</v>
      </c>
      <c r="AD335" s="198">
        <f>-INDEX(Parameters!$B:$B,MATCH(AD$3&amp;$C335,Parameters!$A:$A,0))*$AC335</f>
        <v>0</v>
      </c>
      <c r="AE335" s="198">
        <f>-INDEX(Parameters!$B:$B,MATCH(AE$3,Parameters!$A:$A,0))*$AC335</f>
        <v>0</v>
      </c>
      <c r="AF335" s="139">
        <f t="shared" si="163"/>
        <v>1000</v>
      </c>
      <c r="AG335" s="522">
        <f t="shared" si="164"/>
        <v>1027.7777777777778</v>
      </c>
      <c r="AH335" s="175"/>
      <c r="AI335" s="523">
        <f>MATCH($U335,'Tarieven W&amp;O'!$B:$B,0)</f>
        <v>65</v>
      </c>
      <c r="AJ335" s="204">
        <f>IF(AI335&lt;&gt;"nvt",INDEX('Tarieven W&amp;O'!$H:$H,$AI335),0)</f>
        <v>0</v>
      </c>
      <c r="AK335" s="204">
        <f>IF(AI335&lt;&gt;"nvt",INDEX('Tarieven W&amp;O'!$I:$I,$AI335),0)</f>
        <v>25</v>
      </c>
      <c r="AL335" s="524">
        <f>IF(AI335&lt;&gt;"nvt",-INDEX(Parameters!$B:$B,MATCH(AL$3,Parameters!$A:$A,0))*(AJ335+AK335),0)</f>
        <v>0</v>
      </c>
      <c r="AM335" s="525"/>
      <c r="AN335" s="139">
        <f t="shared" si="165"/>
        <v>25</v>
      </c>
      <c r="AO335" s="205">
        <f>AN335/INDEX(Parameters!$B:$B,MATCH("AfschrijftermijnVVE"&amp;12*$C335,Parameters!$A:$A,0))</f>
        <v>0.69444444444444442</v>
      </c>
      <c r="AP335" s="139">
        <f t="shared" si="166"/>
        <v>65</v>
      </c>
      <c r="AQ335" s="526">
        <f>IF(AP335&lt;&gt;"nvt",INDEX('Tarieven W&amp;O'!$G:$G,$AP335),0)</f>
        <v>80.63</v>
      </c>
      <c r="AR335" s="251">
        <f>IF($S335,INDEX('Tarieven W&amp;O'!$G:$G,MATCH(N335&amp;R335,'Tarieven W&amp;O'!$B:$B,0)),0)</f>
        <v>0</v>
      </c>
      <c r="AS335" s="205">
        <f>-INDEX(Parameters!$B:$B,MATCH(AS$3,Parameters!$A:$A,0))*(AQ335+AR335)</f>
        <v>0</v>
      </c>
      <c r="AT335" s="205">
        <f>INDEX(hulpblad!$E:$E,MATCH(M335&amp;Q335,hulpblad!$B:$B,0))</f>
        <v>2</v>
      </c>
      <c r="AU335" s="150">
        <f t="shared" si="170"/>
        <v>82.63</v>
      </c>
      <c r="AV335" s="150">
        <f t="shared" si="171"/>
        <v>83.324444444444438</v>
      </c>
      <c r="AX335" s="526">
        <f>Parameters!$B$6*AV335</f>
        <v>0.83324444444444445</v>
      </c>
      <c r="AY335" s="150">
        <v>0</v>
      </c>
      <c r="AZ335" s="150"/>
      <c r="BA335" s="150">
        <f t="shared" si="167"/>
        <v>0.83324444444444445</v>
      </c>
      <c r="BB335" s="150"/>
      <c r="BC335" s="522">
        <f t="shared" si="168"/>
        <v>84.157688888888885</v>
      </c>
      <c r="BD335" s="175"/>
      <c r="BE335" s="527">
        <f t="shared" si="172"/>
        <v>943.62008888888897</v>
      </c>
      <c r="BF335" s="181">
        <f t="shared" si="173"/>
        <v>0.91811684324324327</v>
      </c>
      <c r="BG335" s="520" t="b">
        <f t="shared" si="184"/>
        <v>0</v>
      </c>
      <c r="BI335" s="528" t="s">
        <v>2181</v>
      </c>
      <c r="BL335" s="151" t="str">
        <f t="shared" si="175"/>
        <v>EoKMetro - Nationaal</v>
      </c>
      <c r="BM335" s="529">
        <v>0</v>
      </c>
      <c r="BN335" s="180">
        <f>BM335/INDEX(Parameters!$B:$B,MATCH("AfschrijftermijnVVE"&amp;12*$C335,Parameters!$A:$A,0))</f>
        <v>0</v>
      </c>
      <c r="BO335" s="184">
        <f>INDEX('inkoop ULL tbv EVPN'!I:I,MATCH(BL335,'inkoop ULL tbv EVPN'!H:H,0))</f>
        <v>2</v>
      </c>
      <c r="BP335" s="184">
        <f t="shared" si="176"/>
        <v>2</v>
      </c>
      <c r="BR335" s="180">
        <f>Parameters!$B$12*AG335</f>
        <v>102.77777777777779</v>
      </c>
      <c r="BS335" s="180">
        <f>SUM(Distributievergoedingen!$F$12,Distributievergoedingen!$I$12,Distributievergoedingen!$L$12,Distributievergoedingen!$O$12)*AF335+SUM(Distributievergoedingen!$O$12*AA335+Distributievergoedingen!$R$12+Distributievergoedingen!$U$12+Distributievergoedingen!$X$12)/(MAX(36,12*C335))</f>
        <v>112.77777777777777</v>
      </c>
      <c r="BT335" s="150"/>
      <c r="BU335" s="150">
        <f t="shared" si="177"/>
        <v>215.55555555555554</v>
      </c>
      <c r="BW335" s="522">
        <f t="shared" si="178"/>
        <v>217.55555555555554</v>
      </c>
      <c r="BY335" s="527">
        <f t="shared" si="179"/>
        <v>810.22222222222229</v>
      </c>
      <c r="BZ335" s="181">
        <f t="shared" si="180"/>
        <v>0.78832432432432431</v>
      </c>
      <c r="CA335" s="520" t="b">
        <f t="shared" si="181"/>
        <v>0</v>
      </c>
    </row>
    <row r="336" spans="1:79" s="151" customFormat="1">
      <c r="A336" s="151" t="str">
        <f t="shared" si="174"/>
        <v>3EoKPremiumNationaal20</v>
      </c>
      <c r="B336" s="520" t="str">
        <f t="shared" si="169"/>
        <v>3EoKPremiumNationaal20</v>
      </c>
      <c r="C336" s="179">
        <v>3</v>
      </c>
      <c r="D336" s="179" t="s">
        <v>303</v>
      </c>
      <c r="E336" s="178" t="s">
        <v>267</v>
      </c>
      <c r="F336" s="178" t="s">
        <v>266</v>
      </c>
      <c r="G336" s="185" t="s">
        <v>414</v>
      </c>
      <c r="J336" s="520" t="str">
        <f t="shared" si="182"/>
        <v>PremiumNationaal20</v>
      </c>
      <c r="L336" s="204">
        <f>INDEX(Mapping!$H:$H,MATCH(C$3&amp;C336,Mapping!$B:$B,0))</f>
        <v>1</v>
      </c>
      <c r="M336" s="204" t="str">
        <f>INDEX(Mapping!$H:$H,MATCH(D$3&amp;$D336,Mapping!$B:$B,0))</f>
        <v>EoK</v>
      </c>
      <c r="N336" s="204" t="str">
        <f>INDEX(Mapping!$H:$H,MATCH(E$3&amp;E336,Mapping!$B:$B,0))</f>
        <v>Premium</v>
      </c>
      <c r="O336" s="204" t="str">
        <f>INDEX(Mapping!$H:$H,MATCH(F$3&amp;F336,Mapping!$B:$B,0))</f>
        <v>Metro</v>
      </c>
      <c r="P336" s="204">
        <f>INDEX(Mapping!$H:$H,MATCH(G$3&amp;G336,Mapping!$B:$B,0))</f>
        <v>20</v>
      </c>
      <c r="Q336" s="204" t="str">
        <f>INDEX(Mapping!$H:$H,MATCH(Q$3&amp;$F336,Mapping!$B:$B,0))</f>
        <v>Metro - Nationaal</v>
      </c>
      <c r="R336" s="204" t="str">
        <f>INDEX(Mapping!$H:$H,MATCH("ZM VPN Service Level"&amp;E336,Mapping!$B:$B,0))</f>
        <v>Advanced</v>
      </c>
      <c r="S336" s="139" t="b">
        <f>IF($D336="EoK",INDEX(Mapping!$I:$I,MATCH($G$3&amp;$G336,Mapping!B:B,0)),FALSE)</f>
        <v>0</v>
      </c>
      <c r="T336" s="139"/>
      <c r="U336" s="520" t="str">
        <f t="shared" si="183"/>
        <v>PremiumMetro20</v>
      </c>
      <c r="W336" s="521">
        <f>MATCH($J336,'Tarieven ZM'!$B:$B,0)</f>
        <v>112</v>
      </c>
      <c r="X336" s="204">
        <f>INDEX('Tarieven ZM'!$H:$H,$W336)</f>
        <v>1000</v>
      </c>
      <c r="Y336" s="198">
        <f>-INDEX(Parameters!$B:$B,MATCH(Y$3&amp;$C336,Parameters!$A:$A,0))*$X336</f>
        <v>0</v>
      </c>
      <c r="Z336" s="198">
        <f>-INDEX(Parameters!$B:$B,MATCH(Z$3&amp;$C336,Parameters!$A:$A,0))*$X336</f>
        <v>0</v>
      </c>
      <c r="AA336" s="139">
        <f t="shared" ref="AA336:AA345" si="185">SUM(X336:Z336)</f>
        <v>1000</v>
      </c>
      <c r="AB336" s="205">
        <f>AA336/INDEX(Parameters!$B:$B,MATCH("AfschrijftermijnVVE"&amp;12*$C336,Parameters!$A:$A,0))</f>
        <v>27.777777777777779</v>
      </c>
      <c r="AC336" s="204">
        <f>INDEX('Tarieven ZM'!$G:$G,$W336)</f>
        <v>1000</v>
      </c>
      <c r="AD336" s="198">
        <f>-INDEX(Parameters!$B:$B,MATCH(AD$3&amp;$C336,Parameters!$A:$A,0))*$AC336</f>
        <v>0</v>
      </c>
      <c r="AE336" s="198">
        <f>-INDEX(Parameters!$B:$B,MATCH(AE$3,Parameters!$A:$A,0))*$AC336</f>
        <v>0</v>
      </c>
      <c r="AF336" s="139">
        <f t="shared" ref="AF336:AF345" si="186">SUM(AC336:AE336)</f>
        <v>1000</v>
      </c>
      <c r="AG336" s="522">
        <f t="shared" ref="AG336:AG345" si="187">SUM(AB336,AF336)</f>
        <v>1027.7777777777778</v>
      </c>
      <c r="AH336" s="175"/>
      <c r="AI336" s="523">
        <f>MATCH($U336,'Tarieven W&amp;O'!$B:$B,0)</f>
        <v>66</v>
      </c>
      <c r="AJ336" s="204">
        <f>IF(AI336&lt;&gt;"nvt",INDEX('Tarieven W&amp;O'!$H:$H,$AI336),0)</f>
        <v>0</v>
      </c>
      <c r="AK336" s="204">
        <f>IF(AI336&lt;&gt;"nvt",INDEX('Tarieven W&amp;O'!$I:$I,$AI336),0)</f>
        <v>25</v>
      </c>
      <c r="AL336" s="524">
        <f>IF(AI336&lt;&gt;"nvt",-INDEX(Parameters!$B:$B,MATCH(AL$3,Parameters!$A:$A,0))*(AJ336+AK336),0)</f>
        <v>0</v>
      </c>
      <c r="AM336" s="525"/>
      <c r="AN336" s="139">
        <f t="shared" ref="AN336:AN345" si="188">SUM(AJ336:AM336)</f>
        <v>25</v>
      </c>
      <c r="AO336" s="205">
        <f>AN336/INDEX(Parameters!$B:$B,MATCH("AfschrijftermijnVVE"&amp;12*$C336,Parameters!$A:$A,0))</f>
        <v>0.69444444444444442</v>
      </c>
      <c r="AP336" s="139">
        <f t="shared" ref="AP336:AP345" si="189">AI336</f>
        <v>66</v>
      </c>
      <c r="AQ336" s="526">
        <f>IF(AP336&lt;&gt;"nvt",INDEX('Tarieven W&amp;O'!$G:$G,$AP336),0)</f>
        <v>88.17</v>
      </c>
      <c r="AR336" s="251">
        <f>IF($S336,INDEX('Tarieven W&amp;O'!$G:$G,MATCH(N336&amp;R336,'Tarieven W&amp;O'!$B:$B,0)),0)</f>
        <v>0</v>
      </c>
      <c r="AS336" s="205">
        <f>-INDEX(Parameters!$B:$B,MATCH(AS$3,Parameters!$A:$A,0))*(AQ336+AR336)</f>
        <v>0</v>
      </c>
      <c r="AT336" s="205">
        <f>INDEX(hulpblad!$E:$E,MATCH(M336&amp;Q336,hulpblad!$B:$B,0))</f>
        <v>2</v>
      </c>
      <c r="AU336" s="150">
        <f t="shared" si="170"/>
        <v>90.17</v>
      </c>
      <c r="AV336" s="150">
        <f t="shared" si="171"/>
        <v>90.864444444444445</v>
      </c>
      <c r="AX336" s="526">
        <f>Parameters!$B$6*AV336</f>
        <v>0.90864444444444448</v>
      </c>
      <c r="AY336" s="150">
        <v>0</v>
      </c>
      <c r="AZ336" s="150"/>
      <c r="BA336" s="150">
        <f t="shared" ref="BA336:BA345" si="190">SUM(AX336:AZ336)</f>
        <v>0.90864444444444448</v>
      </c>
      <c r="BB336" s="150"/>
      <c r="BC336" s="522">
        <f t="shared" ref="BC336:BC345" si="191">SUM(AV336,BA336)</f>
        <v>91.773088888888893</v>
      </c>
      <c r="BD336" s="175"/>
      <c r="BE336" s="527">
        <f t="shared" si="172"/>
        <v>936.00468888888895</v>
      </c>
      <c r="BF336" s="181">
        <f t="shared" si="173"/>
        <v>0.91070726486486486</v>
      </c>
      <c r="BG336" s="520" t="b">
        <f t="shared" si="184"/>
        <v>0</v>
      </c>
      <c r="BI336" s="528" t="s">
        <v>2181</v>
      </c>
      <c r="BL336" s="151" t="str">
        <f t="shared" si="175"/>
        <v>EoKMetro - Nationaal</v>
      </c>
      <c r="BM336" s="529">
        <v>0</v>
      </c>
      <c r="BN336" s="180">
        <f>BM336/INDEX(Parameters!$B:$B,MATCH("AfschrijftermijnVVE"&amp;12*$C336,Parameters!$A:$A,0))</f>
        <v>0</v>
      </c>
      <c r="BO336" s="184">
        <f>INDEX('inkoop ULL tbv EVPN'!I:I,MATCH(BL336,'inkoop ULL tbv EVPN'!H:H,0))</f>
        <v>2</v>
      </c>
      <c r="BP336" s="184">
        <f t="shared" si="176"/>
        <v>2</v>
      </c>
      <c r="BR336" s="180">
        <f>Parameters!$B$12*AG336</f>
        <v>102.77777777777779</v>
      </c>
      <c r="BS336" s="180">
        <f>SUM(Distributievergoedingen!$F$12,Distributievergoedingen!$I$12,Distributievergoedingen!$L$12,Distributievergoedingen!$O$12)*AF336+SUM(Distributievergoedingen!$O$12*AA336+Distributievergoedingen!$R$12+Distributievergoedingen!$U$12+Distributievergoedingen!$X$12)/(MAX(36,12*C336))</f>
        <v>112.77777777777777</v>
      </c>
      <c r="BT336" s="150"/>
      <c r="BU336" s="150">
        <f t="shared" si="177"/>
        <v>215.55555555555554</v>
      </c>
      <c r="BW336" s="522">
        <f t="shared" si="178"/>
        <v>217.55555555555554</v>
      </c>
      <c r="BY336" s="527">
        <f t="shared" si="179"/>
        <v>810.22222222222229</v>
      </c>
      <c r="BZ336" s="181">
        <f t="shared" si="180"/>
        <v>0.78832432432432431</v>
      </c>
      <c r="CA336" s="520" t="b">
        <f t="shared" si="181"/>
        <v>0</v>
      </c>
    </row>
    <row r="337" spans="1:79" s="151" customFormat="1">
      <c r="A337" s="151" t="str">
        <f t="shared" si="174"/>
        <v>3EoKPremiumNationaal30</v>
      </c>
      <c r="B337" s="520" t="str">
        <f t="shared" si="169"/>
        <v>3EoKPremiumNationaal30</v>
      </c>
      <c r="C337" s="179">
        <v>3</v>
      </c>
      <c r="D337" s="179" t="s">
        <v>303</v>
      </c>
      <c r="E337" s="178" t="s">
        <v>267</v>
      </c>
      <c r="F337" s="178" t="s">
        <v>266</v>
      </c>
      <c r="G337" s="185" t="s">
        <v>415</v>
      </c>
      <c r="J337" s="520" t="str">
        <f t="shared" si="182"/>
        <v>PremiumNationaal30</v>
      </c>
      <c r="L337" s="204">
        <f>INDEX(Mapping!$H:$H,MATCH(C$3&amp;C337,Mapping!$B:$B,0))</f>
        <v>1</v>
      </c>
      <c r="M337" s="204" t="str">
        <f>INDEX(Mapping!$H:$H,MATCH(D$3&amp;$D337,Mapping!$B:$B,0))</f>
        <v>EoK</v>
      </c>
      <c r="N337" s="204" t="str">
        <f>INDEX(Mapping!$H:$H,MATCH(E$3&amp;E337,Mapping!$B:$B,0))</f>
        <v>Premium</v>
      </c>
      <c r="O337" s="204" t="str">
        <f>INDEX(Mapping!$H:$H,MATCH(F$3&amp;F337,Mapping!$B:$B,0))</f>
        <v>Metro</v>
      </c>
      <c r="P337" s="204">
        <f>INDEX(Mapping!$H:$H,MATCH(G$3&amp;G337,Mapping!$B:$B,0))</f>
        <v>30</v>
      </c>
      <c r="Q337" s="204" t="str">
        <f>INDEX(Mapping!$H:$H,MATCH(Q$3&amp;$F337,Mapping!$B:$B,0))</f>
        <v>Metro - Nationaal</v>
      </c>
      <c r="R337" s="204" t="str">
        <f>INDEX(Mapping!$H:$H,MATCH("ZM VPN Service Level"&amp;E337,Mapping!$B:$B,0))</f>
        <v>Advanced</v>
      </c>
      <c r="S337" s="139" t="b">
        <f>IF($D337="EoK",INDEX(Mapping!$I:$I,MATCH($G$3&amp;$G337,Mapping!B:B,0)),FALSE)</f>
        <v>0</v>
      </c>
      <c r="T337" s="139"/>
      <c r="U337" s="520" t="str">
        <f t="shared" si="183"/>
        <v>PremiumMetro30</v>
      </c>
      <c r="W337" s="521">
        <f>MATCH($J337,'Tarieven ZM'!$B:$B,0)</f>
        <v>113</v>
      </c>
      <c r="X337" s="204">
        <f>INDEX('Tarieven ZM'!$H:$H,$W337)</f>
        <v>1000</v>
      </c>
      <c r="Y337" s="198">
        <f>-INDEX(Parameters!$B:$B,MATCH(Y$3&amp;$C337,Parameters!$A:$A,0))*$X337</f>
        <v>0</v>
      </c>
      <c r="Z337" s="198">
        <f>-INDEX(Parameters!$B:$B,MATCH(Z$3&amp;$C337,Parameters!$A:$A,0))*$X337</f>
        <v>0</v>
      </c>
      <c r="AA337" s="139">
        <f t="shared" si="185"/>
        <v>1000</v>
      </c>
      <c r="AB337" s="205">
        <f>AA337/INDEX(Parameters!$B:$B,MATCH("AfschrijftermijnVVE"&amp;12*$C337,Parameters!$A:$A,0))</f>
        <v>27.777777777777779</v>
      </c>
      <c r="AC337" s="204">
        <f>INDEX('Tarieven ZM'!$G:$G,$W337)</f>
        <v>1000</v>
      </c>
      <c r="AD337" s="198">
        <f>-INDEX(Parameters!$B:$B,MATCH(AD$3&amp;$C337,Parameters!$A:$A,0))*$AC337</f>
        <v>0</v>
      </c>
      <c r="AE337" s="198">
        <f>-INDEX(Parameters!$B:$B,MATCH(AE$3,Parameters!$A:$A,0))*$AC337</f>
        <v>0</v>
      </c>
      <c r="AF337" s="139">
        <f t="shared" si="186"/>
        <v>1000</v>
      </c>
      <c r="AG337" s="522">
        <f t="shared" si="187"/>
        <v>1027.7777777777778</v>
      </c>
      <c r="AH337" s="175"/>
      <c r="AI337" s="523">
        <f>MATCH($U337,'Tarieven W&amp;O'!$B:$B,0)</f>
        <v>67</v>
      </c>
      <c r="AJ337" s="204">
        <f>IF(AI337&lt;&gt;"nvt",INDEX('Tarieven W&amp;O'!$H:$H,$AI337),0)</f>
        <v>0</v>
      </c>
      <c r="AK337" s="204">
        <f>IF(AI337&lt;&gt;"nvt",INDEX('Tarieven W&amp;O'!$I:$I,$AI337),0)</f>
        <v>25</v>
      </c>
      <c r="AL337" s="524">
        <f>IF(AI337&lt;&gt;"nvt",-INDEX(Parameters!$B:$B,MATCH(AL$3,Parameters!$A:$A,0))*(AJ337+AK337),0)</f>
        <v>0</v>
      </c>
      <c r="AM337" s="525"/>
      <c r="AN337" s="139">
        <f t="shared" si="188"/>
        <v>25</v>
      </c>
      <c r="AO337" s="205">
        <f>AN337/INDEX(Parameters!$B:$B,MATCH("AfschrijftermijnVVE"&amp;12*$C337,Parameters!$A:$A,0))</f>
        <v>0.69444444444444442</v>
      </c>
      <c r="AP337" s="139">
        <f t="shared" si="189"/>
        <v>67</v>
      </c>
      <c r="AQ337" s="526">
        <f>IF(AP337&lt;&gt;"nvt",INDEX('Tarieven W&amp;O'!$G:$G,$AP337),0)</f>
        <v>110.78</v>
      </c>
      <c r="AR337" s="251">
        <f>IF($S337,INDEX('Tarieven W&amp;O'!$G:$G,MATCH(N337&amp;R337,'Tarieven W&amp;O'!$B:$B,0)),0)</f>
        <v>0</v>
      </c>
      <c r="AS337" s="205">
        <f>-INDEX(Parameters!$B:$B,MATCH(AS$3,Parameters!$A:$A,0))*(AQ337+AR337)</f>
        <v>0</v>
      </c>
      <c r="AT337" s="205">
        <f>INDEX(hulpblad!$E:$E,MATCH(M337&amp;Q337,hulpblad!$B:$B,0))</f>
        <v>2</v>
      </c>
      <c r="AU337" s="150">
        <f t="shared" si="170"/>
        <v>112.78</v>
      </c>
      <c r="AV337" s="150">
        <f t="shared" si="171"/>
        <v>113.47444444444444</v>
      </c>
      <c r="AX337" s="526">
        <f>Parameters!$B$6*AV337</f>
        <v>1.1347444444444446</v>
      </c>
      <c r="AY337" s="150">
        <v>0</v>
      </c>
      <c r="AZ337" s="150"/>
      <c r="BA337" s="150">
        <f t="shared" si="190"/>
        <v>1.1347444444444446</v>
      </c>
      <c r="BB337" s="150"/>
      <c r="BC337" s="522">
        <f t="shared" si="191"/>
        <v>114.60918888888889</v>
      </c>
      <c r="BD337" s="175"/>
      <c r="BE337" s="527">
        <f t="shared" si="172"/>
        <v>913.16858888888896</v>
      </c>
      <c r="BF337" s="181">
        <f t="shared" si="173"/>
        <v>0.88848835675675675</v>
      </c>
      <c r="BG337" s="520" t="b">
        <f t="shared" si="184"/>
        <v>0</v>
      </c>
      <c r="BI337" s="528" t="s">
        <v>2181</v>
      </c>
      <c r="BL337" s="151" t="str">
        <f t="shared" si="175"/>
        <v>EoKMetro - Nationaal</v>
      </c>
      <c r="BM337" s="529">
        <v>0</v>
      </c>
      <c r="BN337" s="180">
        <f>BM337/INDEX(Parameters!$B:$B,MATCH("AfschrijftermijnVVE"&amp;12*$C337,Parameters!$A:$A,0))</f>
        <v>0</v>
      </c>
      <c r="BO337" s="184">
        <f>INDEX('inkoop ULL tbv EVPN'!I:I,MATCH(BL337,'inkoop ULL tbv EVPN'!H:H,0))</f>
        <v>2</v>
      </c>
      <c r="BP337" s="184">
        <f t="shared" si="176"/>
        <v>2</v>
      </c>
      <c r="BR337" s="180">
        <f>Parameters!$B$12*AG337</f>
        <v>102.77777777777779</v>
      </c>
      <c r="BS337" s="180">
        <f>SUM(Distributievergoedingen!$F$12,Distributievergoedingen!$I$12,Distributievergoedingen!$L$12,Distributievergoedingen!$O$12)*AF337+SUM(Distributievergoedingen!$O$12*AA337+Distributievergoedingen!$R$12+Distributievergoedingen!$U$12+Distributievergoedingen!$X$12)/(MAX(36,12*C337))</f>
        <v>112.77777777777777</v>
      </c>
      <c r="BT337" s="150"/>
      <c r="BU337" s="150">
        <f t="shared" si="177"/>
        <v>215.55555555555554</v>
      </c>
      <c r="BW337" s="522">
        <f t="shared" si="178"/>
        <v>217.55555555555554</v>
      </c>
      <c r="BY337" s="527">
        <f t="shared" si="179"/>
        <v>810.22222222222229</v>
      </c>
      <c r="BZ337" s="181">
        <f t="shared" si="180"/>
        <v>0.78832432432432431</v>
      </c>
      <c r="CA337" s="520" t="b">
        <f t="shared" si="181"/>
        <v>0</v>
      </c>
    </row>
    <row r="338" spans="1:79" s="151" customFormat="1">
      <c r="A338" s="151" t="str">
        <f t="shared" si="174"/>
        <v>3EoKPremiumNationaal50</v>
      </c>
      <c r="B338" s="520" t="str">
        <f t="shared" si="169"/>
        <v>3EoKPremiumNationaal50</v>
      </c>
      <c r="C338" s="179">
        <v>3</v>
      </c>
      <c r="D338" s="179" t="s">
        <v>303</v>
      </c>
      <c r="E338" s="178" t="s">
        <v>267</v>
      </c>
      <c r="F338" s="178" t="s">
        <v>266</v>
      </c>
      <c r="G338" s="185" t="s">
        <v>416</v>
      </c>
      <c r="J338" s="520" t="str">
        <f t="shared" si="182"/>
        <v>PremiumNationaal50</v>
      </c>
      <c r="L338" s="204">
        <f>INDEX(Mapping!$H:$H,MATCH(C$3&amp;C338,Mapping!$B:$B,0))</f>
        <v>1</v>
      </c>
      <c r="M338" s="204" t="str">
        <f>INDEX(Mapping!$H:$H,MATCH(D$3&amp;$D338,Mapping!$B:$B,0))</f>
        <v>EoK</v>
      </c>
      <c r="N338" s="204" t="str">
        <f>INDEX(Mapping!$H:$H,MATCH(E$3&amp;E338,Mapping!$B:$B,0))</f>
        <v>Premium</v>
      </c>
      <c r="O338" s="204" t="str">
        <f>INDEX(Mapping!$H:$H,MATCH(F$3&amp;F338,Mapping!$B:$B,0))</f>
        <v>Metro</v>
      </c>
      <c r="P338" s="204">
        <f>INDEX(Mapping!$H:$H,MATCH(G$3&amp;G338,Mapping!$B:$B,0))</f>
        <v>50</v>
      </c>
      <c r="Q338" s="204" t="str">
        <f>INDEX(Mapping!$H:$H,MATCH(Q$3&amp;$F338,Mapping!$B:$B,0))</f>
        <v>Metro - Nationaal</v>
      </c>
      <c r="R338" s="204" t="str">
        <f>INDEX(Mapping!$H:$H,MATCH("ZM VPN Service Level"&amp;E338,Mapping!$B:$B,0))</f>
        <v>Advanced</v>
      </c>
      <c r="S338" s="139" t="b">
        <f>IF($D338="EoK",INDEX(Mapping!$I:$I,MATCH($G$3&amp;$G338,Mapping!B:B,0)),FALSE)</f>
        <v>0</v>
      </c>
      <c r="T338" s="139"/>
      <c r="U338" s="520" t="str">
        <f t="shared" si="183"/>
        <v>PremiumMetro50</v>
      </c>
      <c r="W338" s="521">
        <f>MATCH($J338,'Tarieven ZM'!$B:$B,0)</f>
        <v>114</v>
      </c>
      <c r="X338" s="204">
        <f>INDEX('Tarieven ZM'!$H:$H,$W338)</f>
        <v>1000</v>
      </c>
      <c r="Y338" s="198">
        <f>-INDEX(Parameters!$B:$B,MATCH(Y$3&amp;$C338,Parameters!$A:$A,0))*$X338</f>
        <v>0</v>
      </c>
      <c r="Z338" s="198">
        <f>-INDEX(Parameters!$B:$B,MATCH(Z$3&amp;$C338,Parameters!$A:$A,0))*$X338</f>
        <v>0</v>
      </c>
      <c r="AA338" s="139">
        <f t="shared" si="185"/>
        <v>1000</v>
      </c>
      <c r="AB338" s="205">
        <f>AA338/INDEX(Parameters!$B:$B,MATCH("AfschrijftermijnVVE"&amp;12*$C338,Parameters!$A:$A,0))</f>
        <v>27.777777777777779</v>
      </c>
      <c r="AC338" s="204">
        <f>INDEX('Tarieven ZM'!$G:$G,$W338)</f>
        <v>1000</v>
      </c>
      <c r="AD338" s="198">
        <f>-INDEX(Parameters!$B:$B,MATCH(AD$3&amp;$C338,Parameters!$A:$A,0))*$AC338</f>
        <v>0</v>
      </c>
      <c r="AE338" s="198">
        <f>-INDEX(Parameters!$B:$B,MATCH(AE$3,Parameters!$A:$A,0))*$AC338</f>
        <v>0</v>
      </c>
      <c r="AF338" s="139">
        <f t="shared" si="186"/>
        <v>1000</v>
      </c>
      <c r="AG338" s="522">
        <f t="shared" si="187"/>
        <v>1027.7777777777778</v>
      </c>
      <c r="AH338" s="175"/>
      <c r="AI338" s="523">
        <f>MATCH($U338,'Tarieven W&amp;O'!$B:$B,0)</f>
        <v>68</v>
      </c>
      <c r="AJ338" s="204">
        <f>IF(AI338&lt;&gt;"nvt",INDEX('Tarieven W&amp;O'!$H:$H,$AI338),0)</f>
        <v>0</v>
      </c>
      <c r="AK338" s="204">
        <f>IF(AI338&lt;&gt;"nvt",INDEX('Tarieven W&amp;O'!$I:$I,$AI338),0)</f>
        <v>25</v>
      </c>
      <c r="AL338" s="524">
        <f>IF(AI338&lt;&gt;"nvt",-INDEX(Parameters!$B:$B,MATCH(AL$3,Parameters!$A:$A,0))*(AJ338+AK338),0)</f>
        <v>0</v>
      </c>
      <c r="AM338" s="525"/>
      <c r="AN338" s="139">
        <f t="shared" si="188"/>
        <v>25</v>
      </c>
      <c r="AO338" s="205">
        <f>AN338/INDEX(Parameters!$B:$B,MATCH("AfschrijftermijnVVE"&amp;12*$C338,Parameters!$A:$A,0))</f>
        <v>0.69444444444444442</v>
      </c>
      <c r="AP338" s="139">
        <f t="shared" si="189"/>
        <v>68</v>
      </c>
      <c r="AQ338" s="526">
        <f>IF(AP338&lt;&gt;"nvt",INDEX('Tarieven W&amp;O'!$G:$G,$AP338),0)</f>
        <v>133.4</v>
      </c>
      <c r="AR338" s="251">
        <f>IF($S338,INDEX('Tarieven W&amp;O'!$G:$G,MATCH(N338&amp;R338,'Tarieven W&amp;O'!$B:$B,0)),0)</f>
        <v>0</v>
      </c>
      <c r="AS338" s="205">
        <f>-INDEX(Parameters!$B:$B,MATCH(AS$3,Parameters!$A:$A,0))*(AQ338+AR338)</f>
        <v>0</v>
      </c>
      <c r="AT338" s="205">
        <f>INDEX(hulpblad!$E:$E,MATCH(M338&amp;Q338,hulpblad!$B:$B,0))</f>
        <v>2</v>
      </c>
      <c r="AU338" s="150">
        <f t="shared" si="170"/>
        <v>135.4</v>
      </c>
      <c r="AV338" s="150">
        <f t="shared" si="171"/>
        <v>136.09444444444446</v>
      </c>
      <c r="AX338" s="526">
        <f>Parameters!$B$6*AV338</f>
        <v>1.3609444444444447</v>
      </c>
      <c r="AY338" s="150">
        <v>0</v>
      </c>
      <c r="AZ338" s="150"/>
      <c r="BA338" s="150">
        <f t="shared" si="190"/>
        <v>1.3609444444444447</v>
      </c>
      <c r="BB338" s="150"/>
      <c r="BC338" s="522">
        <f t="shared" si="191"/>
        <v>137.4553888888889</v>
      </c>
      <c r="BD338" s="175"/>
      <c r="BE338" s="527">
        <f t="shared" si="172"/>
        <v>890.3223888888889</v>
      </c>
      <c r="BF338" s="181">
        <f t="shared" si="173"/>
        <v>0.86625962162162162</v>
      </c>
      <c r="BG338" s="520" t="b">
        <f t="shared" si="184"/>
        <v>0</v>
      </c>
      <c r="BI338" s="528" t="s">
        <v>2181</v>
      </c>
      <c r="BL338" s="151" t="str">
        <f t="shared" si="175"/>
        <v>EoKMetro - Nationaal</v>
      </c>
      <c r="BM338" s="529">
        <v>0</v>
      </c>
      <c r="BN338" s="180">
        <f>BM338/INDEX(Parameters!$B:$B,MATCH("AfschrijftermijnVVE"&amp;12*$C338,Parameters!$A:$A,0))</f>
        <v>0</v>
      </c>
      <c r="BO338" s="184">
        <f>INDEX('inkoop ULL tbv EVPN'!I:I,MATCH(BL338,'inkoop ULL tbv EVPN'!H:H,0))</f>
        <v>2</v>
      </c>
      <c r="BP338" s="184">
        <f t="shared" si="176"/>
        <v>2</v>
      </c>
      <c r="BR338" s="180">
        <f>Parameters!$B$12*AG338</f>
        <v>102.77777777777779</v>
      </c>
      <c r="BS338" s="180">
        <f>SUM(Distributievergoedingen!$F$12,Distributievergoedingen!$I$12,Distributievergoedingen!$L$12,Distributievergoedingen!$O$12)*AF338+SUM(Distributievergoedingen!$O$12*AA338+Distributievergoedingen!$R$12+Distributievergoedingen!$U$12+Distributievergoedingen!$X$12)/(MAX(36,12*C338))</f>
        <v>112.77777777777777</v>
      </c>
      <c r="BT338" s="150"/>
      <c r="BU338" s="150">
        <f t="shared" si="177"/>
        <v>215.55555555555554</v>
      </c>
      <c r="BW338" s="522">
        <f t="shared" si="178"/>
        <v>217.55555555555554</v>
      </c>
      <c r="BY338" s="527">
        <f t="shared" si="179"/>
        <v>810.22222222222229</v>
      </c>
      <c r="BZ338" s="181">
        <f t="shared" si="180"/>
        <v>0.78832432432432431</v>
      </c>
      <c r="CA338" s="520" t="b">
        <f t="shared" si="181"/>
        <v>0</v>
      </c>
    </row>
    <row r="339" spans="1:79" s="151" customFormat="1">
      <c r="A339" s="151" t="str">
        <f t="shared" si="174"/>
        <v>3EoKPremiumNationaal80</v>
      </c>
      <c r="B339" s="520" t="str">
        <f t="shared" si="169"/>
        <v>3EoKPremiumNationaal80</v>
      </c>
      <c r="C339" s="179">
        <v>3</v>
      </c>
      <c r="D339" s="179" t="s">
        <v>303</v>
      </c>
      <c r="E339" s="178" t="s">
        <v>267</v>
      </c>
      <c r="F339" s="178" t="s">
        <v>266</v>
      </c>
      <c r="G339" s="185" t="s">
        <v>417</v>
      </c>
      <c r="J339" s="520" t="str">
        <f t="shared" si="182"/>
        <v>PremiumNationaal80</v>
      </c>
      <c r="L339" s="204">
        <f>INDEX(Mapping!$H:$H,MATCH(C$3&amp;C339,Mapping!$B:$B,0))</f>
        <v>1</v>
      </c>
      <c r="M339" s="204" t="str">
        <f>INDEX(Mapping!$H:$H,MATCH(D$3&amp;$D339,Mapping!$B:$B,0))</f>
        <v>EoK</v>
      </c>
      <c r="N339" s="204" t="str">
        <f>INDEX(Mapping!$H:$H,MATCH(E$3&amp;E339,Mapping!$B:$B,0))</f>
        <v>Premium</v>
      </c>
      <c r="O339" s="204" t="str">
        <f>INDEX(Mapping!$H:$H,MATCH(F$3&amp;F339,Mapping!$B:$B,0))</f>
        <v>Metro</v>
      </c>
      <c r="P339" s="204">
        <f>INDEX(Mapping!$H:$H,MATCH(G$3&amp;G339,Mapping!$B:$B,0))</f>
        <v>80</v>
      </c>
      <c r="Q339" s="204" t="str">
        <f>INDEX(Mapping!$H:$H,MATCH(Q$3&amp;$F339,Mapping!$B:$B,0))</f>
        <v>Metro - Nationaal</v>
      </c>
      <c r="R339" s="204" t="str">
        <f>INDEX(Mapping!$H:$H,MATCH("ZM VPN Service Level"&amp;E339,Mapping!$B:$B,0))</f>
        <v>Advanced</v>
      </c>
      <c r="S339" s="139" t="b">
        <f>IF($D339="EoK",INDEX(Mapping!$I:$I,MATCH($G$3&amp;$G339,Mapping!B:B,0)),FALSE)</f>
        <v>0</v>
      </c>
      <c r="T339" s="139"/>
      <c r="U339" s="520" t="str">
        <f t="shared" si="183"/>
        <v>PremiumMetro80</v>
      </c>
      <c r="W339" s="521">
        <f>MATCH($J339,'Tarieven ZM'!$B:$B,0)</f>
        <v>115</v>
      </c>
      <c r="X339" s="204">
        <f>INDEX('Tarieven ZM'!$H:$H,$W339)</f>
        <v>1000</v>
      </c>
      <c r="Y339" s="198">
        <f>-INDEX(Parameters!$B:$B,MATCH(Y$3&amp;$C339,Parameters!$A:$A,0))*$X339</f>
        <v>0</v>
      </c>
      <c r="Z339" s="198">
        <f>-INDEX(Parameters!$B:$B,MATCH(Z$3&amp;$C339,Parameters!$A:$A,0))*$X339</f>
        <v>0</v>
      </c>
      <c r="AA339" s="139">
        <f t="shared" si="185"/>
        <v>1000</v>
      </c>
      <c r="AB339" s="205">
        <f>AA339/INDEX(Parameters!$B:$B,MATCH("AfschrijftermijnVVE"&amp;12*$C339,Parameters!$A:$A,0))</f>
        <v>27.777777777777779</v>
      </c>
      <c r="AC339" s="204">
        <f>INDEX('Tarieven ZM'!$G:$G,$W339)</f>
        <v>1000</v>
      </c>
      <c r="AD339" s="198">
        <f>-INDEX(Parameters!$B:$B,MATCH(AD$3&amp;$C339,Parameters!$A:$A,0))*$AC339</f>
        <v>0</v>
      </c>
      <c r="AE339" s="198">
        <f>-INDEX(Parameters!$B:$B,MATCH(AE$3,Parameters!$A:$A,0))*$AC339</f>
        <v>0</v>
      </c>
      <c r="AF339" s="139">
        <f t="shared" si="186"/>
        <v>1000</v>
      </c>
      <c r="AG339" s="522">
        <f t="shared" si="187"/>
        <v>1027.7777777777778</v>
      </c>
      <c r="AH339" s="175"/>
      <c r="AI339" s="523">
        <f>MATCH($U339,'Tarieven W&amp;O'!$B:$B,0)</f>
        <v>69</v>
      </c>
      <c r="AJ339" s="204">
        <f>IF(AI339&lt;&gt;"nvt",INDEX('Tarieven W&amp;O'!$H:$H,$AI339),0)</f>
        <v>0</v>
      </c>
      <c r="AK339" s="204">
        <f>IF(AI339&lt;&gt;"nvt",INDEX('Tarieven W&amp;O'!$I:$I,$AI339),0)</f>
        <v>25</v>
      </c>
      <c r="AL339" s="524">
        <f>IF(AI339&lt;&gt;"nvt",-INDEX(Parameters!$B:$B,MATCH(AL$3,Parameters!$A:$A,0))*(AJ339+AK339),0)</f>
        <v>0</v>
      </c>
      <c r="AM339" s="525"/>
      <c r="AN339" s="139">
        <f t="shared" si="188"/>
        <v>25</v>
      </c>
      <c r="AO339" s="205">
        <f>AN339/INDEX(Parameters!$B:$B,MATCH("AfschrijftermijnVVE"&amp;12*$C339,Parameters!$A:$A,0))</f>
        <v>0.69444444444444442</v>
      </c>
      <c r="AP339" s="139">
        <f t="shared" si="189"/>
        <v>69</v>
      </c>
      <c r="AQ339" s="526">
        <f>IF(AP339&lt;&gt;"nvt",INDEX('Tarieven W&amp;O'!$G:$G,$AP339),0)</f>
        <v>159.78</v>
      </c>
      <c r="AR339" s="251">
        <f>IF($S339,INDEX('Tarieven W&amp;O'!$G:$G,MATCH(N339&amp;R339,'Tarieven W&amp;O'!$B:$B,0)),0)</f>
        <v>0</v>
      </c>
      <c r="AS339" s="205">
        <f>-INDEX(Parameters!$B:$B,MATCH(AS$3,Parameters!$A:$A,0))*(AQ339+AR339)</f>
        <v>0</v>
      </c>
      <c r="AT339" s="205">
        <f>INDEX(hulpblad!$E:$E,MATCH(M339&amp;Q339,hulpblad!$B:$B,0))</f>
        <v>2</v>
      </c>
      <c r="AU339" s="150">
        <f t="shared" si="170"/>
        <v>161.78</v>
      </c>
      <c r="AV339" s="150">
        <f t="shared" si="171"/>
        <v>162.47444444444446</v>
      </c>
      <c r="AX339" s="526">
        <f>Parameters!$B$6*AV339</f>
        <v>1.6247444444444445</v>
      </c>
      <c r="AY339" s="150">
        <v>0</v>
      </c>
      <c r="AZ339" s="150"/>
      <c r="BA339" s="150">
        <f t="shared" si="190"/>
        <v>1.6247444444444445</v>
      </c>
      <c r="BB339" s="150"/>
      <c r="BC339" s="522">
        <f t="shared" si="191"/>
        <v>164.0991888888889</v>
      </c>
      <c r="BD339" s="175"/>
      <c r="BE339" s="527">
        <f t="shared" si="172"/>
        <v>863.67858888888895</v>
      </c>
      <c r="BF339" s="181">
        <f t="shared" si="173"/>
        <v>0.84033592432432436</v>
      </c>
      <c r="BG339" s="520" t="b">
        <f t="shared" si="184"/>
        <v>0</v>
      </c>
      <c r="BI339" s="528" t="s">
        <v>2181</v>
      </c>
      <c r="BL339" s="151" t="str">
        <f t="shared" si="175"/>
        <v>EoKMetro - Nationaal</v>
      </c>
      <c r="BM339" s="529">
        <v>0</v>
      </c>
      <c r="BN339" s="180">
        <f>BM339/INDEX(Parameters!$B:$B,MATCH("AfschrijftermijnVVE"&amp;12*$C339,Parameters!$A:$A,0))</f>
        <v>0</v>
      </c>
      <c r="BO339" s="184">
        <f>INDEX('inkoop ULL tbv EVPN'!I:I,MATCH(BL339,'inkoop ULL tbv EVPN'!H:H,0))</f>
        <v>2</v>
      </c>
      <c r="BP339" s="184">
        <f t="shared" si="176"/>
        <v>2</v>
      </c>
      <c r="BR339" s="180">
        <f>Parameters!$B$12*AG339</f>
        <v>102.77777777777779</v>
      </c>
      <c r="BS339" s="180">
        <f>SUM(Distributievergoedingen!$F$12,Distributievergoedingen!$I$12,Distributievergoedingen!$L$12,Distributievergoedingen!$O$12)*AF339+SUM(Distributievergoedingen!$O$12*AA339+Distributievergoedingen!$R$12+Distributievergoedingen!$U$12+Distributievergoedingen!$X$12)/(MAX(36,12*C339))</f>
        <v>112.77777777777777</v>
      </c>
      <c r="BT339" s="150"/>
      <c r="BU339" s="150">
        <f t="shared" si="177"/>
        <v>215.55555555555554</v>
      </c>
      <c r="BW339" s="522">
        <f t="shared" si="178"/>
        <v>217.55555555555554</v>
      </c>
      <c r="BY339" s="527">
        <f t="shared" si="179"/>
        <v>810.22222222222229</v>
      </c>
      <c r="BZ339" s="181">
        <f t="shared" si="180"/>
        <v>0.78832432432432431</v>
      </c>
      <c r="CA339" s="520" t="b">
        <f t="shared" si="181"/>
        <v>0</v>
      </c>
    </row>
    <row r="340" spans="1:79" s="151" customFormat="1">
      <c r="A340" s="151" t="str">
        <f t="shared" si="174"/>
        <v>3EoKPremiumNationaal100</v>
      </c>
      <c r="B340" s="520" t="str">
        <f t="shared" si="169"/>
        <v>3EoKPremiumNationaal100</v>
      </c>
      <c r="C340" s="179">
        <v>3</v>
      </c>
      <c r="D340" s="179" t="s">
        <v>303</v>
      </c>
      <c r="E340" s="178" t="s">
        <v>267</v>
      </c>
      <c r="F340" s="178" t="s">
        <v>266</v>
      </c>
      <c r="G340" s="185" t="s">
        <v>418</v>
      </c>
      <c r="J340" s="520" t="str">
        <f t="shared" si="182"/>
        <v>PremiumNationaal100</v>
      </c>
      <c r="L340" s="204">
        <f>INDEX(Mapping!$H:$H,MATCH(C$3&amp;C340,Mapping!$B:$B,0))</f>
        <v>1</v>
      </c>
      <c r="M340" s="204" t="str">
        <f>INDEX(Mapping!$H:$H,MATCH(D$3&amp;$D340,Mapping!$B:$B,0))</f>
        <v>EoK</v>
      </c>
      <c r="N340" s="204" t="str">
        <f>INDEX(Mapping!$H:$H,MATCH(E$3&amp;E340,Mapping!$B:$B,0))</f>
        <v>Premium</v>
      </c>
      <c r="O340" s="204" t="str">
        <f>INDEX(Mapping!$H:$H,MATCH(F$3&amp;F340,Mapping!$B:$B,0))</f>
        <v>Metro</v>
      </c>
      <c r="P340" s="204">
        <f>INDEX(Mapping!$H:$H,MATCH(G$3&amp;G340,Mapping!$B:$B,0))</f>
        <v>100</v>
      </c>
      <c r="Q340" s="204" t="str">
        <f>INDEX(Mapping!$H:$H,MATCH(Q$3&amp;$F340,Mapping!$B:$B,0))</f>
        <v>Metro - Nationaal</v>
      </c>
      <c r="R340" s="204" t="str">
        <f>INDEX(Mapping!$H:$H,MATCH("ZM VPN Service Level"&amp;E340,Mapping!$B:$B,0))</f>
        <v>Advanced</v>
      </c>
      <c r="S340" s="139" t="b">
        <f>IF($D340="EoK",INDEX(Mapping!$I:$I,MATCH($G$3&amp;$G340,Mapping!B:B,0)),FALSE)</f>
        <v>0</v>
      </c>
      <c r="T340" s="139"/>
      <c r="U340" s="520" t="str">
        <f t="shared" si="183"/>
        <v>PremiumMetro100</v>
      </c>
      <c r="W340" s="521">
        <f>MATCH($J340,'Tarieven ZM'!$B:$B,0)</f>
        <v>116</v>
      </c>
      <c r="X340" s="204">
        <f>INDEX('Tarieven ZM'!$H:$H,$W340)</f>
        <v>1000</v>
      </c>
      <c r="Y340" s="198">
        <f>-INDEX(Parameters!$B:$B,MATCH(Y$3&amp;$C340,Parameters!$A:$A,0))*$X340</f>
        <v>0</v>
      </c>
      <c r="Z340" s="198">
        <f>-INDEX(Parameters!$B:$B,MATCH(Z$3&amp;$C340,Parameters!$A:$A,0))*$X340</f>
        <v>0</v>
      </c>
      <c r="AA340" s="139">
        <f t="shared" si="185"/>
        <v>1000</v>
      </c>
      <c r="AB340" s="205">
        <f>AA340/INDEX(Parameters!$B:$B,MATCH("AfschrijftermijnVVE"&amp;12*$C340,Parameters!$A:$A,0))</f>
        <v>27.777777777777779</v>
      </c>
      <c r="AC340" s="204">
        <f>INDEX('Tarieven ZM'!$G:$G,$W340)</f>
        <v>1000</v>
      </c>
      <c r="AD340" s="198">
        <f>-INDEX(Parameters!$B:$B,MATCH(AD$3&amp;$C340,Parameters!$A:$A,0))*$AC340</f>
        <v>0</v>
      </c>
      <c r="AE340" s="198">
        <f>-INDEX(Parameters!$B:$B,MATCH(AE$3,Parameters!$A:$A,0))*$AC340</f>
        <v>0</v>
      </c>
      <c r="AF340" s="139">
        <f t="shared" si="186"/>
        <v>1000</v>
      </c>
      <c r="AG340" s="522">
        <f t="shared" si="187"/>
        <v>1027.7777777777778</v>
      </c>
      <c r="AH340" s="175"/>
      <c r="AI340" s="523">
        <f>MATCH($U340,'Tarieven W&amp;O'!$B:$B,0)</f>
        <v>70</v>
      </c>
      <c r="AJ340" s="204">
        <f>IF(AI340&lt;&gt;"nvt",INDEX('Tarieven W&amp;O'!$H:$H,$AI340),0)</f>
        <v>0</v>
      </c>
      <c r="AK340" s="204">
        <f>IF(AI340&lt;&gt;"nvt",INDEX('Tarieven W&amp;O'!$I:$I,$AI340),0)</f>
        <v>25</v>
      </c>
      <c r="AL340" s="524">
        <f>IF(AI340&lt;&gt;"nvt",-INDEX(Parameters!$B:$B,MATCH(AL$3,Parameters!$A:$A,0))*(AJ340+AK340),0)</f>
        <v>0</v>
      </c>
      <c r="AM340" s="525"/>
      <c r="AN340" s="139">
        <f t="shared" si="188"/>
        <v>25</v>
      </c>
      <c r="AO340" s="205">
        <f>AN340/INDEX(Parameters!$B:$B,MATCH("AfschrijftermijnVVE"&amp;12*$C340,Parameters!$A:$A,0))</f>
        <v>0.69444444444444442</v>
      </c>
      <c r="AP340" s="139">
        <f t="shared" si="189"/>
        <v>70</v>
      </c>
      <c r="AQ340" s="526">
        <f>IF(AP340&lt;&gt;"nvt",INDEX('Tarieven W&amp;O'!$G:$G,$AP340),0)</f>
        <v>178.63</v>
      </c>
      <c r="AR340" s="251">
        <f>IF($S340,INDEX('Tarieven W&amp;O'!$G:$G,MATCH(N340&amp;R340,'Tarieven W&amp;O'!$B:$B,0)),0)</f>
        <v>0</v>
      </c>
      <c r="AS340" s="205">
        <f>-INDEX(Parameters!$B:$B,MATCH(AS$3,Parameters!$A:$A,0))*(AQ340+AR340)</f>
        <v>0</v>
      </c>
      <c r="AT340" s="205">
        <f>INDEX(hulpblad!$E:$E,MATCH(M340&amp;Q340,hulpblad!$B:$B,0))</f>
        <v>2</v>
      </c>
      <c r="AU340" s="150">
        <f t="shared" si="170"/>
        <v>180.63</v>
      </c>
      <c r="AV340" s="150">
        <f t="shared" si="171"/>
        <v>181.32444444444445</v>
      </c>
      <c r="AX340" s="526">
        <f>Parameters!$B$6*AV340</f>
        <v>1.8132444444444447</v>
      </c>
      <c r="AY340" s="150">
        <v>0</v>
      </c>
      <c r="AZ340" s="150"/>
      <c r="BA340" s="150">
        <f t="shared" si="190"/>
        <v>1.8132444444444447</v>
      </c>
      <c r="BB340" s="150"/>
      <c r="BC340" s="522">
        <f t="shared" si="191"/>
        <v>183.1376888888889</v>
      </c>
      <c r="BD340" s="175"/>
      <c r="BE340" s="527">
        <f t="shared" si="172"/>
        <v>844.64008888888895</v>
      </c>
      <c r="BF340" s="181">
        <f t="shared" si="173"/>
        <v>0.82181197837837838</v>
      </c>
      <c r="BG340" s="520" t="b">
        <f t="shared" si="184"/>
        <v>0</v>
      </c>
      <c r="BI340" s="528" t="s">
        <v>2181</v>
      </c>
      <c r="BL340" s="151" t="str">
        <f t="shared" si="175"/>
        <v>EoKMetro - Nationaal</v>
      </c>
      <c r="BM340" s="529">
        <v>0</v>
      </c>
      <c r="BN340" s="180">
        <f>BM340/INDEX(Parameters!$B:$B,MATCH("AfschrijftermijnVVE"&amp;12*$C340,Parameters!$A:$A,0))</f>
        <v>0</v>
      </c>
      <c r="BO340" s="184">
        <f>INDEX('inkoop ULL tbv EVPN'!I:I,MATCH(BL340,'inkoop ULL tbv EVPN'!H:H,0))</f>
        <v>2</v>
      </c>
      <c r="BP340" s="184">
        <f t="shared" si="176"/>
        <v>2</v>
      </c>
      <c r="BR340" s="180">
        <f>Parameters!$B$12*AG340</f>
        <v>102.77777777777779</v>
      </c>
      <c r="BS340" s="180">
        <f>SUM(Distributievergoedingen!$F$12,Distributievergoedingen!$I$12,Distributievergoedingen!$L$12,Distributievergoedingen!$O$12)*AF340+SUM(Distributievergoedingen!$O$12*AA340+Distributievergoedingen!$R$12+Distributievergoedingen!$U$12+Distributievergoedingen!$X$12)/(MAX(36,12*C340))</f>
        <v>112.77777777777777</v>
      </c>
      <c r="BT340" s="150"/>
      <c r="BU340" s="150">
        <f t="shared" si="177"/>
        <v>215.55555555555554</v>
      </c>
      <c r="BW340" s="522">
        <f t="shared" si="178"/>
        <v>217.55555555555554</v>
      </c>
      <c r="BY340" s="527">
        <f t="shared" si="179"/>
        <v>810.22222222222229</v>
      </c>
      <c r="BZ340" s="181">
        <f t="shared" si="180"/>
        <v>0.78832432432432431</v>
      </c>
      <c r="CA340" s="520" t="b">
        <f t="shared" si="181"/>
        <v>0</v>
      </c>
    </row>
    <row r="341" spans="1:79" s="151" customFormat="1">
      <c r="A341" s="151" t="str">
        <f t="shared" si="174"/>
        <v>3EoKPremiumNationaal200</v>
      </c>
      <c r="B341" s="520" t="str">
        <f t="shared" si="169"/>
        <v>3EoKPremiumNationaal200</v>
      </c>
      <c r="C341" s="179">
        <v>3</v>
      </c>
      <c r="D341" s="179" t="s">
        <v>303</v>
      </c>
      <c r="E341" s="178" t="s">
        <v>267</v>
      </c>
      <c r="F341" s="178" t="s">
        <v>266</v>
      </c>
      <c r="G341" s="185" t="s">
        <v>419</v>
      </c>
      <c r="J341" s="520" t="str">
        <f t="shared" si="182"/>
        <v>PremiumNationaal200</v>
      </c>
      <c r="L341" s="204">
        <f>INDEX(Mapping!$H:$H,MATCH(C$3&amp;C341,Mapping!$B:$B,0))</f>
        <v>1</v>
      </c>
      <c r="M341" s="204" t="str">
        <f>INDEX(Mapping!$H:$H,MATCH(D$3&amp;$D341,Mapping!$B:$B,0))</f>
        <v>EoK</v>
      </c>
      <c r="N341" s="204" t="str">
        <f>INDEX(Mapping!$H:$H,MATCH(E$3&amp;E341,Mapping!$B:$B,0))</f>
        <v>Premium</v>
      </c>
      <c r="O341" s="204" t="str">
        <f>INDEX(Mapping!$H:$H,MATCH(F$3&amp;F341,Mapping!$B:$B,0))</f>
        <v>Metro</v>
      </c>
      <c r="P341" s="204">
        <f>INDEX(Mapping!$H:$H,MATCH(G$3&amp;G341,Mapping!$B:$B,0))</f>
        <v>200</v>
      </c>
      <c r="Q341" s="204" t="str">
        <f>INDEX(Mapping!$H:$H,MATCH(Q$3&amp;$F341,Mapping!$B:$B,0))</f>
        <v>Metro - Nationaal</v>
      </c>
      <c r="R341" s="204" t="str">
        <f>INDEX(Mapping!$H:$H,MATCH("ZM VPN Service Level"&amp;E341,Mapping!$B:$B,0))</f>
        <v>Advanced</v>
      </c>
      <c r="S341" s="139" t="b">
        <f>IF($D341="EoK",INDEX(Mapping!$I:$I,MATCH($G$3&amp;$G341,Mapping!B:B,0)),FALSE)</f>
        <v>0</v>
      </c>
      <c r="T341" s="139"/>
      <c r="U341" s="520" t="str">
        <f t="shared" si="183"/>
        <v>PremiumMetro200</v>
      </c>
      <c r="W341" s="521">
        <f>MATCH($J341,'Tarieven ZM'!$B:$B,0)</f>
        <v>117</v>
      </c>
      <c r="X341" s="204">
        <f>INDEX('Tarieven ZM'!$H:$H,$W341)</f>
        <v>1000</v>
      </c>
      <c r="Y341" s="198">
        <f>-INDEX(Parameters!$B:$B,MATCH(Y$3&amp;$C341,Parameters!$A:$A,0))*$X341</f>
        <v>0</v>
      </c>
      <c r="Z341" s="198">
        <f>-INDEX(Parameters!$B:$B,MATCH(Z$3&amp;$C341,Parameters!$A:$A,0))*$X341</f>
        <v>0</v>
      </c>
      <c r="AA341" s="139">
        <f t="shared" si="185"/>
        <v>1000</v>
      </c>
      <c r="AB341" s="205">
        <f>AA341/INDEX(Parameters!$B:$B,MATCH("AfschrijftermijnVVE"&amp;12*$C341,Parameters!$A:$A,0))</f>
        <v>27.777777777777779</v>
      </c>
      <c r="AC341" s="204">
        <f>INDEX('Tarieven ZM'!$G:$G,$W341)</f>
        <v>1000</v>
      </c>
      <c r="AD341" s="198">
        <f>-INDEX(Parameters!$B:$B,MATCH(AD$3&amp;$C341,Parameters!$A:$A,0))*$AC341</f>
        <v>0</v>
      </c>
      <c r="AE341" s="198">
        <f>-INDEX(Parameters!$B:$B,MATCH(AE$3,Parameters!$A:$A,0))*$AC341</f>
        <v>0</v>
      </c>
      <c r="AF341" s="139">
        <f t="shared" si="186"/>
        <v>1000</v>
      </c>
      <c r="AG341" s="522">
        <f t="shared" si="187"/>
        <v>1027.7777777777778</v>
      </c>
      <c r="AH341" s="175"/>
      <c r="AI341" s="523">
        <f>MATCH($U341,'Tarieven W&amp;O'!$B:$B,0)</f>
        <v>71</v>
      </c>
      <c r="AJ341" s="204">
        <f>IF(AI341&lt;&gt;"nvt",INDEX('Tarieven W&amp;O'!$H:$H,$AI341),0)</f>
        <v>0</v>
      </c>
      <c r="AK341" s="204">
        <f>IF(AI341&lt;&gt;"nvt",INDEX('Tarieven W&amp;O'!$I:$I,$AI341),0)</f>
        <v>25</v>
      </c>
      <c r="AL341" s="524">
        <f>IF(AI341&lt;&gt;"nvt",-INDEX(Parameters!$B:$B,MATCH(AL$3,Parameters!$A:$A,0))*(AJ341+AK341),0)</f>
        <v>0</v>
      </c>
      <c r="AM341" s="525"/>
      <c r="AN341" s="139">
        <f t="shared" si="188"/>
        <v>25</v>
      </c>
      <c r="AO341" s="205">
        <f>AN341/INDEX(Parameters!$B:$B,MATCH("AfschrijftermijnVVE"&amp;12*$C341,Parameters!$A:$A,0))</f>
        <v>0.69444444444444442</v>
      </c>
      <c r="AP341" s="139">
        <f t="shared" si="189"/>
        <v>71</v>
      </c>
      <c r="AQ341" s="526">
        <f>IF(AP341&lt;&gt;"nvt",INDEX('Tarieven W&amp;O'!$G:$G,$AP341),0)</f>
        <v>216.32</v>
      </c>
      <c r="AR341" s="251">
        <f>IF($S341,INDEX('Tarieven W&amp;O'!$G:$G,MATCH(N341&amp;R341,'Tarieven W&amp;O'!$B:$B,0)),0)</f>
        <v>0</v>
      </c>
      <c r="AS341" s="205">
        <f>-INDEX(Parameters!$B:$B,MATCH(AS$3,Parameters!$A:$A,0))*(AQ341+AR341)</f>
        <v>0</v>
      </c>
      <c r="AT341" s="205">
        <f>INDEX(hulpblad!$E:$E,MATCH(M341&amp;Q341,hulpblad!$B:$B,0))</f>
        <v>2</v>
      </c>
      <c r="AU341" s="150">
        <f t="shared" si="170"/>
        <v>218.32</v>
      </c>
      <c r="AV341" s="150">
        <f t="shared" si="171"/>
        <v>219.01444444444445</v>
      </c>
      <c r="AX341" s="526">
        <f>Parameters!$B$6*AV341</f>
        <v>2.1901444444444444</v>
      </c>
      <c r="AY341" s="150">
        <v>0</v>
      </c>
      <c r="AZ341" s="150"/>
      <c r="BA341" s="150">
        <f t="shared" si="190"/>
        <v>2.1901444444444444</v>
      </c>
      <c r="BB341" s="150"/>
      <c r="BC341" s="522">
        <f t="shared" si="191"/>
        <v>221.20458888888891</v>
      </c>
      <c r="BD341" s="175"/>
      <c r="BE341" s="527">
        <f t="shared" si="172"/>
        <v>806.57318888888892</v>
      </c>
      <c r="BF341" s="181">
        <f t="shared" si="173"/>
        <v>0.78477391351351355</v>
      </c>
      <c r="BG341" s="520" t="b">
        <f t="shared" si="184"/>
        <v>0</v>
      </c>
      <c r="BI341" s="528" t="s">
        <v>2181</v>
      </c>
      <c r="BL341" s="151" t="str">
        <f t="shared" si="175"/>
        <v>EoKMetro - Nationaal</v>
      </c>
      <c r="BM341" s="529">
        <v>0</v>
      </c>
      <c r="BN341" s="180">
        <f>BM341/INDEX(Parameters!$B:$B,MATCH("AfschrijftermijnVVE"&amp;12*$C341,Parameters!$A:$A,0))</f>
        <v>0</v>
      </c>
      <c r="BO341" s="184">
        <f>INDEX('inkoop ULL tbv EVPN'!I:I,MATCH(BL341,'inkoop ULL tbv EVPN'!H:H,0))</f>
        <v>2</v>
      </c>
      <c r="BP341" s="184">
        <f t="shared" si="176"/>
        <v>2</v>
      </c>
      <c r="BR341" s="180">
        <f>Parameters!$B$12*AG341</f>
        <v>102.77777777777779</v>
      </c>
      <c r="BS341" s="180">
        <f>SUM(Distributievergoedingen!$F$12,Distributievergoedingen!$I$12,Distributievergoedingen!$L$12,Distributievergoedingen!$O$12)*AF341+SUM(Distributievergoedingen!$O$12*AA341+Distributievergoedingen!$R$12+Distributievergoedingen!$U$12+Distributievergoedingen!$X$12)/(MAX(36,12*C341))</f>
        <v>112.77777777777777</v>
      </c>
      <c r="BT341" s="150"/>
      <c r="BU341" s="150">
        <f t="shared" si="177"/>
        <v>215.55555555555554</v>
      </c>
      <c r="BW341" s="522">
        <f t="shared" si="178"/>
        <v>217.55555555555554</v>
      </c>
      <c r="BY341" s="527">
        <f t="shared" si="179"/>
        <v>810.22222222222229</v>
      </c>
      <c r="BZ341" s="181">
        <f t="shared" si="180"/>
        <v>0.78832432432432431</v>
      </c>
      <c r="CA341" s="520" t="b">
        <f t="shared" si="181"/>
        <v>0</v>
      </c>
    </row>
    <row r="342" spans="1:79" s="151" customFormat="1">
      <c r="A342" s="151" t="str">
        <f t="shared" si="174"/>
        <v>3EoKPremiumNationaal300</v>
      </c>
      <c r="B342" s="520" t="str">
        <f t="shared" si="169"/>
        <v>3EoKPremiumNationaal300</v>
      </c>
      <c r="C342" s="179">
        <v>3</v>
      </c>
      <c r="D342" s="179" t="s">
        <v>303</v>
      </c>
      <c r="E342" s="178" t="s">
        <v>267</v>
      </c>
      <c r="F342" s="178" t="s">
        <v>266</v>
      </c>
      <c r="G342" s="185" t="s">
        <v>420</v>
      </c>
      <c r="J342" s="520" t="str">
        <f t="shared" si="182"/>
        <v>PremiumNationaal300</v>
      </c>
      <c r="L342" s="204">
        <f>INDEX(Mapping!$H:$H,MATCH(C$3&amp;C342,Mapping!$B:$B,0))</f>
        <v>1</v>
      </c>
      <c r="M342" s="204" t="str">
        <f>INDEX(Mapping!$H:$H,MATCH(D$3&amp;$D342,Mapping!$B:$B,0))</f>
        <v>EoK</v>
      </c>
      <c r="N342" s="204" t="str">
        <f>INDEX(Mapping!$H:$H,MATCH(E$3&amp;E342,Mapping!$B:$B,0))</f>
        <v>Premium</v>
      </c>
      <c r="O342" s="204" t="str">
        <f>INDEX(Mapping!$H:$H,MATCH(F$3&amp;F342,Mapping!$B:$B,0))</f>
        <v>Metro</v>
      </c>
      <c r="P342" s="204">
        <f>INDEX(Mapping!$H:$H,MATCH(G$3&amp;G342,Mapping!$B:$B,0))</f>
        <v>300</v>
      </c>
      <c r="Q342" s="204" t="str">
        <f>INDEX(Mapping!$H:$H,MATCH(Q$3&amp;$F342,Mapping!$B:$B,0))</f>
        <v>Metro - Nationaal</v>
      </c>
      <c r="R342" s="204" t="str">
        <f>INDEX(Mapping!$H:$H,MATCH("ZM VPN Service Level"&amp;E342,Mapping!$B:$B,0))</f>
        <v>Advanced</v>
      </c>
      <c r="S342" s="139" t="b">
        <f>IF($D342="EoK",INDEX(Mapping!$I:$I,MATCH($G$3&amp;$G342,Mapping!B:B,0)),FALSE)</f>
        <v>0</v>
      </c>
      <c r="T342" s="139"/>
      <c r="U342" s="520" t="str">
        <f t="shared" si="183"/>
        <v>PremiumMetro300</v>
      </c>
      <c r="W342" s="521">
        <f>MATCH($J342,'Tarieven ZM'!$B:$B,0)</f>
        <v>118</v>
      </c>
      <c r="X342" s="204">
        <f>INDEX('Tarieven ZM'!$H:$H,$W342)</f>
        <v>1000</v>
      </c>
      <c r="Y342" s="198">
        <f>-INDEX(Parameters!$B:$B,MATCH(Y$3&amp;$C342,Parameters!$A:$A,0))*$X342</f>
        <v>0</v>
      </c>
      <c r="Z342" s="198">
        <f>-INDEX(Parameters!$B:$B,MATCH(Z$3&amp;$C342,Parameters!$A:$A,0))*$X342</f>
        <v>0</v>
      </c>
      <c r="AA342" s="139">
        <f t="shared" si="185"/>
        <v>1000</v>
      </c>
      <c r="AB342" s="205">
        <f>AA342/INDEX(Parameters!$B:$B,MATCH("AfschrijftermijnVVE"&amp;12*$C342,Parameters!$A:$A,0))</f>
        <v>27.777777777777779</v>
      </c>
      <c r="AC342" s="204">
        <f>INDEX('Tarieven ZM'!$G:$G,$W342)</f>
        <v>1000</v>
      </c>
      <c r="AD342" s="198">
        <f>-INDEX(Parameters!$B:$B,MATCH(AD$3&amp;$C342,Parameters!$A:$A,0))*$AC342</f>
        <v>0</v>
      </c>
      <c r="AE342" s="198">
        <f>-INDEX(Parameters!$B:$B,MATCH(AE$3,Parameters!$A:$A,0))*$AC342</f>
        <v>0</v>
      </c>
      <c r="AF342" s="139">
        <f t="shared" si="186"/>
        <v>1000</v>
      </c>
      <c r="AG342" s="522">
        <f t="shared" si="187"/>
        <v>1027.7777777777778</v>
      </c>
      <c r="AH342" s="175"/>
      <c r="AI342" s="523">
        <f>MATCH($U342,'Tarieven W&amp;O'!$B:$B,0)</f>
        <v>72</v>
      </c>
      <c r="AJ342" s="204">
        <f>IF(AI342&lt;&gt;"nvt",INDEX('Tarieven W&amp;O'!$H:$H,$AI342),0)</f>
        <v>0</v>
      </c>
      <c r="AK342" s="204">
        <f>IF(AI342&lt;&gt;"nvt",INDEX('Tarieven W&amp;O'!$I:$I,$AI342),0)</f>
        <v>25</v>
      </c>
      <c r="AL342" s="524">
        <f>IF(AI342&lt;&gt;"nvt",-INDEX(Parameters!$B:$B,MATCH(AL$3,Parameters!$A:$A,0))*(AJ342+AK342),0)</f>
        <v>0</v>
      </c>
      <c r="AM342" s="525"/>
      <c r="AN342" s="139">
        <f t="shared" si="188"/>
        <v>25</v>
      </c>
      <c r="AO342" s="205">
        <f>AN342/INDEX(Parameters!$B:$B,MATCH("AfschrijftermijnVVE"&amp;12*$C342,Parameters!$A:$A,0))</f>
        <v>0.69444444444444442</v>
      </c>
      <c r="AP342" s="139">
        <f t="shared" si="189"/>
        <v>72</v>
      </c>
      <c r="AQ342" s="526">
        <f>IF(AP342&lt;&gt;"nvt",INDEX('Tarieven W&amp;O'!$G:$G,$AP342),0)</f>
        <v>254.01</v>
      </c>
      <c r="AR342" s="251">
        <f>IF($S342,INDEX('Tarieven W&amp;O'!$G:$G,MATCH(N342&amp;R342,'Tarieven W&amp;O'!$B:$B,0)),0)</f>
        <v>0</v>
      </c>
      <c r="AS342" s="205">
        <f>-INDEX(Parameters!$B:$B,MATCH(AS$3,Parameters!$A:$A,0))*(AQ342+AR342)</f>
        <v>0</v>
      </c>
      <c r="AT342" s="205">
        <f>INDEX(hulpblad!$E:$E,MATCH(M342&amp;Q342,hulpblad!$B:$B,0))</f>
        <v>2</v>
      </c>
      <c r="AU342" s="150">
        <f t="shared" si="170"/>
        <v>256.01</v>
      </c>
      <c r="AV342" s="150">
        <f t="shared" si="171"/>
        <v>256.70444444444445</v>
      </c>
      <c r="AX342" s="526">
        <f>Parameters!$B$6*AV342</f>
        <v>2.5670444444444445</v>
      </c>
      <c r="AY342" s="150">
        <v>0</v>
      </c>
      <c r="AZ342" s="150"/>
      <c r="BA342" s="150">
        <f t="shared" si="190"/>
        <v>2.5670444444444445</v>
      </c>
      <c r="BB342" s="150"/>
      <c r="BC342" s="522">
        <f t="shared" si="191"/>
        <v>259.27148888888888</v>
      </c>
      <c r="BD342" s="175"/>
      <c r="BE342" s="527">
        <f t="shared" si="172"/>
        <v>768.506288888889</v>
      </c>
      <c r="BF342" s="181">
        <f t="shared" si="173"/>
        <v>0.74773584864864873</v>
      </c>
      <c r="BG342" s="520" t="b">
        <f t="shared" si="184"/>
        <v>0</v>
      </c>
      <c r="BI342" s="528" t="s">
        <v>2181</v>
      </c>
      <c r="BL342" s="151" t="str">
        <f t="shared" si="175"/>
        <v>EoKMetro - Nationaal</v>
      </c>
      <c r="BM342" s="529">
        <v>0</v>
      </c>
      <c r="BN342" s="180">
        <f>BM342/INDEX(Parameters!$B:$B,MATCH("AfschrijftermijnVVE"&amp;12*$C342,Parameters!$A:$A,0))</f>
        <v>0</v>
      </c>
      <c r="BO342" s="184">
        <f>INDEX('inkoop ULL tbv EVPN'!I:I,MATCH(BL342,'inkoop ULL tbv EVPN'!H:H,0))</f>
        <v>2</v>
      </c>
      <c r="BP342" s="184">
        <f t="shared" si="176"/>
        <v>2</v>
      </c>
      <c r="BR342" s="180">
        <f>Parameters!$B$12*AG342</f>
        <v>102.77777777777779</v>
      </c>
      <c r="BS342" s="180">
        <f>SUM(Distributievergoedingen!$F$12,Distributievergoedingen!$I$12,Distributievergoedingen!$L$12,Distributievergoedingen!$O$12)*AF342+SUM(Distributievergoedingen!$O$12*AA342+Distributievergoedingen!$R$12+Distributievergoedingen!$U$12+Distributievergoedingen!$X$12)/(MAX(36,12*C342))</f>
        <v>112.77777777777777</v>
      </c>
      <c r="BT342" s="150"/>
      <c r="BU342" s="150">
        <f t="shared" si="177"/>
        <v>215.55555555555554</v>
      </c>
      <c r="BW342" s="522">
        <f t="shared" si="178"/>
        <v>217.55555555555554</v>
      </c>
      <c r="BY342" s="527">
        <f t="shared" si="179"/>
        <v>810.22222222222229</v>
      </c>
      <c r="BZ342" s="181">
        <f t="shared" si="180"/>
        <v>0.78832432432432431</v>
      </c>
      <c r="CA342" s="520" t="b">
        <f t="shared" si="181"/>
        <v>0</v>
      </c>
    </row>
    <row r="343" spans="1:79" s="151" customFormat="1">
      <c r="A343" s="151" t="str">
        <f t="shared" si="174"/>
        <v>3EoKPremiumNationaal500</v>
      </c>
      <c r="B343" s="520" t="str">
        <f t="shared" si="169"/>
        <v>3EoKPremiumNationaal500</v>
      </c>
      <c r="C343" s="179">
        <v>3</v>
      </c>
      <c r="D343" s="179" t="s">
        <v>303</v>
      </c>
      <c r="E343" s="178" t="s">
        <v>267</v>
      </c>
      <c r="F343" s="178" t="s">
        <v>266</v>
      </c>
      <c r="G343" s="185" t="s">
        <v>421</v>
      </c>
      <c r="J343" s="520" t="str">
        <f t="shared" si="182"/>
        <v>PremiumNationaal500</v>
      </c>
      <c r="L343" s="204">
        <f>INDEX(Mapping!$H:$H,MATCH(C$3&amp;C343,Mapping!$B:$B,0))</f>
        <v>1</v>
      </c>
      <c r="M343" s="204" t="str">
        <f>INDEX(Mapping!$H:$H,MATCH(D$3&amp;$D343,Mapping!$B:$B,0))</f>
        <v>EoK</v>
      </c>
      <c r="N343" s="204" t="str">
        <f>INDEX(Mapping!$H:$H,MATCH(E$3&amp;E343,Mapping!$B:$B,0))</f>
        <v>Premium</v>
      </c>
      <c r="O343" s="204" t="str">
        <f>INDEX(Mapping!$H:$H,MATCH(F$3&amp;F343,Mapping!$B:$B,0))</f>
        <v>Metro</v>
      </c>
      <c r="P343" s="204">
        <f>INDEX(Mapping!$H:$H,MATCH(G$3&amp;G343,Mapping!$B:$B,0))</f>
        <v>500</v>
      </c>
      <c r="Q343" s="204" t="str">
        <f>INDEX(Mapping!$H:$H,MATCH(Q$3&amp;$F343,Mapping!$B:$B,0))</f>
        <v>Metro - Nationaal</v>
      </c>
      <c r="R343" s="204" t="str">
        <f>INDEX(Mapping!$H:$H,MATCH("ZM VPN Service Level"&amp;E343,Mapping!$B:$B,0))</f>
        <v>Advanced</v>
      </c>
      <c r="S343" s="139" t="b">
        <f>IF($D343="EoK",INDEX(Mapping!$I:$I,MATCH($G$3&amp;$G343,Mapping!B:B,0)),FALSE)</f>
        <v>0</v>
      </c>
      <c r="T343" s="139"/>
      <c r="U343" s="520" t="str">
        <f t="shared" si="183"/>
        <v>PremiumMetro500</v>
      </c>
      <c r="W343" s="521">
        <f>MATCH($J343,'Tarieven ZM'!$B:$B,0)</f>
        <v>119</v>
      </c>
      <c r="X343" s="204">
        <f>INDEX('Tarieven ZM'!$H:$H,$W343)</f>
        <v>1000</v>
      </c>
      <c r="Y343" s="198">
        <f>-INDEX(Parameters!$B:$B,MATCH(Y$3&amp;$C343,Parameters!$A:$A,0))*$X343</f>
        <v>0</v>
      </c>
      <c r="Z343" s="198">
        <f>-INDEX(Parameters!$B:$B,MATCH(Z$3&amp;$C343,Parameters!$A:$A,0))*$X343</f>
        <v>0</v>
      </c>
      <c r="AA343" s="139">
        <f t="shared" si="185"/>
        <v>1000</v>
      </c>
      <c r="AB343" s="205">
        <f>AA343/INDEX(Parameters!$B:$B,MATCH("AfschrijftermijnVVE"&amp;12*$C343,Parameters!$A:$A,0))</f>
        <v>27.777777777777779</v>
      </c>
      <c r="AC343" s="204">
        <f>INDEX('Tarieven ZM'!$G:$G,$W343)</f>
        <v>1000</v>
      </c>
      <c r="AD343" s="198">
        <f>-INDEX(Parameters!$B:$B,MATCH(AD$3&amp;$C343,Parameters!$A:$A,0))*$AC343</f>
        <v>0</v>
      </c>
      <c r="AE343" s="198">
        <f>-INDEX(Parameters!$B:$B,MATCH(AE$3,Parameters!$A:$A,0))*$AC343</f>
        <v>0</v>
      </c>
      <c r="AF343" s="139">
        <f t="shared" si="186"/>
        <v>1000</v>
      </c>
      <c r="AG343" s="522">
        <f t="shared" si="187"/>
        <v>1027.7777777777778</v>
      </c>
      <c r="AH343" s="175"/>
      <c r="AI343" s="523">
        <f>MATCH($U343,'Tarieven W&amp;O'!$B:$B,0)</f>
        <v>73</v>
      </c>
      <c r="AJ343" s="204">
        <f>IF(AI343&lt;&gt;"nvt",INDEX('Tarieven W&amp;O'!$H:$H,$AI343),0)</f>
        <v>0</v>
      </c>
      <c r="AK343" s="204">
        <f>IF(AI343&lt;&gt;"nvt",INDEX('Tarieven W&amp;O'!$I:$I,$AI343),0)</f>
        <v>25</v>
      </c>
      <c r="AL343" s="524">
        <f>IF(AI343&lt;&gt;"nvt",-INDEX(Parameters!$B:$B,MATCH(AL$3,Parameters!$A:$A,0))*(AJ343+AK343),0)</f>
        <v>0</v>
      </c>
      <c r="AM343" s="525"/>
      <c r="AN343" s="139">
        <f t="shared" si="188"/>
        <v>25</v>
      </c>
      <c r="AO343" s="205">
        <f>AN343/INDEX(Parameters!$B:$B,MATCH("AfschrijftermijnVVE"&amp;12*$C343,Parameters!$A:$A,0))</f>
        <v>0.69444444444444442</v>
      </c>
      <c r="AP343" s="139">
        <f t="shared" si="189"/>
        <v>73</v>
      </c>
      <c r="AQ343" s="526">
        <f>IF(AP343&lt;&gt;"nvt",INDEX('Tarieven W&amp;O'!$G:$G,$AP343),0)</f>
        <v>310.54000000000002</v>
      </c>
      <c r="AR343" s="251">
        <f>IF($S343,INDEX('Tarieven W&amp;O'!$G:$G,MATCH(N343&amp;R343,'Tarieven W&amp;O'!$B:$B,0)),0)</f>
        <v>0</v>
      </c>
      <c r="AS343" s="205">
        <f>-INDEX(Parameters!$B:$B,MATCH(AS$3,Parameters!$A:$A,0))*(AQ343+AR343)</f>
        <v>0</v>
      </c>
      <c r="AT343" s="205">
        <f>INDEX(hulpblad!$E:$E,MATCH(M343&amp;Q343,hulpblad!$B:$B,0))</f>
        <v>2</v>
      </c>
      <c r="AU343" s="150">
        <f t="shared" si="170"/>
        <v>312.54000000000002</v>
      </c>
      <c r="AV343" s="150">
        <f t="shared" si="171"/>
        <v>313.23444444444448</v>
      </c>
      <c r="AX343" s="526">
        <f>Parameters!$B$6*AV343</f>
        <v>3.132344444444445</v>
      </c>
      <c r="AY343" s="150">
        <v>0</v>
      </c>
      <c r="AZ343" s="150"/>
      <c r="BA343" s="150">
        <f t="shared" si="190"/>
        <v>3.132344444444445</v>
      </c>
      <c r="BB343" s="150"/>
      <c r="BC343" s="522">
        <f t="shared" si="191"/>
        <v>316.36678888888895</v>
      </c>
      <c r="BD343" s="175"/>
      <c r="BE343" s="527">
        <f t="shared" si="172"/>
        <v>711.41098888888882</v>
      </c>
      <c r="BF343" s="181">
        <f t="shared" si="173"/>
        <v>0.69218366486486482</v>
      </c>
      <c r="BG343" s="520" t="b">
        <f t="shared" si="184"/>
        <v>0</v>
      </c>
      <c r="BI343" s="528" t="s">
        <v>2181</v>
      </c>
      <c r="BL343" s="151" t="str">
        <f t="shared" si="175"/>
        <v>EoKMetro - Nationaal</v>
      </c>
      <c r="BM343" s="529">
        <v>0</v>
      </c>
      <c r="BN343" s="180">
        <f>BM343/INDEX(Parameters!$B:$B,MATCH("AfschrijftermijnVVE"&amp;12*$C343,Parameters!$A:$A,0))</f>
        <v>0</v>
      </c>
      <c r="BO343" s="184">
        <f>INDEX('inkoop ULL tbv EVPN'!I:I,MATCH(BL343,'inkoop ULL tbv EVPN'!H:H,0))</f>
        <v>2</v>
      </c>
      <c r="BP343" s="184">
        <f t="shared" si="176"/>
        <v>2</v>
      </c>
      <c r="BR343" s="180">
        <f>Parameters!$B$12*AG343</f>
        <v>102.77777777777779</v>
      </c>
      <c r="BS343" s="180">
        <f>SUM(Distributievergoedingen!$F$12,Distributievergoedingen!$I$12,Distributievergoedingen!$L$12,Distributievergoedingen!$O$12)*AF343+SUM(Distributievergoedingen!$O$12*AA343+Distributievergoedingen!$R$12+Distributievergoedingen!$U$12+Distributievergoedingen!$X$12)/(MAX(36,12*C343))</f>
        <v>112.77777777777777</v>
      </c>
      <c r="BT343" s="150"/>
      <c r="BU343" s="150">
        <f t="shared" si="177"/>
        <v>215.55555555555554</v>
      </c>
      <c r="BW343" s="522">
        <f t="shared" si="178"/>
        <v>217.55555555555554</v>
      </c>
      <c r="BY343" s="527">
        <f t="shared" si="179"/>
        <v>810.22222222222229</v>
      </c>
      <c r="BZ343" s="181">
        <f t="shared" si="180"/>
        <v>0.78832432432432431</v>
      </c>
      <c r="CA343" s="520" t="b">
        <f t="shared" si="181"/>
        <v>0</v>
      </c>
    </row>
    <row r="344" spans="1:79" s="151" customFormat="1">
      <c r="A344" s="151" t="str">
        <f t="shared" si="174"/>
        <v>3EoKPremiumNationaal800</v>
      </c>
      <c r="B344" s="520" t="str">
        <f t="shared" si="169"/>
        <v>3EoKPremiumNationaal800</v>
      </c>
      <c r="C344" s="179">
        <v>3</v>
      </c>
      <c r="D344" s="179" t="s">
        <v>303</v>
      </c>
      <c r="E344" s="178" t="s">
        <v>267</v>
      </c>
      <c r="F344" s="178" t="s">
        <v>266</v>
      </c>
      <c r="G344" s="185" t="s">
        <v>422</v>
      </c>
      <c r="J344" s="520" t="str">
        <f t="shared" si="182"/>
        <v>PremiumNationaal800</v>
      </c>
      <c r="L344" s="204">
        <f>INDEX(Mapping!$H:$H,MATCH(C$3&amp;C344,Mapping!$B:$B,0))</f>
        <v>1</v>
      </c>
      <c r="M344" s="204" t="str">
        <f>INDEX(Mapping!$H:$H,MATCH(D$3&amp;$D344,Mapping!$B:$B,0))</f>
        <v>EoK</v>
      </c>
      <c r="N344" s="204" t="str">
        <f>INDEX(Mapping!$H:$H,MATCH(E$3&amp;E344,Mapping!$B:$B,0))</f>
        <v>Premium</v>
      </c>
      <c r="O344" s="204" t="str">
        <f>INDEX(Mapping!$H:$H,MATCH(F$3&amp;F344,Mapping!$B:$B,0))</f>
        <v>Metro</v>
      </c>
      <c r="P344" s="204">
        <f>INDEX(Mapping!$H:$H,MATCH(G$3&amp;G344,Mapping!$B:$B,0))</f>
        <v>800</v>
      </c>
      <c r="Q344" s="204" t="str">
        <f>INDEX(Mapping!$H:$H,MATCH(Q$3&amp;$F344,Mapping!$B:$B,0))</f>
        <v>Metro - Nationaal</v>
      </c>
      <c r="R344" s="204" t="str">
        <f>INDEX(Mapping!$H:$H,MATCH("ZM VPN Service Level"&amp;E344,Mapping!$B:$B,0))</f>
        <v>Advanced</v>
      </c>
      <c r="S344" s="139" t="b">
        <f>IF($D344="EoK",INDEX(Mapping!$I:$I,MATCH($G$3&amp;$G344,Mapping!B:B,0)),FALSE)</f>
        <v>0</v>
      </c>
      <c r="T344" s="139"/>
      <c r="U344" s="520" t="str">
        <f t="shared" si="183"/>
        <v>PremiumMetro800</v>
      </c>
      <c r="W344" s="521">
        <f>MATCH($J344,'Tarieven ZM'!$B:$B,0)</f>
        <v>120</v>
      </c>
      <c r="X344" s="204">
        <f>INDEX('Tarieven ZM'!$H:$H,$W344)</f>
        <v>1000</v>
      </c>
      <c r="Y344" s="198">
        <f>-INDEX(Parameters!$B:$B,MATCH(Y$3&amp;$C344,Parameters!$A:$A,0))*$X344</f>
        <v>0</v>
      </c>
      <c r="Z344" s="198">
        <f>-INDEX(Parameters!$B:$B,MATCH(Z$3&amp;$C344,Parameters!$A:$A,0))*$X344</f>
        <v>0</v>
      </c>
      <c r="AA344" s="139">
        <f t="shared" si="185"/>
        <v>1000</v>
      </c>
      <c r="AB344" s="205">
        <f>AA344/INDEX(Parameters!$B:$B,MATCH("AfschrijftermijnVVE"&amp;12*$C344,Parameters!$A:$A,0))</f>
        <v>27.777777777777779</v>
      </c>
      <c r="AC344" s="204">
        <f>INDEX('Tarieven ZM'!$G:$G,$W344)</f>
        <v>1000</v>
      </c>
      <c r="AD344" s="198">
        <f>-INDEX(Parameters!$B:$B,MATCH(AD$3&amp;$C344,Parameters!$A:$A,0))*$AC344</f>
        <v>0</v>
      </c>
      <c r="AE344" s="198">
        <f>-INDEX(Parameters!$B:$B,MATCH(AE$3,Parameters!$A:$A,0))*$AC344</f>
        <v>0</v>
      </c>
      <c r="AF344" s="139">
        <f t="shared" si="186"/>
        <v>1000</v>
      </c>
      <c r="AG344" s="522">
        <f t="shared" si="187"/>
        <v>1027.7777777777778</v>
      </c>
      <c r="AH344" s="175"/>
      <c r="AI344" s="523">
        <f>MATCH($U344,'Tarieven W&amp;O'!$B:$B,0)</f>
        <v>74</v>
      </c>
      <c r="AJ344" s="204">
        <f>IF(AI344&lt;&gt;"nvt",INDEX('Tarieven W&amp;O'!$H:$H,$AI344),0)</f>
        <v>0</v>
      </c>
      <c r="AK344" s="204">
        <f>IF(AI344&lt;&gt;"nvt",INDEX('Tarieven W&amp;O'!$I:$I,$AI344),0)</f>
        <v>25</v>
      </c>
      <c r="AL344" s="524">
        <f>IF(AI344&lt;&gt;"nvt",-INDEX(Parameters!$B:$B,MATCH(AL$3,Parameters!$A:$A,0))*(AJ344+AK344),0)</f>
        <v>0</v>
      </c>
      <c r="AM344" s="525"/>
      <c r="AN344" s="139">
        <f t="shared" si="188"/>
        <v>25</v>
      </c>
      <c r="AO344" s="205">
        <f>AN344/INDEX(Parameters!$B:$B,MATCH("AfschrijftermijnVVE"&amp;12*$C344,Parameters!$A:$A,0))</f>
        <v>0.69444444444444442</v>
      </c>
      <c r="AP344" s="139">
        <f t="shared" si="189"/>
        <v>74</v>
      </c>
      <c r="AQ344" s="526">
        <f>IF(AP344&lt;&gt;"nvt",INDEX('Tarieven W&amp;O'!$G:$G,$AP344),0)</f>
        <v>348.23</v>
      </c>
      <c r="AR344" s="251">
        <f>IF($S344,INDEX('Tarieven W&amp;O'!$G:$G,MATCH(N344&amp;R344,'Tarieven W&amp;O'!$B:$B,0)),0)</f>
        <v>0</v>
      </c>
      <c r="AS344" s="205">
        <f>-INDEX(Parameters!$B:$B,MATCH(AS$3,Parameters!$A:$A,0))*(AQ344+AR344)</f>
        <v>0</v>
      </c>
      <c r="AT344" s="205">
        <f>INDEX(hulpblad!$E:$E,MATCH(M344&amp;Q344,hulpblad!$B:$B,0))</f>
        <v>2</v>
      </c>
      <c r="AU344" s="150">
        <f t="shared" si="170"/>
        <v>350.23</v>
      </c>
      <c r="AV344" s="150">
        <f t="shared" si="171"/>
        <v>350.92444444444448</v>
      </c>
      <c r="AX344" s="526">
        <f>Parameters!$B$6*AV344</f>
        <v>3.5092444444444446</v>
      </c>
      <c r="AY344" s="150">
        <v>0</v>
      </c>
      <c r="AZ344" s="150"/>
      <c r="BA344" s="150">
        <f t="shared" si="190"/>
        <v>3.5092444444444446</v>
      </c>
      <c r="BB344" s="150"/>
      <c r="BC344" s="522">
        <f t="shared" si="191"/>
        <v>354.43368888888892</v>
      </c>
      <c r="BD344" s="175"/>
      <c r="BE344" s="527">
        <f t="shared" si="172"/>
        <v>673.3440888888889</v>
      </c>
      <c r="BF344" s="181">
        <f t="shared" si="173"/>
        <v>0.65514559999999999</v>
      </c>
      <c r="BG344" s="520" t="b">
        <f t="shared" si="184"/>
        <v>0</v>
      </c>
      <c r="BI344" s="528" t="s">
        <v>2181</v>
      </c>
      <c r="BL344" s="151" t="str">
        <f t="shared" si="175"/>
        <v>EoKMetro - Nationaal</v>
      </c>
      <c r="BM344" s="529">
        <v>0</v>
      </c>
      <c r="BN344" s="180">
        <f>BM344/INDEX(Parameters!$B:$B,MATCH("AfschrijftermijnVVE"&amp;12*$C344,Parameters!$A:$A,0))</f>
        <v>0</v>
      </c>
      <c r="BO344" s="184">
        <f>INDEX('inkoop ULL tbv EVPN'!I:I,MATCH(BL344,'inkoop ULL tbv EVPN'!H:H,0))</f>
        <v>2</v>
      </c>
      <c r="BP344" s="184">
        <f t="shared" si="176"/>
        <v>2</v>
      </c>
      <c r="BR344" s="180">
        <f>Parameters!$B$12*AG344</f>
        <v>102.77777777777779</v>
      </c>
      <c r="BS344" s="180">
        <f>SUM(Distributievergoedingen!$F$12,Distributievergoedingen!$I$12,Distributievergoedingen!$L$12,Distributievergoedingen!$O$12)*AF344+SUM(Distributievergoedingen!$O$12*AA344+Distributievergoedingen!$R$12+Distributievergoedingen!$U$12+Distributievergoedingen!$X$12)/(MAX(36,12*C344))</f>
        <v>112.77777777777777</v>
      </c>
      <c r="BT344" s="150"/>
      <c r="BU344" s="150">
        <f t="shared" si="177"/>
        <v>215.55555555555554</v>
      </c>
      <c r="BW344" s="522">
        <f t="shared" si="178"/>
        <v>217.55555555555554</v>
      </c>
      <c r="BY344" s="527">
        <f t="shared" si="179"/>
        <v>810.22222222222229</v>
      </c>
      <c r="BZ344" s="181">
        <f t="shared" si="180"/>
        <v>0.78832432432432431</v>
      </c>
      <c r="CA344" s="520" t="b">
        <f t="shared" si="181"/>
        <v>0</v>
      </c>
    </row>
    <row r="345" spans="1:79" s="151" customFormat="1">
      <c r="A345" s="151" t="str">
        <f t="shared" si="174"/>
        <v>3EoKPremiumNationaal1000</v>
      </c>
      <c r="B345" s="520" t="str">
        <f t="shared" si="169"/>
        <v>3EoKPremiumNationaal1000</v>
      </c>
      <c r="C345" s="179">
        <v>3</v>
      </c>
      <c r="D345" s="179" t="s">
        <v>303</v>
      </c>
      <c r="E345" s="178" t="s">
        <v>267</v>
      </c>
      <c r="F345" s="178" t="s">
        <v>266</v>
      </c>
      <c r="G345" s="185" t="s">
        <v>423</v>
      </c>
      <c r="J345" s="520" t="str">
        <f t="shared" si="182"/>
        <v>PremiumNationaal1000</v>
      </c>
      <c r="L345" s="204">
        <f>INDEX(Mapping!$H:$H,MATCH(C$3&amp;C345,Mapping!$B:$B,0))</f>
        <v>1</v>
      </c>
      <c r="M345" s="204" t="str">
        <f>INDEX(Mapping!$H:$H,MATCH(D$3&amp;$D345,Mapping!$B:$B,0))</f>
        <v>EoK</v>
      </c>
      <c r="N345" s="204" t="str">
        <f>INDEX(Mapping!$H:$H,MATCH(E$3&amp;E345,Mapping!$B:$B,0))</f>
        <v>Premium</v>
      </c>
      <c r="O345" s="204" t="str">
        <f>INDEX(Mapping!$H:$H,MATCH(F$3&amp;F345,Mapping!$B:$B,0))</f>
        <v>Metro</v>
      </c>
      <c r="P345" s="204">
        <f>INDEX(Mapping!$H:$H,MATCH(G$3&amp;G345,Mapping!$B:$B,0))</f>
        <v>1000</v>
      </c>
      <c r="Q345" s="204" t="str">
        <f>INDEX(Mapping!$H:$H,MATCH(Q$3&amp;$F345,Mapping!$B:$B,0))</f>
        <v>Metro - Nationaal</v>
      </c>
      <c r="R345" s="204" t="str">
        <f>INDEX(Mapping!$H:$H,MATCH("ZM VPN Service Level"&amp;E345,Mapping!$B:$B,0))</f>
        <v>Advanced</v>
      </c>
      <c r="S345" s="139" t="b">
        <f>IF($D345="EoK",INDEX(Mapping!$I:$I,MATCH($G$3&amp;$G345,Mapping!B:B,0)),FALSE)</f>
        <v>0</v>
      </c>
      <c r="T345" s="139"/>
      <c r="U345" s="520" t="str">
        <f t="shared" si="183"/>
        <v>PremiumMetro1000</v>
      </c>
      <c r="W345" s="521">
        <f>MATCH($J345,'Tarieven ZM'!$B:$B,0)</f>
        <v>121</v>
      </c>
      <c r="X345" s="204">
        <f>INDEX('Tarieven ZM'!$H:$H,$W345)</f>
        <v>1000</v>
      </c>
      <c r="Y345" s="198">
        <f>-INDEX(Parameters!$B:$B,MATCH(Y$3&amp;$C345,Parameters!$A:$A,0))*$X345</f>
        <v>0</v>
      </c>
      <c r="Z345" s="198">
        <f>-INDEX(Parameters!$B:$B,MATCH(Z$3&amp;$C345,Parameters!$A:$A,0))*$X345</f>
        <v>0</v>
      </c>
      <c r="AA345" s="139">
        <f t="shared" si="185"/>
        <v>1000</v>
      </c>
      <c r="AB345" s="205">
        <f>AA345/INDEX(Parameters!$B:$B,MATCH("AfschrijftermijnVVE"&amp;12*$C345,Parameters!$A:$A,0))</f>
        <v>27.777777777777779</v>
      </c>
      <c r="AC345" s="204">
        <f>INDEX('Tarieven ZM'!$G:$G,$W345)</f>
        <v>1000</v>
      </c>
      <c r="AD345" s="198">
        <f>-INDEX(Parameters!$B:$B,MATCH(AD$3&amp;$C345,Parameters!$A:$A,0))*$AC345</f>
        <v>0</v>
      </c>
      <c r="AE345" s="198">
        <f>-INDEX(Parameters!$B:$B,MATCH(AE$3,Parameters!$A:$A,0))*$AC345</f>
        <v>0</v>
      </c>
      <c r="AF345" s="139">
        <f t="shared" si="186"/>
        <v>1000</v>
      </c>
      <c r="AG345" s="522">
        <f t="shared" si="187"/>
        <v>1027.7777777777778</v>
      </c>
      <c r="AH345" s="175"/>
      <c r="AI345" s="523">
        <f>MATCH($U345,'Tarieven W&amp;O'!$B:$B,0)</f>
        <v>75</v>
      </c>
      <c r="AJ345" s="204">
        <f>IF(AI345&lt;&gt;"nvt",INDEX('Tarieven W&amp;O'!$H:$H,$AI345),0)</f>
        <v>0</v>
      </c>
      <c r="AK345" s="204">
        <f>IF(AI345&lt;&gt;"nvt",INDEX('Tarieven W&amp;O'!$I:$I,$AI345),0)</f>
        <v>25</v>
      </c>
      <c r="AL345" s="524">
        <f>IF(AI345&lt;&gt;"nvt",-INDEX(Parameters!$B:$B,MATCH(AL$3,Parameters!$A:$A,0))*(AJ345+AK345),0)</f>
        <v>0</v>
      </c>
      <c r="AM345" s="525"/>
      <c r="AN345" s="139">
        <f t="shared" si="188"/>
        <v>25</v>
      </c>
      <c r="AO345" s="205">
        <f>AN345/INDEX(Parameters!$B:$B,MATCH("AfschrijftermijnVVE"&amp;12*$C345,Parameters!$A:$A,0))</f>
        <v>0.69444444444444442</v>
      </c>
      <c r="AP345" s="139">
        <f t="shared" si="189"/>
        <v>75</v>
      </c>
      <c r="AQ345" s="526">
        <f>IF(AP345&lt;&gt;"nvt",INDEX('Tarieven W&amp;O'!$G:$G,$AP345),0)</f>
        <v>385.93</v>
      </c>
      <c r="AR345" s="251">
        <f>IF($S345,INDEX('Tarieven W&amp;O'!$G:$G,MATCH(N345&amp;R345,'Tarieven W&amp;O'!$B:$B,0)),0)</f>
        <v>0</v>
      </c>
      <c r="AS345" s="205">
        <f>-INDEX(Parameters!$B:$B,MATCH(AS$3,Parameters!$A:$A,0))*(AQ345+AR345)</f>
        <v>0</v>
      </c>
      <c r="AT345" s="205">
        <f>INDEX(hulpblad!$E:$E,MATCH(M345&amp;Q345,hulpblad!$B:$B,0))</f>
        <v>2</v>
      </c>
      <c r="AU345" s="150">
        <f t="shared" si="170"/>
        <v>387.93</v>
      </c>
      <c r="AV345" s="150">
        <f t="shared" si="171"/>
        <v>388.62444444444446</v>
      </c>
      <c r="AX345" s="526">
        <f>Parameters!$B$6*AV345</f>
        <v>3.8862444444444448</v>
      </c>
      <c r="AY345" s="150">
        <v>0</v>
      </c>
      <c r="AZ345" s="150"/>
      <c r="BA345" s="150">
        <f t="shared" si="190"/>
        <v>3.8862444444444448</v>
      </c>
      <c r="BB345" s="150"/>
      <c r="BC345" s="522">
        <f t="shared" si="191"/>
        <v>392.51068888888892</v>
      </c>
      <c r="BD345" s="175"/>
      <c r="BE345" s="527">
        <f t="shared" si="172"/>
        <v>635.26708888888891</v>
      </c>
      <c r="BF345" s="181">
        <f t="shared" si="173"/>
        <v>0.61809770810810805</v>
      </c>
      <c r="BG345" s="520" t="b">
        <f t="shared" si="184"/>
        <v>0</v>
      </c>
      <c r="BI345" s="528" t="s">
        <v>2181</v>
      </c>
      <c r="BL345" s="151" t="str">
        <f t="shared" si="175"/>
        <v>EoKMetro - Nationaal</v>
      </c>
      <c r="BM345" s="529">
        <v>0</v>
      </c>
      <c r="BN345" s="180">
        <f>BM345/INDEX(Parameters!$B:$B,MATCH("AfschrijftermijnVVE"&amp;12*$C345,Parameters!$A:$A,0))</f>
        <v>0</v>
      </c>
      <c r="BO345" s="184">
        <f>INDEX('inkoop ULL tbv EVPN'!I:I,MATCH(BL345,'inkoop ULL tbv EVPN'!H:H,0))</f>
        <v>2</v>
      </c>
      <c r="BP345" s="184">
        <f t="shared" si="176"/>
        <v>2</v>
      </c>
      <c r="BR345" s="180">
        <f>Parameters!$B$12*AG345</f>
        <v>102.77777777777779</v>
      </c>
      <c r="BS345" s="180">
        <f>SUM(Distributievergoedingen!$F$12,Distributievergoedingen!$I$12,Distributievergoedingen!$L$12,Distributievergoedingen!$O$12)*AF345+SUM(Distributievergoedingen!$O$12*AA345+Distributievergoedingen!$R$12+Distributievergoedingen!$U$12+Distributievergoedingen!$X$12)/(MAX(36,12*C345))</f>
        <v>112.77777777777777</v>
      </c>
      <c r="BT345" s="150"/>
      <c r="BU345" s="150">
        <f t="shared" si="177"/>
        <v>215.55555555555554</v>
      </c>
      <c r="BW345" s="522">
        <f t="shared" si="178"/>
        <v>217.55555555555554</v>
      </c>
      <c r="BY345" s="527">
        <f t="shared" si="179"/>
        <v>810.22222222222229</v>
      </c>
      <c r="BZ345" s="181">
        <f t="shared" si="180"/>
        <v>0.78832432432432431</v>
      </c>
      <c r="CA345" s="520" t="b">
        <f t="shared" si="181"/>
        <v>0</v>
      </c>
    </row>
    <row r="346" spans="1:79" s="151" customFormat="1">
      <c r="A346" s="151" t="str">
        <f t="shared" ref="A346:A358" si="192">C346&amp;D346&amp;E346&amp;F346&amp;G346&amp;H346</f>
        <v>4EoKEntryCity1</v>
      </c>
      <c r="B346" s="520" t="str">
        <f>A346</f>
        <v>4EoKEntryCity1</v>
      </c>
      <c r="C346" s="179">
        <v>4</v>
      </c>
      <c r="D346" s="179" t="s">
        <v>303</v>
      </c>
      <c r="E346" s="178" t="s">
        <v>45</v>
      </c>
      <c r="F346" s="178" t="s">
        <v>262</v>
      </c>
      <c r="G346" s="185" t="s">
        <v>362</v>
      </c>
      <c r="J346" s="520" t="str">
        <f t="shared" ref="J346:J396" si="193">E346&amp;F346&amp;G346&amp;H346</f>
        <v>EntryCity1</v>
      </c>
      <c r="L346" s="204">
        <f>INDEX(Mapping!$H:$H,MATCH(C$3&amp;C346,Mapping!$B:$B,0))</f>
        <v>1</v>
      </c>
      <c r="M346" s="204" t="str">
        <f>INDEX(Mapping!$H:$H,MATCH(D$3&amp;$D346,Mapping!$B:$B,0))</f>
        <v>EoK</v>
      </c>
      <c r="N346" s="204" t="str">
        <f>INDEX(Mapping!$H:$H,MATCH(E$3&amp;E346,Mapping!$B:$B,0))</f>
        <v>Lite</v>
      </c>
      <c r="O346" s="204" t="str">
        <f>INDEX(Mapping!$H:$H,MATCH(F$3&amp;F346,Mapping!$B:$B,0))</f>
        <v>Metro</v>
      </c>
      <c r="P346" s="204">
        <f>INDEX(Mapping!$H:$H,MATCH(G$3&amp;G346,Mapping!$B:$B,0))</f>
        <v>1</v>
      </c>
      <c r="Q346" s="204" t="str">
        <f>INDEX(Mapping!$H:$H,MATCH(Q$3&amp;$F346,Mapping!$B:$B,0))</f>
        <v>Metro - Regionaal</v>
      </c>
      <c r="R346" s="204" t="str">
        <f>INDEX(Mapping!$H:$H,MATCH("ZM VPN Service Level"&amp;E346,Mapping!$B:$B,0))</f>
        <v>Advanced</v>
      </c>
      <c r="S346" s="139" t="b">
        <f>IF($D346="EoK",INDEX(Mapping!$I:$I,MATCH($G$3&amp;$G346,Mapping!B:B,0)),FALSE)</f>
        <v>1</v>
      </c>
      <c r="T346" s="139"/>
      <c r="U346" s="520" t="str">
        <f t="shared" ref="U346:U396" si="194">N346&amp;O346&amp;P346</f>
        <v>LiteMetro1</v>
      </c>
      <c r="W346" s="521">
        <f>MATCH($J346,'Tarieven ZM'!$B:$B,0)</f>
        <v>8</v>
      </c>
      <c r="X346" s="204">
        <f>INDEX('Tarieven ZM'!$H:$H,$W346)</f>
        <v>1000</v>
      </c>
      <c r="Y346" s="198">
        <f>-INDEX(Parameters!$B:$B,MATCH(Y$3&amp;$C346,Parameters!$A:$A,0))*$X346</f>
        <v>0</v>
      </c>
      <c r="Z346" s="198">
        <f>-INDEX(Parameters!$B:$B,MATCH(Z$3&amp;$C346,Parameters!$A:$A,0))*$X346</f>
        <v>0</v>
      </c>
      <c r="AA346" s="139">
        <f t="shared" ref="AA346:AA400" si="195">SUM(X346:Z346)</f>
        <v>1000</v>
      </c>
      <c r="AB346" s="205">
        <f>AA346/INDEX(Parameters!$B:$B,MATCH("AfschrijftermijnVVE"&amp;12*$C346,Parameters!$A:$A,0))</f>
        <v>20.833333333333332</v>
      </c>
      <c r="AC346" s="204">
        <f>INDEX('Tarieven ZM'!$G:$G,$W346)</f>
        <v>1000</v>
      </c>
      <c r="AD346" s="198">
        <f>-INDEX(Parameters!$B:$B,MATCH(AD$3&amp;$C346,Parameters!$A:$A,0))*$AC346</f>
        <v>0</v>
      </c>
      <c r="AE346" s="198">
        <f>-INDEX(Parameters!$B:$B,MATCH(AE$3,Parameters!$A:$A,0))*$AC346</f>
        <v>0</v>
      </c>
      <c r="AF346" s="139">
        <f t="shared" ref="AF346:AF400" si="196">SUM(AC346:AE346)</f>
        <v>1000</v>
      </c>
      <c r="AG346" s="522">
        <f t="shared" ref="AG346:AG400" si="197">SUM(AB346,AF346)</f>
        <v>1020.8333333333334</v>
      </c>
      <c r="AH346" s="175"/>
      <c r="AI346" s="523">
        <f>MATCH($U346,'Tarieven W&amp;O'!$B:$B,0)</f>
        <v>36</v>
      </c>
      <c r="AJ346" s="204">
        <f>IF(AI346&lt;&gt;"nvt",INDEX('Tarieven W&amp;O'!$H:$H,$AI346),0)</f>
        <v>0</v>
      </c>
      <c r="AK346" s="204">
        <f>IF(AI346&lt;&gt;"nvt",INDEX('Tarieven W&amp;O'!$I:$I,$AI346),0)</f>
        <v>25</v>
      </c>
      <c r="AL346" s="524">
        <f>IF(AI346&lt;&gt;"nvt",-INDEX(Parameters!$B:$B,MATCH(AL$3,Parameters!$A:$A,0))*(AJ346+AK346),0)</f>
        <v>0</v>
      </c>
      <c r="AM346" s="525"/>
      <c r="AN346" s="139">
        <f t="shared" ref="AN346:AN400" si="198">SUM(AJ346:AM346)</f>
        <v>25</v>
      </c>
      <c r="AO346" s="205">
        <f>AN346/INDEX(Parameters!$B:$B,MATCH("AfschrijftermijnVVE"&amp;12*$C346,Parameters!$A:$A,0))</f>
        <v>0.52083333333333337</v>
      </c>
      <c r="AP346" s="139">
        <f t="shared" ref="AP346:AP400" si="199">AI346</f>
        <v>36</v>
      </c>
      <c r="AQ346" s="526">
        <f>IF(AP346&lt;&gt;"nvt",INDEX('Tarieven W&amp;O'!$G:$G,$AP346),0)</f>
        <v>14.29</v>
      </c>
      <c r="AR346" s="251">
        <f>IF($S346,INDEX('Tarieven W&amp;O'!$G:$G,MATCH(N346&amp;R346,'Tarieven W&amp;O'!$B:$B,0)),0)</f>
        <v>5.25</v>
      </c>
      <c r="AS346" s="205">
        <f>-INDEX(Parameters!$B:$B,MATCH(AS$3,Parameters!$A:$A,0))*(AQ346+AR346)</f>
        <v>0</v>
      </c>
      <c r="AT346" s="205">
        <f>INDEX(hulpblad!$E:$E,MATCH(M346&amp;Q346,hulpblad!$B:$B,0))</f>
        <v>1</v>
      </c>
      <c r="AU346" s="150">
        <f t="shared" ref="AU346:AU357" si="200">SUM(AQ346:AT346)</f>
        <v>20.54</v>
      </c>
      <c r="AV346" s="150">
        <f t="shared" ref="AV346:AV357" si="201">SUM(AO346,AU346)</f>
        <v>21.060833333333331</v>
      </c>
      <c r="AX346" s="526">
        <f>Parameters!$B$6*AV346</f>
        <v>0.21060833333333331</v>
      </c>
      <c r="AY346" s="150">
        <v>0</v>
      </c>
      <c r="AZ346" s="150"/>
      <c r="BA346" s="150">
        <f t="shared" ref="BA346:BA400" si="202">SUM(AX346:AZ346)</f>
        <v>0.21060833333333331</v>
      </c>
      <c r="BB346" s="150"/>
      <c r="BC346" s="522">
        <f t="shared" ref="BC346:BC400" si="203">SUM(AV346,BA346)</f>
        <v>21.271441666666664</v>
      </c>
      <c r="BD346" s="175"/>
      <c r="BE346" s="527">
        <f t="shared" ref="BE346:BE357" si="204">AG346-BC346</f>
        <v>999.56189166666672</v>
      </c>
      <c r="BF346" s="181">
        <f t="shared" ref="BF346:BF357" si="205">IF(AG346=0,-999%,BE346/AG346)</f>
        <v>0.97916266938775509</v>
      </c>
      <c r="BG346" s="520" t="b">
        <f t="shared" ref="BG346:BG396" si="206">BF346&lt;0</f>
        <v>0</v>
      </c>
      <c r="BI346" s="528" t="s">
        <v>2181</v>
      </c>
      <c r="BL346" s="151" t="str">
        <f t="shared" ref="BL346:BL358" si="207">M346&amp;Q346</f>
        <v>EoKMetro - Regionaal</v>
      </c>
      <c r="BM346" s="529">
        <v>0</v>
      </c>
      <c r="BN346" s="180">
        <f>BM346/INDEX(Parameters!$B:$B,MATCH("AfschrijftermijnVVE"&amp;12*$C346,Parameters!$A:$A,0))</f>
        <v>0</v>
      </c>
      <c r="BO346" s="184">
        <f>INDEX('inkoop ULL tbv EVPN'!I:I,MATCH(BL346,'inkoop ULL tbv EVPN'!H:H,0))</f>
        <v>2</v>
      </c>
      <c r="BP346" s="184">
        <f t="shared" ref="BP346:BP358" si="208">BN346+BO346</f>
        <v>2</v>
      </c>
      <c r="BR346" s="180">
        <f>Parameters!$B$12*AG346</f>
        <v>102.08333333333334</v>
      </c>
      <c r="BS346" s="180">
        <f>SUM(Distributievergoedingen!$F$12,Distributievergoedingen!$I$12,Distributievergoedingen!$L$12,Distributievergoedingen!$O$12)*AF346+SUM(Distributievergoedingen!$O$12*AA346+Distributievergoedingen!$R$12+Distributievergoedingen!$U$12+Distributievergoedingen!$X$12)/(MAX(36,12*C346))</f>
        <v>112.08333333333333</v>
      </c>
      <c r="BT346" s="150"/>
      <c r="BU346" s="150">
        <f t="shared" ref="BU346:BU358" si="209">SUM(BR346:BT346)</f>
        <v>214.16666666666669</v>
      </c>
      <c r="BW346" s="522">
        <f t="shared" ref="BW346:BW358" si="210">SUM(BP346,BU346)</f>
        <v>216.16666666666669</v>
      </c>
      <c r="BY346" s="527">
        <f t="shared" ref="BY346:BY358" si="211">AG346-BW346</f>
        <v>804.66666666666674</v>
      </c>
      <c r="BZ346" s="181">
        <f t="shared" ref="BZ346:BZ358" si="212">IF(AG346=0,-999%,BY346/AG346)</f>
        <v>0.78824489795918373</v>
      </c>
      <c r="CA346" s="520" t="b">
        <f t="shared" ref="CA346:CA358" si="213">BZ346&lt;0</f>
        <v>0</v>
      </c>
    </row>
    <row r="347" spans="1:79" s="151" customFormat="1">
      <c r="A347" s="151" t="str">
        <f t="shared" si="192"/>
        <v>4EoKEntryCity2</v>
      </c>
      <c r="B347" s="520" t="str">
        <f>A347</f>
        <v>4EoKEntryCity2</v>
      </c>
      <c r="C347" s="179">
        <v>4</v>
      </c>
      <c r="D347" s="179" t="s">
        <v>303</v>
      </c>
      <c r="E347" s="178" t="s">
        <v>45</v>
      </c>
      <c r="F347" s="178" t="s">
        <v>262</v>
      </c>
      <c r="G347" s="185" t="s">
        <v>363</v>
      </c>
      <c r="J347" s="520" t="str">
        <f t="shared" si="193"/>
        <v>EntryCity2</v>
      </c>
      <c r="L347" s="204">
        <f>INDEX(Mapping!$H:$H,MATCH(C$3&amp;C347,Mapping!$B:$B,0))</f>
        <v>1</v>
      </c>
      <c r="M347" s="204" t="str">
        <f>INDEX(Mapping!$H:$H,MATCH(D$3&amp;$D347,Mapping!$B:$B,0))</f>
        <v>EoK</v>
      </c>
      <c r="N347" s="204" t="str">
        <f>INDEX(Mapping!$H:$H,MATCH(E$3&amp;E347,Mapping!$B:$B,0))</f>
        <v>Lite</v>
      </c>
      <c r="O347" s="204" t="str">
        <f>INDEX(Mapping!$H:$H,MATCH(F$3&amp;F347,Mapping!$B:$B,0))</f>
        <v>Metro</v>
      </c>
      <c r="P347" s="204">
        <f>INDEX(Mapping!$H:$H,MATCH(G$3&amp;G347,Mapping!$B:$B,0))</f>
        <v>2</v>
      </c>
      <c r="Q347" s="204" t="str">
        <f>INDEX(Mapping!$H:$H,MATCH(Q$3&amp;$F347,Mapping!$B:$B,0))</f>
        <v>Metro - Regionaal</v>
      </c>
      <c r="R347" s="204" t="str">
        <f>INDEX(Mapping!$H:$H,MATCH("ZM VPN Service Level"&amp;E347,Mapping!$B:$B,0))</f>
        <v>Advanced</v>
      </c>
      <c r="S347" s="139" t="b">
        <f>IF($D347="EoK",INDEX(Mapping!$I:$I,MATCH($G$3&amp;$G347,Mapping!B:B,0)),FALSE)</f>
        <v>1</v>
      </c>
      <c r="T347" s="139"/>
      <c r="U347" s="520" t="str">
        <f t="shared" si="194"/>
        <v>LiteMetro2</v>
      </c>
      <c r="W347" s="521">
        <f>MATCH($J347,'Tarieven ZM'!$B:$B,0)</f>
        <v>9</v>
      </c>
      <c r="X347" s="204">
        <f>INDEX('Tarieven ZM'!$H:$H,$W347)</f>
        <v>1000</v>
      </c>
      <c r="Y347" s="198">
        <f>-INDEX(Parameters!$B:$B,MATCH(Y$3&amp;$C347,Parameters!$A:$A,0))*$X347</f>
        <v>0</v>
      </c>
      <c r="Z347" s="198">
        <f>-INDEX(Parameters!$B:$B,MATCH(Z$3&amp;$C347,Parameters!$A:$A,0))*$X347</f>
        <v>0</v>
      </c>
      <c r="AA347" s="139">
        <f t="shared" si="195"/>
        <v>1000</v>
      </c>
      <c r="AB347" s="205">
        <f>AA347/INDEX(Parameters!$B:$B,MATCH("AfschrijftermijnVVE"&amp;12*$C347,Parameters!$A:$A,0))</f>
        <v>20.833333333333332</v>
      </c>
      <c r="AC347" s="204">
        <f>INDEX('Tarieven ZM'!$G:$G,$W347)</f>
        <v>1000</v>
      </c>
      <c r="AD347" s="198">
        <f>-INDEX(Parameters!$B:$B,MATCH(AD$3&amp;$C347,Parameters!$A:$A,0))*$AC347</f>
        <v>0</v>
      </c>
      <c r="AE347" s="198">
        <f>-INDEX(Parameters!$B:$B,MATCH(AE$3,Parameters!$A:$A,0))*$AC347</f>
        <v>0</v>
      </c>
      <c r="AF347" s="139">
        <f t="shared" si="196"/>
        <v>1000</v>
      </c>
      <c r="AG347" s="522">
        <f t="shared" si="197"/>
        <v>1020.8333333333334</v>
      </c>
      <c r="AH347" s="175"/>
      <c r="AI347" s="523">
        <f>MATCH($U347,'Tarieven W&amp;O'!$B:$B,0)</f>
        <v>37</v>
      </c>
      <c r="AJ347" s="204">
        <f>IF(AI347&lt;&gt;"nvt",INDEX('Tarieven W&amp;O'!$H:$H,$AI347),0)</f>
        <v>0</v>
      </c>
      <c r="AK347" s="204">
        <f>IF(AI347&lt;&gt;"nvt",INDEX('Tarieven W&amp;O'!$I:$I,$AI347),0)</f>
        <v>25</v>
      </c>
      <c r="AL347" s="524">
        <f>IF(AI347&lt;&gt;"nvt",-INDEX(Parameters!$B:$B,MATCH(AL$3,Parameters!$A:$A,0))*(AJ347+AK347),0)</f>
        <v>0</v>
      </c>
      <c r="AM347" s="525"/>
      <c r="AN347" s="139">
        <f t="shared" si="198"/>
        <v>25</v>
      </c>
      <c r="AO347" s="205">
        <f>AN347/INDEX(Parameters!$B:$B,MATCH("AfschrijftermijnVVE"&amp;12*$C347,Parameters!$A:$A,0))</f>
        <v>0.52083333333333337</v>
      </c>
      <c r="AP347" s="139">
        <f t="shared" si="199"/>
        <v>37</v>
      </c>
      <c r="AQ347" s="526">
        <f>IF(AP347&lt;&gt;"nvt",INDEX('Tarieven W&amp;O'!$G:$G,$AP347),0)</f>
        <v>16.55</v>
      </c>
      <c r="AR347" s="251">
        <f>IF($S347,INDEX('Tarieven W&amp;O'!$G:$G,MATCH(N347&amp;R347,'Tarieven W&amp;O'!$B:$B,0)),0)</f>
        <v>5.25</v>
      </c>
      <c r="AS347" s="205">
        <f>-INDEX(Parameters!$B:$B,MATCH(AS$3,Parameters!$A:$A,0))*(AQ347+AR347)</f>
        <v>0</v>
      </c>
      <c r="AT347" s="205">
        <f>INDEX(hulpblad!$E:$E,MATCH(M347&amp;Q347,hulpblad!$B:$B,0))</f>
        <v>1</v>
      </c>
      <c r="AU347" s="150">
        <f t="shared" si="200"/>
        <v>22.8</v>
      </c>
      <c r="AV347" s="150">
        <f t="shared" si="201"/>
        <v>23.320833333333333</v>
      </c>
      <c r="AX347" s="526">
        <f>Parameters!$B$6*AV347</f>
        <v>0.23320833333333332</v>
      </c>
      <c r="AY347" s="150">
        <v>0</v>
      </c>
      <c r="AZ347" s="150"/>
      <c r="BA347" s="150">
        <f t="shared" si="202"/>
        <v>0.23320833333333332</v>
      </c>
      <c r="BB347" s="150"/>
      <c r="BC347" s="522">
        <f t="shared" si="203"/>
        <v>23.554041666666667</v>
      </c>
      <c r="BD347" s="175"/>
      <c r="BE347" s="527">
        <f t="shared" si="204"/>
        <v>997.27929166666672</v>
      </c>
      <c r="BF347" s="181">
        <f t="shared" si="205"/>
        <v>0.9769266530612245</v>
      </c>
      <c r="BG347" s="520" t="b">
        <f t="shared" si="206"/>
        <v>0</v>
      </c>
      <c r="BI347" s="528" t="s">
        <v>2181</v>
      </c>
      <c r="BL347" s="151" t="str">
        <f t="shared" si="207"/>
        <v>EoKMetro - Regionaal</v>
      </c>
      <c r="BM347" s="529">
        <v>0</v>
      </c>
      <c r="BN347" s="180">
        <f>BM347/INDEX(Parameters!$B:$B,MATCH("AfschrijftermijnVVE"&amp;12*$C347,Parameters!$A:$A,0))</f>
        <v>0</v>
      </c>
      <c r="BO347" s="184">
        <f>INDEX('inkoop ULL tbv EVPN'!I:I,MATCH(BL347,'inkoop ULL tbv EVPN'!H:H,0))</f>
        <v>2</v>
      </c>
      <c r="BP347" s="184">
        <f t="shared" si="208"/>
        <v>2</v>
      </c>
      <c r="BR347" s="180">
        <f>Parameters!$B$12*AG347</f>
        <v>102.08333333333334</v>
      </c>
      <c r="BS347" s="180">
        <f>SUM(Distributievergoedingen!$F$12,Distributievergoedingen!$I$12,Distributievergoedingen!$L$12,Distributievergoedingen!$O$12)*AF347+SUM(Distributievergoedingen!$O$12*AA347+Distributievergoedingen!$R$12+Distributievergoedingen!$U$12+Distributievergoedingen!$X$12)/(MAX(36,12*C347))</f>
        <v>112.08333333333333</v>
      </c>
      <c r="BT347" s="150"/>
      <c r="BU347" s="150">
        <f t="shared" si="209"/>
        <v>214.16666666666669</v>
      </c>
      <c r="BW347" s="522">
        <f t="shared" si="210"/>
        <v>216.16666666666669</v>
      </c>
      <c r="BY347" s="527">
        <f t="shared" si="211"/>
        <v>804.66666666666674</v>
      </c>
      <c r="BZ347" s="181">
        <f t="shared" si="212"/>
        <v>0.78824489795918373</v>
      </c>
      <c r="CA347" s="520" t="b">
        <f t="shared" si="213"/>
        <v>0</v>
      </c>
    </row>
    <row r="348" spans="1:79" s="151" customFormat="1">
      <c r="A348" s="151" t="str">
        <f t="shared" si="192"/>
        <v>4EoKEntryCity3</v>
      </c>
      <c r="B348" s="520" t="str">
        <f t="shared" ref="B348:B411" si="214">A348</f>
        <v>4EoKEntryCity3</v>
      </c>
      <c r="C348" s="179">
        <v>4</v>
      </c>
      <c r="D348" s="179" t="s">
        <v>303</v>
      </c>
      <c r="E348" s="178" t="s">
        <v>45</v>
      </c>
      <c r="F348" s="178" t="s">
        <v>262</v>
      </c>
      <c r="G348" s="185" t="s">
        <v>407</v>
      </c>
      <c r="J348" s="520" t="str">
        <f t="shared" si="193"/>
        <v>EntryCity3</v>
      </c>
      <c r="L348" s="204">
        <f>INDEX(Mapping!$H:$H,MATCH(C$3&amp;C348,Mapping!$B:$B,0))</f>
        <v>1</v>
      </c>
      <c r="M348" s="204" t="str">
        <f>INDEX(Mapping!$H:$H,MATCH(D$3&amp;$D348,Mapping!$B:$B,0))</f>
        <v>EoK</v>
      </c>
      <c r="N348" s="204" t="str">
        <f>INDEX(Mapping!$H:$H,MATCH(E$3&amp;E348,Mapping!$B:$B,0))</f>
        <v>Lite</v>
      </c>
      <c r="O348" s="204" t="str">
        <f>INDEX(Mapping!$H:$H,MATCH(F$3&amp;F348,Mapping!$B:$B,0))</f>
        <v>Metro</v>
      </c>
      <c r="P348" s="204">
        <f>INDEX(Mapping!$H:$H,MATCH(G$3&amp;G348,Mapping!$B:$B,0))</f>
        <v>3</v>
      </c>
      <c r="Q348" s="204" t="str">
        <f>INDEX(Mapping!$H:$H,MATCH(Q$3&amp;$F348,Mapping!$B:$B,0))</f>
        <v>Metro - Regionaal</v>
      </c>
      <c r="R348" s="204" t="str">
        <f>INDEX(Mapping!$H:$H,MATCH("ZM VPN Service Level"&amp;E348,Mapping!$B:$B,0))</f>
        <v>Advanced</v>
      </c>
      <c r="S348" s="139" t="b">
        <f>IF($D348="EoK",INDEX(Mapping!$I:$I,MATCH($G$3&amp;$G348,Mapping!B:B,0)),FALSE)</f>
        <v>0</v>
      </c>
      <c r="T348" s="139"/>
      <c r="U348" s="520" t="str">
        <f t="shared" si="194"/>
        <v>LiteMetro3</v>
      </c>
      <c r="W348" s="521">
        <f>MATCH($J348,'Tarieven ZM'!$B:$B,0)</f>
        <v>10</v>
      </c>
      <c r="X348" s="204">
        <f>INDEX('Tarieven ZM'!$H:$H,$W348)</f>
        <v>1000</v>
      </c>
      <c r="Y348" s="198">
        <f>-INDEX(Parameters!$B:$B,MATCH(Y$3&amp;$C348,Parameters!$A:$A,0))*$X348</f>
        <v>0</v>
      </c>
      <c r="Z348" s="198">
        <f>-INDEX(Parameters!$B:$B,MATCH(Z$3&amp;$C348,Parameters!$A:$A,0))*$X348</f>
        <v>0</v>
      </c>
      <c r="AA348" s="139">
        <f t="shared" si="195"/>
        <v>1000</v>
      </c>
      <c r="AB348" s="205">
        <f>AA348/INDEX(Parameters!$B:$B,MATCH("AfschrijftermijnVVE"&amp;12*$C348,Parameters!$A:$A,0))</f>
        <v>20.833333333333332</v>
      </c>
      <c r="AC348" s="204">
        <f>INDEX('Tarieven ZM'!$G:$G,$W348)</f>
        <v>1000</v>
      </c>
      <c r="AD348" s="198">
        <f>-INDEX(Parameters!$B:$B,MATCH(AD$3&amp;$C348,Parameters!$A:$A,0))*$AC348</f>
        <v>0</v>
      </c>
      <c r="AE348" s="198">
        <f>-INDEX(Parameters!$B:$B,MATCH(AE$3,Parameters!$A:$A,0))*$AC348</f>
        <v>0</v>
      </c>
      <c r="AF348" s="139">
        <f t="shared" si="196"/>
        <v>1000</v>
      </c>
      <c r="AG348" s="522">
        <f t="shared" si="197"/>
        <v>1020.8333333333334</v>
      </c>
      <c r="AH348" s="175"/>
      <c r="AI348" s="523">
        <f>MATCH($U348,'Tarieven W&amp;O'!$B:$B,0)</f>
        <v>38</v>
      </c>
      <c r="AJ348" s="204">
        <f>IF(AI348&lt;&gt;"nvt",INDEX('Tarieven W&amp;O'!$H:$H,$AI348),0)</f>
        <v>0</v>
      </c>
      <c r="AK348" s="204">
        <f>IF(AI348&lt;&gt;"nvt",INDEX('Tarieven W&amp;O'!$I:$I,$AI348),0)</f>
        <v>25</v>
      </c>
      <c r="AL348" s="524">
        <f>IF(AI348&lt;&gt;"nvt",-INDEX(Parameters!$B:$B,MATCH(AL$3,Parameters!$A:$A,0))*(AJ348+AK348),0)</f>
        <v>0</v>
      </c>
      <c r="AM348" s="525"/>
      <c r="AN348" s="139">
        <f t="shared" si="198"/>
        <v>25</v>
      </c>
      <c r="AO348" s="205">
        <f>AN348/INDEX(Parameters!$B:$B,MATCH("AfschrijftermijnVVE"&amp;12*$C348,Parameters!$A:$A,0))</f>
        <v>0.52083333333333337</v>
      </c>
      <c r="AP348" s="139">
        <f t="shared" si="199"/>
        <v>38</v>
      </c>
      <c r="AQ348" s="526">
        <f>IF(AP348&lt;&gt;"nvt",INDEX('Tarieven W&amp;O'!$G:$G,$AP348),0)</f>
        <v>18.47</v>
      </c>
      <c r="AR348" s="251">
        <f>IF($S348,INDEX('Tarieven W&amp;O'!$G:$G,MATCH(N348&amp;R348,'Tarieven W&amp;O'!$B:$B,0)),0)</f>
        <v>0</v>
      </c>
      <c r="AS348" s="205">
        <f>-INDEX(Parameters!$B:$B,MATCH(AS$3,Parameters!$A:$A,0))*(AQ348+AR348)</f>
        <v>0</v>
      </c>
      <c r="AT348" s="205">
        <f>INDEX(hulpblad!$E:$E,MATCH(M348&amp;Q348,hulpblad!$B:$B,0))</f>
        <v>1</v>
      </c>
      <c r="AU348" s="150">
        <f t="shared" si="200"/>
        <v>19.47</v>
      </c>
      <c r="AV348" s="150">
        <f t="shared" si="201"/>
        <v>19.990833333333331</v>
      </c>
      <c r="AX348" s="526">
        <f>Parameters!$B$6*AV348</f>
        <v>0.19990833333333333</v>
      </c>
      <c r="AY348" s="150">
        <v>0</v>
      </c>
      <c r="AZ348" s="150"/>
      <c r="BA348" s="150">
        <f t="shared" si="202"/>
        <v>0.19990833333333333</v>
      </c>
      <c r="BB348" s="150"/>
      <c r="BC348" s="522">
        <f t="shared" si="203"/>
        <v>20.190741666666664</v>
      </c>
      <c r="BD348" s="175"/>
      <c r="BE348" s="527">
        <f t="shared" si="204"/>
        <v>1000.6425916666667</v>
      </c>
      <c r="BF348" s="181">
        <f t="shared" si="205"/>
        <v>0.98022131428571424</v>
      </c>
      <c r="BG348" s="520" t="b">
        <f t="shared" si="206"/>
        <v>0</v>
      </c>
      <c r="BI348" s="528" t="s">
        <v>2181</v>
      </c>
      <c r="BL348" s="151" t="str">
        <f t="shared" si="207"/>
        <v>EoKMetro - Regionaal</v>
      </c>
      <c r="BM348" s="529">
        <v>0</v>
      </c>
      <c r="BN348" s="180">
        <f>BM348/INDEX(Parameters!$B:$B,MATCH("AfschrijftermijnVVE"&amp;12*$C348,Parameters!$A:$A,0))</f>
        <v>0</v>
      </c>
      <c r="BO348" s="184">
        <f>INDEX('inkoop ULL tbv EVPN'!I:I,MATCH(BL348,'inkoop ULL tbv EVPN'!H:H,0))</f>
        <v>2</v>
      </c>
      <c r="BP348" s="184">
        <f t="shared" si="208"/>
        <v>2</v>
      </c>
      <c r="BR348" s="180">
        <f>Parameters!$B$12*AG348</f>
        <v>102.08333333333334</v>
      </c>
      <c r="BS348" s="180">
        <f>SUM(Distributievergoedingen!$F$12,Distributievergoedingen!$I$12,Distributievergoedingen!$L$12,Distributievergoedingen!$O$12)*AF348+SUM(Distributievergoedingen!$O$12*AA348+Distributievergoedingen!$R$12+Distributievergoedingen!$U$12+Distributievergoedingen!$X$12)/(MAX(36,12*C348))</f>
        <v>112.08333333333333</v>
      </c>
      <c r="BT348" s="150"/>
      <c r="BU348" s="150">
        <f t="shared" si="209"/>
        <v>214.16666666666669</v>
      </c>
      <c r="BW348" s="522">
        <f t="shared" si="210"/>
        <v>216.16666666666669</v>
      </c>
      <c r="BY348" s="527">
        <f t="shared" si="211"/>
        <v>804.66666666666674</v>
      </c>
      <c r="BZ348" s="181">
        <f t="shared" si="212"/>
        <v>0.78824489795918373</v>
      </c>
      <c r="CA348" s="520" t="b">
        <f t="shared" si="213"/>
        <v>0</v>
      </c>
    </row>
    <row r="349" spans="1:79" s="151" customFormat="1">
      <c r="A349" s="151" t="str">
        <f t="shared" si="192"/>
        <v>4EoKEntryCity4</v>
      </c>
      <c r="B349" s="520" t="str">
        <f t="shared" si="214"/>
        <v>4EoKEntryCity4</v>
      </c>
      <c r="C349" s="179">
        <v>4</v>
      </c>
      <c r="D349" s="179" t="s">
        <v>303</v>
      </c>
      <c r="E349" s="178" t="s">
        <v>45</v>
      </c>
      <c r="F349" s="178" t="s">
        <v>262</v>
      </c>
      <c r="G349" s="185" t="s">
        <v>408</v>
      </c>
      <c r="J349" s="520" t="str">
        <f t="shared" si="193"/>
        <v>EntryCity4</v>
      </c>
      <c r="L349" s="204">
        <f>INDEX(Mapping!$H:$H,MATCH(C$3&amp;C349,Mapping!$B:$B,0))</f>
        <v>1</v>
      </c>
      <c r="M349" s="204" t="str">
        <f>INDEX(Mapping!$H:$H,MATCH(D$3&amp;$D349,Mapping!$B:$B,0))</f>
        <v>EoK</v>
      </c>
      <c r="N349" s="204" t="str">
        <f>INDEX(Mapping!$H:$H,MATCH(E$3&amp;E349,Mapping!$B:$B,0))</f>
        <v>Lite</v>
      </c>
      <c r="O349" s="204" t="str">
        <f>INDEX(Mapping!$H:$H,MATCH(F$3&amp;F349,Mapping!$B:$B,0))</f>
        <v>Metro</v>
      </c>
      <c r="P349" s="204">
        <f>INDEX(Mapping!$H:$H,MATCH(G$3&amp;G349,Mapping!$B:$B,0))</f>
        <v>4</v>
      </c>
      <c r="Q349" s="204" t="str">
        <f>INDEX(Mapping!$H:$H,MATCH(Q$3&amp;$F349,Mapping!$B:$B,0))</f>
        <v>Metro - Regionaal</v>
      </c>
      <c r="R349" s="204" t="str">
        <f>INDEX(Mapping!$H:$H,MATCH("ZM VPN Service Level"&amp;E349,Mapping!$B:$B,0))</f>
        <v>Advanced</v>
      </c>
      <c r="S349" s="139" t="b">
        <f>IF($D349="EoK",INDEX(Mapping!$I:$I,MATCH($G$3&amp;$G349,Mapping!B:B,0)),FALSE)</f>
        <v>0</v>
      </c>
      <c r="T349" s="139"/>
      <c r="U349" s="520" t="str">
        <f t="shared" si="194"/>
        <v>LiteMetro4</v>
      </c>
      <c r="W349" s="521">
        <f>MATCH($J349,'Tarieven ZM'!$B:$B,0)</f>
        <v>11</v>
      </c>
      <c r="X349" s="204">
        <f>INDEX('Tarieven ZM'!$H:$H,$W349)</f>
        <v>1000</v>
      </c>
      <c r="Y349" s="198">
        <f>-INDEX(Parameters!$B:$B,MATCH(Y$3&amp;$C349,Parameters!$A:$A,0))*$X349</f>
        <v>0</v>
      </c>
      <c r="Z349" s="198">
        <f>-INDEX(Parameters!$B:$B,MATCH(Z$3&amp;$C349,Parameters!$A:$A,0))*$X349</f>
        <v>0</v>
      </c>
      <c r="AA349" s="139">
        <f t="shared" si="195"/>
        <v>1000</v>
      </c>
      <c r="AB349" s="205">
        <f>AA349/INDEX(Parameters!$B:$B,MATCH("AfschrijftermijnVVE"&amp;12*$C349,Parameters!$A:$A,0))</f>
        <v>20.833333333333332</v>
      </c>
      <c r="AC349" s="204">
        <f>INDEX('Tarieven ZM'!$G:$G,$W349)</f>
        <v>1000</v>
      </c>
      <c r="AD349" s="198">
        <f>-INDEX(Parameters!$B:$B,MATCH(AD$3&amp;$C349,Parameters!$A:$A,0))*$AC349</f>
        <v>0</v>
      </c>
      <c r="AE349" s="198">
        <f>-INDEX(Parameters!$B:$B,MATCH(AE$3,Parameters!$A:$A,0))*$AC349</f>
        <v>0</v>
      </c>
      <c r="AF349" s="139">
        <f t="shared" si="196"/>
        <v>1000</v>
      </c>
      <c r="AG349" s="522">
        <f t="shared" si="197"/>
        <v>1020.8333333333334</v>
      </c>
      <c r="AH349" s="175"/>
      <c r="AI349" s="523">
        <f>MATCH($U349,'Tarieven W&amp;O'!$B:$B,0)</f>
        <v>39</v>
      </c>
      <c r="AJ349" s="204">
        <f>IF(AI349&lt;&gt;"nvt",INDEX('Tarieven W&amp;O'!$H:$H,$AI349),0)</f>
        <v>0</v>
      </c>
      <c r="AK349" s="204">
        <f>IF(AI349&lt;&gt;"nvt",INDEX('Tarieven W&amp;O'!$I:$I,$AI349),0)</f>
        <v>25</v>
      </c>
      <c r="AL349" s="524">
        <f>IF(AI349&lt;&gt;"nvt",-INDEX(Parameters!$B:$B,MATCH(AL$3,Parameters!$A:$A,0))*(AJ349+AK349),0)</f>
        <v>0</v>
      </c>
      <c r="AM349" s="525"/>
      <c r="AN349" s="139">
        <f t="shared" si="198"/>
        <v>25</v>
      </c>
      <c r="AO349" s="205">
        <f>AN349/INDEX(Parameters!$B:$B,MATCH("AfschrijftermijnVVE"&amp;12*$C349,Parameters!$A:$A,0))</f>
        <v>0.52083333333333337</v>
      </c>
      <c r="AP349" s="139">
        <f t="shared" si="199"/>
        <v>39</v>
      </c>
      <c r="AQ349" s="526">
        <f>IF(AP349&lt;&gt;"nvt",INDEX('Tarieven W&amp;O'!$G:$G,$AP349),0)</f>
        <v>18.47</v>
      </c>
      <c r="AR349" s="251">
        <f>IF($S349,INDEX('Tarieven W&amp;O'!$G:$G,MATCH(N349&amp;R349,'Tarieven W&amp;O'!$B:$B,0)),0)</f>
        <v>0</v>
      </c>
      <c r="AS349" s="205">
        <f>-INDEX(Parameters!$B:$B,MATCH(AS$3,Parameters!$A:$A,0))*(AQ349+AR349)</f>
        <v>0</v>
      </c>
      <c r="AT349" s="205">
        <f>INDEX(hulpblad!$E:$E,MATCH(M349&amp;Q349,hulpblad!$B:$B,0))</f>
        <v>1</v>
      </c>
      <c r="AU349" s="150">
        <f t="shared" si="200"/>
        <v>19.47</v>
      </c>
      <c r="AV349" s="150">
        <f t="shared" si="201"/>
        <v>19.990833333333331</v>
      </c>
      <c r="AX349" s="526">
        <f>Parameters!$B$6*AV349</f>
        <v>0.19990833333333333</v>
      </c>
      <c r="AY349" s="150">
        <v>0</v>
      </c>
      <c r="AZ349" s="150"/>
      <c r="BA349" s="150">
        <f t="shared" si="202"/>
        <v>0.19990833333333333</v>
      </c>
      <c r="BB349" s="150"/>
      <c r="BC349" s="522">
        <f t="shared" si="203"/>
        <v>20.190741666666664</v>
      </c>
      <c r="BD349" s="175"/>
      <c r="BE349" s="527">
        <f t="shared" si="204"/>
        <v>1000.6425916666667</v>
      </c>
      <c r="BF349" s="181">
        <f t="shared" si="205"/>
        <v>0.98022131428571424</v>
      </c>
      <c r="BG349" s="520" t="b">
        <f t="shared" si="206"/>
        <v>0</v>
      </c>
      <c r="BI349" s="528" t="s">
        <v>2181</v>
      </c>
      <c r="BL349" s="151" t="str">
        <f t="shared" si="207"/>
        <v>EoKMetro - Regionaal</v>
      </c>
      <c r="BM349" s="529">
        <v>0</v>
      </c>
      <c r="BN349" s="180">
        <f>BM349/INDEX(Parameters!$B:$B,MATCH("AfschrijftermijnVVE"&amp;12*$C349,Parameters!$A:$A,0))</f>
        <v>0</v>
      </c>
      <c r="BO349" s="184">
        <f>INDEX('inkoop ULL tbv EVPN'!I:I,MATCH(BL349,'inkoop ULL tbv EVPN'!H:H,0))</f>
        <v>2</v>
      </c>
      <c r="BP349" s="184">
        <f t="shared" si="208"/>
        <v>2</v>
      </c>
      <c r="BR349" s="180">
        <f>Parameters!$B$12*AG349</f>
        <v>102.08333333333334</v>
      </c>
      <c r="BS349" s="180">
        <f>SUM(Distributievergoedingen!$F$12,Distributievergoedingen!$I$12,Distributievergoedingen!$L$12,Distributievergoedingen!$O$12)*AF349+SUM(Distributievergoedingen!$O$12*AA349+Distributievergoedingen!$R$12+Distributievergoedingen!$U$12+Distributievergoedingen!$X$12)/(MAX(36,12*C349))</f>
        <v>112.08333333333333</v>
      </c>
      <c r="BT349" s="150"/>
      <c r="BU349" s="150">
        <f t="shared" si="209"/>
        <v>214.16666666666669</v>
      </c>
      <c r="BW349" s="522">
        <f t="shared" si="210"/>
        <v>216.16666666666669</v>
      </c>
      <c r="BY349" s="527">
        <f t="shared" si="211"/>
        <v>804.66666666666674</v>
      </c>
      <c r="BZ349" s="181">
        <f t="shared" si="212"/>
        <v>0.78824489795918373</v>
      </c>
      <c r="CA349" s="520" t="b">
        <f t="shared" si="213"/>
        <v>0</v>
      </c>
    </row>
    <row r="350" spans="1:79" s="151" customFormat="1">
      <c r="A350" s="151" t="str">
        <f t="shared" si="192"/>
        <v>4EoKEntryCity5</v>
      </c>
      <c r="B350" s="520" t="str">
        <f t="shared" si="214"/>
        <v>4EoKEntryCity5</v>
      </c>
      <c r="C350" s="179">
        <v>4</v>
      </c>
      <c r="D350" s="179" t="s">
        <v>303</v>
      </c>
      <c r="E350" s="178" t="s">
        <v>45</v>
      </c>
      <c r="F350" s="178" t="s">
        <v>262</v>
      </c>
      <c r="G350" s="185" t="s">
        <v>409</v>
      </c>
      <c r="J350" s="520" t="str">
        <f t="shared" si="193"/>
        <v>EntryCity5</v>
      </c>
      <c r="L350" s="204">
        <f>INDEX(Mapping!$H:$H,MATCH(C$3&amp;C350,Mapping!$B:$B,0))</f>
        <v>1</v>
      </c>
      <c r="M350" s="204" t="str">
        <f>INDEX(Mapping!$H:$H,MATCH(D$3&amp;$D350,Mapping!$B:$B,0))</f>
        <v>EoK</v>
      </c>
      <c r="N350" s="204" t="str">
        <f>INDEX(Mapping!$H:$H,MATCH(E$3&amp;E350,Mapping!$B:$B,0))</f>
        <v>Lite</v>
      </c>
      <c r="O350" s="204" t="str">
        <f>INDEX(Mapping!$H:$H,MATCH(F$3&amp;F350,Mapping!$B:$B,0))</f>
        <v>Metro</v>
      </c>
      <c r="P350" s="204">
        <f>INDEX(Mapping!$H:$H,MATCH(G$3&amp;G350,Mapping!$B:$B,0))</f>
        <v>5</v>
      </c>
      <c r="Q350" s="204" t="str">
        <f>INDEX(Mapping!$H:$H,MATCH(Q$3&amp;$F350,Mapping!$B:$B,0))</f>
        <v>Metro - Regionaal</v>
      </c>
      <c r="R350" s="204" t="str">
        <f>INDEX(Mapping!$H:$H,MATCH("ZM VPN Service Level"&amp;E350,Mapping!$B:$B,0))</f>
        <v>Advanced</v>
      </c>
      <c r="S350" s="139" t="b">
        <f>IF($D350="EoK",INDEX(Mapping!$I:$I,MATCH($G$3&amp;$G350,Mapping!B:B,0)),FALSE)</f>
        <v>0</v>
      </c>
      <c r="T350" s="139"/>
      <c r="U350" s="520" t="str">
        <f t="shared" si="194"/>
        <v>LiteMetro5</v>
      </c>
      <c r="W350" s="521">
        <f>MATCH($J350,'Tarieven ZM'!$B:$B,0)</f>
        <v>12</v>
      </c>
      <c r="X350" s="204">
        <f>INDEX('Tarieven ZM'!$H:$H,$W350)</f>
        <v>1000</v>
      </c>
      <c r="Y350" s="198">
        <f>-INDEX(Parameters!$B:$B,MATCH(Y$3&amp;$C350,Parameters!$A:$A,0))*$X350</f>
        <v>0</v>
      </c>
      <c r="Z350" s="198">
        <f>-INDEX(Parameters!$B:$B,MATCH(Z$3&amp;$C350,Parameters!$A:$A,0))*$X350</f>
        <v>0</v>
      </c>
      <c r="AA350" s="139">
        <f t="shared" si="195"/>
        <v>1000</v>
      </c>
      <c r="AB350" s="205">
        <f>AA350/INDEX(Parameters!$B:$B,MATCH("AfschrijftermijnVVE"&amp;12*$C350,Parameters!$A:$A,0))</f>
        <v>20.833333333333332</v>
      </c>
      <c r="AC350" s="204">
        <f>INDEX('Tarieven ZM'!$G:$G,$W350)</f>
        <v>1000</v>
      </c>
      <c r="AD350" s="198">
        <f>-INDEX(Parameters!$B:$B,MATCH(AD$3&amp;$C350,Parameters!$A:$A,0))*$AC350</f>
        <v>0</v>
      </c>
      <c r="AE350" s="198">
        <f>-INDEX(Parameters!$B:$B,MATCH(AE$3,Parameters!$A:$A,0))*$AC350</f>
        <v>0</v>
      </c>
      <c r="AF350" s="139">
        <f t="shared" si="196"/>
        <v>1000</v>
      </c>
      <c r="AG350" s="522">
        <f t="shared" si="197"/>
        <v>1020.8333333333334</v>
      </c>
      <c r="AH350" s="175"/>
      <c r="AI350" s="523">
        <f>MATCH($U350,'Tarieven W&amp;O'!$B:$B,0)</f>
        <v>40</v>
      </c>
      <c r="AJ350" s="204">
        <f>IF(AI350&lt;&gt;"nvt",INDEX('Tarieven W&amp;O'!$H:$H,$AI350),0)</f>
        <v>0</v>
      </c>
      <c r="AK350" s="204">
        <f>IF(AI350&lt;&gt;"nvt",INDEX('Tarieven W&amp;O'!$I:$I,$AI350),0)</f>
        <v>25</v>
      </c>
      <c r="AL350" s="524">
        <f>IF(AI350&lt;&gt;"nvt",-INDEX(Parameters!$B:$B,MATCH(AL$3,Parameters!$A:$A,0))*(AJ350+AK350),0)</f>
        <v>0</v>
      </c>
      <c r="AM350" s="525"/>
      <c r="AN350" s="139">
        <f t="shared" si="198"/>
        <v>25</v>
      </c>
      <c r="AO350" s="205">
        <f>AN350/INDEX(Parameters!$B:$B,MATCH("AfschrijftermijnVVE"&amp;12*$C350,Parameters!$A:$A,0))</f>
        <v>0.52083333333333337</v>
      </c>
      <c r="AP350" s="139">
        <f t="shared" si="199"/>
        <v>40</v>
      </c>
      <c r="AQ350" s="526">
        <f>IF(AP350&lt;&gt;"nvt",INDEX('Tarieven W&amp;O'!$G:$G,$AP350),0)</f>
        <v>18.47</v>
      </c>
      <c r="AR350" s="251">
        <f>IF($S350,INDEX('Tarieven W&amp;O'!$G:$G,MATCH(N350&amp;R350,'Tarieven W&amp;O'!$B:$B,0)),0)</f>
        <v>0</v>
      </c>
      <c r="AS350" s="205">
        <f>-INDEX(Parameters!$B:$B,MATCH(AS$3,Parameters!$A:$A,0))*(AQ350+AR350)</f>
        <v>0</v>
      </c>
      <c r="AT350" s="205">
        <f>INDEX(hulpblad!$E:$E,MATCH(M350&amp;Q350,hulpblad!$B:$B,0))</f>
        <v>1</v>
      </c>
      <c r="AU350" s="150">
        <f t="shared" si="200"/>
        <v>19.47</v>
      </c>
      <c r="AV350" s="150">
        <f t="shared" si="201"/>
        <v>19.990833333333331</v>
      </c>
      <c r="AX350" s="526">
        <f>Parameters!$B$6*AV350</f>
        <v>0.19990833333333333</v>
      </c>
      <c r="AY350" s="150">
        <v>0</v>
      </c>
      <c r="AZ350" s="150"/>
      <c r="BA350" s="150">
        <f t="shared" si="202"/>
        <v>0.19990833333333333</v>
      </c>
      <c r="BB350" s="150"/>
      <c r="BC350" s="522">
        <f t="shared" si="203"/>
        <v>20.190741666666664</v>
      </c>
      <c r="BD350" s="175"/>
      <c r="BE350" s="527">
        <f t="shared" si="204"/>
        <v>1000.6425916666667</v>
      </c>
      <c r="BF350" s="181">
        <f t="shared" si="205"/>
        <v>0.98022131428571424</v>
      </c>
      <c r="BG350" s="520" t="b">
        <f t="shared" si="206"/>
        <v>0</v>
      </c>
      <c r="BI350" s="528" t="s">
        <v>2181</v>
      </c>
      <c r="BL350" s="151" t="str">
        <f t="shared" si="207"/>
        <v>EoKMetro - Regionaal</v>
      </c>
      <c r="BM350" s="529">
        <v>0</v>
      </c>
      <c r="BN350" s="180">
        <f>BM350/INDEX(Parameters!$B:$B,MATCH("AfschrijftermijnVVE"&amp;12*$C350,Parameters!$A:$A,0))</f>
        <v>0</v>
      </c>
      <c r="BO350" s="184">
        <f>INDEX('inkoop ULL tbv EVPN'!I:I,MATCH(BL350,'inkoop ULL tbv EVPN'!H:H,0))</f>
        <v>2</v>
      </c>
      <c r="BP350" s="184">
        <f t="shared" si="208"/>
        <v>2</v>
      </c>
      <c r="BR350" s="180">
        <f>Parameters!$B$12*AG350</f>
        <v>102.08333333333334</v>
      </c>
      <c r="BS350" s="180">
        <f>SUM(Distributievergoedingen!$F$12,Distributievergoedingen!$I$12,Distributievergoedingen!$L$12,Distributievergoedingen!$O$12)*AF350+SUM(Distributievergoedingen!$O$12*AA350+Distributievergoedingen!$R$12+Distributievergoedingen!$U$12+Distributievergoedingen!$X$12)/(MAX(36,12*C350))</f>
        <v>112.08333333333333</v>
      </c>
      <c r="BT350" s="150"/>
      <c r="BU350" s="150">
        <f t="shared" si="209"/>
        <v>214.16666666666669</v>
      </c>
      <c r="BW350" s="522">
        <f t="shared" si="210"/>
        <v>216.16666666666669</v>
      </c>
      <c r="BY350" s="527">
        <f t="shared" si="211"/>
        <v>804.66666666666674</v>
      </c>
      <c r="BZ350" s="181">
        <f t="shared" si="212"/>
        <v>0.78824489795918373</v>
      </c>
      <c r="CA350" s="520" t="b">
        <f t="shared" si="213"/>
        <v>0</v>
      </c>
    </row>
    <row r="351" spans="1:79" s="151" customFormat="1">
      <c r="A351" s="151" t="str">
        <f t="shared" si="192"/>
        <v>4EoKEntryCity6</v>
      </c>
      <c r="B351" s="520" t="str">
        <f t="shared" si="214"/>
        <v>4EoKEntryCity6</v>
      </c>
      <c r="C351" s="179">
        <v>4</v>
      </c>
      <c r="D351" s="179" t="s">
        <v>303</v>
      </c>
      <c r="E351" s="178" t="s">
        <v>45</v>
      </c>
      <c r="F351" s="178" t="s">
        <v>262</v>
      </c>
      <c r="G351" s="185" t="s">
        <v>410</v>
      </c>
      <c r="J351" s="520" t="str">
        <f t="shared" si="193"/>
        <v>EntryCity6</v>
      </c>
      <c r="L351" s="204">
        <f>INDEX(Mapping!$H:$H,MATCH(C$3&amp;C351,Mapping!$B:$B,0))</f>
        <v>1</v>
      </c>
      <c r="M351" s="204" t="str">
        <f>INDEX(Mapping!$H:$H,MATCH(D$3&amp;$D351,Mapping!$B:$B,0))</f>
        <v>EoK</v>
      </c>
      <c r="N351" s="204" t="str">
        <f>INDEX(Mapping!$H:$H,MATCH(E$3&amp;E351,Mapping!$B:$B,0))</f>
        <v>Lite</v>
      </c>
      <c r="O351" s="204" t="str">
        <f>INDEX(Mapping!$H:$H,MATCH(F$3&amp;F351,Mapping!$B:$B,0))</f>
        <v>Metro</v>
      </c>
      <c r="P351" s="204">
        <f>INDEX(Mapping!$H:$H,MATCH(G$3&amp;G351,Mapping!$B:$B,0))</f>
        <v>6</v>
      </c>
      <c r="Q351" s="204" t="str">
        <f>INDEX(Mapping!$H:$H,MATCH(Q$3&amp;$F351,Mapping!$B:$B,0))</f>
        <v>Metro - Regionaal</v>
      </c>
      <c r="R351" s="204" t="str">
        <f>INDEX(Mapping!$H:$H,MATCH("ZM VPN Service Level"&amp;E351,Mapping!$B:$B,0))</f>
        <v>Advanced</v>
      </c>
      <c r="S351" s="139" t="b">
        <f>IF($D351="EoK",INDEX(Mapping!$I:$I,MATCH($G$3&amp;$G351,Mapping!B:B,0)),FALSE)</f>
        <v>0</v>
      </c>
      <c r="T351" s="139"/>
      <c r="U351" s="520" t="str">
        <f t="shared" si="194"/>
        <v>LiteMetro6</v>
      </c>
      <c r="W351" s="521">
        <f>MATCH($J351,'Tarieven ZM'!$B:$B,0)</f>
        <v>13</v>
      </c>
      <c r="X351" s="204">
        <f>INDEX('Tarieven ZM'!$H:$H,$W351)</f>
        <v>1000</v>
      </c>
      <c r="Y351" s="198">
        <f>-INDEX(Parameters!$B:$B,MATCH(Y$3&amp;$C351,Parameters!$A:$A,0))*$X351</f>
        <v>0</v>
      </c>
      <c r="Z351" s="198">
        <f>-INDEX(Parameters!$B:$B,MATCH(Z$3&amp;$C351,Parameters!$A:$A,0))*$X351</f>
        <v>0</v>
      </c>
      <c r="AA351" s="139">
        <f t="shared" si="195"/>
        <v>1000</v>
      </c>
      <c r="AB351" s="205">
        <f>AA351/INDEX(Parameters!$B:$B,MATCH("AfschrijftermijnVVE"&amp;12*$C351,Parameters!$A:$A,0))</f>
        <v>20.833333333333332</v>
      </c>
      <c r="AC351" s="204">
        <f>INDEX('Tarieven ZM'!$G:$G,$W351)</f>
        <v>1000</v>
      </c>
      <c r="AD351" s="198">
        <f>-INDEX(Parameters!$B:$B,MATCH(AD$3&amp;$C351,Parameters!$A:$A,0))*$AC351</f>
        <v>0</v>
      </c>
      <c r="AE351" s="198">
        <f>-INDEX(Parameters!$B:$B,MATCH(AE$3,Parameters!$A:$A,0))*$AC351</f>
        <v>0</v>
      </c>
      <c r="AF351" s="139">
        <f t="shared" si="196"/>
        <v>1000</v>
      </c>
      <c r="AG351" s="522">
        <f t="shared" si="197"/>
        <v>1020.8333333333334</v>
      </c>
      <c r="AH351" s="175"/>
      <c r="AI351" s="523">
        <f>MATCH($U351,'Tarieven W&amp;O'!$B:$B,0)</f>
        <v>41</v>
      </c>
      <c r="AJ351" s="204">
        <f>IF(AI351&lt;&gt;"nvt",INDEX('Tarieven W&amp;O'!$H:$H,$AI351),0)</f>
        <v>0</v>
      </c>
      <c r="AK351" s="204">
        <f>IF(AI351&lt;&gt;"nvt",INDEX('Tarieven W&amp;O'!$I:$I,$AI351),0)</f>
        <v>25</v>
      </c>
      <c r="AL351" s="524">
        <f>IF(AI351&lt;&gt;"nvt",-INDEX(Parameters!$B:$B,MATCH(AL$3,Parameters!$A:$A,0))*(AJ351+AK351),0)</f>
        <v>0</v>
      </c>
      <c r="AM351" s="525"/>
      <c r="AN351" s="139">
        <f t="shared" si="198"/>
        <v>25</v>
      </c>
      <c r="AO351" s="205">
        <f>AN351/INDEX(Parameters!$B:$B,MATCH("AfschrijftermijnVVE"&amp;12*$C351,Parameters!$A:$A,0))</f>
        <v>0.52083333333333337</v>
      </c>
      <c r="AP351" s="139">
        <f t="shared" si="199"/>
        <v>41</v>
      </c>
      <c r="AQ351" s="526">
        <f>IF(AP351&lt;&gt;"nvt",INDEX('Tarieven W&amp;O'!$G:$G,$AP351),0)</f>
        <v>18.47</v>
      </c>
      <c r="AR351" s="251">
        <f>IF($S351,INDEX('Tarieven W&amp;O'!$G:$G,MATCH(N351&amp;R351,'Tarieven W&amp;O'!$B:$B,0)),0)</f>
        <v>0</v>
      </c>
      <c r="AS351" s="205">
        <f>-INDEX(Parameters!$B:$B,MATCH(AS$3,Parameters!$A:$A,0))*(AQ351+AR351)</f>
        <v>0</v>
      </c>
      <c r="AT351" s="205">
        <f>INDEX(hulpblad!$E:$E,MATCH(M351&amp;Q351,hulpblad!$B:$B,0))</f>
        <v>1</v>
      </c>
      <c r="AU351" s="150">
        <f t="shared" si="200"/>
        <v>19.47</v>
      </c>
      <c r="AV351" s="150">
        <f t="shared" si="201"/>
        <v>19.990833333333331</v>
      </c>
      <c r="AX351" s="526">
        <f>Parameters!$B$6*AV351</f>
        <v>0.19990833333333333</v>
      </c>
      <c r="AY351" s="150">
        <v>0</v>
      </c>
      <c r="AZ351" s="150"/>
      <c r="BA351" s="150">
        <f t="shared" si="202"/>
        <v>0.19990833333333333</v>
      </c>
      <c r="BB351" s="150"/>
      <c r="BC351" s="522">
        <f t="shared" si="203"/>
        <v>20.190741666666664</v>
      </c>
      <c r="BD351" s="175"/>
      <c r="BE351" s="527">
        <f t="shared" si="204"/>
        <v>1000.6425916666667</v>
      </c>
      <c r="BF351" s="181">
        <f t="shared" si="205"/>
        <v>0.98022131428571424</v>
      </c>
      <c r="BG351" s="520" t="b">
        <f t="shared" si="206"/>
        <v>0</v>
      </c>
      <c r="BI351" s="528" t="s">
        <v>2181</v>
      </c>
      <c r="BL351" s="151" t="str">
        <f t="shared" si="207"/>
        <v>EoKMetro - Regionaal</v>
      </c>
      <c r="BM351" s="529">
        <v>0</v>
      </c>
      <c r="BN351" s="180">
        <f>BM351/INDEX(Parameters!$B:$B,MATCH("AfschrijftermijnVVE"&amp;12*$C351,Parameters!$A:$A,0))</f>
        <v>0</v>
      </c>
      <c r="BO351" s="184">
        <f>INDEX('inkoop ULL tbv EVPN'!I:I,MATCH(BL351,'inkoop ULL tbv EVPN'!H:H,0))</f>
        <v>2</v>
      </c>
      <c r="BP351" s="184">
        <f t="shared" si="208"/>
        <v>2</v>
      </c>
      <c r="BR351" s="180">
        <f>Parameters!$B$12*AG351</f>
        <v>102.08333333333334</v>
      </c>
      <c r="BS351" s="180">
        <f>SUM(Distributievergoedingen!$F$12,Distributievergoedingen!$I$12,Distributievergoedingen!$L$12,Distributievergoedingen!$O$12)*AF351+SUM(Distributievergoedingen!$O$12*AA351+Distributievergoedingen!$R$12+Distributievergoedingen!$U$12+Distributievergoedingen!$X$12)/(MAX(36,12*C351))</f>
        <v>112.08333333333333</v>
      </c>
      <c r="BT351" s="150"/>
      <c r="BU351" s="150">
        <f t="shared" si="209"/>
        <v>214.16666666666669</v>
      </c>
      <c r="BW351" s="522">
        <f t="shared" si="210"/>
        <v>216.16666666666669</v>
      </c>
      <c r="BY351" s="527">
        <f t="shared" si="211"/>
        <v>804.66666666666674</v>
      </c>
      <c r="BZ351" s="181">
        <f t="shared" si="212"/>
        <v>0.78824489795918373</v>
      </c>
      <c r="CA351" s="520" t="b">
        <f t="shared" si="213"/>
        <v>0</v>
      </c>
    </row>
    <row r="352" spans="1:79" s="151" customFormat="1">
      <c r="A352" s="151" t="str">
        <f t="shared" si="192"/>
        <v>4EoKEntryCity8</v>
      </c>
      <c r="B352" s="520" t="str">
        <f t="shared" si="214"/>
        <v>4EoKEntryCity8</v>
      </c>
      <c r="C352" s="179">
        <v>4</v>
      </c>
      <c r="D352" s="179" t="s">
        <v>303</v>
      </c>
      <c r="E352" s="178" t="s">
        <v>45</v>
      </c>
      <c r="F352" s="178" t="s">
        <v>262</v>
      </c>
      <c r="G352" s="185" t="s">
        <v>411</v>
      </c>
      <c r="J352" s="520" t="str">
        <f t="shared" si="193"/>
        <v>EntryCity8</v>
      </c>
      <c r="L352" s="204">
        <f>INDEX(Mapping!$H:$H,MATCH(C$3&amp;C352,Mapping!$B:$B,0))</f>
        <v>1</v>
      </c>
      <c r="M352" s="204" t="str">
        <f>INDEX(Mapping!$H:$H,MATCH(D$3&amp;$D352,Mapping!$B:$B,0))</f>
        <v>EoK</v>
      </c>
      <c r="N352" s="204" t="str">
        <f>INDEX(Mapping!$H:$H,MATCH(E$3&amp;E352,Mapping!$B:$B,0))</f>
        <v>Lite</v>
      </c>
      <c r="O352" s="204" t="str">
        <f>INDEX(Mapping!$H:$H,MATCH(F$3&amp;F352,Mapping!$B:$B,0))</f>
        <v>Metro</v>
      </c>
      <c r="P352" s="204">
        <f>INDEX(Mapping!$H:$H,MATCH(G$3&amp;G352,Mapping!$B:$B,0))</f>
        <v>8</v>
      </c>
      <c r="Q352" s="204" t="str">
        <f>INDEX(Mapping!$H:$H,MATCH(Q$3&amp;$F352,Mapping!$B:$B,0))</f>
        <v>Metro - Regionaal</v>
      </c>
      <c r="R352" s="204" t="str">
        <f>INDEX(Mapping!$H:$H,MATCH("ZM VPN Service Level"&amp;E352,Mapping!$B:$B,0))</f>
        <v>Advanced</v>
      </c>
      <c r="S352" s="139" t="b">
        <f>IF($D352="EoK",INDEX(Mapping!$I:$I,MATCH($G$3&amp;$G352,Mapping!B:B,0)),FALSE)</f>
        <v>0</v>
      </c>
      <c r="T352" s="139"/>
      <c r="U352" s="520" t="str">
        <f t="shared" si="194"/>
        <v>LiteMetro8</v>
      </c>
      <c r="W352" s="521">
        <f>MATCH($J352,'Tarieven ZM'!$B:$B,0)</f>
        <v>14</v>
      </c>
      <c r="X352" s="204">
        <f>INDEX('Tarieven ZM'!$H:$H,$W352)</f>
        <v>1000</v>
      </c>
      <c r="Y352" s="198">
        <f>-INDEX(Parameters!$B:$B,MATCH(Y$3&amp;$C352,Parameters!$A:$A,0))*$X352</f>
        <v>0</v>
      </c>
      <c r="Z352" s="198">
        <f>-INDEX(Parameters!$B:$B,MATCH(Z$3&amp;$C352,Parameters!$A:$A,0))*$X352</f>
        <v>0</v>
      </c>
      <c r="AA352" s="139">
        <f t="shared" si="195"/>
        <v>1000</v>
      </c>
      <c r="AB352" s="205">
        <f>AA352/INDEX(Parameters!$B:$B,MATCH("AfschrijftermijnVVE"&amp;12*$C352,Parameters!$A:$A,0))</f>
        <v>20.833333333333332</v>
      </c>
      <c r="AC352" s="204">
        <f>INDEX('Tarieven ZM'!$G:$G,$W352)</f>
        <v>1000</v>
      </c>
      <c r="AD352" s="198">
        <f>-INDEX(Parameters!$B:$B,MATCH(AD$3&amp;$C352,Parameters!$A:$A,0))*$AC352</f>
        <v>0</v>
      </c>
      <c r="AE352" s="198">
        <f>-INDEX(Parameters!$B:$B,MATCH(AE$3,Parameters!$A:$A,0))*$AC352</f>
        <v>0</v>
      </c>
      <c r="AF352" s="139">
        <f t="shared" si="196"/>
        <v>1000</v>
      </c>
      <c r="AG352" s="522">
        <f t="shared" si="197"/>
        <v>1020.8333333333334</v>
      </c>
      <c r="AH352" s="175"/>
      <c r="AI352" s="523">
        <f>MATCH($U352,'Tarieven W&amp;O'!$B:$B,0)</f>
        <v>42</v>
      </c>
      <c r="AJ352" s="204">
        <f>IF(AI352&lt;&gt;"nvt",INDEX('Tarieven W&amp;O'!$H:$H,$AI352),0)</f>
        <v>0</v>
      </c>
      <c r="AK352" s="204">
        <f>IF(AI352&lt;&gt;"nvt",INDEX('Tarieven W&amp;O'!$I:$I,$AI352),0)</f>
        <v>25</v>
      </c>
      <c r="AL352" s="524">
        <f>IF(AI352&lt;&gt;"nvt",-INDEX(Parameters!$B:$B,MATCH(AL$3,Parameters!$A:$A,0))*(AJ352+AK352),0)</f>
        <v>0</v>
      </c>
      <c r="AM352" s="525"/>
      <c r="AN352" s="139">
        <f t="shared" si="198"/>
        <v>25</v>
      </c>
      <c r="AO352" s="205">
        <f>AN352/INDEX(Parameters!$B:$B,MATCH("AfschrijftermijnVVE"&amp;12*$C352,Parameters!$A:$A,0))</f>
        <v>0.52083333333333337</v>
      </c>
      <c r="AP352" s="139">
        <f t="shared" si="199"/>
        <v>42</v>
      </c>
      <c r="AQ352" s="526">
        <f>IF(AP352&lt;&gt;"nvt",INDEX('Tarieven W&amp;O'!$G:$G,$AP352),0)</f>
        <v>18.47</v>
      </c>
      <c r="AR352" s="251">
        <f>IF($S352,INDEX('Tarieven W&amp;O'!$G:$G,MATCH(N352&amp;R352,'Tarieven W&amp;O'!$B:$B,0)),0)</f>
        <v>0</v>
      </c>
      <c r="AS352" s="205">
        <f>-INDEX(Parameters!$B:$B,MATCH(AS$3,Parameters!$A:$A,0))*(AQ352+AR352)</f>
        <v>0</v>
      </c>
      <c r="AT352" s="205">
        <f>INDEX(hulpblad!$E:$E,MATCH(M352&amp;Q352,hulpblad!$B:$B,0))</f>
        <v>1</v>
      </c>
      <c r="AU352" s="150">
        <f t="shared" si="200"/>
        <v>19.47</v>
      </c>
      <c r="AV352" s="150">
        <f t="shared" si="201"/>
        <v>19.990833333333331</v>
      </c>
      <c r="AX352" s="526">
        <f>Parameters!$B$6*AV352</f>
        <v>0.19990833333333333</v>
      </c>
      <c r="AY352" s="150">
        <v>0</v>
      </c>
      <c r="AZ352" s="150"/>
      <c r="BA352" s="150">
        <f t="shared" si="202"/>
        <v>0.19990833333333333</v>
      </c>
      <c r="BB352" s="150"/>
      <c r="BC352" s="522">
        <f t="shared" si="203"/>
        <v>20.190741666666664</v>
      </c>
      <c r="BD352" s="175"/>
      <c r="BE352" s="527">
        <f t="shared" si="204"/>
        <v>1000.6425916666667</v>
      </c>
      <c r="BF352" s="181">
        <f t="shared" si="205"/>
        <v>0.98022131428571424</v>
      </c>
      <c r="BG352" s="520" t="b">
        <f t="shared" si="206"/>
        <v>0</v>
      </c>
      <c r="BI352" s="528" t="s">
        <v>2181</v>
      </c>
      <c r="BL352" s="151" t="str">
        <f t="shared" si="207"/>
        <v>EoKMetro - Regionaal</v>
      </c>
      <c r="BM352" s="529">
        <v>0</v>
      </c>
      <c r="BN352" s="180">
        <f>BM352/INDEX(Parameters!$B:$B,MATCH("AfschrijftermijnVVE"&amp;12*$C352,Parameters!$A:$A,0))</f>
        <v>0</v>
      </c>
      <c r="BO352" s="184">
        <f>INDEX('inkoop ULL tbv EVPN'!I:I,MATCH(BL352,'inkoop ULL tbv EVPN'!H:H,0))</f>
        <v>2</v>
      </c>
      <c r="BP352" s="184">
        <f t="shared" si="208"/>
        <v>2</v>
      </c>
      <c r="BR352" s="180">
        <f>Parameters!$B$12*AG352</f>
        <v>102.08333333333334</v>
      </c>
      <c r="BS352" s="180">
        <f>SUM(Distributievergoedingen!$F$12,Distributievergoedingen!$I$12,Distributievergoedingen!$L$12,Distributievergoedingen!$O$12)*AF352+SUM(Distributievergoedingen!$O$12*AA352+Distributievergoedingen!$R$12+Distributievergoedingen!$U$12+Distributievergoedingen!$X$12)/(MAX(36,12*C352))</f>
        <v>112.08333333333333</v>
      </c>
      <c r="BT352" s="150"/>
      <c r="BU352" s="150">
        <f t="shared" si="209"/>
        <v>214.16666666666669</v>
      </c>
      <c r="BW352" s="522">
        <f t="shared" si="210"/>
        <v>216.16666666666669</v>
      </c>
      <c r="BY352" s="527">
        <f t="shared" si="211"/>
        <v>804.66666666666674</v>
      </c>
      <c r="BZ352" s="181">
        <f t="shared" si="212"/>
        <v>0.78824489795918373</v>
      </c>
      <c r="CA352" s="520" t="b">
        <f t="shared" si="213"/>
        <v>0</v>
      </c>
    </row>
    <row r="353" spans="1:79" s="151" customFormat="1">
      <c r="A353" s="151" t="str">
        <f t="shared" si="192"/>
        <v>4EoKEntryCity10</v>
      </c>
      <c r="B353" s="520" t="str">
        <f t="shared" si="214"/>
        <v>4EoKEntryCity10</v>
      </c>
      <c r="C353" s="179">
        <v>4</v>
      </c>
      <c r="D353" s="179" t="s">
        <v>303</v>
      </c>
      <c r="E353" s="178" t="s">
        <v>45</v>
      </c>
      <c r="F353" s="178" t="s">
        <v>262</v>
      </c>
      <c r="G353" s="185" t="s">
        <v>412</v>
      </c>
      <c r="J353" s="520" t="str">
        <f t="shared" si="193"/>
        <v>EntryCity10</v>
      </c>
      <c r="L353" s="204">
        <f>INDEX(Mapping!$H:$H,MATCH(C$3&amp;C353,Mapping!$B:$B,0))</f>
        <v>1</v>
      </c>
      <c r="M353" s="204" t="str">
        <f>INDEX(Mapping!$H:$H,MATCH(D$3&amp;$D353,Mapping!$B:$B,0))</f>
        <v>EoK</v>
      </c>
      <c r="N353" s="204" t="str">
        <f>INDEX(Mapping!$H:$H,MATCH(E$3&amp;E353,Mapping!$B:$B,0))</f>
        <v>Lite</v>
      </c>
      <c r="O353" s="204" t="str">
        <f>INDEX(Mapping!$H:$H,MATCH(F$3&amp;F353,Mapping!$B:$B,0))</f>
        <v>Metro</v>
      </c>
      <c r="P353" s="204">
        <f>INDEX(Mapping!$H:$H,MATCH(G$3&amp;G353,Mapping!$B:$B,0))</f>
        <v>10</v>
      </c>
      <c r="Q353" s="204" t="str">
        <f>INDEX(Mapping!$H:$H,MATCH(Q$3&amp;$F353,Mapping!$B:$B,0))</f>
        <v>Metro - Regionaal</v>
      </c>
      <c r="R353" s="204" t="str">
        <f>INDEX(Mapping!$H:$H,MATCH("ZM VPN Service Level"&amp;E353,Mapping!$B:$B,0))</f>
        <v>Advanced</v>
      </c>
      <c r="S353" s="139" t="b">
        <f>IF($D353="EoK",INDEX(Mapping!$I:$I,MATCH($G$3&amp;$G353,Mapping!B:B,0)),FALSE)</f>
        <v>0</v>
      </c>
      <c r="T353" s="139"/>
      <c r="U353" s="520" t="str">
        <f t="shared" si="194"/>
        <v>LiteMetro10</v>
      </c>
      <c r="W353" s="521">
        <f>MATCH($J353,'Tarieven ZM'!$B:$B,0)</f>
        <v>15</v>
      </c>
      <c r="X353" s="204">
        <f>INDEX('Tarieven ZM'!$H:$H,$W353)</f>
        <v>1000</v>
      </c>
      <c r="Y353" s="198">
        <f>-INDEX(Parameters!$B:$B,MATCH(Y$3&amp;$C353,Parameters!$A:$A,0))*$X353</f>
        <v>0</v>
      </c>
      <c r="Z353" s="198">
        <f>-INDEX(Parameters!$B:$B,MATCH(Z$3&amp;$C353,Parameters!$A:$A,0))*$X353</f>
        <v>0</v>
      </c>
      <c r="AA353" s="139">
        <f t="shared" si="195"/>
        <v>1000</v>
      </c>
      <c r="AB353" s="205">
        <f>AA353/INDEX(Parameters!$B:$B,MATCH("AfschrijftermijnVVE"&amp;12*$C353,Parameters!$A:$A,0))</f>
        <v>20.833333333333332</v>
      </c>
      <c r="AC353" s="204">
        <f>INDEX('Tarieven ZM'!$G:$G,$W353)</f>
        <v>1000</v>
      </c>
      <c r="AD353" s="198">
        <f>-INDEX(Parameters!$B:$B,MATCH(AD$3&amp;$C353,Parameters!$A:$A,0))*$AC353</f>
        <v>0</v>
      </c>
      <c r="AE353" s="198">
        <f>-INDEX(Parameters!$B:$B,MATCH(AE$3,Parameters!$A:$A,0))*$AC353</f>
        <v>0</v>
      </c>
      <c r="AF353" s="139">
        <f t="shared" si="196"/>
        <v>1000</v>
      </c>
      <c r="AG353" s="522">
        <f t="shared" si="197"/>
        <v>1020.8333333333334</v>
      </c>
      <c r="AH353" s="175"/>
      <c r="AI353" s="523">
        <f>MATCH($U353,'Tarieven W&amp;O'!$B:$B,0)</f>
        <v>43</v>
      </c>
      <c r="AJ353" s="204">
        <f>IF(AI353&lt;&gt;"nvt",INDEX('Tarieven W&amp;O'!$H:$H,$AI353),0)</f>
        <v>0</v>
      </c>
      <c r="AK353" s="204">
        <f>IF(AI353&lt;&gt;"nvt",INDEX('Tarieven W&amp;O'!$I:$I,$AI353),0)</f>
        <v>25</v>
      </c>
      <c r="AL353" s="524">
        <f>IF(AI353&lt;&gt;"nvt",-INDEX(Parameters!$B:$B,MATCH(AL$3,Parameters!$A:$A,0))*(AJ353+AK353),0)</f>
        <v>0</v>
      </c>
      <c r="AM353" s="525"/>
      <c r="AN353" s="139">
        <f t="shared" si="198"/>
        <v>25</v>
      </c>
      <c r="AO353" s="205">
        <f>AN353/INDEX(Parameters!$B:$B,MATCH("AfschrijftermijnVVE"&amp;12*$C353,Parameters!$A:$A,0))</f>
        <v>0.52083333333333337</v>
      </c>
      <c r="AP353" s="139">
        <f t="shared" si="199"/>
        <v>43</v>
      </c>
      <c r="AQ353" s="526">
        <f>IF(AP353&lt;&gt;"nvt",INDEX('Tarieven W&amp;O'!$G:$G,$AP353),0)</f>
        <v>18.47</v>
      </c>
      <c r="AR353" s="251">
        <f>IF($S353,INDEX('Tarieven W&amp;O'!$G:$G,MATCH(N353&amp;R353,'Tarieven W&amp;O'!$B:$B,0)),0)</f>
        <v>0</v>
      </c>
      <c r="AS353" s="205">
        <f>-INDEX(Parameters!$B:$B,MATCH(AS$3,Parameters!$A:$A,0))*(AQ353+AR353)</f>
        <v>0</v>
      </c>
      <c r="AT353" s="205">
        <f>INDEX(hulpblad!$E:$E,MATCH(M353&amp;Q353,hulpblad!$B:$B,0))</f>
        <v>1</v>
      </c>
      <c r="AU353" s="150">
        <f t="shared" si="200"/>
        <v>19.47</v>
      </c>
      <c r="AV353" s="150">
        <f t="shared" si="201"/>
        <v>19.990833333333331</v>
      </c>
      <c r="AX353" s="526">
        <f>Parameters!$B$6*AV353</f>
        <v>0.19990833333333333</v>
      </c>
      <c r="AY353" s="150">
        <v>0</v>
      </c>
      <c r="AZ353" s="150"/>
      <c r="BA353" s="150">
        <f t="shared" si="202"/>
        <v>0.19990833333333333</v>
      </c>
      <c r="BB353" s="150"/>
      <c r="BC353" s="522">
        <f t="shared" si="203"/>
        <v>20.190741666666664</v>
      </c>
      <c r="BD353" s="175"/>
      <c r="BE353" s="527">
        <f t="shared" si="204"/>
        <v>1000.6425916666667</v>
      </c>
      <c r="BF353" s="181">
        <f t="shared" si="205"/>
        <v>0.98022131428571424</v>
      </c>
      <c r="BG353" s="520" t="b">
        <f t="shared" si="206"/>
        <v>0</v>
      </c>
      <c r="BI353" s="528" t="s">
        <v>2181</v>
      </c>
      <c r="BL353" s="151" t="str">
        <f t="shared" si="207"/>
        <v>EoKMetro - Regionaal</v>
      </c>
      <c r="BM353" s="529">
        <v>0</v>
      </c>
      <c r="BN353" s="180">
        <f>BM353/INDEX(Parameters!$B:$B,MATCH("AfschrijftermijnVVE"&amp;12*$C353,Parameters!$A:$A,0))</f>
        <v>0</v>
      </c>
      <c r="BO353" s="184">
        <f>INDEX('inkoop ULL tbv EVPN'!I:I,MATCH(BL353,'inkoop ULL tbv EVPN'!H:H,0))</f>
        <v>2</v>
      </c>
      <c r="BP353" s="184">
        <f t="shared" si="208"/>
        <v>2</v>
      </c>
      <c r="BR353" s="180">
        <f>Parameters!$B$12*AG353</f>
        <v>102.08333333333334</v>
      </c>
      <c r="BS353" s="180">
        <f>SUM(Distributievergoedingen!$F$12,Distributievergoedingen!$I$12,Distributievergoedingen!$L$12,Distributievergoedingen!$O$12)*AF353+SUM(Distributievergoedingen!$O$12*AA353+Distributievergoedingen!$R$12+Distributievergoedingen!$U$12+Distributievergoedingen!$X$12)/(MAX(36,12*C353))</f>
        <v>112.08333333333333</v>
      </c>
      <c r="BT353" s="150"/>
      <c r="BU353" s="150">
        <f t="shared" si="209"/>
        <v>214.16666666666669</v>
      </c>
      <c r="BW353" s="522">
        <f t="shared" si="210"/>
        <v>216.16666666666669</v>
      </c>
      <c r="BY353" s="527">
        <f t="shared" si="211"/>
        <v>804.66666666666674</v>
      </c>
      <c r="BZ353" s="181">
        <f t="shared" si="212"/>
        <v>0.78824489795918373</v>
      </c>
      <c r="CA353" s="520" t="b">
        <f t="shared" si="213"/>
        <v>0</v>
      </c>
    </row>
    <row r="354" spans="1:79" s="151" customFormat="1">
      <c r="A354" s="151" t="str">
        <f t="shared" si="192"/>
        <v>4EoKEntryCity15</v>
      </c>
      <c r="B354" s="520" t="str">
        <f t="shared" si="214"/>
        <v>4EoKEntryCity15</v>
      </c>
      <c r="C354" s="179">
        <v>4</v>
      </c>
      <c r="D354" s="179" t="s">
        <v>303</v>
      </c>
      <c r="E354" s="178" t="s">
        <v>45</v>
      </c>
      <c r="F354" s="178" t="s">
        <v>262</v>
      </c>
      <c r="G354" s="185" t="s">
        <v>413</v>
      </c>
      <c r="J354" s="520" t="str">
        <f t="shared" si="193"/>
        <v>EntryCity15</v>
      </c>
      <c r="L354" s="204">
        <f>INDEX(Mapping!$H:$H,MATCH(C$3&amp;C354,Mapping!$B:$B,0))</f>
        <v>1</v>
      </c>
      <c r="M354" s="204" t="str">
        <f>INDEX(Mapping!$H:$H,MATCH(D$3&amp;$D354,Mapping!$B:$B,0))</f>
        <v>EoK</v>
      </c>
      <c r="N354" s="204" t="str">
        <f>INDEX(Mapping!$H:$H,MATCH(E$3&amp;E354,Mapping!$B:$B,0))</f>
        <v>Lite</v>
      </c>
      <c r="O354" s="204" t="str">
        <f>INDEX(Mapping!$H:$H,MATCH(F$3&amp;F354,Mapping!$B:$B,0))</f>
        <v>Metro</v>
      </c>
      <c r="P354" s="204">
        <f>INDEX(Mapping!$H:$H,MATCH(G$3&amp;G354,Mapping!$B:$B,0))</f>
        <v>15</v>
      </c>
      <c r="Q354" s="204" t="str">
        <f>INDEX(Mapping!$H:$H,MATCH(Q$3&amp;$F354,Mapping!$B:$B,0))</f>
        <v>Metro - Regionaal</v>
      </c>
      <c r="R354" s="204" t="str">
        <f>INDEX(Mapping!$H:$H,MATCH("ZM VPN Service Level"&amp;E354,Mapping!$B:$B,0))</f>
        <v>Advanced</v>
      </c>
      <c r="S354" s="139" t="b">
        <f>IF($D354="EoK",INDEX(Mapping!$I:$I,MATCH($G$3&amp;$G354,Mapping!B:B,0)),FALSE)</f>
        <v>0</v>
      </c>
      <c r="T354" s="139"/>
      <c r="U354" s="520" t="str">
        <f t="shared" si="194"/>
        <v>LiteMetro15</v>
      </c>
      <c r="W354" s="521">
        <f>MATCH($J354,'Tarieven ZM'!$B:$B,0)</f>
        <v>16</v>
      </c>
      <c r="X354" s="204">
        <f>INDEX('Tarieven ZM'!$H:$H,$W354)</f>
        <v>1000</v>
      </c>
      <c r="Y354" s="198">
        <f>-INDEX(Parameters!$B:$B,MATCH(Y$3&amp;$C354,Parameters!$A:$A,0))*$X354</f>
        <v>0</v>
      </c>
      <c r="Z354" s="198">
        <f>-INDEX(Parameters!$B:$B,MATCH(Z$3&amp;$C354,Parameters!$A:$A,0))*$X354</f>
        <v>0</v>
      </c>
      <c r="AA354" s="139">
        <f t="shared" si="195"/>
        <v>1000</v>
      </c>
      <c r="AB354" s="205">
        <f>AA354/INDEX(Parameters!$B:$B,MATCH("AfschrijftermijnVVE"&amp;12*$C354,Parameters!$A:$A,0))</f>
        <v>20.833333333333332</v>
      </c>
      <c r="AC354" s="204">
        <f>INDEX('Tarieven ZM'!$G:$G,$W354)</f>
        <v>1000</v>
      </c>
      <c r="AD354" s="198">
        <f>-INDEX(Parameters!$B:$B,MATCH(AD$3&amp;$C354,Parameters!$A:$A,0))*$AC354</f>
        <v>0</v>
      </c>
      <c r="AE354" s="198">
        <f>-INDEX(Parameters!$B:$B,MATCH(AE$3,Parameters!$A:$A,0))*$AC354</f>
        <v>0</v>
      </c>
      <c r="AF354" s="139">
        <f t="shared" si="196"/>
        <v>1000</v>
      </c>
      <c r="AG354" s="522">
        <f t="shared" si="197"/>
        <v>1020.8333333333334</v>
      </c>
      <c r="AH354" s="175"/>
      <c r="AI354" s="523">
        <f>MATCH($U354,'Tarieven W&amp;O'!$B:$B,0)</f>
        <v>44</v>
      </c>
      <c r="AJ354" s="204">
        <f>IF(AI354&lt;&gt;"nvt",INDEX('Tarieven W&amp;O'!$H:$H,$AI354),0)</f>
        <v>0</v>
      </c>
      <c r="AK354" s="204">
        <f>IF(AI354&lt;&gt;"nvt",INDEX('Tarieven W&amp;O'!$I:$I,$AI354),0)</f>
        <v>25</v>
      </c>
      <c r="AL354" s="524">
        <f>IF(AI354&lt;&gt;"nvt",-INDEX(Parameters!$B:$B,MATCH(AL$3,Parameters!$A:$A,0))*(AJ354+AK354),0)</f>
        <v>0</v>
      </c>
      <c r="AM354" s="525"/>
      <c r="AN354" s="139">
        <f t="shared" si="198"/>
        <v>25</v>
      </c>
      <c r="AO354" s="205">
        <f>AN354/INDEX(Parameters!$B:$B,MATCH("AfschrijftermijnVVE"&amp;12*$C354,Parameters!$A:$A,0))</f>
        <v>0.52083333333333337</v>
      </c>
      <c r="AP354" s="139">
        <f t="shared" si="199"/>
        <v>44</v>
      </c>
      <c r="AQ354" s="526">
        <f>IF(AP354&lt;&gt;"nvt",INDEX('Tarieven W&amp;O'!$G:$G,$AP354),0)</f>
        <v>22.24</v>
      </c>
      <c r="AR354" s="251">
        <f>IF($S354,INDEX('Tarieven W&amp;O'!$G:$G,MATCH(N354&amp;R354,'Tarieven W&amp;O'!$B:$B,0)),0)</f>
        <v>0</v>
      </c>
      <c r="AS354" s="205">
        <f>-INDEX(Parameters!$B:$B,MATCH(AS$3,Parameters!$A:$A,0))*(AQ354+AR354)</f>
        <v>0</v>
      </c>
      <c r="AT354" s="205">
        <f>INDEX(hulpblad!$E:$E,MATCH(M354&amp;Q354,hulpblad!$B:$B,0))</f>
        <v>1</v>
      </c>
      <c r="AU354" s="150">
        <f t="shared" si="200"/>
        <v>23.24</v>
      </c>
      <c r="AV354" s="150">
        <f t="shared" si="201"/>
        <v>23.760833333333331</v>
      </c>
      <c r="AX354" s="526">
        <f>Parameters!$B$6*AV354</f>
        <v>0.23760833333333331</v>
      </c>
      <c r="AY354" s="150">
        <v>0</v>
      </c>
      <c r="AZ354" s="150"/>
      <c r="BA354" s="150">
        <f t="shared" si="202"/>
        <v>0.23760833333333331</v>
      </c>
      <c r="BB354" s="150"/>
      <c r="BC354" s="522">
        <f t="shared" si="203"/>
        <v>23.998441666666665</v>
      </c>
      <c r="BD354" s="175"/>
      <c r="BE354" s="527">
        <f t="shared" si="204"/>
        <v>996.83489166666675</v>
      </c>
      <c r="BF354" s="181">
        <f t="shared" si="205"/>
        <v>0.97649132244897963</v>
      </c>
      <c r="BG354" s="520" t="b">
        <f t="shared" si="206"/>
        <v>0</v>
      </c>
      <c r="BI354" s="528" t="s">
        <v>2181</v>
      </c>
      <c r="BL354" s="151" t="str">
        <f t="shared" si="207"/>
        <v>EoKMetro - Regionaal</v>
      </c>
      <c r="BM354" s="529">
        <v>0</v>
      </c>
      <c r="BN354" s="180">
        <f>BM354/INDEX(Parameters!$B:$B,MATCH("AfschrijftermijnVVE"&amp;12*$C354,Parameters!$A:$A,0))</f>
        <v>0</v>
      </c>
      <c r="BO354" s="184">
        <f>INDEX('inkoop ULL tbv EVPN'!I:I,MATCH(BL354,'inkoop ULL tbv EVPN'!H:H,0))</f>
        <v>2</v>
      </c>
      <c r="BP354" s="184">
        <f t="shared" si="208"/>
        <v>2</v>
      </c>
      <c r="BR354" s="180">
        <f>Parameters!$B$12*AG354</f>
        <v>102.08333333333334</v>
      </c>
      <c r="BS354" s="180">
        <f>SUM(Distributievergoedingen!$F$12,Distributievergoedingen!$I$12,Distributievergoedingen!$L$12,Distributievergoedingen!$O$12)*AF354+SUM(Distributievergoedingen!$O$12*AA354+Distributievergoedingen!$R$12+Distributievergoedingen!$U$12+Distributievergoedingen!$X$12)/(MAX(36,12*C354))</f>
        <v>112.08333333333333</v>
      </c>
      <c r="BT354" s="150"/>
      <c r="BU354" s="150">
        <f t="shared" si="209"/>
        <v>214.16666666666669</v>
      </c>
      <c r="BW354" s="522">
        <f t="shared" si="210"/>
        <v>216.16666666666669</v>
      </c>
      <c r="BY354" s="527">
        <f t="shared" si="211"/>
        <v>804.66666666666674</v>
      </c>
      <c r="BZ354" s="181">
        <f t="shared" si="212"/>
        <v>0.78824489795918373</v>
      </c>
      <c r="CA354" s="520" t="b">
        <f t="shared" si="213"/>
        <v>0</v>
      </c>
    </row>
    <row r="355" spans="1:79" s="151" customFormat="1">
      <c r="A355" s="151" t="str">
        <f t="shared" si="192"/>
        <v>4EoKEntryCity20</v>
      </c>
      <c r="B355" s="520" t="str">
        <f t="shared" si="214"/>
        <v>4EoKEntryCity20</v>
      </c>
      <c r="C355" s="179">
        <v>4</v>
      </c>
      <c r="D355" s="179" t="s">
        <v>303</v>
      </c>
      <c r="E355" s="178" t="s">
        <v>45</v>
      </c>
      <c r="F355" s="178" t="s">
        <v>262</v>
      </c>
      <c r="G355" s="185" t="s">
        <v>414</v>
      </c>
      <c r="J355" s="520" t="str">
        <f t="shared" si="193"/>
        <v>EntryCity20</v>
      </c>
      <c r="L355" s="204">
        <f>INDEX(Mapping!$H:$H,MATCH(C$3&amp;C355,Mapping!$B:$B,0))</f>
        <v>1</v>
      </c>
      <c r="M355" s="204" t="str">
        <f>INDEX(Mapping!$H:$H,MATCH(D$3&amp;$D355,Mapping!$B:$B,0))</f>
        <v>EoK</v>
      </c>
      <c r="N355" s="204" t="str">
        <f>INDEX(Mapping!$H:$H,MATCH(E$3&amp;E355,Mapping!$B:$B,0))</f>
        <v>Lite</v>
      </c>
      <c r="O355" s="204" t="str">
        <f>INDEX(Mapping!$H:$H,MATCH(F$3&amp;F355,Mapping!$B:$B,0))</f>
        <v>Metro</v>
      </c>
      <c r="P355" s="204">
        <f>INDEX(Mapping!$H:$H,MATCH(G$3&amp;G355,Mapping!$B:$B,0))</f>
        <v>20</v>
      </c>
      <c r="Q355" s="204" t="str">
        <f>INDEX(Mapping!$H:$H,MATCH(Q$3&amp;$F355,Mapping!$B:$B,0))</f>
        <v>Metro - Regionaal</v>
      </c>
      <c r="R355" s="204" t="str">
        <f>INDEX(Mapping!$H:$H,MATCH("ZM VPN Service Level"&amp;E355,Mapping!$B:$B,0))</f>
        <v>Advanced</v>
      </c>
      <c r="S355" s="139" t="b">
        <f>IF($D355="EoK",INDEX(Mapping!$I:$I,MATCH($G$3&amp;$G355,Mapping!B:B,0)),FALSE)</f>
        <v>0</v>
      </c>
      <c r="T355" s="139"/>
      <c r="U355" s="520" t="str">
        <f t="shared" si="194"/>
        <v>LiteMetro20</v>
      </c>
      <c r="W355" s="521">
        <f>MATCH($J355,'Tarieven ZM'!$B:$B,0)</f>
        <v>17</v>
      </c>
      <c r="X355" s="204">
        <f>INDEX('Tarieven ZM'!$H:$H,$W355)</f>
        <v>1000</v>
      </c>
      <c r="Y355" s="198">
        <f>-INDEX(Parameters!$B:$B,MATCH(Y$3&amp;$C355,Parameters!$A:$A,0))*$X355</f>
        <v>0</v>
      </c>
      <c r="Z355" s="198">
        <f>-INDEX(Parameters!$B:$B,MATCH(Z$3&amp;$C355,Parameters!$A:$A,0))*$X355</f>
        <v>0</v>
      </c>
      <c r="AA355" s="139">
        <f t="shared" si="195"/>
        <v>1000</v>
      </c>
      <c r="AB355" s="205">
        <f>AA355/INDEX(Parameters!$B:$B,MATCH("AfschrijftermijnVVE"&amp;12*$C355,Parameters!$A:$A,0))</f>
        <v>20.833333333333332</v>
      </c>
      <c r="AC355" s="204">
        <f>INDEX('Tarieven ZM'!$G:$G,$W355)</f>
        <v>1000</v>
      </c>
      <c r="AD355" s="198">
        <f>-INDEX(Parameters!$B:$B,MATCH(AD$3&amp;$C355,Parameters!$A:$A,0))*$AC355</f>
        <v>0</v>
      </c>
      <c r="AE355" s="198">
        <f>-INDEX(Parameters!$B:$B,MATCH(AE$3,Parameters!$A:$A,0))*$AC355</f>
        <v>0</v>
      </c>
      <c r="AF355" s="139">
        <f t="shared" si="196"/>
        <v>1000</v>
      </c>
      <c r="AG355" s="522">
        <f t="shared" si="197"/>
        <v>1020.8333333333334</v>
      </c>
      <c r="AH355" s="175"/>
      <c r="AI355" s="523">
        <f>MATCH($U355,'Tarieven W&amp;O'!$B:$B,0)</f>
        <v>45</v>
      </c>
      <c r="AJ355" s="204">
        <f>IF(AI355&lt;&gt;"nvt",INDEX('Tarieven W&amp;O'!$H:$H,$AI355),0)</f>
        <v>0</v>
      </c>
      <c r="AK355" s="204">
        <f>IF(AI355&lt;&gt;"nvt",INDEX('Tarieven W&amp;O'!$I:$I,$AI355),0)</f>
        <v>25</v>
      </c>
      <c r="AL355" s="524">
        <f>IF(AI355&lt;&gt;"nvt",-INDEX(Parameters!$B:$B,MATCH(AL$3,Parameters!$A:$A,0))*(AJ355+AK355),0)</f>
        <v>0</v>
      </c>
      <c r="AM355" s="525"/>
      <c r="AN355" s="139">
        <f t="shared" si="198"/>
        <v>25</v>
      </c>
      <c r="AO355" s="205">
        <f>AN355/INDEX(Parameters!$B:$B,MATCH("AfschrijftermijnVVE"&amp;12*$C355,Parameters!$A:$A,0))</f>
        <v>0.52083333333333337</v>
      </c>
      <c r="AP355" s="139">
        <f t="shared" si="199"/>
        <v>45</v>
      </c>
      <c r="AQ355" s="526">
        <f>IF(AP355&lt;&gt;"nvt",INDEX('Tarieven W&amp;O'!$G:$G,$AP355),0)</f>
        <v>29.78</v>
      </c>
      <c r="AR355" s="251">
        <f>IF($S355,INDEX('Tarieven W&amp;O'!$G:$G,MATCH(N355&amp;R355,'Tarieven W&amp;O'!$B:$B,0)),0)</f>
        <v>0</v>
      </c>
      <c r="AS355" s="205">
        <f>-INDEX(Parameters!$B:$B,MATCH(AS$3,Parameters!$A:$A,0))*(AQ355+AR355)</f>
        <v>0</v>
      </c>
      <c r="AT355" s="205">
        <f>INDEX(hulpblad!$E:$E,MATCH(M355&amp;Q355,hulpblad!$B:$B,0))</f>
        <v>1</v>
      </c>
      <c r="AU355" s="150">
        <f t="shared" si="200"/>
        <v>30.78</v>
      </c>
      <c r="AV355" s="150">
        <f t="shared" si="201"/>
        <v>31.300833333333333</v>
      </c>
      <c r="AX355" s="526">
        <f>Parameters!$B$6*AV355</f>
        <v>0.31300833333333333</v>
      </c>
      <c r="AY355" s="150">
        <v>0</v>
      </c>
      <c r="AZ355" s="150"/>
      <c r="BA355" s="150">
        <f t="shared" si="202"/>
        <v>0.31300833333333333</v>
      </c>
      <c r="BB355" s="150"/>
      <c r="BC355" s="522">
        <f t="shared" si="203"/>
        <v>31.613841666666666</v>
      </c>
      <c r="BD355" s="175"/>
      <c r="BE355" s="527">
        <f t="shared" si="204"/>
        <v>989.21949166666673</v>
      </c>
      <c r="BF355" s="181">
        <f t="shared" si="205"/>
        <v>0.96903133877551018</v>
      </c>
      <c r="BG355" s="520" t="b">
        <f t="shared" si="206"/>
        <v>0</v>
      </c>
      <c r="BI355" s="528" t="s">
        <v>2181</v>
      </c>
      <c r="BL355" s="151" t="str">
        <f t="shared" si="207"/>
        <v>EoKMetro - Regionaal</v>
      </c>
      <c r="BM355" s="529">
        <v>0</v>
      </c>
      <c r="BN355" s="180">
        <f>BM355/INDEX(Parameters!$B:$B,MATCH("AfschrijftermijnVVE"&amp;12*$C355,Parameters!$A:$A,0))</f>
        <v>0</v>
      </c>
      <c r="BO355" s="184">
        <f>INDEX('inkoop ULL tbv EVPN'!I:I,MATCH(BL355,'inkoop ULL tbv EVPN'!H:H,0))</f>
        <v>2</v>
      </c>
      <c r="BP355" s="184">
        <f t="shared" si="208"/>
        <v>2</v>
      </c>
      <c r="BR355" s="180">
        <f>Parameters!$B$12*AG355</f>
        <v>102.08333333333334</v>
      </c>
      <c r="BS355" s="180">
        <f>SUM(Distributievergoedingen!$F$12,Distributievergoedingen!$I$12,Distributievergoedingen!$L$12,Distributievergoedingen!$O$12)*AF355+SUM(Distributievergoedingen!$O$12*AA355+Distributievergoedingen!$R$12+Distributievergoedingen!$U$12+Distributievergoedingen!$X$12)/(MAX(36,12*C355))</f>
        <v>112.08333333333333</v>
      </c>
      <c r="BT355" s="150"/>
      <c r="BU355" s="150">
        <f t="shared" si="209"/>
        <v>214.16666666666669</v>
      </c>
      <c r="BW355" s="522">
        <f t="shared" si="210"/>
        <v>216.16666666666669</v>
      </c>
      <c r="BY355" s="527">
        <f t="shared" si="211"/>
        <v>804.66666666666674</v>
      </c>
      <c r="BZ355" s="181">
        <f t="shared" si="212"/>
        <v>0.78824489795918373</v>
      </c>
      <c r="CA355" s="520" t="b">
        <f t="shared" si="213"/>
        <v>0</v>
      </c>
    </row>
    <row r="356" spans="1:79" s="151" customFormat="1">
      <c r="A356" s="151" t="str">
        <f t="shared" si="192"/>
        <v>4EoKEntryCity30</v>
      </c>
      <c r="B356" s="520" t="str">
        <f t="shared" si="214"/>
        <v>4EoKEntryCity30</v>
      </c>
      <c r="C356" s="179">
        <v>4</v>
      </c>
      <c r="D356" s="179" t="s">
        <v>303</v>
      </c>
      <c r="E356" s="178" t="s">
        <v>45</v>
      </c>
      <c r="F356" s="178" t="s">
        <v>262</v>
      </c>
      <c r="G356" s="185" t="s">
        <v>415</v>
      </c>
      <c r="J356" s="520" t="str">
        <f t="shared" si="193"/>
        <v>EntryCity30</v>
      </c>
      <c r="L356" s="204">
        <f>INDEX(Mapping!$H:$H,MATCH(C$3&amp;C356,Mapping!$B:$B,0))</f>
        <v>1</v>
      </c>
      <c r="M356" s="204" t="str">
        <f>INDEX(Mapping!$H:$H,MATCH(D$3&amp;$D356,Mapping!$B:$B,0))</f>
        <v>EoK</v>
      </c>
      <c r="N356" s="204" t="str">
        <f>INDEX(Mapping!$H:$H,MATCH(E$3&amp;E356,Mapping!$B:$B,0))</f>
        <v>Lite</v>
      </c>
      <c r="O356" s="204" t="str">
        <f>INDEX(Mapping!$H:$H,MATCH(F$3&amp;F356,Mapping!$B:$B,0))</f>
        <v>Metro</v>
      </c>
      <c r="P356" s="204">
        <f>INDEX(Mapping!$H:$H,MATCH(G$3&amp;G356,Mapping!$B:$B,0))</f>
        <v>30</v>
      </c>
      <c r="Q356" s="204" t="str">
        <f>INDEX(Mapping!$H:$H,MATCH(Q$3&amp;$F356,Mapping!$B:$B,0))</f>
        <v>Metro - Regionaal</v>
      </c>
      <c r="R356" s="204" t="str">
        <f>INDEX(Mapping!$H:$H,MATCH("ZM VPN Service Level"&amp;E356,Mapping!$B:$B,0))</f>
        <v>Advanced</v>
      </c>
      <c r="S356" s="139" t="b">
        <f>IF($D356="EoK",INDEX(Mapping!$I:$I,MATCH($G$3&amp;$G356,Mapping!B:B,0)),FALSE)</f>
        <v>0</v>
      </c>
      <c r="T356" s="139"/>
      <c r="U356" s="520" t="str">
        <f t="shared" si="194"/>
        <v>LiteMetro30</v>
      </c>
      <c r="W356" s="521">
        <f>MATCH($J356,'Tarieven ZM'!$B:$B,0)</f>
        <v>18</v>
      </c>
      <c r="X356" s="204">
        <f>INDEX('Tarieven ZM'!$H:$H,$W356)</f>
        <v>1000</v>
      </c>
      <c r="Y356" s="198">
        <f>-INDEX(Parameters!$B:$B,MATCH(Y$3&amp;$C356,Parameters!$A:$A,0))*$X356</f>
        <v>0</v>
      </c>
      <c r="Z356" s="198">
        <f>-INDEX(Parameters!$B:$B,MATCH(Z$3&amp;$C356,Parameters!$A:$A,0))*$X356</f>
        <v>0</v>
      </c>
      <c r="AA356" s="139">
        <f t="shared" si="195"/>
        <v>1000</v>
      </c>
      <c r="AB356" s="205">
        <f>AA356/INDEX(Parameters!$B:$B,MATCH("AfschrijftermijnVVE"&amp;12*$C356,Parameters!$A:$A,0))</f>
        <v>20.833333333333332</v>
      </c>
      <c r="AC356" s="204">
        <f>INDEX('Tarieven ZM'!$G:$G,$W356)</f>
        <v>1000</v>
      </c>
      <c r="AD356" s="198">
        <f>-INDEX(Parameters!$B:$B,MATCH(AD$3&amp;$C356,Parameters!$A:$A,0))*$AC356</f>
        <v>0</v>
      </c>
      <c r="AE356" s="198">
        <f>-INDEX(Parameters!$B:$B,MATCH(AE$3,Parameters!$A:$A,0))*$AC356</f>
        <v>0</v>
      </c>
      <c r="AF356" s="139">
        <f t="shared" si="196"/>
        <v>1000</v>
      </c>
      <c r="AG356" s="522">
        <f t="shared" si="197"/>
        <v>1020.8333333333334</v>
      </c>
      <c r="AH356" s="175"/>
      <c r="AI356" s="523">
        <f>MATCH($U356,'Tarieven W&amp;O'!$B:$B,0)</f>
        <v>46</v>
      </c>
      <c r="AJ356" s="204">
        <f>IF(AI356&lt;&gt;"nvt",INDEX('Tarieven W&amp;O'!$H:$H,$AI356),0)</f>
        <v>0</v>
      </c>
      <c r="AK356" s="204">
        <f>IF(AI356&lt;&gt;"nvt",INDEX('Tarieven W&amp;O'!$I:$I,$AI356),0)</f>
        <v>25</v>
      </c>
      <c r="AL356" s="524">
        <f>IF(AI356&lt;&gt;"nvt",-INDEX(Parameters!$B:$B,MATCH(AL$3,Parameters!$A:$A,0))*(AJ356+AK356),0)</f>
        <v>0</v>
      </c>
      <c r="AM356" s="525"/>
      <c r="AN356" s="139">
        <f t="shared" si="198"/>
        <v>25</v>
      </c>
      <c r="AO356" s="205">
        <f>AN356/INDEX(Parameters!$B:$B,MATCH("AfschrijftermijnVVE"&amp;12*$C356,Parameters!$A:$A,0))</f>
        <v>0.52083333333333337</v>
      </c>
      <c r="AP356" s="139">
        <f t="shared" si="199"/>
        <v>46</v>
      </c>
      <c r="AQ356" s="526">
        <f>IF(AP356&lt;&gt;"nvt",INDEX('Tarieven W&amp;O'!$G:$G,$AP356),0)</f>
        <v>33.54</v>
      </c>
      <c r="AR356" s="251">
        <f>IF($S356,INDEX('Tarieven W&amp;O'!$G:$G,MATCH(N356&amp;R356,'Tarieven W&amp;O'!$B:$B,0)),0)</f>
        <v>0</v>
      </c>
      <c r="AS356" s="205">
        <f>-INDEX(Parameters!$B:$B,MATCH(AS$3,Parameters!$A:$A,0))*(AQ356+AR356)</f>
        <v>0</v>
      </c>
      <c r="AT356" s="205">
        <f>INDEX(hulpblad!$E:$E,MATCH(M356&amp;Q356,hulpblad!$B:$B,0))</f>
        <v>1</v>
      </c>
      <c r="AU356" s="150">
        <f t="shared" si="200"/>
        <v>34.54</v>
      </c>
      <c r="AV356" s="150">
        <f t="shared" si="201"/>
        <v>35.060833333333335</v>
      </c>
      <c r="AX356" s="526">
        <f>Parameters!$B$6*AV356</f>
        <v>0.35060833333333336</v>
      </c>
      <c r="AY356" s="150">
        <v>0</v>
      </c>
      <c r="AZ356" s="150"/>
      <c r="BA356" s="150">
        <f t="shared" si="202"/>
        <v>0.35060833333333336</v>
      </c>
      <c r="BB356" s="150"/>
      <c r="BC356" s="522">
        <f t="shared" si="203"/>
        <v>35.411441666666668</v>
      </c>
      <c r="BD356" s="175"/>
      <c r="BE356" s="527">
        <f t="shared" si="204"/>
        <v>985.42189166666674</v>
      </c>
      <c r="BF356" s="181">
        <f t="shared" si="205"/>
        <v>0.96531124081632658</v>
      </c>
      <c r="BG356" s="520" t="b">
        <f t="shared" si="206"/>
        <v>0</v>
      </c>
      <c r="BI356" s="528" t="s">
        <v>2181</v>
      </c>
      <c r="BL356" s="151" t="str">
        <f t="shared" si="207"/>
        <v>EoKMetro - Regionaal</v>
      </c>
      <c r="BM356" s="529">
        <v>0</v>
      </c>
      <c r="BN356" s="180">
        <f>BM356/INDEX(Parameters!$B:$B,MATCH("AfschrijftermijnVVE"&amp;12*$C356,Parameters!$A:$A,0))</f>
        <v>0</v>
      </c>
      <c r="BO356" s="184">
        <f>INDEX('inkoop ULL tbv EVPN'!I:I,MATCH(BL356,'inkoop ULL tbv EVPN'!H:H,0))</f>
        <v>2</v>
      </c>
      <c r="BP356" s="184">
        <f t="shared" si="208"/>
        <v>2</v>
      </c>
      <c r="BR356" s="180">
        <f>Parameters!$B$12*AG356</f>
        <v>102.08333333333334</v>
      </c>
      <c r="BS356" s="180">
        <f>SUM(Distributievergoedingen!$F$12,Distributievergoedingen!$I$12,Distributievergoedingen!$L$12,Distributievergoedingen!$O$12)*AF356+SUM(Distributievergoedingen!$O$12*AA356+Distributievergoedingen!$R$12+Distributievergoedingen!$U$12+Distributievergoedingen!$X$12)/(MAX(36,12*C356))</f>
        <v>112.08333333333333</v>
      </c>
      <c r="BT356" s="150"/>
      <c r="BU356" s="150">
        <f t="shared" si="209"/>
        <v>214.16666666666669</v>
      </c>
      <c r="BW356" s="522">
        <f t="shared" si="210"/>
        <v>216.16666666666669</v>
      </c>
      <c r="BY356" s="527">
        <f t="shared" si="211"/>
        <v>804.66666666666674</v>
      </c>
      <c r="BZ356" s="181">
        <f t="shared" si="212"/>
        <v>0.78824489795918373</v>
      </c>
      <c r="CA356" s="520" t="b">
        <f t="shared" si="213"/>
        <v>0</v>
      </c>
    </row>
    <row r="357" spans="1:79" s="151" customFormat="1">
      <c r="A357" s="151" t="str">
        <f t="shared" si="192"/>
        <v>4EoKEntryCity50</v>
      </c>
      <c r="B357" s="520" t="str">
        <f t="shared" si="214"/>
        <v>4EoKEntryCity50</v>
      </c>
      <c r="C357" s="179">
        <v>4</v>
      </c>
      <c r="D357" s="179" t="s">
        <v>303</v>
      </c>
      <c r="E357" s="178" t="s">
        <v>45</v>
      </c>
      <c r="F357" s="178" t="s">
        <v>262</v>
      </c>
      <c r="G357" s="185" t="s">
        <v>416</v>
      </c>
      <c r="J357" s="520" t="str">
        <f t="shared" si="193"/>
        <v>EntryCity50</v>
      </c>
      <c r="L357" s="204">
        <f>INDEX(Mapping!$H:$H,MATCH(C$3&amp;C357,Mapping!$B:$B,0))</f>
        <v>1</v>
      </c>
      <c r="M357" s="204" t="str">
        <f>INDEX(Mapping!$H:$H,MATCH(D$3&amp;$D357,Mapping!$B:$B,0))</f>
        <v>EoK</v>
      </c>
      <c r="N357" s="204" t="str">
        <f>INDEX(Mapping!$H:$H,MATCH(E$3&amp;E357,Mapping!$B:$B,0))</f>
        <v>Lite</v>
      </c>
      <c r="O357" s="204" t="str">
        <f>INDEX(Mapping!$H:$H,MATCH(F$3&amp;F357,Mapping!$B:$B,0))</f>
        <v>Metro</v>
      </c>
      <c r="P357" s="204">
        <f>INDEX(Mapping!$H:$H,MATCH(G$3&amp;G357,Mapping!$B:$B,0))</f>
        <v>50</v>
      </c>
      <c r="Q357" s="204" t="str">
        <f>INDEX(Mapping!$H:$H,MATCH(Q$3&amp;$F357,Mapping!$B:$B,0))</f>
        <v>Metro - Regionaal</v>
      </c>
      <c r="R357" s="204" t="str">
        <f>INDEX(Mapping!$H:$H,MATCH("ZM VPN Service Level"&amp;E357,Mapping!$B:$B,0))</f>
        <v>Advanced</v>
      </c>
      <c r="S357" s="139" t="b">
        <f>IF($D357="EoK",INDEX(Mapping!$I:$I,MATCH($G$3&amp;$G357,Mapping!B:B,0)),FALSE)</f>
        <v>0</v>
      </c>
      <c r="T357" s="139"/>
      <c r="U357" s="520" t="str">
        <f t="shared" si="194"/>
        <v>LiteMetro50</v>
      </c>
      <c r="W357" s="521">
        <f>MATCH($J357,'Tarieven ZM'!$B:$B,0)</f>
        <v>19</v>
      </c>
      <c r="X357" s="204">
        <f>INDEX('Tarieven ZM'!$H:$H,$W357)</f>
        <v>1000</v>
      </c>
      <c r="Y357" s="198">
        <f>-INDEX(Parameters!$B:$B,MATCH(Y$3&amp;$C357,Parameters!$A:$A,0))*$X357</f>
        <v>0</v>
      </c>
      <c r="Z357" s="198">
        <f>-INDEX(Parameters!$B:$B,MATCH(Z$3&amp;$C357,Parameters!$A:$A,0))*$X357</f>
        <v>0</v>
      </c>
      <c r="AA357" s="139">
        <f t="shared" si="195"/>
        <v>1000</v>
      </c>
      <c r="AB357" s="205">
        <f>AA357/INDEX(Parameters!$B:$B,MATCH("AfschrijftermijnVVE"&amp;12*$C357,Parameters!$A:$A,0))</f>
        <v>20.833333333333332</v>
      </c>
      <c r="AC357" s="204">
        <f>INDEX('Tarieven ZM'!$G:$G,$W357)</f>
        <v>1000</v>
      </c>
      <c r="AD357" s="198">
        <f>-INDEX(Parameters!$B:$B,MATCH(AD$3&amp;$C357,Parameters!$A:$A,0))*$AC357</f>
        <v>0</v>
      </c>
      <c r="AE357" s="198">
        <f>-INDEX(Parameters!$B:$B,MATCH(AE$3,Parameters!$A:$A,0))*$AC357</f>
        <v>0</v>
      </c>
      <c r="AF357" s="139">
        <f t="shared" si="196"/>
        <v>1000</v>
      </c>
      <c r="AG357" s="522">
        <f t="shared" si="197"/>
        <v>1020.8333333333334</v>
      </c>
      <c r="AH357" s="175"/>
      <c r="AI357" s="523">
        <f>MATCH($U357,'Tarieven W&amp;O'!$B:$B,0)</f>
        <v>47</v>
      </c>
      <c r="AJ357" s="204">
        <f>IF(AI357&lt;&gt;"nvt",INDEX('Tarieven W&amp;O'!$H:$H,$AI357),0)</f>
        <v>0</v>
      </c>
      <c r="AK357" s="204">
        <f>IF(AI357&lt;&gt;"nvt",INDEX('Tarieven W&amp;O'!$I:$I,$AI357),0)</f>
        <v>25</v>
      </c>
      <c r="AL357" s="524">
        <f>IF(AI357&lt;&gt;"nvt",-INDEX(Parameters!$B:$B,MATCH(AL$3,Parameters!$A:$A,0))*(AJ357+AK357),0)</f>
        <v>0</v>
      </c>
      <c r="AM357" s="525"/>
      <c r="AN357" s="139">
        <f t="shared" si="198"/>
        <v>25</v>
      </c>
      <c r="AO357" s="205">
        <f>AN357/INDEX(Parameters!$B:$B,MATCH("AfschrijftermijnVVE"&amp;12*$C357,Parameters!$A:$A,0))</f>
        <v>0.52083333333333337</v>
      </c>
      <c r="AP357" s="139">
        <f t="shared" si="199"/>
        <v>47</v>
      </c>
      <c r="AQ357" s="526">
        <f>IF(AP357&lt;&gt;"nvt",INDEX('Tarieven W&amp;O'!$G:$G,$AP357),0)</f>
        <v>48.62</v>
      </c>
      <c r="AR357" s="251">
        <f>IF($S357,INDEX('Tarieven W&amp;O'!$G:$G,MATCH(N357&amp;R357,'Tarieven W&amp;O'!$B:$B,0)),0)</f>
        <v>0</v>
      </c>
      <c r="AS357" s="205">
        <f>-INDEX(Parameters!$B:$B,MATCH(AS$3,Parameters!$A:$A,0))*(AQ357+AR357)</f>
        <v>0</v>
      </c>
      <c r="AT357" s="205">
        <f>INDEX(hulpblad!$E:$E,MATCH(M357&amp;Q357,hulpblad!$B:$B,0))</f>
        <v>1</v>
      </c>
      <c r="AU357" s="150">
        <f t="shared" si="200"/>
        <v>49.62</v>
      </c>
      <c r="AV357" s="150">
        <f t="shared" si="201"/>
        <v>50.140833333333333</v>
      </c>
      <c r="AX357" s="526">
        <f>Parameters!$B$6*AV357</f>
        <v>0.50140833333333334</v>
      </c>
      <c r="AY357" s="150">
        <v>0</v>
      </c>
      <c r="AZ357" s="150"/>
      <c r="BA357" s="150">
        <f t="shared" si="202"/>
        <v>0.50140833333333334</v>
      </c>
      <c r="BB357" s="150"/>
      <c r="BC357" s="522">
        <f t="shared" si="203"/>
        <v>50.642241666666663</v>
      </c>
      <c r="BD357" s="175"/>
      <c r="BE357" s="527">
        <f t="shared" si="204"/>
        <v>970.19109166666669</v>
      </c>
      <c r="BF357" s="181">
        <f t="shared" si="205"/>
        <v>0.95039127346938779</v>
      </c>
      <c r="BG357" s="520" t="b">
        <f t="shared" si="206"/>
        <v>0</v>
      </c>
      <c r="BI357" s="528" t="s">
        <v>2181</v>
      </c>
      <c r="BL357" s="151" t="str">
        <f t="shared" si="207"/>
        <v>EoKMetro - Regionaal</v>
      </c>
      <c r="BM357" s="529">
        <v>0</v>
      </c>
      <c r="BN357" s="180">
        <f>BM357/INDEX(Parameters!$B:$B,MATCH("AfschrijftermijnVVE"&amp;12*$C357,Parameters!$A:$A,0))</f>
        <v>0</v>
      </c>
      <c r="BO357" s="184">
        <f>INDEX('inkoop ULL tbv EVPN'!I:I,MATCH(BL357,'inkoop ULL tbv EVPN'!H:H,0))</f>
        <v>2</v>
      </c>
      <c r="BP357" s="184">
        <f t="shared" si="208"/>
        <v>2</v>
      </c>
      <c r="BR357" s="180">
        <f>Parameters!$B$12*AG357</f>
        <v>102.08333333333334</v>
      </c>
      <c r="BS357" s="180">
        <f>SUM(Distributievergoedingen!$F$12,Distributievergoedingen!$I$12,Distributievergoedingen!$L$12,Distributievergoedingen!$O$12)*AF357+SUM(Distributievergoedingen!$O$12*AA357+Distributievergoedingen!$R$12+Distributievergoedingen!$U$12+Distributievergoedingen!$X$12)/(MAX(36,12*C357))</f>
        <v>112.08333333333333</v>
      </c>
      <c r="BT357" s="150"/>
      <c r="BU357" s="150">
        <f t="shared" si="209"/>
        <v>214.16666666666669</v>
      </c>
      <c r="BW357" s="522">
        <f t="shared" si="210"/>
        <v>216.16666666666669</v>
      </c>
      <c r="BY357" s="527">
        <f t="shared" si="211"/>
        <v>804.66666666666674</v>
      </c>
      <c r="BZ357" s="181">
        <f t="shared" si="212"/>
        <v>0.78824489795918373</v>
      </c>
      <c r="CA357" s="520" t="b">
        <f t="shared" si="213"/>
        <v>0</v>
      </c>
    </row>
    <row r="358" spans="1:79" s="151" customFormat="1">
      <c r="A358" s="151" t="str">
        <f t="shared" si="192"/>
        <v>4EoKEntryCity80</v>
      </c>
      <c r="B358" s="520" t="str">
        <f t="shared" si="214"/>
        <v>4EoKEntryCity80</v>
      </c>
      <c r="C358" s="179">
        <v>4</v>
      </c>
      <c r="D358" s="179" t="s">
        <v>303</v>
      </c>
      <c r="E358" s="178" t="s">
        <v>45</v>
      </c>
      <c r="F358" s="178" t="s">
        <v>262</v>
      </c>
      <c r="G358" s="185" t="s">
        <v>417</v>
      </c>
      <c r="J358" s="520" t="str">
        <f t="shared" si="193"/>
        <v>EntryCity80</v>
      </c>
      <c r="L358" s="204">
        <f>INDEX(Mapping!$H:$H,MATCH(C$3&amp;C358,Mapping!$B:$B,0))</f>
        <v>1</v>
      </c>
      <c r="M358" s="204" t="str">
        <f>INDEX(Mapping!$H:$H,MATCH(D$3&amp;$D358,Mapping!$B:$B,0))</f>
        <v>EoK</v>
      </c>
      <c r="N358" s="204" t="str">
        <f>INDEX(Mapping!$H:$H,MATCH(E$3&amp;E358,Mapping!$B:$B,0))</f>
        <v>Lite</v>
      </c>
      <c r="O358" s="204" t="str">
        <f>INDEX(Mapping!$H:$H,MATCH(F$3&amp;F358,Mapping!$B:$B,0))</f>
        <v>Metro</v>
      </c>
      <c r="P358" s="204">
        <f>INDEX(Mapping!$H:$H,MATCH(G$3&amp;G358,Mapping!$B:$B,0))</f>
        <v>80</v>
      </c>
      <c r="Q358" s="204" t="str">
        <f>INDEX(Mapping!$H:$H,MATCH(Q$3&amp;$F358,Mapping!$B:$B,0))</f>
        <v>Metro - Regionaal</v>
      </c>
      <c r="R358" s="204" t="str">
        <f>INDEX(Mapping!$H:$H,MATCH("ZM VPN Service Level"&amp;E358,Mapping!$B:$B,0))</f>
        <v>Advanced</v>
      </c>
      <c r="S358" s="139" t="b">
        <f>IF($D358="EoK",INDEX(Mapping!$I:$I,MATCH($G$3&amp;$G358,Mapping!B:B,0)),FALSE)</f>
        <v>0</v>
      </c>
      <c r="T358" s="139"/>
      <c r="U358" s="520" t="str">
        <f t="shared" si="194"/>
        <v>LiteMetro80</v>
      </c>
      <c r="W358" s="521">
        <f>MATCH($J358,'Tarieven ZM'!$B:$B,0)</f>
        <v>20</v>
      </c>
      <c r="X358" s="204">
        <f>INDEX('Tarieven ZM'!$H:$H,$W358)</f>
        <v>1000</v>
      </c>
      <c r="Y358" s="198">
        <f>-INDEX(Parameters!$B:$B,MATCH(Y$3&amp;$C358,Parameters!$A:$A,0))*$X358</f>
        <v>0</v>
      </c>
      <c r="Z358" s="198">
        <f>-INDEX(Parameters!$B:$B,MATCH(Z$3&amp;$C358,Parameters!$A:$A,0))*$X358</f>
        <v>0</v>
      </c>
      <c r="AA358" s="139">
        <f t="shared" si="195"/>
        <v>1000</v>
      </c>
      <c r="AB358" s="205">
        <f>AA358/INDEX(Parameters!$B:$B,MATCH("AfschrijftermijnVVE"&amp;12*$C358,Parameters!$A:$A,0))</f>
        <v>20.833333333333332</v>
      </c>
      <c r="AC358" s="204">
        <f>INDEX('Tarieven ZM'!$G:$G,$W358)</f>
        <v>1000</v>
      </c>
      <c r="AD358" s="198">
        <f>-INDEX(Parameters!$B:$B,MATCH(AD$3&amp;$C358,Parameters!$A:$A,0))*$AC358</f>
        <v>0</v>
      </c>
      <c r="AE358" s="198">
        <f>-INDEX(Parameters!$B:$B,MATCH(AE$3,Parameters!$A:$A,0))*$AC358</f>
        <v>0</v>
      </c>
      <c r="AF358" s="139">
        <f t="shared" si="196"/>
        <v>1000</v>
      </c>
      <c r="AG358" s="522">
        <f t="shared" si="197"/>
        <v>1020.8333333333334</v>
      </c>
      <c r="AH358" s="175"/>
      <c r="AI358" s="523">
        <f>MATCH($U358,'Tarieven W&amp;O'!$B:$B,0)</f>
        <v>48</v>
      </c>
      <c r="AJ358" s="204">
        <f>IF(AI358&lt;&gt;"nvt",INDEX('Tarieven W&amp;O'!$H:$H,$AI358),0)</f>
        <v>0</v>
      </c>
      <c r="AK358" s="204">
        <f>IF(AI358&lt;&gt;"nvt",INDEX('Tarieven W&amp;O'!$I:$I,$AI358),0)</f>
        <v>25</v>
      </c>
      <c r="AL358" s="524">
        <f>IF(AI358&lt;&gt;"nvt",-INDEX(Parameters!$B:$B,MATCH(AL$3,Parameters!$A:$A,0))*(AJ358+AK358),0)</f>
        <v>0</v>
      </c>
      <c r="AM358" s="525"/>
      <c r="AN358" s="139">
        <f t="shared" si="198"/>
        <v>25</v>
      </c>
      <c r="AO358" s="205">
        <f>AN358/INDEX(Parameters!$B:$B,MATCH("AfschrijftermijnVVE"&amp;12*$C358,Parameters!$A:$A,0))</f>
        <v>0.52083333333333337</v>
      </c>
      <c r="AP358" s="139">
        <f t="shared" si="199"/>
        <v>48</v>
      </c>
      <c r="AQ358" s="526">
        <f>IF(AP358&lt;&gt;"nvt",INDEX('Tarieven W&amp;O'!$G:$G,$AP358),0)</f>
        <v>63.7</v>
      </c>
      <c r="AR358" s="251">
        <f>IF($S358,INDEX('Tarieven W&amp;O'!$G:$G,MATCH(N358&amp;R358,'Tarieven W&amp;O'!$B:$B,0)),0)</f>
        <v>0</v>
      </c>
      <c r="AS358" s="205">
        <f>-INDEX(Parameters!$B:$B,MATCH(AS$3,Parameters!$A:$A,0))*(AQ358+AR358)</f>
        <v>0</v>
      </c>
      <c r="AT358" s="205">
        <f>INDEX(hulpblad!$E:$E,MATCH(M358&amp;Q358,hulpblad!$B:$B,0))</f>
        <v>1</v>
      </c>
      <c r="AU358" s="150">
        <f t="shared" ref="AU358:AU421" si="215">SUM(AQ358:AT358)</f>
        <v>64.7</v>
      </c>
      <c r="AV358" s="150">
        <f t="shared" ref="AV358:AV421" si="216">SUM(AO358,AU358)</f>
        <v>65.220833333333331</v>
      </c>
      <c r="AX358" s="526">
        <f>Parameters!$B$6*AV358</f>
        <v>0.65220833333333328</v>
      </c>
      <c r="AY358" s="150">
        <v>0</v>
      </c>
      <c r="AZ358" s="150"/>
      <c r="BA358" s="150">
        <f t="shared" si="202"/>
        <v>0.65220833333333328</v>
      </c>
      <c r="BB358" s="150"/>
      <c r="BC358" s="522">
        <f t="shared" si="203"/>
        <v>65.873041666666666</v>
      </c>
      <c r="BD358" s="175"/>
      <c r="BE358" s="527">
        <f t="shared" ref="BE358:BE421" si="217">AG358-BC358</f>
        <v>954.96029166666676</v>
      </c>
      <c r="BF358" s="181">
        <f t="shared" ref="BF358:BF421" si="218">IF(AG358=0,-999%,BE358/AG358)</f>
        <v>0.935471306122449</v>
      </c>
      <c r="BG358" s="520" t="b">
        <f t="shared" si="206"/>
        <v>0</v>
      </c>
      <c r="BI358" s="528" t="s">
        <v>2181</v>
      </c>
      <c r="BL358" s="151" t="str">
        <f t="shared" si="207"/>
        <v>EoKMetro - Regionaal</v>
      </c>
      <c r="BM358" s="529">
        <v>0</v>
      </c>
      <c r="BN358" s="180">
        <f>BM358/INDEX(Parameters!$B:$B,MATCH("AfschrijftermijnVVE"&amp;12*$C358,Parameters!$A:$A,0))</f>
        <v>0</v>
      </c>
      <c r="BO358" s="184">
        <f>INDEX('inkoop ULL tbv EVPN'!I:I,MATCH(BL358,'inkoop ULL tbv EVPN'!H:H,0))</f>
        <v>2</v>
      </c>
      <c r="BP358" s="184">
        <f t="shared" si="208"/>
        <v>2</v>
      </c>
      <c r="BR358" s="180">
        <f>Parameters!$B$12*AG358</f>
        <v>102.08333333333334</v>
      </c>
      <c r="BS358" s="180">
        <f>SUM(Distributievergoedingen!$F$12,Distributievergoedingen!$I$12,Distributievergoedingen!$L$12,Distributievergoedingen!$O$12)*AF358+SUM(Distributievergoedingen!$O$12*AA358+Distributievergoedingen!$R$12+Distributievergoedingen!$U$12+Distributievergoedingen!$X$12)/(MAX(36,12*C358))</f>
        <v>112.08333333333333</v>
      </c>
      <c r="BT358" s="150"/>
      <c r="BU358" s="150">
        <f t="shared" si="209"/>
        <v>214.16666666666669</v>
      </c>
      <c r="BW358" s="522">
        <f t="shared" si="210"/>
        <v>216.16666666666669</v>
      </c>
      <c r="BY358" s="527">
        <f t="shared" si="211"/>
        <v>804.66666666666674</v>
      </c>
      <c r="BZ358" s="181">
        <f t="shared" si="212"/>
        <v>0.78824489795918373</v>
      </c>
      <c r="CA358" s="520" t="b">
        <f t="shared" si="213"/>
        <v>0</v>
      </c>
    </row>
    <row r="359" spans="1:79" s="151" customFormat="1">
      <c r="A359" s="151" t="str">
        <f t="shared" ref="A359:A422" si="219">C359&amp;D359&amp;E359&amp;F359&amp;G359&amp;H359</f>
        <v>4EoKEntryCity100</v>
      </c>
      <c r="B359" s="520" t="str">
        <f t="shared" si="214"/>
        <v>4EoKEntryCity100</v>
      </c>
      <c r="C359" s="179">
        <v>4</v>
      </c>
      <c r="D359" s="179" t="s">
        <v>303</v>
      </c>
      <c r="E359" s="178" t="s">
        <v>45</v>
      </c>
      <c r="F359" s="178" t="s">
        <v>262</v>
      </c>
      <c r="G359" s="185" t="s">
        <v>418</v>
      </c>
      <c r="J359" s="520" t="str">
        <f t="shared" si="193"/>
        <v>EntryCity100</v>
      </c>
      <c r="L359" s="204">
        <f>INDEX(Mapping!$H:$H,MATCH(C$3&amp;C359,Mapping!$B:$B,0))</f>
        <v>1</v>
      </c>
      <c r="M359" s="204" t="str">
        <f>INDEX(Mapping!$H:$H,MATCH(D$3&amp;$D359,Mapping!$B:$B,0))</f>
        <v>EoK</v>
      </c>
      <c r="N359" s="204" t="str">
        <f>INDEX(Mapping!$H:$H,MATCH(E$3&amp;E359,Mapping!$B:$B,0))</f>
        <v>Lite</v>
      </c>
      <c r="O359" s="204" t="str">
        <f>INDEX(Mapping!$H:$H,MATCH(F$3&amp;F359,Mapping!$B:$B,0))</f>
        <v>Metro</v>
      </c>
      <c r="P359" s="204">
        <f>INDEX(Mapping!$H:$H,MATCH(G$3&amp;G359,Mapping!$B:$B,0))</f>
        <v>100</v>
      </c>
      <c r="Q359" s="204" t="str">
        <f>INDEX(Mapping!$H:$H,MATCH(Q$3&amp;$F359,Mapping!$B:$B,0))</f>
        <v>Metro - Regionaal</v>
      </c>
      <c r="R359" s="204" t="str">
        <f>INDEX(Mapping!$H:$H,MATCH("ZM VPN Service Level"&amp;E359,Mapping!$B:$B,0))</f>
        <v>Advanced</v>
      </c>
      <c r="S359" s="139" t="b">
        <f>IF($D359="EoK",INDEX(Mapping!$I:$I,MATCH($G$3&amp;$G359,Mapping!B:B,0)),FALSE)</f>
        <v>0</v>
      </c>
      <c r="T359" s="139"/>
      <c r="U359" s="520" t="str">
        <f t="shared" si="194"/>
        <v>LiteMetro100</v>
      </c>
      <c r="W359" s="521">
        <f>MATCH($J359,'Tarieven ZM'!$B:$B,0)</f>
        <v>21</v>
      </c>
      <c r="X359" s="204">
        <f>INDEX('Tarieven ZM'!$H:$H,$W359)</f>
        <v>1000</v>
      </c>
      <c r="Y359" s="198">
        <f>-INDEX(Parameters!$B:$B,MATCH(Y$3&amp;$C359,Parameters!$A:$A,0))*$X359</f>
        <v>0</v>
      </c>
      <c r="Z359" s="198">
        <f>-INDEX(Parameters!$B:$B,MATCH(Z$3&amp;$C359,Parameters!$A:$A,0))*$X359</f>
        <v>0</v>
      </c>
      <c r="AA359" s="139">
        <f t="shared" si="195"/>
        <v>1000</v>
      </c>
      <c r="AB359" s="205">
        <f>AA359/INDEX(Parameters!$B:$B,MATCH("AfschrijftermijnVVE"&amp;12*$C359,Parameters!$A:$A,0))</f>
        <v>20.833333333333332</v>
      </c>
      <c r="AC359" s="204">
        <f>INDEX('Tarieven ZM'!$G:$G,$W359)</f>
        <v>1000</v>
      </c>
      <c r="AD359" s="198">
        <f>-INDEX(Parameters!$B:$B,MATCH(AD$3&amp;$C359,Parameters!$A:$A,0))*$AC359</f>
        <v>0</v>
      </c>
      <c r="AE359" s="198">
        <f>-INDEX(Parameters!$B:$B,MATCH(AE$3,Parameters!$A:$A,0))*$AC359</f>
        <v>0</v>
      </c>
      <c r="AF359" s="139">
        <f t="shared" si="196"/>
        <v>1000</v>
      </c>
      <c r="AG359" s="522">
        <f t="shared" si="197"/>
        <v>1020.8333333333334</v>
      </c>
      <c r="AH359" s="175"/>
      <c r="AI359" s="523">
        <f>MATCH($U359,'Tarieven W&amp;O'!$B:$B,0)</f>
        <v>49</v>
      </c>
      <c r="AJ359" s="204">
        <f>IF(AI359&lt;&gt;"nvt",INDEX('Tarieven W&amp;O'!$H:$H,$AI359),0)</f>
        <v>0</v>
      </c>
      <c r="AK359" s="204">
        <f>IF(AI359&lt;&gt;"nvt",INDEX('Tarieven W&amp;O'!$I:$I,$AI359),0)</f>
        <v>25</v>
      </c>
      <c r="AL359" s="524">
        <f>IF(AI359&lt;&gt;"nvt",-INDEX(Parameters!$B:$B,MATCH(AL$3,Parameters!$A:$A,0))*(AJ359+AK359),0)</f>
        <v>0</v>
      </c>
      <c r="AM359" s="525"/>
      <c r="AN359" s="139">
        <f t="shared" si="198"/>
        <v>25</v>
      </c>
      <c r="AO359" s="205">
        <f>AN359/INDEX(Parameters!$B:$B,MATCH("AfschrijftermijnVVE"&amp;12*$C359,Parameters!$A:$A,0))</f>
        <v>0.52083333333333337</v>
      </c>
      <c r="AP359" s="139">
        <f t="shared" si="199"/>
        <v>49</v>
      </c>
      <c r="AQ359" s="526">
        <f>IF(AP359&lt;&gt;"nvt",INDEX('Tarieven W&amp;O'!$G:$G,$AP359),0)</f>
        <v>71.239999999999995</v>
      </c>
      <c r="AR359" s="251">
        <f>IF($S359,INDEX('Tarieven W&amp;O'!$G:$G,MATCH(N359&amp;R359,'Tarieven W&amp;O'!$B:$B,0)),0)</f>
        <v>0</v>
      </c>
      <c r="AS359" s="205">
        <f>-INDEX(Parameters!$B:$B,MATCH(AS$3,Parameters!$A:$A,0))*(AQ359+AR359)</f>
        <v>0</v>
      </c>
      <c r="AT359" s="205">
        <f>INDEX(hulpblad!$E:$E,MATCH(M359&amp;Q359,hulpblad!$B:$B,0))</f>
        <v>1</v>
      </c>
      <c r="AU359" s="150">
        <f t="shared" si="215"/>
        <v>72.239999999999995</v>
      </c>
      <c r="AV359" s="150">
        <f t="shared" si="216"/>
        <v>72.760833333333323</v>
      </c>
      <c r="AX359" s="526">
        <f>Parameters!$B$6*AV359</f>
        <v>0.7276083333333333</v>
      </c>
      <c r="AY359" s="150">
        <v>0</v>
      </c>
      <c r="AZ359" s="150"/>
      <c r="BA359" s="150">
        <f t="shared" si="202"/>
        <v>0.7276083333333333</v>
      </c>
      <c r="BB359" s="150"/>
      <c r="BC359" s="522">
        <f t="shared" si="203"/>
        <v>73.48844166666666</v>
      </c>
      <c r="BD359" s="175"/>
      <c r="BE359" s="527">
        <f t="shared" si="217"/>
        <v>947.34489166666674</v>
      </c>
      <c r="BF359" s="181">
        <f t="shared" si="218"/>
        <v>0.92801132244897966</v>
      </c>
      <c r="BG359" s="520" t="b">
        <f t="shared" si="206"/>
        <v>0</v>
      </c>
      <c r="BI359" s="528" t="s">
        <v>2181</v>
      </c>
      <c r="BL359" s="151" t="str">
        <f t="shared" ref="BL359:BL422" si="220">M359&amp;Q359</f>
        <v>EoKMetro - Regionaal</v>
      </c>
      <c r="BM359" s="529">
        <v>0</v>
      </c>
      <c r="BN359" s="180">
        <f>BM359/INDEX(Parameters!$B:$B,MATCH("AfschrijftermijnVVE"&amp;12*$C359,Parameters!$A:$A,0))</f>
        <v>0</v>
      </c>
      <c r="BO359" s="184">
        <f>INDEX('inkoop ULL tbv EVPN'!I:I,MATCH(BL359,'inkoop ULL tbv EVPN'!H:H,0))</f>
        <v>2</v>
      </c>
      <c r="BP359" s="184">
        <f t="shared" ref="BP359:BP422" si="221">BN359+BO359</f>
        <v>2</v>
      </c>
      <c r="BR359" s="180">
        <f>Parameters!$B$12*AG359</f>
        <v>102.08333333333334</v>
      </c>
      <c r="BS359" s="180">
        <f>SUM(Distributievergoedingen!$F$12,Distributievergoedingen!$I$12,Distributievergoedingen!$L$12,Distributievergoedingen!$O$12)*AF359+SUM(Distributievergoedingen!$O$12*AA359+Distributievergoedingen!$R$12+Distributievergoedingen!$U$12+Distributievergoedingen!$X$12)/(MAX(36,12*C359))</f>
        <v>112.08333333333333</v>
      </c>
      <c r="BT359" s="150"/>
      <c r="BU359" s="150">
        <f t="shared" ref="BU359:BU422" si="222">SUM(BR359:BT359)</f>
        <v>214.16666666666669</v>
      </c>
      <c r="BW359" s="522">
        <f t="shared" ref="BW359:BW422" si="223">SUM(BP359,BU359)</f>
        <v>216.16666666666669</v>
      </c>
      <c r="BY359" s="527">
        <f t="shared" ref="BY359:BY422" si="224">AG359-BW359</f>
        <v>804.66666666666674</v>
      </c>
      <c r="BZ359" s="181">
        <f t="shared" ref="BZ359:BZ422" si="225">IF(AG359=0,-999%,BY359/AG359)</f>
        <v>0.78824489795918373</v>
      </c>
      <c r="CA359" s="520" t="b">
        <f t="shared" ref="CA359:CA422" si="226">BZ359&lt;0</f>
        <v>0</v>
      </c>
    </row>
    <row r="360" spans="1:79" s="151" customFormat="1">
      <c r="A360" s="151" t="str">
        <f t="shared" si="219"/>
        <v>4EoKEntryCity200</v>
      </c>
      <c r="B360" s="520" t="str">
        <f t="shared" si="214"/>
        <v>4EoKEntryCity200</v>
      </c>
      <c r="C360" s="179">
        <v>4</v>
      </c>
      <c r="D360" s="179" t="s">
        <v>303</v>
      </c>
      <c r="E360" s="178" t="s">
        <v>45</v>
      </c>
      <c r="F360" s="178" t="s">
        <v>262</v>
      </c>
      <c r="G360" s="185" t="s">
        <v>419</v>
      </c>
      <c r="J360" s="520" t="str">
        <f t="shared" si="193"/>
        <v>EntryCity200</v>
      </c>
      <c r="L360" s="204">
        <f>INDEX(Mapping!$H:$H,MATCH(C$3&amp;C360,Mapping!$B:$B,0))</f>
        <v>1</v>
      </c>
      <c r="M360" s="204" t="str">
        <f>INDEX(Mapping!$H:$H,MATCH(D$3&amp;$D360,Mapping!$B:$B,0))</f>
        <v>EoK</v>
      </c>
      <c r="N360" s="204" t="str">
        <f>INDEX(Mapping!$H:$H,MATCH(E$3&amp;E360,Mapping!$B:$B,0))</f>
        <v>Lite</v>
      </c>
      <c r="O360" s="204" t="str">
        <f>INDEX(Mapping!$H:$H,MATCH(F$3&amp;F360,Mapping!$B:$B,0))</f>
        <v>Metro</v>
      </c>
      <c r="P360" s="204">
        <f>INDEX(Mapping!$H:$H,MATCH(G$3&amp;G360,Mapping!$B:$B,0))</f>
        <v>200</v>
      </c>
      <c r="Q360" s="204" t="str">
        <f>INDEX(Mapping!$H:$H,MATCH(Q$3&amp;$F360,Mapping!$B:$B,0))</f>
        <v>Metro - Regionaal</v>
      </c>
      <c r="R360" s="204" t="str">
        <f>INDEX(Mapping!$H:$H,MATCH("ZM VPN Service Level"&amp;E360,Mapping!$B:$B,0))</f>
        <v>Advanced</v>
      </c>
      <c r="S360" s="139" t="b">
        <f>IF($D360="EoK",INDEX(Mapping!$I:$I,MATCH($G$3&amp;$G360,Mapping!B:B,0)),FALSE)</f>
        <v>0</v>
      </c>
      <c r="T360" s="139"/>
      <c r="U360" s="520" t="str">
        <f t="shared" si="194"/>
        <v>LiteMetro200</v>
      </c>
      <c r="W360" s="521">
        <f>MATCH($J360,'Tarieven ZM'!$B:$B,0)</f>
        <v>22</v>
      </c>
      <c r="X360" s="204">
        <f>INDEX('Tarieven ZM'!$H:$H,$W360)</f>
        <v>1000</v>
      </c>
      <c r="Y360" s="198">
        <f>-INDEX(Parameters!$B:$B,MATCH(Y$3&amp;$C360,Parameters!$A:$A,0))*$X360</f>
        <v>0</v>
      </c>
      <c r="Z360" s="198">
        <f>-INDEX(Parameters!$B:$B,MATCH(Z$3&amp;$C360,Parameters!$A:$A,0))*$X360</f>
        <v>0</v>
      </c>
      <c r="AA360" s="139">
        <f t="shared" si="195"/>
        <v>1000</v>
      </c>
      <c r="AB360" s="205">
        <f>AA360/INDEX(Parameters!$B:$B,MATCH("AfschrijftermijnVVE"&amp;12*$C360,Parameters!$A:$A,0))</f>
        <v>20.833333333333332</v>
      </c>
      <c r="AC360" s="204">
        <f>INDEX('Tarieven ZM'!$G:$G,$W360)</f>
        <v>1000</v>
      </c>
      <c r="AD360" s="198">
        <f>-INDEX(Parameters!$B:$B,MATCH(AD$3&amp;$C360,Parameters!$A:$A,0))*$AC360</f>
        <v>0</v>
      </c>
      <c r="AE360" s="198">
        <f>-INDEX(Parameters!$B:$B,MATCH(AE$3,Parameters!$A:$A,0))*$AC360</f>
        <v>0</v>
      </c>
      <c r="AF360" s="139">
        <f t="shared" si="196"/>
        <v>1000</v>
      </c>
      <c r="AG360" s="522">
        <f t="shared" si="197"/>
        <v>1020.8333333333334</v>
      </c>
      <c r="AH360" s="175"/>
      <c r="AI360" s="523">
        <f>MATCH($U360,'Tarieven W&amp;O'!$B:$B,0)</f>
        <v>50</v>
      </c>
      <c r="AJ360" s="204">
        <f>IF(AI360&lt;&gt;"nvt",INDEX('Tarieven W&amp;O'!$H:$H,$AI360),0)</f>
        <v>0</v>
      </c>
      <c r="AK360" s="204">
        <f>IF(AI360&lt;&gt;"nvt",INDEX('Tarieven W&amp;O'!$I:$I,$AI360),0)</f>
        <v>25</v>
      </c>
      <c r="AL360" s="524">
        <f>IF(AI360&lt;&gt;"nvt",-INDEX(Parameters!$B:$B,MATCH(AL$3,Parameters!$A:$A,0))*(AJ360+AK360),0)</f>
        <v>0</v>
      </c>
      <c r="AM360" s="525"/>
      <c r="AN360" s="139">
        <f t="shared" si="198"/>
        <v>25</v>
      </c>
      <c r="AO360" s="205">
        <f>AN360/INDEX(Parameters!$B:$B,MATCH("AfschrijftermijnVVE"&amp;12*$C360,Parameters!$A:$A,0))</f>
        <v>0.52083333333333337</v>
      </c>
      <c r="AP360" s="139">
        <f t="shared" si="199"/>
        <v>50</v>
      </c>
      <c r="AQ360" s="526">
        <f>IF(AP360&lt;&gt;"nvt",INDEX('Tarieven W&amp;O'!$G:$G,$AP360),0)</f>
        <v>108.93</v>
      </c>
      <c r="AR360" s="251">
        <f>IF($S360,INDEX('Tarieven W&amp;O'!$G:$G,MATCH(N360&amp;R360,'Tarieven W&amp;O'!$B:$B,0)),0)</f>
        <v>0</v>
      </c>
      <c r="AS360" s="205">
        <f>-INDEX(Parameters!$B:$B,MATCH(AS$3,Parameters!$A:$A,0))*(AQ360+AR360)</f>
        <v>0</v>
      </c>
      <c r="AT360" s="205">
        <f>INDEX(hulpblad!$E:$E,MATCH(M360&amp;Q360,hulpblad!$B:$B,0))</f>
        <v>1</v>
      </c>
      <c r="AU360" s="150">
        <f t="shared" si="215"/>
        <v>109.93</v>
      </c>
      <c r="AV360" s="150">
        <f t="shared" si="216"/>
        <v>110.45083333333334</v>
      </c>
      <c r="AX360" s="526">
        <f>Parameters!$B$6*AV360</f>
        <v>1.1045083333333334</v>
      </c>
      <c r="AY360" s="150">
        <v>0</v>
      </c>
      <c r="AZ360" s="150"/>
      <c r="BA360" s="150">
        <f t="shared" si="202"/>
        <v>1.1045083333333334</v>
      </c>
      <c r="BB360" s="150"/>
      <c r="BC360" s="522">
        <f t="shared" si="203"/>
        <v>111.55534166666666</v>
      </c>
      <c r="BD360" s="175"/>
      <c r="BE360" s="527">
        <f t="shared" si="217"/>
        <v>909.27799166666671</v>
      </c>
      <c r="BF360" s="181">
        <f t="shared" si="218"/>
        <v>0.89072129795918364</v>
      </c>
      <c r="BG360" s="520" t="b">
        <f t="shared" si="206"/>
        <v>0</v>
      </c>
      <c r="BI360" s="528" t="s">
        <v>2181</v>
      </c>
      <c r="BL360" s="151" t="str">
        <f t="shared" si="220"/>
        <v>EoKMetro - Regionaal</v>
      </c>
      <c r="BM360" s="529">
        <v>0</v>
      </c>
      <c r="BN360" s="180">
        <f>BM360/INDEX(Parameters!$B:$B,MATCH("AfschrijftermijnVVE"&amp;12*$C360,Parameters!$A:$A,0))</f>
        <v>0</v>
      </c>
      <c r="BO360" s="184">
        <f>INDEX('inkoop ULL tbv EVPN'!I:I,MATCH(BL360,'inkoop ULL tbv EVPN'!H:H,0))</f>
        <v>2</v>
      </c>
      <c r="BP360" s="184">
        <f t="shared" si="221"/>
        <v>2</v>
      </c>
      <c r="BR360" s="180">
        <f>Parameters!$B$12*AG360</f>
        <v>102.08333333333334</v>
      </c>
      <c r="BS360" s="180">
        <f>SUM(Distributievergoedingen!$F$12,Distributievergoedingen!$I$12,Distributievergoedingen!$L$12,Distributievergoedingen!$O$12)*AF360+SUM(Distributievergoedingen!$O$12*AA360+Distributievergoedingen!$R$12+Distributievergoedingen!$U$12+Distributievergoedingen!$X$12)/(MAX(36,12*C360))</f>
        <v>112.08333333333333</v>
      </c>
      <c r="BT360" s="150"/>
      <c r="BU360" s="150">
        <f t="shared" si="222"/>
        <v>214.16666666666669</v>
      </c>
      <c r="BW360" s="522">
        <f t="shared" si="223"/>
        <v>216.16666666666669</v>
      </c>
      <c r="BY360" s="527">
        <f t="shared" si="224"/>
        <v>804.66666666666674</v>
      </c>
      <c r="BZ360" s="181">
        <f t="shared" si="225"/>
        <v>0.78824489795918373</v>
      </c>
      <c r="CA360" s="520" t="b">
        <f t="shared" si="226"/>
        <v>0</v>
      </c>
    </row>
    <row r="361" spans="1:79" s="151" customFormat="1">
      <c r="A361" s="151" t="str">
        <f t="shared" si="219"/>
        <v>4EoKEntryCity300</v>
      </c>
      <c r="B361" s="520" t="str">
        <f t="shared" si="214"/>
        <v>4EoKEntryCity300</v>
      </c>
      <c r="C361" s="179">
        <v>4</v>
      </c>
      <c r="D361" s="179" t="s">
        <v>303</v>
      </c>
      <c r="E361" s="178" t="s">
        <v>45</v>
      </c>
      <c r="F361" s="178" t="s">
        <v>262</v>
      </c>
      <c r="G361" s="185" t="s">
        <v>420</v>
      </c>
      <c r="J361" s="520" t="str">
        <f t="shared" si="193"/>
        <v>EntryCity300</v>
      </c>
      <c r="L361" s="204">
        <f>INDEX(Mapping!$H:$H,MATCH(C$3&amp;C361,Mapping!$B:$B,0))</f>
        <v>1</v>
      </c>
      <c r="M361" s="204" t="str">
        <f>INDEX(Mapping!$H:$H,MATCH(D$3&amp;$D361,Mapping!$B:$B,0))</f>
        <v>EoK</v>
      </c>
      <c r="N361" s="204" t="str">
        <f>INDEX(Mapping!$H:$H,MATCH(E$3&amp;E361,Mapping!$B:$B,0))</f>
        <v>Lite</v>
      </c>
      <c r="O361" s="204" t="str">
        <f>INDEX(Mapping!$H:$H,MATCH(F$3&amp;F361,Mapping!$B:$B,0))</f>
        <v>Metro</v>
      </c>
      <c r="P361" s="204">
        <f>INDEX(Mapping!$H:$H,MATCH(G$3&amp;G361,Mapping!$B:$B,0))</f>
        <v>300</v>
      </c>
      <c r="Q361" s="204" t="str">
        <f>INDEX(Mapping!$H:$H,MATCH(Q$3&amp;$F361,Mapping!$B:$B,0))</f>
        <v>Metro - Regionaal</v>
      </c>
      <c r="R361" s="204" t="str">
        <f>INDEX(Mapping!$H:$H,MATCH("ZM VPN Service Level"&amp;E361,Mapping!$B:$B,0))</f>
        <v>Advanced</v>
      </c>
      <c r="S361" s="139" t="b">
        <f>IF($D361="EoK",INDEX(Mapping!$I:$I,MATCH($G$3&amp;$G361,Mapping!B:B,0)),FALSE)</f>
        <v>0</v>
      </c>
      <c r="T361" s="139"/>
      <c r="U361" s="520" t="str">
        <f t="shared" si="194"/>
        <v>LiteMetro300</v>
      </c>
      <c r="W361" s="521">
        <f>MATCH($J361,'Tarieven ZM'!$B:$B,0)</f>
        <v>23</v>
      </c>
      <c r="X361" s="204">
        <f>INDEX('Tarieven ZM'!$H:$H,$W361)</f>
        <v>1000</v>
      </c>
      <c r="Y361" s="198">
        <f>-INDEX(Parameters!$B:$B,MATCH(Y$3&amp;$C361,Parameters!$A:$A,0))*$X361</f>
        <v>0</v>
      </c>
      <c r="Z361" s="198">
        <f>-INDEX(Parameters!$B:$B,MATCH(Z$3&amp;$C361,Parameters!$A:$A,0))*$X361</f>
        <v>0</v>
      </c>
      <c r="AA361" s="139">
        <f t="shared" si="195"/>
        <v>1000</v>
      </c>
      <c r="AB361" s="205">
        <f>AA361/INDEX(Parameters!$B:$B,MATCH("AfschrijftermijnVVE"&amp;12*$C361,Parameters!$A:$A,0))</f>
        <v>20.833333333333332</v>
      </c>
      <c r="AC361" s="204">
        <f>INDEX('Tarieven ZM'!$G:$G,$W361)</f>
        <v>1000</v>
      </c>
      <c r="AD361" s="198">
        <f>-INDEX(Parameters!$B:$B,MATCH(AD$3&amp;$C361,Parameters!$A:$A,0))*$AC361</f>
        <v>0</v>
      </c>
      <c r="AE361" s="198">
        <f>-INDEX(Parameters!$B:$B,MATCH(AE$3,Parameters!$A:$A,0))*$AC361</f>
        <v>0</v>
      </c>
      <c r="AF361" s="139">
        <f t="shared" si="196"/>
        <v>1000</v>
      </c>
      <c r="AG361" s="522">
        <f t="shared" si="197"/>
        <v>1020.8333333333334</v>
      </c>
      <c r="AH361" s="175"/>
      <c r="AI361" s="523">
        <f>MATCH($U361,'Tarieven W&amp;O'!$B:$B,0)</f>
        <v>51</v>
      </c>
      <c r="AJ361" s="204">
        <f>IF(AI361&lt;&gt;"nvt",INDEX('Tarieven W&amp;O'!$H:$H,$AI361),0)</f>
        <v>0</v>
      </c>
      <c r="AK361" s="204">
        <f>IF(AI361&lt;&gt;"nvt",INDEX('Tarieven W&amp;O'!$I:$I,$AI361),0)</f>
        <v>25</v>
      </c>
      <c r="AL361" s="524">
        <f>IF(AI361&lt;&gt;"nvt",-INDEX(Parameters!$B:$B,MATCH(AL$3,Parameters!$A:$A,0))*(AJ361+AK361),0)</f>
        <v>0</v>
      </c>
      <c r="AM361" s="525"/>
      <c r="AN361" s="139">
        <f t="shared" si="198"/>
        <v>25</v>
      </c>
      <c r="AO361" s="205">
        <f>AN361/INDEX(Parameters!$B:$B,MATCH("AfschrijftermijnVVE"&amp;12*$C361,Parameters!$A:$A,0))</f>
        <v>0.52083333333333337</v>
      </c>
      <c r="AP361" s="139">
        <f t="shared" si="199"/>
        <v>51</v>
      </c>
      <c r="AQ361" s="526">
        <f>IF(AP361&lt;&gt;"nvt",INDEX('Tarieven W&amp;O'!$G:$G,$AP361),0)</f>
        <v>127.77</v>
      </c>
      <c r="AR361" s="251">
        <f>IF($S361,INDEX('Tarieven W&amp;O'!$G:$G,MATCH(N361&amp;R361,'Tarieven W&amp;O'!$B:$B,0)),0)</f>
        <v>0</v>
      </c>
      <c r="AS361" s="205">
        <f>-INDEX(Parameters!$B:$B,MATCH(AS$3,Parameters!$A:$A,0))*(AQ361+AR361)</f>
        <v>0</v>
      </c>
      <c r="AT361" s="205">
        <f>INDEX(hulpblad!$E:$E,MATCH(M361&amp;Q361,hulpblad!$B:$B,0))</f>
        <v>1</v>
      </c>
      <c r="AU361" s="150">
        <f t="shared" si="215"/>
        <v>128.76999999999998</v>
      </c>
      <c r="AV361" s="150">
        <f t="shared" si="216"/>
        <v>129.29083333333332</v>
      </c>
      <c r="AX361" s="526">
        <f>Parameters!$B$6*AV361</f>
        <v>1.2929083333333333</v>
      </c>
      <c r="AY361" s="150">
        <v>0</v>
      </c>
      <c r="AZ361" s="150"/>
      <c r="BA361" s="150">
        <f t="shared" si="202"/>
        <v>1.2929083333333333</v>
      </c>
      <c r="BB361" s="150"/>
      <c r="BC361" s="522">
        <f t="shared" si="203"/>
        <v>130.58374166666667</v>
      </c>
      <c r="BD361" s="175"/>
      <c r="BE361" s="527">
        <f t="shared" si="217"/>
        <v>890.24959166666667</v>
      </c>
      <c r="BF361" s="181">
        <f t="shared" si="218"/>
        <v>0.87208123265306114</v>
      </c>
      <c r="BG361" s="520" t="b">
        <f t="shared" si="206"/>
        <v>0</v>
      </c>
      <c r="BI361" s="528" t="s">
        <v>2181</v>
      </c>
      <c r="BL361" s="151" t="str">
        <f t="shared" si="220"/>
        <v>EoKMetro - Regionaal</v>
      </c>
      <c r="BM361" s="529">
        <v>0</v>
      </c>
      <c r="BN361" s="180">
        <f>BM361/INDEX(Parameters!$B:$B,MATCH("AfschrijftermijnVVE"&amp;12*$C361,Parameters!$A:$A,0))</f>
        <v>0</v>
      </c>
      <c r="BO361" s="184">
        <f>INDEX('inkoop ULL tbv EVPN'!I:I,MATCH(BL361,'inkoop ULL tbv EVPN'!H:H,0))</f>
        <v>2</v>
      </c>
      <c r="BP361" s="184">
        <f t="shared" si="221"/>
        <v>2</v>
      </c>
      <c r="BR361" s="180">
        <f>Parameters!$B$12*AG361</f>
        <v>102.08333333333334</v>
      </c>
      <c r="BS361" s="180">
        <f>SUM(Distributievergoedingen!$F$12,Distributievergoedingen!$I$12,Distributievergoedingen!$L$12,Distributievergoedingen!$O$12)*AF361+SUM(Distributievergoedingen!$O$12*AA361+Distributievergoedingen!$R$12+Distributievergoedingen!$U$12+Distributievergoedingen!$X$12)/(MAX(36,12*C361))</f>
        <v>112.08333333333333</v>
      </c>
      <c r="BT361" s="150"/>
      <c r="BU361" s="150">
        <f t="shared" si="222"/>
        <v>214.16666666666669</v>
      </c>
      <c r="BW361" s="522">
        <f t="shared" si="223"/>
        <v>216.16666666666669</v>
      </c>
      <c r="BY361" s="527">
        <f t="shared" si="224"/>
        <v>804.66666666666674</v>
      </c>
      <c r="BZ361" s="181">
        <f t="shared" si="225"/>
        <v>0.78824489795918373</v>
      </c>
      <c r="CA361" s="520" t="b">
        <f t="shared" si="226"/>
        <v>0</v>
      </c>
    </row>
    <row r="362" spans="1:79" s="151" customFormat="1">
      <c r="A362" s="151" t="str">
        <f t="shared" si="219"/>
        <v>4EoKEntryCity500</v>
      </c>
      <c r="B362" s="520" t="str">
        <f t="shared" si="214"/>
        <v>4EoKEntryCity500</v>
      </c>
      <c r="C362" s="179">
        <v>4</v>
      </c>
      <c r="D362" s="179" t="s">
        <v>303</v>
      </c>
      <c r="E362" s="178" t="s">
        <v>45</v>
      </c>
      <c r="F362" s="178" t="s">
        <v>262</v>
      </c>
      <c r="G362" s="185" t="s">
        <v>421</v>
      </c>
      <c r="J362" s="520" t="str">
        <f t="shared" si="193"/>
        <v>EntryCity500</v>
      </c>
      <c r="L362" s="204">
        <f>INDEX(Mapping!$H:$H,MATCH(C$3&amp;C362,Mapping!$B:$B,0))</f>
        <v>1</v>
      </c>
      <c r="M362" s="204" t="str">
        <f>INDEX(Mapping!$H:$H,MATCH(D$3&amp;$D362,Mapping!$B:$B,0))</f>
        <v>EoK</v>
      </c>
      <c r="N362" s="204" t="str">
        <f>INDEX(Mapping!$H:$H,MATCH(E$3&amp;E362,Mapping!$B:$B,0))</f>
        <v>Lite</v>
      </c>
      <c r="O362" s="204" t="str">
        <f>INDEX(Mapping!$H:$H,MATCH(F$3&amp;F362,Mapping!$B:$B,0))</f>
        <v>Metro</v>
      </c>
      <c r="P362" s="204">
        <f>INDEX(Mapping!$H:$H,MATCH(G$3&amp;G362,Mapping!$B:$B,0))</f>
        <v>500</v>
      </c>
      <c r="Q362" s="204" t="str">
        <f>INDEX(Mapping!$H:$H,MATCH(Q$3&amp;$F362,Mapping!$B:$B,0))</f>
        <v>Metro - Regionaal</v>
      </c>
      <c r="R362" s="204" t="str">
        <f>INDEX(Mapping!$H:$H,MATCH("ZM VPN Service Level"&amp;E362,Mapping!$B:$B,0))</f>
        <v>Advanced</v>
      </c>
      <c r="S362" s="139" t="b">
        <f>IF($D362="EoK",INDEX(Mapping!$I:$I,MATCH($G$3&amp;$G362,Mapping!B:B,0)),FALSE)</f>
        <v>0</v>
      </c>
      <c r="T362" s="139"/>
      <c r="U362" s="520" t="str">
        <f t="shared" si="194"/>
        <v>LiteMetro500</v>
      </c>
      <c r="W362" s="521">
        <f>MATCH($J362,'Tarieven ZM'!$B:$B,0)</f>
        <v>24</v>
      </c>
      <c r="X362" s="204">
        <f>INDEX('Tarieven ZM'!$H:$H,$W362)</f>
        <v>1000</v>
      </c>
      <c r="Y362" s="198">
        <f>-INDEX(Parameters!$B:$B,MATCH(Y$3&amp;$C362,Parameters!$A:$A,0))*$X362</f>
        <v>0</v>
      </c>
      <c r="Z362" s="198">
        <f>-INDEX(Parameters!$B:$B,MATCH(Z$3&amp;$C362,Parameters!$A:$A,0))*$X362</f>
        <v>0</v>
      </c>
      <c r="AA362" s="139">
        <f t="shared" si="195"/>
        <v>1000</v>
      </c>
      <c r="AB362" s="205">
        <f>AA362/INDEX(Parameters!$B:$B,MATCH("AfschrijftermijnVVE"&amp;12*$C362,Parameters!$A:$A,0))</f>
        <v>20.833333333333332</v>
      </c>
      <c r="AC362" s="204">
        <f>INDEX('Tarieven ZM'!$G:$G,$W362)</f>
        <v>1000</v>
      </c>
      <c r="AD362" s="198">
        <f>-INDEX(Parameters!$B:$B,MATCH(AD$3&amp;$C362,Parameters!$A:$A,0))*$AC362</f>
        <v>0</v>
      </c>
      <c r="AE362" s="198">
        <f>-INDEX(Parameters!$B:$B,MATCH(AE$3,Parameters!$A:$A,0))*$AC362</f>
        <v>0</v>
      </c>
      <c r="AF362" s="139">
        <f t="shared" si="196"/>
        <v>1000</v>
      </c>
      <c r="AG362" s="522">
        <f t="shared" si="197"/>
        <v>1020.8333333333334</v>
      </c>
      <c r="AH362" s="175"/>
      <c r="AI362" s="523">
        <f>MATCH($U362,'Tarieven W&amp;O'!$B:$B,0)</f>
        <v>52</v>
      </c>
      <c r="AJ362" s="204">
        <f>IF(AI362&lt;&gt;"nvt",INDEX('Tarieven W&amp;O'!$H:$H,$AI362),0)</f>
        <v>0</v>
      </c>
      <c r="AK362" s="204">
        <f>IF(AI362&lt;&gt;"nvt",INDEX('Tarieven W&amp;O'!$I:$I,$AI362),0)</f>
        <v>25</v>
      </c>
      <c r="AL362" s="524">
        <f>IF(AI362&lt;&gt;"nvt",-INDEX(Parameters!$B:$B,MATCH(AL$3,Parameters!$A:$A,0))*(AJ362+AK362),0)</f>
        <v>0</v>
      </c>
      <c r="AM362" s="525"/>
      <c r="AN362" s="139">
        <f t="shared" si="198"/>
        <v>25</v>
      </c>
      <c r="AO362" s="205">
        <f>AN362/INDEX(Parameters!$B:$B,MATCH("AfschrijftermijnVVE"&amp;12*$C362,Parameters!$A:$A,0))</f>
        <v>0.52083333333333337</v>
      </c>
      <c r="AP362" s="139">
        <f t="shared" si="199"/>
        <v>52</v>
      </c>
      <c r="AQ362" s="526">
        <f>IF(AP362&lt;&gt;"nvt",INDEX('Tarieven W&amp;O'!$G:$G,$AP362),0)</f>
        <v>161.69</v>
      </c>
      <c r="AR362" s="251">
        <f>IF($S362,INDEX('Tarieven W&amp;O'!$G:$G,MATCH(N362&amp;R362,'Tarieven W&amp;O'!$B:$B,0)),0)</f>
        <v>0</v>
      </c>
      <c r="AS362" s="205">
        <f>-INDEX(Parameters!$B:$B,MATCH(AS$3,Parameters!$A:$A,0))*(AQ362+AR362)</f>
        <v>0</v>
      </c>
      <c r="AT362" s="205">
        <f>INDEX(hulpblad!$E:$E,MATCH(M362&amp;Q362,hulpblad!$B:$B,0))</f>
        <v>1</v>
      </c>
      <c r="AU362" s="150">
        <f t="shared" si="215"/>
        <v>162.69</v>
      </c>
      <c r="AV362" s="150">
        <f t="shared" si="216"/>
        <v>163.21083333333334</v>
      </c>
      <c r="AX362" s="526">
        <f>Parameters!$B$6*AV362</f>
        <v>1.6321083333333335</v>
      </c>
      <c r="AY362" s="150">
        <v>0</v>
      </c>
      <c r="AZ362" s="150"/>
      <c r="BA362" s="150">
        <f t="shared" si="202"/>
        <v>1.6321083333333335</v>
      </c>
      <c r="BB362" s="150"/>
      <c r="BC362" s="522">
        <f t="shared" si="203"/>
        <v>164.84294166666666</v>
      </c>
      <c r="BD362" s="175"/>
      <c r="BE362" s="527">
        <f t="shared" si="217"/>
        <v>855.99039166666671</v>
      </c>
      <c r="BF362" s="181">
        <f t="shared" si="218"/>
        <v>0.83852119999999997</v>
      </c>
      <c r="BG362" s="520" t="b">
        <f t="shared" si="206"/>
        <v>0</v>
      </c>
      <c r="BI362" s="528" t="s">
        <v>2181</v>
      </c>
      <c r="BL362" s="151" t="str">
        <f t="shared" si="220"/>
        <v>EoKMetro - Regionaal</v>
      </c>
      <c r="BM362" s="529">
        <v>0</v>
      </c>
      <c r="BN362" s="180">
        <f>BM362/INDEX(Parameters!$B:$B,MATCH("AfschrijftermijnVVE"&amp;12*$C362,Parameters!$A:$A,0))</f>
        <v>0</v>
      </c>
      <c r="BO362" s="184">
        <f>INDEX('inkoop ULL tbv EVPN'!I:I,MATCH(BL362,'inkoop ULL tbv EVPN'!H:H,0))</f>
        <v>2</v>
      </c>
      <c r="BP362" s="184">
        <f t="shared" si="221"/>
        <v>2</v>
      </c>
      <c r="BR362" s="180">
        <f>Parameters!$B$12*AG362</f>
        <v>102.08333333333334</v>
      </c>
      <c r="BS362" s="180">
        <f>SUM(Distributievergoedingen!$F$12,Distributievergoedingen!$I$12,Distributievergoedingen!$L$12,Distributievergoedingen!$O$12)*AF362+SUM(Distributievergoedingen!$O$12*AA362+Distributievergoedingen!$R$12+Distributievergoedingen!$U$12+Distributievergoedingen!$X$12)/(MAX(36,12*C362))</f>
        <v>112.08333333333333</v>
      </c>
      <c r="BT362" s="150"/>
      <c r="BU362" s="150">
        <f t="shared" si="222"/>
        <v>214.16666666666669</v>
      </c>
      <c r="BW362" s="522">
        <f t="shared" si="223"/>
        <v>216.16666666666669</v>
      </c>
      <c r="BY362" s="527">
        <f t="shared" si="224"/>
        <v>804.66666666666674</v>
      </c>
      <c r="BZ362" s="181">
        <f t="shared" si="225"/>
        <v>0.78824489795918373</v>
      </c>
      <c r="CA362" s="520" t="b">
        <f t="shared" si="226"/>
        <v>0</v>
      </c>
    </row>
    <row r="363" spans="1:79" s="151" customFormat="1">
      <c r="A363" s="151" t="str">
        <f t="shared" si="219"/>
        <v>4EoKEntryCity800</v>
      </c>
      <c r="B363" s="520" t="str">
        <f t="shared" si="214"/>
        <v>4EoKEntryCity800</v>
      </c>
      <c r="C363" s="179">
        <v>4</v>
      </c>
      <c r="D363" s="179" t="s">
        <v>303</v>
      </c>
      <c r="E363" s="178" t="s">
        <v>45</v>
      </c>
      <c r="F363" s="178" t="s">
        <v>262</v>
      </c>
      <c r="G363" s="185" t="s">
        <v>422</v>
      </c>
      <c r="J363" s="520" t="str">
        <f t="shared" si="193"/>
        <v>EntryCity800</v>
      </c>
      <c r="L363" s="204">
        <f>INDEX(Mapping!$H:$H,MATCH(C$3&amp;C363,Mapping!$B:$B,0))</f>
        <v>1</v>
      </c>
      <c r="M363" s="204" t="str">
        <f>INDEX(Mapping!$H:$H,MATCH(D$3&amp;$D363,Mapping!$B:$B,0))</f>
        <v>EoK</v>
      </c>
      <c r="N363" s="204" t="str">
        <f>INDEX(Mapping!$H:$H,MATCH(E$3&amp;E363,Mapping!$B:$B,0))</f>
        <v>Lite</v>
      </c>
      <c r="O363" s="204" t="str">
        <f>INDEX(Mapping!$H:$H,MATCH(F$3&amp;F363,Mapping!$B:$B,0))</f>
        <v>Metro</v>
      </c>
      <c r="P363" s="204">
        <f>INDEX(Mapping!$H:$H,MATCH(G$3&amp;G363,Mapping!$B:$B,0))</f>
        <v>800</v>
      </c>
      <c r="Q363" s="204" t="str">
        <f>INDEX(Mapping!$H:$H,MATCH(Q$3&amp;$F363,Mapping!$B:$B,0))</f>
        <v>Metro - Regionaal</v>
      </c>
      <c r="R363" s="204" t="str">
        <f>INDEX(Mapping!$H:$H,MATCH("ZM VPN Service Level"&amp;E363,Mapping!$B:$B,0))</f>
        <v>Advanced</v>
      </c>
      <c r="S363" s="139" t="b">
        <f>IF($D363="EoK",INDEX(Mapping!$I:$I,MATCH($G$3&amp;$G363,Mapping!B:B,0)),FALSE)</f>
        <v>0</v>
      </c>
      <c r="T363" s="139"/>
      <c r="U363" s="520" t="str">
        <f t="shared" si="194"/>
        <v>LiteMetro800</v>
      </c>
      <c r="W363" s="521">
        <f>MATCH($J363,'Tarieven ZM'!$B:$B,0)</f>
        <v>25</v>
      </c>
      <c r="X363" s="204">
        <f>INDEX('Tarieven ZM'!$H:$H,$W363)</f>
        <v>1000</v>
      </c>
      <c r="Y363" s="198">
        <f>-INDEX(Parameters!$B:$B,MATCH(Y$3&amp;$C363,Parameters!$A:$A,0))*$X363</f>
        <v>0</v>
      </c>
      <c r="Z363" s="198">
        <f>-INDEX(Parameters!$B:$B,MATCH(Z$3&amp;$C363,Parameters!$A:$A,0))*$X363</f>
        <v>0</v>
      </c>
      <c r="AA363" s="139">
        <f t="shared" si="195"/>
        <v>1000</v>
      </c>
      <c r="AB363" s="205">
        <f>AA363/INDEX(Parameters!$B:$B,MATCH("AfschrijftermijnVVE"&amp;12*$C363,Parameters!$A:$A,0))</f>
        <v>20.833333333333332</v>
      </c>
      <c r="AC363" s="204">
        <f>INDEX('Tarieven ZM'!$G:$G,$W363)</f>
        <v>1000</v>
      </c>
      <c r="AD363" s="198">
        <f>-INDEX(Parameters!$B:$B,MATCH(AD$3&amp;$C363,Parameters!$A:$A,0))*$AC363</f>
        <v>0</v>
      </c>
      <c r="AE363" s="198">
        <f>-INDEX(Parameters!$B:$B,MATCH(AE$3,Parameters!$A:$A,0))*$AC363</f>
        <v>0</v>
      </c>
      <c r="AF363" s="139">
        <f t="shared" si="196"/>
        <v>1000</v>
      </c>
      <c r="AG363" s="522">
        <f t="shared" si="197"/>
        <v>1020.8333333333334</v>
      </c>
      <c r="AH363" s="175"/>
      <c r="AI363" s="523">
        <f>MATCH($U363,'Tarieven W&amp;O'!$B:$B,0)</f>
        <v>53</v>
      </c>
      <c r="AJ363" s="204">
        <f>IF(AI363&lt;&gt;"nvt",INDEX('Tarieven W&amp;O'!$H:$H,$AI363),0)</f>
        <v>0</v>
      </c>
      <c r="AK363" s="204">
        <f>IF(AI363&lt;&gt;"nvt",INDEX('Tarieven W&amp;O'!$I:$I,$AI363),0)</f>
        <v>25</v>
      </c>
      <c r="AL363" s="524">
        <f>IF(AI363&lt;&gt;"nvt",-INDEX(Parameters!$B:$B,MATCH(AL$3,Parameters!$A:$A,0))*(AJ363+AK363),0)</f>
        <v>0</v>
      </c>
      <c r="AM363" s="525"/>
      <c r="AN363" s="139">
        <f t="shared" si="198"/>
        <v>25</v>
      </c>
      <c r="AO363" s="205">
        <f>AN363/INDEX(Parameters!$B:$B,MATCH("AfschrijftermijnVVE"&amp;12*$C363,Parameters!$A:$A,0))</f>
        <v>0.52083333333333337</v>
      </c>
      <c r="AP363" s="139">
        <f t="shared" si="199"/>
        <v>53</v>
      </c>
      <c r="AQ363" s="526">
        <f>IF(AP363&lt;&gt;"nvt",INDEX('Tarieven W&amp;O'!$G:$G,$AP363),0)</f>
        <v>184.31</v>
      </c>
      <c r="AR363" s="251">
        <f>IF($S363,INDEX('Tarieven W&amp;O'!$G:$G,MATCH(N363&amp;R363,'Tarieven W&amp;O'!$B:$B,0)),0)</f>
        <v>0</v>
      </c>
      <c r="AS363" s="205">
        <f>-INDEX(Parameters!$B:$B,MATCH(AS$3,Parameters!$A:$A,0))*(AQ363+AR363)</f>
        <v>0</v>
      </c>
      <c r="AT363" s="205">
        <f>INDEX(hulpblad!$E:$E,MATCH(M363&amp;Q363,hulpblad!$B:$B,0))</f>
        <v>1</v>
      </c>
      <c r="AU363" s="150">
        <f t="shared" si="215"/>
        <v>185.31</v>
      </c>
      <c r="AV363" s="150">
        <f t="shared" si="216"/>
        <v>185.83083333333335</v>
      </c>
      <c r="AX363" s="526">
        <f>Parameters!$B$6*AV363</f>
        <v>1.8583083333333335</v>
      </c>
      <c r="AY363" s="150">
        <v>0</v>
      </c>
      <c r="AZ363" s="150"/>
      <c r="BA363" s="150">
        <f t="shared" si="202"/>
        <v>1.8583083333333335</v>
      </c>
      <c r="BB363" s="150"/>
      <c r="BC363" s="522">
        <f t="shared" si="203"/>
        <v>187.68914166666667</v>
      </c>
      <c r="BD363" s="175"/>
      <c r="BE363" s="527">
        <f t="shared" si="217"/>
        <v>833.14419166666676</v>
      </c>
      <c r="BF363" s="181">
        <f t="shared" si="218"/>
        <v>0.81614124897959195</v>
      </c>
      <c r="BG363" s="520" t="b">
        <f t="shared" si="206"/>
        <v>0</v>
      </c>
      <c r="BI363" s="528" t="s">
        <v>2181</v>
      </c>
      <c r="BL363" s="151" t="str">
        <f t="shared" si="220"/>
        <v>EoKMetro - Regionaal</v>
      </c>
      <c r="BM363" s="529">
        <v>0</v>
      </c>
      <c r="BN363" s="180">
        <f>BM363/INDEX(Parameters!$B:$B,MATCH("AfschrijftermijnVVE"&amp;12*$C363,Parameters!$A:$A,0))</f>
        <v>0</v>
      </c>
      <c r="BO363" s="184">
        <f>INDEX('inkoop ULL tbv EVPN'!I:I,MATCH(BL363,'inkoop ULL tbv EVPN'!H:H,0))</f>
        <v>2</v>
      </c>
      <c r="BP363" s="184">
        <f t="shared" si="221"/>
        <v>2</v>
      </c>
      <c r="BR363" s="180">
        <f>Parameters!$B$12*AG363</f>
        <v>102.08333333333334</v>
      </c>
      <c r="BS363" s="180">
        <f>SUM(Distributievergoedingen!$F$12,Distributievergoedingen!$I$12,Distributievergoedingen!$L$12,Distributievergoedingen!$O$12)*AF363+SUM(Distributievergoedingen!$O$12*AA363+Distributievergoedingen!$R$12+Distributievergoedingen!$U$12+Distributievergoedingen!$X$12)/(MAX(36,12*C363))</f>
        <v>112.08333333333333</v>
      </c>
      <c r="BT363" s="150"/>
      <c r="BU363" s="150">
        <f t="shared" si="222"/>
        <v>214.16666666666669</v>
      </c>
      <c r="BW363" s="522">
        <f t="shared" si="223"/>
        <v>216.16666666666669</v>
      </c>
      <c r="BY363" s="527">
        <f t="shared" si="224"/>
        <v>804.66666666666674</v>
      </c>
      <c r="BZ363" s="181">
        <f t="shared" si="225"/>
        <v>0.78824489795918373</v>
      </c>
      <c r="CA363" s="520" t="b">
        <f t="shared" si="226"/>
        <v>0</v>
      </c>
    </row>
    <row r="364" spans="1:79" s="151" customFormat="1">
      <c r="A364" s="151" t="str">
        <f t="shared" si="219"/>
        <v>4EoKEntryCity1000</v>
      </c>
      <c r="B364" s="520" t="str">
        <f t="shared" si="214"/>
        <v>4EoKEntryCity1000</v>
      </c>
      <c r="C364" s="179">
        <v>4</v>
      </c>
      <c r="D364" s="179" t="s">
        <v>303</v>
      </c>
      <c r="E364" s="178" t="s">
        <v>45</v>
      </c>
      <c r="F364" s="178" t="s">
        <v>262</v>
      </c>
      <c r="G364" s="185" t="s">
        <v>423</v>
      </c>
      <c r="J364" s="520" t="str">
        <f t="shared" si="193"/>
        <v>EntryCity1000</v>
      </c>
      <c r="L364" s="204">
        <f>INDEX(Mapping!$H:$H,MATCH(C$3&amp;C364,Mapping!$B:$B,0))</f>
        <v>1</v>
      </c>
      <c r="M364" s="204" t="str">
        <f>INDEX(Mapping!$H:$H,MATCH(D$3&amp;$D364,Mapping!$B:$B,0))</f>
        <v>EoK</v>
      </c>
      <c r="N364" s="204" t="str">
        <f>INDEX(Mapping!$H:$H,MATCH(E$3&amp;E364,Mapping!$B:$B,0))</f>
        <v>Lite</v>
      </c>
      <c r="O364" s="204" t="str">
        <f>INDEX(Mapping!$H:$H,MATCH(F$3&amp;F364,Mapping!$B:$B,0))</f>
        <v>Metro</v>
      </c>
      <c r="P364" s="204">
        <f>INDEX(Mapping!$H:$H,MATCH(G$3&amp;G364,Mapping!$B:$B,0))</f>
        <v>1000</v>
      </c>
      <c r="Q364" s="204" t="str">
        <f>INDEX(Mapping!$H:$H,MATCH(Q$3&amp;$F364,Mapping!$B:$B,0))</f>
        <v>Metro - Regionaal</v>
      </c>
      <c r="R364" s="204" t="str">
        <f>INDEX(Mapping!$H:$H,MATCH("ZM VPN Service Level"&amp;E364,Mapping!$B:$B,0))</f>
        <v>Advanced</v>
      </c>
      <c r="S364" s="139" t="b">
        <f>IF($D364="EoK",INDEX(Mapping!$I:$I,MATCH($G$3&amp;$G364,Mapping!B:B,0)),FALSE)</f>
        <v>0</v>
      </c>
      <c r="T364" s="139"/>
      <c r="U364" s="520" t="str">
        <f t="shared" si="194"/>
        <v>LiteMetro1000</v>
      </c>
      <c r="W364" s="521">
        <f>MATCH($J364,'Tarieven ZM'!$B:$B,0)</f>
        <v>26</v>
      </c>
      <c r="X364" s="204">
        <f>INDEX('Tarieven ZM'!$H:$H,$W364)</f>
        <v>1000</v>
      </c>
      <c r="Y364" s="198">
        <f>-INDEX(Parameters!$B:$B,MATCH(Y$3&amp;$C364,Parameters!$A:$A,0))*$X364</f>
        <v>0</v>
      </c>
      <c r="Z364" s="198">
        <f>-INDEX(Parameters!$B:$B,MATCH(Z$3&amp;$C364,Parameters!$A:$A,0))*$X364</f>
        <v>0</v>
      </c>
      <c r="AA364" s="139">
        <f t="shared" si="195"/>
        <v>1000</v>
      </c>
      <c r="AB364" s="205">
        <f>AA364/INDEX(Parameters!$B:$B,MATCH("AfschrijftermijnVVE"&amp;12*$C364,Parameters!$A:$A,0))</f>
        <v>20.833333333333332</v>
      </c>
      <c r="AC364" s="204">
        <f>INDEX('Tarieven ZM'!$G:$G,$W364)</f>
        <v>1000</v>
      </c>
      <c r="AD364" s="198">
        <f>-INDEX(Parameters!$B:$B,MATCH(AD$3&amp;$C364,Parameters!$A:$A,0))*$AC364</f>
        <v>0</v>
      </c>
      <c r="AE364" s="198">
        <f>-INDEX(Parameters!$B:$B,MATCH(AE$3,Parameters!$A:$A,0))*$AC364</f>
        <v>0</v>
      </c>
      <c r="AF364" s="139">
        <f t="shared" si="196"/>
        <v>1000</v>
      </c>
      <c r="AG364" s="522">
        <f t="shared" si="197"/>
        <v>1020.8333333333334</v>
      </c>
      <c r="AH364" s="175"/>
      <c r="AI364" s="523">
        <f>MATCH($U364,'Tarieven W&amp;O'!$B:$B,0)</f>
        <v>54</v>
      </c>
      <c r="AJ364" s="204">
        <f>IF(AI364&lt;&gt;"nvt",INDEX('Tarieven W&amp;O'!$H:$H,$AI364),0)</f>
        <v>0</v>
      </c>
      <c r="AK364" s="204">
        <f>IF(AI364&lt;&gt;"nvt",INDEX('Tarieven W&amp;O'!$I:$I,$AI364),0)</f>
        <v>25</v>
      </c>
      <c r="AL364" s="524">
        <f>IF(AI364&lt;&gt;"nvt",-INDEX(Parameters!$B:$B,MATCH(AL$3,Parameters!$A:$A,0))*(AJ364+AK364),0)</f>
        <v>0</v>
      </c>
      <c r="AM364" s="525"/>
      <c r="AN364" s="139">
        <f t="shared" si="198"/>
        <v>25</v>
      </c>
      <c r="AO364" s="205">
        <f>AN364/INDEX(Parameters!$B:$B,MATCH("AfschrijftermijnVVE"&amp;12*$C364,Parameters!$A:$A,0))</f>
        <v>0.52083333333333337</v>
      </c>
      <c r="AP364" s="139">
        <f t="shared" si="199"/>
        <v>54</v>
      </c>
      <c r="AQ364" s="526">
        <f>IF(AP364&lt;&gt;"nvt",INDEX('Tarieven W&amp;O'!$G:$G,$AP364),0)</f>
        <v>203.15</v>
      </c>
      <c r="AR364" s="251">
        <f>IF($S364,INDEX('Tarieven W&amp;O'!$G:$G,MATCH(N364&amp;R364,'Tarieven W&amp;O'!$B:$B,0)),0)</f>
        <v>0</v>
      </c>
      <c r="AS364" s="205">
        <f>-INDEX(Parameters!$B:$B,MATCH(AS$3,Parameters!$A:$A,0))*(AQ364+AR364)</f>
        <v>0</v>
      </c>
      <c r="AT364" s="205">
        <f>INDEX(hulpblad!$E:$E,MATCH(M364&amp;Q364,hulpblad!$B:$B,0))</f>
        <v>1</v>
      </c>
      <c r="AU364" s="150">
        <f t="shared" si="215"/>
        <v>204.15</v>
      </c>
      <c r="AV364" s="150">
        <f t="shared" si="216"/>
        <v>204.67083333333335</v>
      </c>
      <c r="AX364" s="526">
        <f>Parameters!$B$6*AV364</f>
        <v>2.0467083333333336</v>
      </c>
      <c r="AY364" s="150">
        <v>0</v>
      </c>
      <c r="AZ364" s="150"/>
      <c r="BA364" s="150">
        <f t="shared" si="202"/>
        <v>2.0467083333333336</v>
      </c>
      <c r="BB364" s="150"/>
      <c r="BC364" s="522">
        <f t="shared" si="203"/>
        <v>206.71754166666668</v>
      </c>
      <c r="BD364" s="175"/>
      <c r="BE364" s="527">
        <f t="shared" si="217"/>
        <v>814.11579166666672</v>
      </c>
      <c r="BF364" s="181">
        <f t="shared" si="218"/>
        <v>0.79750118367346945</v>
      </c>
      <c r="BG364" s="520" t="b">
        <f t="shared" si="206"/>
        <v>0</v>
      </c>
      <c r="BI364" s="528" t="s">
        <v>2181</v>
      </c>
      <c r="BL364" s="151" t="str">
        <f t="shared" si="220"/>
        <v>EoKMetro - Regionaal</v>
      </c>
      <c r="BM364" s="529">
        <v>0</v>
      </c>
      <c r="BN364" s="180">
        <f>BM364/INDEX(Parameters!$B:$B,MATCH("AfschrijftermijnVVE"&amp;12*$C364,Parameters!$A:$A,0))</f>
        <v>0</v>
      </c>
      <c r="BO364" s="184">
        <f>INDEX('inkoop ULL tbv EVPN'!I:I,MATCH(BL364,'inkoop ULL tbv EVPN'!H:H,0))</f>
        <v>2</v>
      </c>
      <c r="BP364" s="184">
        <f t="shared" si="221"/>
        <v>2</v>
      </c>
      <c r="BR364" s="180">
        <f>Parameters!$B$12*AG364</f>
        <v>102.08333333333334</v>
      </c>
      <c r="BS364" s="180">
        <f>SUM(Distributievergoedingen!$F$12,Distributievergoedingen!$I$12,Distributievergoedingen!$L$12,Distributievergoedingen!$O$12)*AF364+SUM(Distributievergoedingen!$O$12*AA364+Distributievergoedingen!$R$12+Distributievergoedingen!$U$12+Distributievergoedingen!$X$12)/(MAX(36,12*C364))</f>
        <v>112.08333333333333</v>
      </c>
      <c r="BT364" s="150"/>
      <c r="BU364" s="150">
        <f t="shared" si="222"/>
        <v>214.16666666666669</v>
      </c>
      <c r="BW364" s="522">
        <f t="shared" si="223"/>
        <v>216.16666666666669</v>
      </c>
      <c r="BY364" s="527">
        <f t="shared" si="224"/>
        <v>804.66666666666674</v>
      </c>
      <c r="BZ364" s="181">
        <f t="shared" si="225"/>
        <v>0.78824489795918373</v>
      </c>
      <c r="CA364" s="520" t="b">
        <f t="shared" si="226"/>
        <v>0</v>
      </c>
    </row>
    <row r="365" spans="1:79" s="151" customFormat="1">
      <c r="A365" s="151" t="str">
        <f t="shared" si="219"/>
        <v>4EoKEntryRegionaal1</v>
      </c>
      <c r="B365" s="520" t="str">
        <f t="shared" si="214"/>
        <v>4EoKEntryRegionaal1</v>
      </c>
      <c r="C365" s="179">
        <v>4</v>
      </c>
      <c r="D365" s="179" t="s">
        <v>303</v>
      </c>
      <c r="E365" s="178" t="s">
        <v>45</v>
      </c>
      <c r="F365" s="178" t="s">
        <v>265</v>
      </c>
      <c r="G365" s="185" t="s">
        <v>362</v>
      </c>
      <c r="J365" s="520" t="str">
        <f t="shared" si="193"/>
        <v>EntryRegionaal1</v>
      </c>
      <c r="L365" s="204">
        <f>INDEX(Mapping!$H:$H,MATCH(C$3&amp;C365,Mapping!$B:$B,0))</f>
        <v>1</v>
      </c>
      <c r="M365" s="204" t="str">
        <f>INDEX(Mapping!$H:$H,MATCH(D$3&amp;$D365,Mapping!$B:$B,0))</f>
        <v>EoK</v>
      </c>
      <c r="N365" s="204" t="str">
        <f>INDEX(Mapping!$H:$H,MATCH(E$3&amp;E365,Mapping!$B:$B,0))</f>
        <v>Lite</v>
      </c>
      <c r="O365" s="204" t="str">
        <f>INDEX(Mapping!$H:$H,MATCH(F$3&amp;F365,Mapping!$B:$B,0))</f>
        <v>Metro</v>
      </c>
      <c r="P365" s="204">
        <f>INDEX(Mapping!$H:$H,MATCH(G$3&amp;G365,Mapping!$B:$B,0))</f>
        <v>1</v>
      </c>
      <c r="Q365" s="204" t="str">
        <f>INDEX(Mapping!$H:$H,MATCH(Q$3&amp;$F365,Mapping!$B:$B,0))</f>
        <v>Metro - Nationaal</v>
      </c>
      <c r="R365" s="204" t="str">
        <f>INDEX(Mapping!$H:$H,MATCH("ZM VPN Service Level"&amp;E365,Mapping!$B:$B,0))</f>
        <v>Advanced</v>
      </c>
      <c r="S365" s="139" t="b">
        <f>IF($D365="EoK",INDEX(Mapping!$I:$I,MATCH($G$3&amp;$G365,Mapping!B:B,0)),FALSE)</f>
        <v>1</v>
      </c>
      <c r="T365" s="139"/>
      <c r="U365" s="520" t="str">
        <f t="shared" si="194"/>
        <v>LiteMetro1</v>
      </c>
      <c r="W365" s="521">
        <f>MATCH($J365,'Tarieven ZM'!$B:$B,0)</f>
        <v>27</v>
      </c>
      <c r="X365" s="204">
        <f>INDEX('Tarieven ZM'!$H:$H,$W365)</f>
        <v>1000</v>
      </c>
      <c r="Y365" s="198">
        <f>-INDEX(Parameters!$B:$B,MATCH(Y$3&amp;$C365,Parameters!$A:$A,0))*$X365</f>
        <v>0</v>
      </c>
      <c r="Z365" s="198">
        <f>-INDEX(Parameters!$B:$B,MATCH(Z$3&amp;$C365,Parameters!$A:$A,0))*$X365</f>
        <v>0</v>
      </c>
      <c r="AA365" s="139">
        <f t="shared" si="195"/>
        <v>1000</v>
      </c>
      <c r="AB365" s="205">
        <f>AA365/INDEX(Parameters!$B:$B,MATCH("AfschrijftermijnVVE"&amp;12*$C365,Parameters!$A:$A,0))</f>
        <v>20.833333333333332</v>
      </c>
      <c r="AC365" s="204">
        <f>INDEX('Tarieven ZM'!$G:$G,$W365)</f>
        <v>1000</v>
      </c>
      <c r="AD365" s="198">
        <f>-INDEX(Parameters!$B:$B,MATCH(AD$3&amp;$C365,Parameters!$A:$A,0))*$AC365</f>
        <v>0</v>
      </c>
      <c r="AE365" s="198">
        <f>-INDEX(Parameters!$B:$B,MATCH(AE$3,Parameters!$A:$A,0))*$AC365</f>
        <v>0</v>
      </c>
      <c r="AF365" s="139">
        <f t="shared" si="196"/>
        <v>1000</v>
      </c>
      <c r="AG365" s="522">
        <f t="shared" si="197"/>
        <v>1020.8333333333334</v>
      </c>
      <c r="AH365" s="175"/>
      <c r="AI365" s="523">
        <f>MATCH($U365,'Tarieven W&amp;O'!$B:$B,0)</f>
        <v>36</v>
      </c>
      <c r="AJ365" s="204">
        <f>IF(AI365&lt;&gt;"nvt",INDEX('Tarieven W&amp;O'!$H:$H,$AI365),0)</f>
        <v>0</v>
      </c>
      <c r="AK365" s="204">
        <f>IF(AI365&lt;&gt;"nvt",INDEX('Tarieven W&amp;O'!$I:$I,$AI365),0)</f>
        <v>25</v>
      </c>
      <c r="AL365" s="524">
        <f>IF(AI365&lt;&gt;"nvt",-INDEX(Parameters!$B:$B,MATCH(AL$3,Parameters!$A:$A,0))*(AJ365+AK365),0)</f>
        <v>0</v>
      </c>
      <c r="AM365" s="525"/>
      <c r="AN365" s="139">
        <f t="shared" si="198"/>
        <v>25</v>
      </c>
      <c r="AO365" s="205">
        <f>AN365/INDEX(Parameters!$B:$B,MATCH("AfschrijftermijnVVE"&amp;12*$C365,Parameters!$A:$A,0))</f>
        <v>0.52083333333333337</v>
      </c>
      <c r="AP365" s="139">
        <f t="shared" si="199"/>
        <v>36</v>
      </c>
      <c r="AQ365" s="526">
        <f>IF(AP365&lt;&gt;"nvt",INDEX('Tarieven W&amp;O'!$G:$G,$AP365),0)</f>
        <v>14.29</v>
      </c>
      <c r="AR365" s="251">
        <f>IF($S365,INDEX('Tarieven W&amp;O'!$G:$G,MATCH(N365&amp;R365,'Tarieven W&amp;O'!$B:$B,0)),0)</f>
        <v>5.25</v>
      </c>
      <c r="AS365" s="205">
        <f>-INDEX(Parameters!$B:$B,MATCH(AS$3,Parameters!$A:$A,0))*(AQ365+AR365)</f>
        <v>0</v>
      </c>
      <c r="AT365" s="205">
        <f>INDEX(hulpblad!$E:$E,MATCH(M365&amp;Q365,hulpblad!$B:$B,0))</f>
        <v>2</v>
      </c>
      <c r="AU365" s="150">
        <f t="shared" si="215"/>
        <v>21.54</v>
      </c>
      <c r="AV365" s="150">
        <f t="shared" si="216"/>
        <v>22.060833333333331</v>
      </c>
      <c r="AX365" s="526">
        <f>Parameters!$B$6*AV365</f>
        <v>0.22060833333333332</v>
      </c>
      <c r="AY365" s="150">
        <v>0</v>
      </c>
      <c r="AZ365" s="150"/>
      <c r="BA365" s="150">
        <f t="shared" si="202"/>
        <v>0.22060833333333332</v>
      </c>
      <c r="BB365" s="150"/>
      <c r="BC365" s="522">
        <f t="shared" si="203"/>
        <v>22.281441666666666</v>
      </c>
      <c r="BD365" s="175"/>
      <c r="BE365" s="527">
        <f t="shared" si="217"/>
        <v>998.55189166666673</v>
      </c>
      <c r="BF365" s="181">
        <f t="shared" si="218"/>
        <v>0.97817328163265305</v>
      </c>
      <c r="BG365" s="520" t="b">
        <f t="shared" si="206"/>
        <v>0</v>
      </c>
      <c r="BI365" s="528" t="s">
        <v>2181</v>
      </c>
      <c r="BL365" s="151" t="str">
        <f t="shared" si="220"/>
        <v>EoKMetro - Nationaal</v>
      </c>
      <c r="BM365" s="529">
        <v>0</v>
      </c>
      <c r="BN365" s="180">
        <f>BM365/INDEX(Parameters!$B:$B,MATCH("AfschrijftermijnVVE"&amp;12*$C365,Parameters!$A:$A,0))</f>
        <v>0</v>
      </c>
      <c r="BO365" s="184">
        <f>INDEX('inkoop ULL tbv EVPN'!I:I,MATCH(BL365,'inkoop ULL tbv EVPN'!H:H,0))</f>
        <v>2</v>
      </c>
      <c r="BP365" s="184">
        <f t="shared" si="221"/>
        <v>2</v>
      </c>
      <c r="BR365" s="180">
        <f>Parameters!$B$12*AG365</f>
        <v>102.08333333333334</v>
      </c>
      <c r="BS365" s="180">
        <f>SUM(Distributievergoedingen!$F$12,Distributievergoedingen!$I$12,Distributievergoedingen!$L$12,Distributievergoedingen!$O$12)*AF365+SUM(Distributievergoedingen!$O$12*AA365+Distributievergoedingen!$R$12+Distributievergoedingen!$U$12+Distributievergoedingen!$X$12)/(MAX(36,12*C365))</f>
        <v>112.08333333333333</v>
      </c>
      <c r="BT365" s="150"/>
      <c r="BU365" s="150">
        <f t="shared" si="222"/>
        <v>214.16666666666669</v>
      </c>
      <c r="BW365" s="522">
        <f t="shared" si="223"/>
        <v>216.16666666666669</v>
      </c>
      <c r="BY365" s="527">
        <f t="shared" si="224"/>
        <v>804.66666666666674</v>
      </c>
      <c r="BZ365" s="181">
        <f t="shared" si="225"/>
        <v>0.78824489795918373</v>
      </c>
      <c r="CA365" s="520" t="b">
        <f t="shared" si="226"/>
        <v>0</v>
      </c>
    </row>
    <row r="366" spans="1:79" s="151" customFormat="1">
      <c r="A366" s="151" t="str">
        <f t="shared" si="219"/>
        <v>4EoKEntryRegionaal2</v>
      </c>
      <c r="B366" s="520" t="str">
        <f t="shared" si="214"/>
        <v>4EoKEntryRegionaal2</v>
      </c>
      <c r="C366" s="179">
        <v>4</v>
      </c>
      <c r="D366" s="179" t="s">
        <v>303</v>
      </c>
      <c r="E366" s="178" t="s">
        <v>45</v>
      </c>
      <c r="F366" s="178" t="s">
        <v>265</v>
      </c>
      <c r="G366" s="185" t="s">
        <v>363</v>
      </c>
      <c r="J366" s="520" t="str">
        <f t="shared" si="193"/>
        <v>EntryRegionaal2</v>
      </c>
      <c r="L366" s="204">
        <f>INDEX(Mapping!$H:$H,MATCH(C$3&amp;C366,Mapping!$B:$B,0))</f>
        <v>1</v>
      </c>
      <c r="M366" s="204" t="str">
        <f>INDEX(Mapping!$H:$H,MATCH(D$3&amp;$D366,Mapping!$B:$B,0))</f>
        <v>EoK</v>
      </c>
      <c r="N366" s="204" t="str">
        <f>INDEX(Mapping!$H:$H,MATCH(E$3&amp;E366,Mapping!$B:$B,0))</f>
        <v>Lite</v>
      </c>
      <c r="O366" s="204" t="str">
        <f>INDEX(Mapping!$H:$H,MATCH(F$3&amp;F366,Mapping!$B:$B,0))</f>
        <v>Metro</v>
      </c>
      <c r="P366" s="204">
        <f>INDEX(Mapping!$H:$H,MATCH(G$3&amp;G366,Mapping!$B:$B,0))</f>
        <v>2</v>
      </c>
      <c r="Q366" s="204" t="str">
        <f>INDEX(Mapping!$H:$H,MATCH(Q$3&amp;$F366,Mapping!$B:$B,0))</f>
        <v>Metro - Nationaal</v>
      </c>
      <c r="R366" s="204" t="str">
        <f>INDEX(Mapping!$H:$H,MATCH("ZM VPN Service Level"&amp;E366,Mapping!$B:$B,0))</f>
        <v>Advanced</v>
      </c>
      <c r="S366" s="139" t="b">
        <f>IF($D366="EoK",INDEX(Mapping!$I:$I,MATCH($G$3&amp;$G366,Mapping!B:B,0)),FALSE)</f>
        <v>1</v>
      </c>
      <c r="T366" s="139"/>
      <c r="U366" s="520" t="str">
        <f t="shared" si="194"/>
        <v>LiteMetro2</v>
      </c>
      <c r="W366" s="521">
        <f>MATCH($J366,'Tarieven ZM'!$B:$B,0)</f>
        <v>28</v>
      </c>
      <c r="X366" s="204">
        <f>INDEX('Tarieven ZM'!$H:$H,$W366)</f>
        <v>1000</v>
      </c>
      <c r="Y366" s="198">
        <f>-INDEX(Parameters!$B:$B,MATCH(Y$3&amp;$C366,Parameters!$A:$A,0))*$X366</f>
        <v>0</v>
      </c>
      <c r="Z366" s="198">
        <f>-INDEX(Parameters!$B:$B,MATCH(Z$3&amp;$C366,Parameters!$A:$A,0))*$X366</f>
        <v>0</v>
      </c>
      <c r="AA366" s="139">
        <f t="shared" si="195"/>
        <v>1000</v>
      </c>
      <c r="AB366" s="205">
        <f>AA366/INDEX(Parameters!$B:$B,MATCH("AfschrijftermijnVVE"&amp;12*$C366,Parameters!$A:$A,0))</f>
        <v>20.833333333333332</v>
      </c>
      <c r="AC366" s="204">
        <f>INDEX('Tarieven ZM'!$G:$G,$W366)</f>
        <v>1000</v>
      </c>
      <c r="AD366" s="198">
        <f>-INDEX(Parameters!$B:$B,MATCH(AD$3&amp;$C366,Parameters!$A:$A,0))*$AC366</f>
        <v>0</v>
      </c>
      <c r="AE366" s="198">
        <f>-INDEX(Parameters!$B:$B,MATCH(AE$3,Parameters!$A:$A,0))*$AC366</f>
        <v>0</v>
      </c>
      <c r="AF366" s="139">
        <f t="shared" si="196"/>
        <v>1000</v>
      </c>
      <c r="AG366" s="522">
        <f t="shared" si="197"/>
        <v>1020.8333333333334</v>
      </c>
      <c r="AH366" s="175"/>
      <c r="AI366" s="523">
        <f>MATCH($U366,'Tarieven W&amp;O'!$B:$B,0)</f>
        <v>37</v>
      </c>
      <c r="AJ366" s="204">
        <f>IF(AI366&lt;&gt;"nvt",INDEX('Tarieven W&amp;O'!$H:$H,$AI366),0)</f>
        <v>0</v>
      </c>
      <c r="AK366" s="204">
        <f>IF(AI366&lt;&gt;"nvt",INDEX('Tarieven W&amp;O'!$I:$I,$AI366),0)</f>
        <v>25</v>
      </c>
      <c r="AL366" s="524">
        <f>IF(AI366&lt;&gt;"nvt",-INDEX(Parameters!$B:$B,MATCH(AL$3,Parameters!$A:$A,0))*(AJ366+AK366),0)</f>
        <v>0</v>
      </c>
      <c r="AM366" s="525"/>
      <c r="AN366" s="139">
        <f t="shared" si="198"/>
        <v>25</v>
      </c>
      <c r="AO366" s="205">
        <f>AN366/INDEX(Parameters!$B:$B,MATCH("AfschrijftermijnVVE"&amp;12*$C366,Parameters!$A:$A,0))</f>
        <v>0.52083333333333337</v>
      </c>
      <c r="AP366" s="139">
        <f t="shared" si="199"/>
        <v>37</v>
      </c>
      <c r="AQ366" s="526">
        <f>IF(AP366&lt;&gt;"nvt",INDEX('Tarieven W&amp;O'!$G:$G,$AP366),0)</f>
        <v>16.55</v>
      </c>
      <c r="AR366" s="251">
        <f>IF($S366,INDEX('Tarieven W&amp;O'!$G:$G,MATCH(N366&amp;R366,'Tarieven W&amp;O'!$B:$B,0)),0)</f>
        <v>5.25</v>
      </c>
      <c r="AS366" s="205">
        <f>-INDEX(Parameters!$B:$B,MATCH(AS$3,Parameters!$A:$A,0))*(AQ366+AR366)</f>
        <v>0</v>
      </c>
      <c r="AT366" s="205">
        <f>INDEX(hulpblad!$E:$E,MATCH(M366&amp;Q366,hulpblad!$B:$B,0))</f>
        <v>2</v>
      </c>
      <c r="AU366" s="150">
        <f t="shared" si="215"/>
        <v>23.8</v>
      </c>
      <c r="AV366" s="150">
        <f t="shared" si="216"/>
        <v>24.320833333333333</v>
      </c>
      <c r="AX366" s="526">
        <f>Parameters!$B$6*AV366</f>
        <v>0.24320833333333333</v>
      </c>
      <c r="AY366" s="150">
        <v>0</v>
      </c>
      <c r="AZ366" s="150"/>
      <c r="BA366" s="150">
        <f t="shared" si="202"/>
        <v>0.24320833333333333</v>
      </c>
      <c r="BB366" s="150"/>
      <c r="BC366" s="522">
        <f t="shared" si="203"/>
        <v>24.564041666666665</v>
      </c>
      <c r="BD366" s="175"/>
      <c r="BE366" s="527">
        <f t="shared" si="217"/>
        <v>996.26929166666673</v>
      </c>
      <c r="BF366" s="181">
        <f t="shared" si="218"/>
        <v>0.97593726530612246</v>
      </c>
      <c r="BG366" s="520" t="b">
        <f t="shared" si="206"/>
        <v>0</v>
      </c>
      <c r="BI366" s="528" t="s">
        <v>2181</v>
      </c>
      <c r="BL366" s="151" t="str">
        <f t="shared" si="220"/>
        <v>EoKMetro - Nationaal</v>
      </c>
      <c r="BM366" s="529">
        <v>0</v>
      </c>
      <c r="BN366" s="180">
        <f>BM366/INDEX(Parameters!$B:$B,MATCH("AfschrijftermijnVVE"&amp;12*$C366,Parameters!$A:$A,0))</f>
        <v>0</v>
      </c>
      <c r="BO366" s="184">
        <f>INDEX('inkoop ULL tbv EVPN'!I:I,MATCH(BL366,'inkoop ULL tbv EVPN'!H:H,0))</f>
        <v>2</v>
      </c>
      <c r="BP366" s="184">
        <f t="shared" si="221"/>
        <v>2</v>
      </c>
      <c r="BR366" s="180">
        <f>Parameters!$B$12*AG366</f>
        <v>102.08333333333334</v>
      </c>
      <c r="BS366" s="180">
        <f>SUM(Distributievergoedingen!$F$12,Distributievergoedingen!$I$12,Distributievergoedingen!$L$12,Distributievergoedingen!$O$12)*AF366+SUM(Distributievergoedingen!$O$12*AA366+Distributievergoedingen!$R$12+Distributievergoedingen!$U$12+Distributievergoedingen!$X$12)/(MAX(36,12*C366))</f>
        <v>112.08333333333333</v>
      </c>
      <c r="BT366" s="150"/>
      <c r="BU366" s="150">
        <f t="shared" si="222"/>
        <v>214.16666666666669</v>
      </c>
      <c r="BW366" s="522">
        <f t="shared" si="223"/>
        <v>216.16666666666669</v>
      </c>
      <c r="BY366" s="527">
        <f t="shared" si="224"/>
        <v>804.66666666666674</v>
      </c>
      <c r="BZ366" s="181">
        <f t="shared" si="225"/>
        <v>0.78824489795918373</v>
      </c>
      <c r="CA366" s="520" t="b">
        <f t="shared" si="226"/>
        <v>0</v>
      </c>
    </row>
    <row r="367" spans="1:79" s="151" customFormat="1">
      <c r="A367" s="151" t="str">
        <f t="shared" si="219"/>
        <v>4EoKEntryRegionaal3</v>
      </c>
      <c r="B367" s="520" t="str">
        <f t="shared" si="214"/>
        <v>4EoKEntryRegionaal3</v>
      </c>
      <c r="C367" s="179">
        <v>4</v>
      </c>
      <c r="D367" s="179" t="s">
        <v>303</v>
      </c>
      <c r="E367" s="178" t="s">
        <v>45</v>
      </c>
      <c r="F367" s="178" t="s">
        <v>265</v>
      </c>
      <c r="G367" s="185" t="s">
        <v>407</v>
      </c>
      <c r="J367" s="520" t="str">
        <f t="shared" si="193"/>
        <v>EntryRegionaal3</v>
      </c>
      <c r="L367" s="204">
        <f>INDEX(Mapping!$H:$H,MATCH(C$3&amp;C367,Mapping!$B:$B,0))</f>
        <v>1</v>
      </c>
      <c r="M367" s="204" t="str">
        <f>INDEX(Mapping!$H:$H,MATCH(D$3&amp;$D367,Mapping!$B:$B,0))</f>
        <v>EoK</v>
      </c>
      <c r="N367" s="204" t="str">
        <f>INDEX(Mapping!$H:$H,MATCH(E$3&amp;E367,Mapping!$B:$B,0))</f>
        <v>Lite</v>
      </c>
      <c r="O367" s="204" t="str">
        <f>INDEX(Mapping!$H:$H,MATCH(F$3&amp;F367,Mapping!$B:$B,0))</f>
        <v>Metro</v>
      </c>
      <c r="P367" s="204">
        <f>INDEX(Mapping!$H:$H,MATCH(G$3&amp;G367,Mapping!$B:$B,0))</f>
        <v>3</v>
      </c>
      <c r="Q367" s="204" t="str">
        <f>INDEX(Mapping!$H:$H,MATCH(Q$3&amp;$F367,Mapping!$B:$B,0))</f>
        <v>Metro - Nationaal</v>
      </c>
      <c r="R367" s="204" t="str">
        <f>INDEX(Mapping!$H:$H,MATCH("ZM VPN Service Level"&amp;E367,Mapping!$B:$B,0))</f>
        <v>Advanced</v>
      </c>
      <c r="S367" s="139" t="b">
        <f>IF($D367="EoK",INDEX(Mapping!$I:$I,MATCH($G$3&amp;$G367,Mapping!B:B,0)),FALSE)</f>
        <v>0</v>
      </c>
      <c r="T367" s="139"/>
      <c r="U367" s="520" t="str">
        <f t="shared" si="194"/>
        <v>LiteMetro3</v>
      </c>
      <c r="W367" s="521">
        <f>MATCH($J367,'Tarieven ZM'!$B:$B,0)</f>
        <v>29</v>
      </c>
      <c r="X367" s="204">
        <f>INDEX('Tarieven ZM'!$H:$H,$W367)</f>
        <v>1000</v>
      </c>
      <c r="Y367" s="198">
        <f>-INDEX(Parameters!$B:$B,MATCH(Y$3&amp;$C367,Parameters!$A:$A,0))*$X367</f>
        <v>0</v>
      </c>
      <c r="Z367" s="198">
        <f>-INDEX(Parameters!$B:$B,MATCH(Z$3&amp;$C367,Parameters!$A:$A,0))*$X367</f>
        <v>0</v>
      </c>
      <c r="AA367" s="139">
        <f t="shared" si="195"/>
        <v>1000</v>
      </c>
      <c r="AB367" s="205">
        <f>AA367/INDEX(Parameters!$B:$B,MATCH("AfschrijftermijnVVE"&amp;12*$C367,Parameters!$A:$A,0))</f>
        <v>20.833333333333332</v>
      </c>
      <c r="AC367" s="204">
        <f>INDEX('Tarieven ZM'!$G:$G,$W367)</f>
        <v>1000</v>
      </c>
      <c r="AD367" s="198">
        <f>-INDEX(Parameters!$B:$B,MATCH(AD$3&amp;$C367,Parameters!$A:$A,0))*$AC367</f>
        <v>0</v>
      </c>
      <c r="AE367" s="198">
        <f>-INDEX(Parameters!$B:$B,MATCH(AE$3,Parameters!$A:$A,0))*$AC367</f>
        <v>0</v>
      </c>
      <c r="AF367" s="139">
        <f t="shared" si="196"/>
        <v>1000</v>
      </c>
      <c r="AG367" s="522">
        <f t="shared" si="197"/>
        <v>1020.8333333333334</v>
      </c>
      <c r="AH367" s="175"/>
      <c r="AI367" s="523">
        <f>MATCH($U367,'Tarieven W&amp;O'!$B:$B,0)</f>
        <v>38</v>
      </c>
      <c r="AJ367" s="204">
        <f>IF(AI367&lt;&gt;"nvt",INDEX('Tarieven W&amp;O'!$H:$H,$AI367),0)</f>
        <v>0</v>
      </c>
      <c r="AK367" s="204">
        <f>IF(AI367&lt;&gt;"nvt",INDEX('Tarieven W&amp;O'!$I:$I,$AI367),0)</f>
        <v>25</v>
      </c>
      <c r="AL367" s="524">
        <f>IF(AI367&lt;&gt;"nvt",-INDEX(Parameters!$B:$B,MATCH(AL$3,Parameters!$A:$A,0))*(AJ367+AK367),0)</f>
        <v>0</v>
      </c>
      <c r="AM367" s="525"/>
      <c r="AN367" s="139">
        <f t="shared" si="198"/>
        <v>25</v>
      </c>
      <c r="AO367" s="205">
        <f>AN367/INDEX(Parameters!$B:$B,MATCH("AfschrijftermijnVVE"&amp;12*$C367,Parameters!$A:$A,0))</f>
        <v>0.52083333333333337</v>
      </c>
      <c r="AP367" s="139">
        <f t="shared" si="199"/>
        <v>38</v>
      </c>
      <c r="AQ367" s="526">
        <f>IF(AP367&lt;&gt;"nvt",INDEX('Tarieven W&amp;O'!$G:$G,$AP367),0)</f>
        <v>18.47</v>
      </c>
      <c r="AR367" s="251">
        <f>IF($S367,INDEX('Tarieven W&amp;O'!$G:$G,MATCH(N367&amp;R367,'Tarieven W&amp;O'!$B:$B,0)),0)</f>
        <v>0</v>
      </c>
      <c r="AS367" s="205">
        <f>-INDEX(Parameters!$B:$B,MATCH(AS$3,Parameters!$A:$A,0))*(AQ367+AR367)</f>
        <v>0</v>
      </c>
      <c r="AT367" s="205">
        <f>INDEX(hulpblad!$E:$E,MATCH(M367&amp;Q367,hulpblad!$B:$B,0))</f>
        <v>2</v>
      </c>
      <c r="AU367" s="150">
        <f t="shared" si="215"/>
        <v>20.47</v>
      </c>
      <c r="AV367" s="150">
        <f t="shared" si="216"/>
        <v>20.990833333333331</v>
      </c>
      <c r="AX367" s="526">
        <f>Parameters!$B$6*AV367</f>
        <v>0.20990833333333331</v>
      </c>
      <c r="AY367" s="150">
        <v>0</v>
      </c>
      <c r="AZ367" s="150"/>
      <c r="BA367" s="150">
        <f t="shared" si="202"/>
        <v>0.20990833333333331</v>
      </c>
      <c r="BB367" s="150"/>
      <c r="BC367" s="522">
        <f t="shared" si="203"/>
        <v>21.200741666666666</v>
      </c>
      <c r="BD367" s="175"/>
      <c r="BE367" s="527">
        <f t="shared" si="217"/>
        <v>999.63259166666671</v>
      </c>
      <c r="BF367" s="181">
        <f t="shared" si="218"/>
        <v>0.97923192653061231</v>
      </c>
      <c r="BG367" s="520" t="b">
        <f t="shared" si="206"/>
        <v>0</v>
      </c>
      <c r="BI367" s="528" t="s">
        <v>2181</v>
      </c>
      <c r="BL367" s="151" t="str">
        <f t="shared" si="220"/>
        <v>EoKMetro - Nationaal</v>
      </c>
      <c r="BM367" s="529">
        <v>0</v>
      </c>
      <c r="BN367" s="180">
        <f>BM367/INDEX(Parameters!$B:$B,MATCH("AfschrijftermijnVVE"&amp;12*$C367,Parameters!$A:$A,0))</f>
        <v>0</v>
      </c>
      <c r="BO367" s="184">
        <f>INDEX('inkoop ULL tbv EVPN'!I:I,MATCH(BL367,'inkoop ULL tbv EVPN'!H:H,0))</f>
        <v>2</v>
      </c>
      <c r="BP367" s="184">
        <f t="shared" si="221"/>
        <v>2</v>
      </c>
      <c r="BR367" s="180">
        <f>Parameters!$B$12*AG367</f>
        <v>102.08333333333334</v>
      </c>
      <c r="BS367" s="180">
        <f>SUM(Distributievergoedingen!$F$12,Distributievergoedingen!$I$12,Distributievergoedingen!$L$12,Distributievergoedingen!$O$12)*AF367+SUM(Distributievergoedingen!$O$12*AA367+Distributievergoedingen!$R$12+Distributievergoedingen!$U$12+Distributievergoedingen!$X$12)/(MAX(36,12*C367))</f>
        <v>112.08333333333333</v>
      </c>
      <c r="BT367" s="150"/>
      <c r="BU367" s="150">
        <f t="shared" si="222"/>
        <v>214.16666666666669</v>
      </c>
      <c r="BW367" s="522">
        <f t="shared" si="223"/>
        <v>216.16666666666669</v>
      </c>
      <c r="BY367" s="527">
        <f t="shared" si="224"/>
        <v>804.66666666666674</v>
      </c>
      <c r="BZ367" s="181">
        <f t="shared" si="225"/>
        <v>0.78824489795918373</v>
      </c>
      <c r="CA367" s="520" t="b">
        <f t="shared" si="226"/>
        <v>0</v>
      </c>
    </row>
    <row r="368" spans="1:79" s="151" customFormat="1">
      <c r="A368" s="151" t="str">
        <f t="shared" si="219"/>
        <v>4EoKEntryRegionaal4</v>
      </c>
      <c r="B368" s="520" t="str">
        <f t="shared" si="214"/>
        <v>4EoKEntryRegionaal4</v>
      </c>
      <c r="C368" s="179">
        <v>4</v>
      </c>
      <c r="D368" s="179" t="s">
        <v>303</v>
      </c>
      <c r="E368" s="178" t="s">
        <v>45</v>
      </c>
      <c r="F368" s="178" t="s">
        <v>265</v>
      </c>
      <c r="G368" s="185" t="s">
        <v>408</v>
      </c>
      <c r="J368" s="520" t="str">
        <f t="shared" si="193"/>
        <v>EntryRegionaal4</v>
      </c>
      <c r="L368" s="204">
        <f>INDEX(Mapping!$H:$H,MATCH(C$3&amp;C368,Mapping!$B:$B,0))</f>
        <v>1</v>
      </c>
      <c r="M368" s="204" t="str">
        <f>INDEX(Mapping!$H:$H,MATCH(D$3&amp;$D368,Mapping!$B:$B,0))</f>
        <v>EoK</v>
      </c>
      <c r="N368" s="204" t="str">
        <f>INDEX(Mapping!$H:$H,MATCH(E$3&amp;E368,Mapping!$B:$B,0))</f>
        <v>Lite</v>
      </c>
      <c r="O368" s="204" t="str">
        <f>INDEX(Mapping!$H:$H,MATCH(F$3&amp;F368,Mapping!$B:$B,0))</f>
        <v>Metro</v>
      </c>
      <c r="P368" s="204">
        <f>INDEX(Mapping!$H:$H,MATCH(G$3&amp;G368,Mapping!$B:$B,0))</f>
        <v>4</v>
      </c>
      <c r="Q368" s="204" t="str">
        <f>INDEX(Mapping!$H:$H,MATCH(Q$3&amp;$F368,Mapping!$B:$B,0))</f>
        <v>Metro - Nationaal</v>
      </c>
      <c r="R368" s="204" t="str">
        <f>INDEX(Mapping!$H:$H,MATCH("ZM VPN Service Level"&amp;E368,Mapping!$B:$B,0))</f>
        <v>Advanced</v>
      </c>
      <c r="S368" s="139" t="b">
        <f>IF($D368="EoK",INDEX(Mapping!$I:$I,MATCH($G$3&amp;$G368,Mapping!B:B,0)),FALSE)</f>
        <v>0</v>
      </c>
      <c r="T368" s="139"/>
      <c r="U368" s="520" t="str">
        <f t="shared" si="194"/>
        <v>LiteMetro4</v>
      </c>
      <c r="W368" s="521">
        <f>MATCH($J368,'Tarieven ZM'!$B:$B,0)</f>
        <v>30</v>
      </c>
      <c r="X368" s="204">
        <f>INDEX('Tarieven ZM'!$H:$H,$W368)</f>
        <v>1000</v>
      </c>
      <c r="Y368" s="198">
        <f>-INDEX(Parameters!$B:$B,MATCH(Y$3&amp;$C368,Parameters!$A:$A,0))*$X368</f>
        <v>0</v>
      </c>
      <c r="Z368" s="198">
        <f>-INDEX(Parameters!$B:$B,MATCH(Z$3&amp;$C368,Parameters!$A:$A,0))*$X368</f>
        <v>0</v>
      </c>
      <c r="AA368" s="139">
        <f t="shared" si="195"/>
        <v>1000</v>
      </c>
      <c r="AB368" s="205">
        <f>AA368/INDEX(Parameters!$B:$B,MATCH("AfschrijftermijnVVE"&amp;12*$C368,Parameters!$A:$A,0))</f>
        <v>20.833333333333332</v>
      </c>
      <c r="AC368" s="204">
        <f>INDEX('Tarieven ZM'!$G:$G,$W368)</f>
        <v>1000</v>
      </c>
      <c r="AD368" s="198">
        <f>-INDEX(Parameters!$B:$B,MATCH(AD$3&amp;$C368,Parameters!$A:$A,0))*$AC368</f>
        <v>0</v>
      </c>
      <c r="AE368" s="198">
        <f>-INDEX(Parameters!$B:$B,MATCH(AE$3,Parameters!$A:$A,0))*$AC368</f>
        <v>0</v>
      </c>
      <c r="AF368" s="139">
        <f t="shared" si="196"/>
        <v>1000</v>
      </c>
      <c r="AG368" s="522">
        <f t="shared" si="197"/>
        <v>1020.8333333333334</v>
      </c>
      <c r="AH368" s="175"/>
      <c r="AI368" s="523">
        <f>MATCH($U368,'Tarieven W&amp;O'!$B:$B,0)</f>
        <v>39</v>
      </c>
      <c r="AJ368" s="204">
        <f>IF(AI368&lt;&gt;"nvt",INDEX('Tarieven W&amp;O'!$H:$H,$AI368),0)</f>
        <v>0</v>
      </c>
      <c r="AK368" s="204">
        <f>IF(AI368&lt;&gt;"nvt",INDEX('Tarieven W&amp;O'!$I:$I,$AI368),0)</f>
        <v>25</v>
      </c>
      <c r="AL368" s="524">
        <f>IF(AI368&lt;&gt;"nvt",-INDEX(Parameters!$B:$B,MATCH(AL$3,Parameters!$A:$A,0))*(AJ368+AK368),0)</f>
        <v>0</v>
      </c>
      <c r="AM368" s="525"/>
      <c r="AN368" s="139">
        <f t="shared" si="198"/>
        <v>25</v>
      </c>
      <c r="AO368" s="205">
        <f>AN368/INDEX(Parameters!$B:$B,MATCH("AfschrijftermijnVVE"&amp;12*$C368,Parameters!$A:$A,0))</f>
        <v>0.52083333333333337</v>
      </c>
      <c r="AP368" s="139">
        <f t="shared" si="199"/>
        <v>39</v>
      </c>
      <c r="AQ368" s="526">
        <f>IF(AP368&lt;&gt;"nvt",INDEX('Tarieven W&amp;O'!$G:$G,$AP368),0)</f>
        <v>18.47</v>
      </c>
      <c r="AR368" s="251">
        <f>IF($S368,INDEX('Tarieven W&amp;O'!$G:$G,MATCH(N368&amp;R368,'Tarieven W&amp;O'!$B:$B,0)),0)</f>
        <v>0</v>
      </c>
      <c r="AS368" s="205">
        <f>-INDEX(Parameters!$B:$B,MATCH(AS$3,Parameters!$A:$A,0))*(AQ368+AR368)</f>
        <v>0</v>
      </c>
      <c r="AT368" s="205">
        <f>INDEX(hulpblad!$E:$E,MATCH(M368&amp;Q368,hulpblad!$B:$B,0))</f>
        <v>2</v>
      </c>
      <c r="AU368" s="150">
        <f t="shared" si="215"/>
        <v>20.47</v>
      </c>
      <c r="AV368" s="150">
        <f t="shared" si="216"/>
        <v>20.990833333333331</v>
      </c>
      <c r="AX368" s="526">
        <f>Parameters!$B$6*AV368</f>
        <v>0.20990833333333331</v>
      </c>
      <c r="AY368" s="150">
        <v>0</v>
      </c>
      <c r="AZ368" s="150"/>
      <c r="BA368" s="150">
        <f t="shared" si="202"/>
        <v>0.20990833333333331</v>
      </c>
      <c r="BB368" s="150"/>
      <c r="BC368" s="522">
        <f t="shared" si="203"/>
        <v>21.200741666666666</v>
      </c>
      <c r="BD368" s="175"/>
      <c r="BE368" s="527">
        <f t="shared" si="217"/>
        <v>999.63259166666671</v>
      </c>
      <c r="BF368" s="181">
        <f t="shared" si="218"/>
        <v>0.97923192653061231</v>
      </c>
      <c r="BG368" s="520" t="b">
        <f t="shared" si="206"/>
        <v>0</v>
      </c>
      <c r="BI368" s="528" t="s">
        <v>2181</v>
      </c>
      <c r="BL368" s="151" t="str">
        <f t="shared" si="220"/>
        <v>EoKMetro - Nationaal</v>
      </c>
      <c r="BM368" s="529">
        <v>0</v>
      </c>
      <c r="BN368" s="180">
        <f>BM368/INDEX(Parameters!$B:$B,MATCH("AfschrijftermijnVVE"&amp;12*$C368,Parameters!$A:$A,0))</f>
        <v>0</v>
      </c>
      <c r="BO368" s="184">
        <f>INDEX('inkoop ULL tbv EVPN'!I:I,MATCH(BL368,'inkoop ULL tbv EVPN'!H:H,0))</f>
        <v>2</v>
      </c>
      <c r="BP368" s="184">
        <f t="shared" si="221"/>
        <v>2</v>
      </c>
      <c r="BR368" s="180">
        <f>Parameters!$B$12*AG368</f>
        <v>102.08333333333334</v>
      </c>
      <c r="BS368" s="180">
        <f>SUM(Distributievergoedingen!$F$12,Distributievergoedingen!$I$12,Distributievergoedingen!$L$12,Distributievergoedingen!$O$12)*AF368+SUM(Distributievergoedingen!$O$12*AA368+Distributievergoedingen!$R$12+Distributievergoedingen!$U$12+Distributievergoedingen!$X$12)/(MAX(36,12*C368))</f>
        <v>112.08333333333333</v>
      </c>
      <c r="BT368" s="150"/>
      <c r="BU368" s="150">
        <f t="shared" si="222"/>
        <v>214.16666666666669</v>
      </c>
      <c r="BW368" s="522">
        <f t="shared" si="223"/>
        <v>216.16666666666669</v>
      </c>
      <c r="BY368" s="527">
        <f t="shared" si="224"/>
        <v>804.66666666666674</v>
      </c>
      <c r="BZ368" s="181">
        <f t="shared" si="225"/>
        <v>0.78824489795918373</v>
      </c>
      <c r="CA368" s="520" t="b">
        <f t="shared" si="226"/>
        <v>0</v>
      </c>
    </row>
    <row r="369" spans="1:79" s="151" customFormat="1">
      <c r="A369" s="151" t="str">
        <f t="shared" si="219"/>
        <v>4EoKEntryRegionaal5</v>
      </c>
      <c r="B369" s="520" t="str">
        <f t="shared" si="214"/>
        <v>4EoKEntryRegionaal5</v>
      </c>
      <c r="C369" s="179">
        <v>4</v>
      </c>
      <c r="D369" s="179" t="s">
        <v>303</v>
      </c>
      <c r="E369" s="178" t="s">
        <v>45</v>
      </c>
      <c r="F369" s="178" t="s">
        <v>265</v>
      </c>
      <c r="G369" s="185" t="s">
        <v>409</v>
      </c>
      <c r="J369" s="520" t="str">
        <f t="shared" si="193"/>
        <v>EntryRegionaal5</v>
      </c>
      <c r="L369" s="204">
        <f>INDEX(Mapping!$H:$H,MATCH(C$3&amp;C369,Mapping!$B:$B,0))</f>
        <v>1</v>
      </c>
      <c r="M369" s="204" t="str">
        <f>INDEX(Mapping!$H:$H,MATCH(D$3&amp;$D369,Mapping!$B:$B,0))</f>
        <v>EoK</v>
      </c>
      <c r="N369" s="204" t="str">
        <f>INDEX(Mapping!$H:$H,MATCH(E$3&amp;E369,Mapping!$B:$B,0))</f>
        <v>Lite</v>
      </c>
      <c r="O369" s="204" t="str">
        <f>INDEX(Mapping!$H:$H,MATCH(F$3&amp;F369,Mapping!$B:$B,0))</f>
        <v>Metro</v>
      </c>
      <c r="P369" s="204">
        <f>INDEX(Mapping!$H:$H,MATCH(G$3&amp;G369,Mapping!$B:$B,0))</f>
        <v>5</v>
      </c>
      <c r="Q369" s="204" t="str">
        <f>INDEX(Mapping!$H:$H,MATCH(Q$3&amp;$F369,Mapping!$B:$B,0))</f>
        <v>Metro - Nationaal</v>
      </c>
      <c r="R369" s="204" t="str">
        <f>INDEX(Mapping!$H:$H,MATCH("ZM VPN Service Level"&amp;E369,Mapping!$B:$B,0))</f>
        <v>Advanced</v>
      </c>
      <c r="S369" s="139" t="b">
        <f>IF($D369="EoK",INDEX(Mapping!$I:$I,MATCH($G$3&amp;$G369,Mapping!B:B,0)),FALSE)</f>
        <v>0</v>
      </c>
      <c r="T369" s="139"/>
      <c r="U369" s="520" t="str">
        <f t="shared" si="194"/>
        <v>LiteMetro5</v>
      </c>
      <c r="W369" s="521">
        <f>MATCH($J369,'Tarieven ZM'!$B:$B,0)</f>
        <v>31</v>
      </c>
      <c r="X369" s="204">
        <f>INDEX('Tarieven ZM'!$H:$H,$W369)</f>
        <v>1000</v>
      </c>
      <c r="Y369" s="198">
        <f>-INDEX(Parameters!$B:$B,MATCH(Y$3&amp;$C369,Parameters!$A:$A,0))*$X369</f>
        <v>0</v>
      </c>
      <c r="Z369" s="198">
        <f>-INDEX(Parameters!$B:$B,MATCH(Z$3&amp;$C369,Parameters!$A:$A,0))*$X369</f>
        <v>0</v>
      </c>
      <c r="AA369" s="139">
        <f t="shared" si="195"/>
        <v>1000</v>
      </c>
      <c r="AB369" s="205">
        <f>AA369/INDEX(Parameters!$B:$B,MATCH("AfschrijftermijnVVE"&amp;12*$C369,Parameters!$A:$A,0))</f>
        <v>20.833333333333332</v>
      </c>
      <c r="AC369" s="204">
        <f>INDEX('Tarieven ZM'!$G:$G,$W369)</f>
        <v>1000</v>
      </c>
      <c r="AD369" s="198">
        <f>-INDEX(Parameters!$B:$B,MATCH(AD$3&amp;$C369,Parameters!$A:$A,0))*$AC369</f>
        <v>0</v>
      </c>
      <c r="AE369" s="198">
        <f>-INDEX(Parameters!$B:$B,MATCH(AE$3,Parameters!$A:$A,0))*$AC369</f>
        <v>0</v>
      </c>
      <c r="AF369" s="139">
        <f t="shared" si="196"/>
        <v>1000</v>
      </c>
      <c r="AG369" s="522">
        <f t="shared" si="197"/>
        <v>1020.8333333333334</v>
      </c>
      <c r="AH369" s="175"/>
      <c r="AI369" s="523">
        <f>MATCH($U369,'Tarieven W&amp;O'!$B:$B,0)</f>
        <v>40</v>
      </c>
      <c r="AJ369" s="204">
        <f>IF(AI369&lt;&gt;"nvt",INDEX('Tarieven W&amp;O'!$H:$H,$AI369),0)</f>
        <v>0</v>
      </c>
      <c r="AK369" s="204">
        <f>IF(AI369&lt;&gt;"nvt",INDEX('Tarieven W&amp;O'!$I:$I,$AI369),0)</f>
        <v>25</v>
      </c>
      <c r="AL369" s="524">
        <f>IF(AI369&lt;&gt;"nvt",-INDEX(Parameters!$B:$B,MATCH(AL$3,Parameters!$A:$A,0))*(AJ369+AK369),0)</f>
        <v>0</v>
      </c>
      <c r="AM369" s="525"/>
      <c r="AN369" s="139">
        <f t="shared" si="198"/>
        <v>25</v>
      </c>
      <c r="AO369" s="205">
        <f>AN369/INDEX(Parameters!$B:$B,MATCH("AfschrijftermijnVVE"&amp;12*$C369,Parameters!$A:$A,0))</f>
        <v>0.52083333333333337</v>
      </c>
      <c r="AP369" s="139">
        <f t="shared" si="199"/>
        <v>40</v>
      </c>
      <c r="AQ369" s="526">
        <f>IF(AP369&lt;&gt;"nvt",INDEX('Tarieven W&amp;O'!$G:$G,$AP369),0)</f>
        <v>18.47</v>
      </c>
      <c r="AR369" s="251">
        <f>IF($S369,INDEX('Tarieven W&amp;O'!$G:$G,MATCH(N369&amp;R369,'Tarieven W&amp;O'!$B:$B,0)),0)</f>
        <v>0</v>
      </c>
      <c r="AS369" s="205">
        <f>-INDEX(Parameters!$B:$B,MATCH(AS$3,Parameters!$A:$A,0))*(AQ369+AR369)</f>
        <v>0</v>
      </c>
      <c r="AT369" s="205">
        <f>INDEX(hulpblad!$E:$E,MATCH(M369&amp;Q369,hulpblad!$B:$B,0))</f>
        <v>2</v>
      </c>
      <c r="AU369" s="150">
        <f t="shared" si="215"/>
        <v>20.47</v>
      </c>
      <c r="AV369" s="150">
        <f t="shared" si="216"/>
        <v>20.990833333333331</v>
      </c>
      <c r="AX369" s="526">
        <f>Parameters!$B$6*AV369</f>
        <v>0.20990833333333331</v>
      </c>
      <c r="AY369" s="150">
        <v>0</v>
      </c>
      <c r="AZ369" s="150"/>
      <c r="BA369" s="150">
        <f t="shared" si="202"/>
        <v>0.20990833333333331</v>
      </c>
      <c r="BB369" s="150"/>
      <c r="BC369" s="522">
        <f t="shared" si="203"/>
        <v>21.200741666666666</v>
      </c>
      <c r="BD369" s="175"/>
      <c r="BE369" s="527">
        <f t="shared" si="217"/>
        <v>999.63259166666671</v>
      </c>
      <c r="BF369" s="181">
        <f t="shared" si="218"/>
        <v>0.97923192653061231</v>
      </c>
      <c r="BG369" s="520" t="b">
        <f t="shared" si="206"/>
        <v>0</v>
      </c>
      <c r="BI369" s="528" t="s">
        <v>2181</v>
      </c>
      <c r="BL369" s="151" t="str">
        <f t="shared" si="220"/>
        <v>EoKMetro - Nationaal</v>
      </c>
      <c r="BM369" s="529">
        <v>0</v>
      </c>
      <c r="BN369" s="180">
        <f>BM369/INDEX(Parameters!$B:$B,MATCH("AfschrijftermijnVVE"&amp;12*$C369,Parameters!$A:$A,0))</f>
        <v>0</v>
      </c>
      <c r="BO369" s="184">
        <f>INDEX('inkoop ULL tbv EVPN'!I:I,MATCH(BL369,'inkoop ULL tbv EVPN'!H:H,0))</f>
        <v>2</v>
      </c>
      <c r="BP369" s="184">
        <f t="shared" si="221"/>
        <v>2</v>
      </c>
      <c r="BR369" s="180">
        <f>Parameters!$B$12*AG369</f>
        <v>102.08333333333334</v>
      </c>
      <c r="BS369" s="180">
        <f>SUM(Distributievergoedingen!$F$12,Distributievergoedingen!$I$12,Distributievergoedingen!$L$12,Distributievergoedingen!$O$12)*AF369+SUM(Distributievergoedingen!$O$12*AA369+Distributievergoedingen!$R$12+Distributievergoedingen!$U$12+Distributievergoedingen!$X$12)/(MAX(36,12*C369))</f>
        <v>112.08333333333333</v>
      </c>
      <c r="BT369" s="150"/>
      <c r="BU369" s="150">
        <f t="shared" si="222"/>
        <v>214.16666666666669</v>
      </c>
      <c r="BW369" s="522">
        <f t="shared" si="223"/>
        <v>216.16666666666669</v>
      </c>
      <c r="BY369" s="527">
        <f t="shared" si="224"/>
        <v>804.66666666666674</v>
      </c>
      <c r="BZ369" s="181">
        <f t="shared" si="225"/>
        <v>0.78824489795918373</v>
      </c>
      <c r="CA369" s="520" t="b">
        <f t="shared" si="226"/>
        <v>0</v>
      </c>
    </row>
    <row r="370" spans="1:79" s="151" customFormat="1">
      <c r="A370" s="151" t="str">
        <f t="shared" si="219"/>
        <v>4EoKEntryRegionaal6</v>
      </c>
      <c r="B370" s="520" t="str">
        <f t="shared" si="214"/>
        <v>4EoKEntryRegionaal6</v>
      </c>
      <c r="C370" s="179">
        <v>4</v>
      </c>
      <c r="D370" s="179" t="s">
        <v>303</v>
      </c>
      <c r="E370" s="178" t="s">
        <v>45</v>
      </c>
      <c r="F370" s="178" t="s">
        <v>265</v>
      </c>
      <c r="G370" s="185" t="s">
        <v>410</v>
      </c>
      <c r="J370" s="520" t="str">
        <f t="shared" si="193"/>
        <v>EntryRegionaal6</v>
      </c>
      <c r="L370" s="204">
        <f>INDEX(Mapping!$H:$H,MATCH(C$3&amp;C370,Mapping!$B:$B,0))</f>
        <v>1</v>
      </c>
      <c r="M370" s="204" t="str">
        <f>INDEX(Mapping!$H:$H,MATCH(D$3&amp;$D370,Mapping!$B:$B,0))</f>
        <v>EoK</v>
      </c>
      <c r="N370" s="204" t="str">
        <f>INDEX(Mapping!$H:$H,MATCH(E$3&amp;E370,Mapping!$B:$B,0))</f>
        <v>Lite</v>
      </c>
      <c r="O370" s="204" t="str">
        <f>INDEX(Mapping!$H:$H,MATCH(F$3&amp;F370,Mapping!$B:$B,0))</f>
        <v>Metro</v>
      </c>
      <c r="P370" s="204">
        <f>INDEX(Mapping!$H:$H,MATCH(G$3&amp;G370,Mapping!$B:$B,0))</f>
        <v>6</v>
      </c>
      <c r="Q370" s="204" t="str">
        <f>INDEX(Mapping!$H:$H,MATCH(Q$3&amp;$F370,Mapping!$B:$B,0))</f>
        <v>Metro - Nationaal</v>
      </c>
      <c r="R370" s="204" t="str">
        <f>INDEX(Mapping!$H:$H,MATCH("ZM VPN Service Level"&amp;E370,Mapping!$B:$B,0))</f>
        <v>Advanced</v>
      </c>
      <c r="S370" s="139" t="b">
        <f>IF($D370="EoK",INDEX(Mapping!$I:$I,MATCH($G$3&amp;$G370,Mapping!B:B,0)),FALSE)</f>
        <v>0</v>
      </c>
      <c r="T370" s="139"/>
      <c r="U370" s="520" t="str">
        <f t="shared" si="194"/>
        <v>LiteMetro6</v>
      </c>
      <c r="W370" s="521">
        <f>MATCH($J370,'Tarieven ZM'!$B:$B,0)</f>
        <v>32</v>
      </c>
      <c r="X370" s="204">
        <f>INDEX('Tarieven ZM'!$H:$H,$W370)</f>
        <v>1000</v>
      </c>
      <c r="Y370" s="198">
        <f>-INDEX(Parameters!$B:$B,MATCH(Y$3&amp;$C370,Parameters!$A:$A,0))*$X370</f>
        <v>0</v>
      </c>
      <c r="Z370" s="198">
        <f>-INDEX(Parameters!$B:$B,MATCH(Z$3&amp;$C370,Parameters!$A:$A,0))*$X370</f>
        <v>0</v>
      </c>
      <c r="AA370" s="139">
        <f t="shared" si="195"/>
        <v>1000</v>
      </c>
      <c r="AB370" s="205">
        <f>AA370/INDEX(Parameters!$B:$B,MATCH("AfschrijftermijnVVE"&amp;12*$C370,Parameters!$A:$A,0))</f>
        <v>20.833333333333332</v>
      </c>
      <c r="AC370" s="204">
        <f>INDEX('Tarieven ZM'!$G:$G,$W370)</f>
        <v>1000</v>
      </c>
      <c r="AD370" s="198">
        <f>-INDEX(Parameters!$B:$B,MATCH(AD$3&amp;$C370,Parameters!$A:$A,0))*$AC370</f>
        <v>0</v>
      </c>
      <c r="AE370" s="198">
        <f>-INDEX(Parameters!$B:$B,MATCH(AE$3,Parameters!$A:$A,0))*$AC370</f>
        <v>0</v>
      </c>
      <c r="AF370" s="139">
        <f t="shared" si="196"/>
        <v>1000</v>
      </c>
      <c r="AG370" s="522">
        <f t="shared" si="197"/>
        <v>1020.8333333333334</v>
      </c>
      <c r="AH370" s="175"/>
      <c r="AI370" s="523">
        <f>MATCH($U370,'Tarieven W&amp;O'!$B:$B,0)</f>
        <v>41</v>
      </c>
      <c r="AJ370" s="204">
        <f>IF(AI370&lt;&gt;"nvt",INDEX('Tarieven W&amp;O'!$H:$H,$AI370),0)</f>
        <v>0</v>
      </c>
      <c r="AK370" s="204">
        <f>IF(AI370&lt;&gt;"nvt",INDEX('Tarieven W&amp;O'!$I:$I,$AI370),0)</f>
        <v>25</v>
      </c>
      <c r="AL370" s="524">
        <f>IF(AI370&lt;&gt;"nvt",-INDEX(Parameters!$B:$B,MATCH(AL$3,Parameters!$A:$A,0))*(AJ370+AK370),0)</f>
        <v>0</v>
      </c>
      <c r="AM370" s="525"/>
      <c r="AN370" s="139">
        <f t="shared" si="198"/>
        <v>25</v>
      </c>
      <c r="AO370" s="205">
        <f>AN370/INDEX(Parameters!$B:$B,MATCH("AfschrijftermijnVVE"&amp;12*$C370,Parameters!$A:$A,0))</f>
        <v>0.52083333333333337</v>
      </c>
      <c r="AP370" s="139">
        <f t="shared" si="199"/>
        <v>41</v>
      </c>
      <c r="AQ370" s="526">
        <f>IF(AP370&lt;&gt;"nvt",INDEX('Tarieven W&amp;O'!$G:$G,$AP370),0)</f>
        <v>18.47</v>
      </c>
      <c r="AR370" s="251">
        <f>IF($S370,INDEX('Tarieven W&amp;O'!$G:$G,MATCH(N370&amp;R370,'Tarieven W&amp;O'!$B:$B,0)),0)</f>
        <v>0</v>
      </c>
      <c r="AS370" s="205">
        <f>-INDEX(Parameters!$B:$B,MATCH(AS$3,Parameters!$A:$A,0))*(AQ370+AR370)</f>
        <v>0</v>
      </c>
      <c r="AT370" s="205">
        <f>INDEX(hulpblad!$E:$E,MATCH(M370&amp;Q370,hulpblad!$B:$B,0))</f>
        <v>2</v>
      </c>
      <c r="AU370" s="150">
        <f t="shared" si="215"/>
        <v>20.47</v>
      </c>
      <c r="AV370" s="150">
        <f t="shared" si="216"/>
        <v>20.990833333333331</v>
      </c>
      <c r="AX370" s="526">
        <f>Parameters!$B$6*AV370</f>
        <v>0.20990833333333331</v>
      </c>
      <c r="AY370" s="150">
        <v>0</v>
      </c>
      <c r="AZ370" s="150"/>
      <c r="BA370" s="150">
        <f t="shared" si="202"/>
        <v>0.20990833333333331</v>
      </c>
      <c r="BB370" s="150"/>
      <c r="BC370" s="522">
        <f t="shared" si="203"/>
        <v>21.200741666666666</v>
      </c>
      <c r="BD370" s="175"/>
      <c r="BE370" s="527">
        <f t="shared" si="217"/>
        <v>999.63259166666671</v>
      </c>
      <c r="BF370" s="181">
        <f t="shared" si="218"/>
        <v>0.97923192653061231</v>
      </c>
      <c r="BG370" s="520" t="b">
        <f t="shared" si="206"/>
        <v>0</v>
      </c>
      <c r="BI370" s="528" t="s">
        <v>2181</v>
      </c>
      <c r="BL370" s="151" t="str">
        <f t="shared" si="220"/>
        <v>EoKMetro - Nationaal</v>
      </c>
      <c r="BM370" s="529">
        <v>0</v>
      </c>
      <c r="BN370" s="180">
        <f>BM370/INDEX(Parameters!$B:$B,MATCH("AfschrijftermijnVVE"&amp;12*$C370,Parameters!$A:$A,0))</f>
        <v>0</v>
      </c>
      <c r="BO370" s="184">
        <f>INDEX('inkoop ULL tbv EVPN'!I:I,MATCH(BL370,'inkoop ULL tbv EVPN'!H:H,0))</f>
        <v>2</v>
      </c>
      <c r="BP370" s="184">
        <f t="shared" si="221"/>
        <v>2</v>
      </c>
      <c r="BR370" s="180">
        <f>Parameters!$B$12*AG370</f>
        <v>102.08333333333334</v>
      </c>
      <c r="BS370" s="180">
        <f>SUM(Distributievergoedingen!$F$12,Distributievergoedingen!$I$12,Distributievergoedingen!$L$12,Distributievergoedingen!$O$12)*AF370+SUM(Distributievergoedingen!$O$12*AA370+Distributievergoedingen!$R$12+Distributievergoedingen!$U$12+Distributievergoedingen!$X$12)/(MAX(36,12*C370))</f>
        <v>112.08333333333333</v>
      </c>
      <c r="BT370" s="150"/>
      <c r="BU370" s="150">
        <f t="shared" si="222"/>
        <v>214.16666666666669</v>
      </c>
      <c r="BW370" s="522">
        <f t="shared" si="223"/>
        <v>216.16666666666669</v>
      </c>
      <c r="BY370" s="527">
        <f t="shared" si="224"/>
        <v>804.66666666666674</v>
      </c>
      <c r="BZ370" s="181">
        <f t="shared" si="225"/>
        <v>0.78824489795918373</v>
      </c>
      <c r="CA370" s="520" t="b">
        <f t="shared" si="226"/>
        <v>0</v>
      </c>
    </row>
    <row r="371" spans="1:79" s="151" customFormat="1">
      <c r="A371" s="151" t="str">
        <f t="shared" si="219"/>
        <v>4EoKEntryRegionaal8</v>
      </c>
      <c r="B371" s="520" t="str">
        <f t="shared" si="214"/>
        <v>4EoKEntryRegionaal8</v>
      </c>
      <c r="C371" s="179">
        <v>4</v>
      </c>
      <c r="D371" s="179" t="s">
        <v>303</v>
      </c>
      <c r="E371" s="178" t="s">
        <v>45</v>
      </c>
      <c r="F371" s="178" t="s">
        <v>265</v>
      </c>
      <c r="G371" s="185" t="s">
        <v>411</v>
      </c>
      <c r="J371" s="520" t="str">
        <f t="shared" si="193"/>
        <v>EntryRegionaal8</v>
      </c>
      <c r="L371" s="204">
        <f>INDEX(Mapping!$H:$H,MATCH(C$3&amp;C371,Mapping!$B:$B,0))</f>
        <v>1</v>
      </c>
      <c r="M371" s="204" t="str">
        <f>INDEX(Mapping!$H:$H,MATCH(D$3&amp;$D371,Mapping!$B:$B,0))</f>
        <v>EoK</v>
      </c>
      <c r="N371" s="204" t="str">
        <f>INDEX(Mapping!$H:$H,MATCH(E$3&amp;E371,Mapping!$B:$B,0))</f>
        <v>Lite</v>
      </c>
      <c r="O371" s="204" t="str">
        <f>INDEX(Mapping!$H:$H,MATCH(F$3&amp;F371,Mapping!$B:$B,0))</f>
        <v>Metro</v>
      </c>
      <c r="P371" s="204">
        <f>INDEX(Mapping!$H:$H,MATCH(G$3&amp;G371,Mapping!$B:$B,0))</f>
        <v>8</v>
      </c>
      <c r="Q371" s="204" t="str">
        <f>INDEX(Mapping!$H:$H,MATCH(Q$3&amp;$F371,Mapping!$B:$B,0))</f>
        <v>Metro - Nationaal</v>
      </c>
      <c r="R371" s="204" t="str">
        <f>INDEX(Mapping!$H:$H,MATCH("ZM VPN Service Level"&amp;E371,Mapping!$B:$B,0))</f>
        <v>Advanced</v>
      </c>
      <c r="S371" s="139" t="b">
        <f>IF($D371="EoK",INDEX(Mapping!$I:$I,MATCH($G$3&amp;$G371,Mapping!B:B,0)),FALSE)</f>
        <v>0</v>
      </c>
      <c r="T371" s="139"/>
      <c r="U371" s="520" t="str">
        <f t="shared" si="194"/>
        <v>LiteMetro8</v>
      </c>
      <c r="W371" s="521">
        <f>MATCH($J371,'Tarieven ZM'!$B:$B,0)</f>
        <v>33</v>
      </c>
      <c r="X371" s="204">
        <f>INDEX('Tarieven ZM'!$H:$H,$W371)</f>
        <v>1000</v>
      </c>
      <c r="Y371" s="198">
        <f>-INDEX(Parameters!$B:$B,MATCH(Y$3&amp;$C371,Parameters!$A:$A,0))*$X371</f>
        <v>0</v>
      </c>
      <c r="Z371" s="198">
        <f>-INDEX(Parameters!$B:$B,MATCH(Z$3&amp;$C371,Parameters!$A:$A,0))*$X371</f>
        <v>0</v>
      </c>
      <c r="AA371" s="139">
        <f t="shared" si="195"/>
        <v>1000</v>
      </c>
      <c r="AB371" s="205">
        <f>AA371/INDEX(Parameters!$B:$B,MATCH("AfschrijftermijnVVE"&amp;12*$C371,Parameters!$A:$A,0))</f>
        <v>20.833333333333332</v>
      </c>
      <c r="AC371" s="204">
        <f>INDEX('Tarieven ZM'!$G:$G,$W371)</f>
        <v>1000</v>
      </c>
      <c r="AD371" s="198">
        <f>-INDEX(Parameters!$B:$B,MATCH(AD$3&amp;$C371,Parameters!$A:$A,0))*$AC371</f>
        <v>0</v>
      </c>
      <c r="AE371" s="198">
        <f>-INDEX(Parameters!$B:$B,MATCH(AE$3,Parameters!$A:$A,0))*$AC371</f>
        <v>0</v>
      </c>
      <c r="AF371" s="139">
        <f t="shared" si="196"/>
        <v>1000</v>
      </c>
      <c r="AG371" s="522">
        <f t="shared" si="197"/>
        <v>1020.8333333333334</v>
      </c>
      <c r="AH371" s="175"/>
      <c r="AI371" s="523">
        <f>MATCH($U371,'Tarieven W&amp;O'!$B:$B,0)</f>
        <v>42</v>
      </c>
      <c r="AJ371" s="204">
        <f>IF(AI371&lt;&gt;"nvt",INDEX('Tarieven W&amp;O'!$H:$H,$AI371),0)</f>
        <v>0</v>
      </c>
      <c r="AK371" s="204">
        <f>IF(AI371&lt;&gt;"nvt",INDEX('Tarieven W&amp;O'!$I:$I,$AI371),0)</f>
        <v>25</v>
      </c>
      <c r="AL371" s="524">
        <f>IF(AI371&lt;&gt;"nvt",-INDEX(Parameters!$B:$B,MATCH(AL$3,Parameters!$A:$A,0))*(AJ371+AK371),0)</f>
        <v>0</v>
      </c>
      <c r="AM371" s="525"/>
      <c r="AN371" s="139">
        <f t="shared" si="198"/>
        <v>25</v>
      </c>
      <c r="AO371" s="205">
        <f>AN371/INDEX(Parameters!$B:$B,MATCH("AfschrijftermijnVVE"&amp;12*$C371,Parameters!$A:$A,0))</f>
        <v>0.52083333333333337</v>
      </c>
      <c r="AP371" s="139">
        <f t="shared" si="199"/>
        <v>42</v>
      </c>
      <c r="AQ371" s="526">
        <f>IF(AP371&lt;&gt;"nvt",INDEX('Tarieven W&amp;O'!$G:$G,$AP371),0)</f>
        <v>18.47</v>
      </c>
      <c r="AR371" s="251">
        <f>IF($S371,INDEX('Tarieven W&amp;O'!$G:$G,MATCH(N371&amp;R371,'Tarieven W&amp;O'!$B:$B,0)),0)</f>
        <v>0</v>
      </c>
      <c r="AS371" s="205">
        <f>-INDEX(Parameters!$B:$B,MATCH(AS$3,Parameters!$A:$A,0))*(AQ371+AR371)</f>
        <v>0</v>
      </c>
      <c r="AT371" s="205">
        <f>INDEX(hulpblad!$E:$E,MATCH(M371&amp;Q371,hulpblad!$B:$B,0))</f>
        <v>2</v>
      </c>
      <c r="AU371" s="150">
        <f t="shared" si="215"/>
        <v>20.47</v>
      </c>
      <c r="AV371" s="150">
        <f t="shared" si="216"/>
        <v>20.990833333333331</v>
      </c>
      <c r="AX371" s="526">
        <f>Parameters!$B$6*AV371</f>
        <v>0.20990833333333331</v>
      </c>
      <c r="AY371" s="150">
        <v>0</v>
      </c>
      <c r="AZ371" s="150"/>
      <c r="BA371" s="150">
        <f t="shared" si="202"/>
        <v>0.20990833333333331</v>
      </c>
      <c r="BB371" s="150"/>
      <c r="BC371" s="522">
        <f t="shared" si="203"/>
        <v>21.200741666666666</v>
      </c>
      <c r="BD371" s="175"/>
      <c r="BE371" s="527">
        <f t="shared" si="217"/>
        <v>999.63259166666671</v>
      </c>
      <c r="BF371" s="181">
        <f t="shared" si="218"/>
        <v>0.97923192653061231</v>
      </c>
      <c r="BG371" s="520" t="b">
        <f t="shared" si="206"/>
        <v>0</v>
      </c>
      <c r="BI371" s="528" t="s">
        <v>2181</v>
      </c>
      <c r="BL371" s="151" t="str">
        <f t="shared" si="220"/>
        <v>EoKMetro - Nationaal</v>
      </c>
      <c r="BM371" s="529">
        <v>0</v>
      </c>
      <c r="BN371" s="180">
        <f>BM371/INDEX(Parameters!$B:$B,MATCH("AfschrijftermijnVVE"&amp;12*$C371,Parameters!$A:$A,0))</f>
        <v>0</v>
      </c>
      <c r="BO371" s="184">
        <f>INDEX('inkoop ULL tbv EVPN'!I:I,MATCH(BL371,'inkoop ULL tbv EVPN'!H:H,0))</f>
        <v>2</v>
      </c>
      <c r="BP371" s="184">
        <f t="shared" si="221"/>
        <v>2</v>
      </c>
      <c r="BR371" s="180">
        <f>Parameters!$B$12*AG371</f>
        <v>102.08333333333334</v>
      </c>
      <c r="BS371" s="180">
        <f>SUM(Distributievergoedingen!$F$12,Distributievergoedingen!$I$12,Distributievergoedingen!$L$12,Distributievergoedingen!$O$12)*AF371+SUM(Distributievergoedingen!$O$12*AA371+Distributievergoedingen!$R$12+Distributievergoedingen!$U$12+Distributievergoedingen!$X$12)/(MAX(36,12*C371))</f>
        <v>112.08333333333333</v>
      </c>
      <c r="BT371" s="150"/>
      <c r="BU371" s="150">
        <f t="shared" si="222"/>
        <v>214.16666666666669</v>
      </c>
      <c r="BW371" s="522">
        <f t="shared" si="223"/>
        <v>216.16666666666669</v>
      </c>
      <c r="BY371" s="527">
        <f t="shared" si="224"/>
        <v>804.66666666666674</v>
      </c>
      <c r="BZ371" s="181">
        <f t="shared" si="225"/>
        <v>0.78824489795918373</v>
      </c>
      <c r="CA371" s="520" t="b">
        <f t="shared" si="226"/>
        <v>0</v>
      </c>
    </row>
    <row r="372" spans="1:79" s="151" customFormat="1">
      <c r="A372" s="151" t="str">
        <f t="shared" si="219"/>
        <v>4EoKEntryRegionaal10</v>
      </c>
      <c r="B372" s="520" t="str">
        <f t="shared" si="214"/>
        <v>4EoKEntryRegionaal10</v>
      </c>
      <c r="C372" s="179">
        <v>4</v>
      </c>
      <c r="D372" s="179" t="s">
        <v>303</v>
      </c>
      <c r="E372" s="178" t="s">
        <v>45</v>
      </c>
      <c r="F372" s="178" t="s">
        <v>265</v>
      </c>
      <c r="G372" s="185" t="s">
        <v>412</v>
      </c>
      <c r="J372" s="520" t="str">
        <f t="shared" si="193"/>
        <v>EntryRegionaal10</v>
      </c>
      <c r="L372" s="204">
        <f>INDEX(Mapping!$H:$H,MATCH(C$3&amp;C372,Mapping!$B:$B,0))</f>
        <v>1</v>
      </c>
      <c r="M372" s="204" t="str">
        <f>INDEX(Mapping!$H:$H,MATCH(D$3&amp;$D372,Mapping!$B:$B,0))</f>
        <v>EoK</v>
      </c>
      <c r="N372" s="204" t="str">
        <f>INDEX(Mapping!$H:$H,MATCH(E$3&amp;E372,Mapping!$B:$B,0))</f>
        <v>Lite</v>
      </c>
      <c r="O372" s="204" t="str">
        <f>INDEX(Mapping!$H:$H,MATCH(F$3&amp;F372,Mapping!$B:$B,0))</f>
        <v>Metro</v>
      </c>
      <c r="P372" s="204">
        <f>INDEX(Mapping!$H:$H,MATCH(G$3&amp;G372,Mapping!$B:$B,0))</f>
        <v>10</v>
      </c>
      <c r="Q372" s="204" t="str">
        <f>INDEX(Mapping!$H:$H,MATCH(Q$3&amp;$F372,Mapping!$B:$B,0))</f>
        <v>Metro - Nationaal</v>
      </c>
      <c r="R372" s="204" t="str">
        <f>INDEX(Mapping!$H:$H,MATCH("ZM VPN Service Level"&amp;E372,Mapping!$B:$B,0))</f>
        <v>Advanced</v>
      </c>
      <c r="S372" s="139" t="b">
        <f>IF($D372="EoK",INDEX(Mapping!$I:$I,MATCH($G$3&amp;$G372,Mapping!B:B,0)),FALSE)</f>
        <v>0</v>
      </c>
      <c r="T372" s="139"/>
      <c r="U372" s="520" t="str">
        <f t="shared" si="194"/>
        <v>LiteMetro10</v>
      </c>
      <c r="W372" s="521">
        <f>MATCH($J372,'Tarieven ZM'!$B:$B,0)</f>
        <v>34</v>
      </c>
      <c r="X372" s="204">
        <f>INDEX('Tarieven ZM'!$H:$H,$W372)</f>
        <v>1000</v>
      </c>
      <c r="Y372" s="198">
        <f>-INDEX(Parameters!$B:$B,MATCH(Y$3&amp;$C372,Parameters!$A:$A,0))*$X372</f>
        <v>0</v>
      </c>
      <c r="Z372" s="198">
        <f>-INDEX(Parameters!$B:$B,MATCH(Z$3&amp;$C372,Parameters!$A:$A,0))*$X372</f>
        <v>0</v>
      </c>
      <c r="AA372" s="139">
        <f t="shared" si="195"/>
        <v>1000</v>
      </c>
      <c r="AB372" s="205">
        <f>AA372/INDEX(Parameters!$B:$B,MATCH("AfschrijftermijnVVE"&amp;12*$C372,Parameters!$A:$A,0))</f>
        <v>20.833333333333332</v>
      </c>
      <c r="AC372" s="204">
        <f>INDEX('Tarieven ZM'!$G:$G,$W372)</f>
        <v>1000</v>
      </c>
      <c r="AD372" s="198">
        <f>-INDEX(Parameters!$B:$B,MATCH(AD$3&amp;$C372,Parameters!$A:$A,0))*$AC372</f>
        <v>0</v>
      </c>
      <c r="AE372" s="198">
        <f>-INDEX(Parameters!$B:$B,MATCH(AE$3,Parameters!$A:$A,0))*$AC372</f>
        <v>0</v>
      </c>
      <c r="AF372" s="139">
        <f t="shared" si="196"/>
        <v>1000</v>
      </c>
      <c r="AG372" s="522">
        <f t="shared" si="197"/>
        <v>1020.8333333333334</v>
      </c>
      <c r="AH372" s="175"/>
      <c r="AI372" s="523">
        <f>MATCH($U372,'Tarieven W&amp;O'!$B:$B,0)</f>
        <v>43</v>
      </c>
      <c r="AJ372" s="204">
        <f>IF(AI372&lt;&gt;"nvt",INDEX('Tarieven W&amp;O'!$H:$H,$AI372),0)</f>
        <v>0</v>
      </c>
      <c r="AK372" s="204">
        <f>IF(AI372&lt;&gt;"nvt",INDEX('Tarieven W&amp;O'!$I:$I,$AI372),0)</f>
        <v>25</v>
      </c>
      <c r="AL372" s="524">
        <f>IF(AI372&lt;&gt;"nvt",-INDEX(Parameters!$B:$B,MATCH(AL$3,Parameters!$A:$A,0))*(AJ372+AK372),0)</f>
        <v>0</v>
      </c>
      <c r="AM372" s="525"/>
      <c r="AN372" s="139">
        <f t="shared" si="198"/>
        <v>25</v>
      </c>
      <c r="AO372" s="205">
        <f>AN372/INDEX(Parameters!$B:$B,MATCH("AfschrijftermijnVVE"&amp;12*$C372,Parameters!$A:$A,0))</f>
        <v>0.52083333333333337</v>
      </c>
      <c r="AP372" s="139">
        <f t="shared" si="199"/>
        <v>43</v>
      </c>
      <c r="AQ372" s="526">
        <f>IF(AP372&lt;&gt;"nvt",INDEX('Tarieven W&amp;O'!$G:$G,$AP372),0)</f>
        <v>18.47</v>
      </c>
      <c r="AR372" s="251">
        <f>IF($S372,INDEX('Tarieven W&amp;O'!$G:$G,MATCH(N372&amp;R372,'Tarieven W&amp;O'!$B:$B,0)),0)</f>
        <v>0</v>
      </c>
      <c r="AS372" s="205">
        <f>-INDEX(Parameters!$B:$B,MATCH(AS$3,Parameters!$A:$A,0))*(AQ372+AR372)</f>
        <v>0</v>
      </c>
      <c r="AT372" s="205">
        <f>INDEX(hulpblad!$E:$E,MATCH(M372&amp;Q372,hulpblad!$B:$B,0))</f>
        <v>2</v>
      </c>
      <c r="AU372" s="150">
        <f t="shared" si="215"/>
        <v>20.47</v>
      </c>
      <c r="AV372" s="150">
        <f t="shared" si="216"/>
        <v>20.990833333333331</v>
      </c>
      <c r="AX372" s="526">
        <f>Parameters!$B$6*AV372</f>
        <v>0.20990833333333331</v>
      </c>
      <c r="AY372" s="150">
        <v>0</v>
      </c>
      <c r="AZ372" s="150"/>
      <c r="BA372" s="150">
        <f t="shared" si="202"/>
        <v>0.20990833333333331</v>
      </c>
      <c r="BB372" s="150"/>
      <c r="BC372" s="522">
        <f t="shared" si="203"/>
        <v>21.200741666666666</v>
      </c>
      <c r="BD372" s="175"/>
      <c r="BE372" s="527">
        <f t="shared" si="217"/>
        <v>999.63259166666671</v>
      </c>
      <c r="BF372" s="181">
        <f t="shared" si="218"/>
        <v>0.97923192653061231</v>
      </c>
      <c r="BG372" s="520" t="b">
        <f t="shared" si="206"/>
        <v>0</v>
      </c>
      <c r="BI372" s="528" t="s">
        <v>2181</v>
      </c>
      <c r="BL372" s="151" t="str">
        <f t="shared" si="220"/>
        <v>EoKMetro - Nationaal</v>
      </c>
      <c r="BM372" s="529">
        <v>0</v>
      </c>
      <c r="BN372" s="180">
        <f>BM372/INDEX(Parameters!$B:$B,MATCH("AfschrijftermijnVVE"&amp;12*$C372,Parameters!$A:$A,0))</f>
        <v>0</v>
      </c>
      <c r="BO372" s="184">
        <f>INDEX('inkoop ULL tbv EVPN'!I:I,MATCH(BL372,'inkoop ULL tbv EVPN'!H:H,0))</f>
        <v>2</v>
      </c>
      <c r="BP372" s="184">
        <f t="shared" si="221"/>
        <v>2</v>
      </c>
      <c r="BR372" s="180">
        <f>Parameters!$B$12*AG372</f>
        <v>102.08333333333334</v>
      </c>
      <c r="BS372" s="180">
        <f>SUM(Distributievergoedingen!$F$12,Distributievergoedingen!$I$12,Distributievergoedingen!$L$12,Distributievergoedingen!$O$12)*AF372+SUM(Distributievergoedingen!$O$12*AA372+Distributievergoedingen!$R$12+Distributievergoedingen!$U$12+Distributievergoedingen!$X$12)/(MAX(36,12*C372))</f>
        <v>112.08333333333333</v>
      </c>
      <c r="BT372" s="150"/>
      <c r="BU372" s="150">
        <f t="shared" si="222"/>
        <v>214.16666666666669</v>
      </c>
      <c r="BW372" s="522">
        <f t="shared" si="223"/>
        <v>216.16666666666669</v>
      </c>
      <c r="BY372" s="527">
        <f t="shared" si="224"/>
        <v>804.66666666666674</v>
      </c>
      <c r="BZ372" s="181">
        <f t="shared" si="225"/>
        <v>0.78824489795918373</v>
      </c>
      <c r="CA372" s="520" t="b">
        <f t="shared" si="226"/>
        <v>0</v>
      </c>
    </row>
    <row r="373" spans="1:79" s="151" customFormat="1">
      <c r="A373" s="151" t="str">
        <f t="shared" si="219"/>
        <v>4EoKEntryRegionaal15</v>
      </c>
      <c r="B373" s="520" t="str">
        <f t="shared" si="214"/>
        <v>4EoKEntryRegionaal15</v>
      </c>
      <c r="C373" s="179">
        <v>4</v>
      </c>
      <c r="D373" s="179" t="s">
        <v>303</v>
      </c>
      <c r="E373" s="178" t="s">
        <v>45</v>
      </c>
      <c r="F373" s="178" t="s">
        <v>265</v>
      </c>
      <c r="G373" s="185" t="s">
        <v>413</v>
      </c>
      <c r="J373" s="520" t="str">
        <f t="shared" si="193"/>
        <v>EntryRegionaal15</v>
      </c>
      <c r="L373" s="204">
        <f>INDEX(Mapping!$H:$H,MATCH(C$3&amp;C373,Mapping!$B:$B,0))</f>
        <v>1</v>
      </c>
      <c r="M373" s="204" t="str">
        <f>INDEX(Mapping!$H:$H,MATCH(D$3&amp;$D373,Mapping!$B:$B,0))</f>
        <v>EoK</v>
      </c>
      <c r="N373" s="204" t="str">
        <f>INDEX(Mapping!$H:$H,MATCH(E$3&amp;E373,Mapping!$B:$B,0))</f>
        <v>Lite</v>
      </c>
      <c r="O373" s="204" t="str">
        <f>INDEX(Mapping!$H:$H,MATCH(F$3&amp;F373,Mapping!$B:$B,0))</f>
        <v>Metro</v>
      </c>
      <c r="P373" s="204">
        <f>INDEX(Mapping!$H:$H,MATCH(G$3&amp;G373,Mapping!$B:$B,0))</f>
        <v>15</v>
      </c>
      <c r="Q373" s="204" t="str">
        <f>INDEX(Mapping!$H:$H,MATCH(Q$3&amp;$F373,Mapping!$B:$B,0))</f>
        <v>Metro - Nationaal</v>
      </c>
      <c r="R373" s="204" t="str">
        <f>INDEX(Mapping!$H:$H,MATCH("ZM VPN Service Level"&amp;E373,Mapping!$B:$B,0))</f>
        <v>Advanced</v>
      </c>
      <c r="S373" s="139" t="b">
        <f>IF($D373="EoK",INDEX(Mapping!$I:$I,MATCH($G$3&amp;$G373,Mapping!B:B,0)),FALSE)</f>
        <v>0</v>
      </c>
      <c r="T373" s="139"/>
      <c r="U373" s="520" t="str">
        <f t="shared" si="194"/>
        <v>LiteMetro15</v>
      </c>
      <c r="W373" s="521">
        <f>MATCH($J373,'Tarieven ZM'!$B:$B,0)</f>
        <v>35</v>
      </c>
      <c r="X373" s="204">
        <f>INDEX('Tarieven ZM'!$H:$H,$W373)</f>
        <v>1000</v>
      </c>
      <c r="Y373" s="198">
        <f>-INDEX(Parameters!$B:$B,MATCH(Y$3&amp;$C373,Parameters!$A:$A,0))*$X373</f>
        <v>0</v>
      </c>
      <c r="Z373" s="198">
        <f>-INDEX(Parameters!$B:$B,MATCH(Z$3&amp;$C373,Parameters!$A:$A,0))*$X373</f>
        <v>0</v>
      </c>
      <c r="AA373" s="139">
        <f t="shared" si="195"/>
        <v>1000</v>
      </c>
      <c r="AB373" s="205">
        <f>AA373/INDEX(Parameters!$B:$B,MATCH("AfschrijftermijnVVE"&amp;12*$C373,Parameters!$A:$A,0))</f>
        <v>20.833333333333332</v>
      </c>
      <c r="AC373" s="204">
        <f>INDEX('Tarieven ZM'!$G:$G,$W373)</f>
        <v>1000</v>
      </c>
      <c r="AD373" s="198">
        <f>-INDEX(Parameters!$B:$B,MATCH(AD$3&amp;$C373,Parameters!$A:$A,0))*$AC373</f>
        <v>0</v>
      </c>
      <c r="AE373" s="198">
        <f>-INDEX(Parameters!$B:$B,MATCH(AE$3,Parameters!$A:$A,0))*$AC373</f>
        <v>0</v>
      </c>
      <c r="AF373" s="139">
        <f t="shared" si="196"/>
        <v>1000</v>
      </c>
      <c r="AG373" s="522">
        <f t="shared" si="197"/>
        <v>1020.8333333333334</v>
      </c>
      <c r="AH373" s="175"/>
      <c r="AI373" s="523">
        <f>MATCH($U373,'Tarieven W&amp;O'!$B:$B,0)</f>
        <v>44</v>
      </c>
      <c r="AJ373" s="204">
        <f>IF(AI373&lt;&gt;"nvt",INDEX('Tarieven W&amp;O'!$H:$H,$AI373),0)</f>
        <v>0</v>
      </c>
      <c r="AK373" s="204">
        <f>IF(AI373&lt;&gt;"nvt",INDEX('Tarieven W&amp;O'!$I:$I,$AI373),0)</f>
        <v>25</v>
      </c>
      <c r="AL373" s="524">
        <f>IF(AI373&lt;&gt;"nvt",-INDEX(Parameters!$B:$B,MATCH(AL$3,Parameters!$A:$A,0))*(AJ373+AK373),0)</f>
        <v>0</v>
      </c>
      <c r="AM373" s="525"/>
      <c r="AN373" s="139">
        <f t="shared" si="198"/>
        <v>25</v>
      </c>
      <c r="AO373" s="205">
        <f>AN373/INDEX(Parameters!$B:$B,MATCH("AfschrijftermijnVVE"&amp;12*$C373,Parameters!$A:$A,0))</f>
        <v>0.52083333333333337</v>
      </c>
      <c r="AP373" s="139">
        <f t="shared" si="199"/>
        <v>44</v>
      </c>
      <c r="AQ373" s="526">
        <f>IF(AP373&lt;&gt;"nvt",INDEX('Tarieven W&amp;O'!$G:$G,$AP373),0)</f>
        <v>22.24</v>
      </c>
      <c r="AR373" s="251">
        <f>IF($S373,INDEX('Tarieven W&amp;O'!$G:$G,MATCH(N373&amp;R373,'Tarieven W&amp;O'!$B:$B,0)),0)</f>
        <v>0</v>
      </c>
      <c r="AS373" s="205">
        <f>-INDEX(Parameters!$B:$B,MATCH(AS$3,Parameters!$A:$A,0))*(AQ373+AR373)</f>
        <v>0</v>
      </c>
      <c r="AT373" s="205">
        <f>INDEX(hulpblad!$E:$E,MATCH(M373&amp;Q373,hulpblad!$B:$B,0))</f>
        <v>2</v>
      </c>
      <c r="AU373" s="150">
        <f t="shared" si="215"/>
        <v>24.24</v>
      </c>
      <c r="AV373" s="150">
        <f t="shared" si="216"/>
        <v>24.760833333333331</v>
      </c>
      <c r="AX373" s="526">
        <f>Parameters!$B$6*AV373</f>
        <v>0.24760833333333332</v>
      </c>
      <c r="AY373" s="150">
        <v>0</v>
      </c>
      <c r="AZ373" s="150"/>
      <c r="BA373" s="150">
        <f t="shared" si="202"/>
        <v>0.24760833333333332</v>
      </c>
      <c r="BB373" s="150"/>
      <c r="BC373" s="522">
        <f t="shared" si="203"/>
        <v>25.008441666666663</v>
      </c>
      <c r="BD373" s="175"/>
      <c r="BE373" s="527">
        <f t="shared" si="217"/>
        <v>995.82489166666676</v>
      </c>
      <c r="BF373" s="181">
        <f t="shared" si="218"/>
        <v>0.97550193469387758</v>
      </c>
      <c r="BG373" s="520" t="b">
        <f t="shared" si="206"/>
        <v>0</v>
      </c>
      <c r="BI373" s="528" t="s">
        <v>2181</v>
      </c>
      <c r="BL373" s="151" t="str">
        <f t="shared" si="220"/>
        <v>EoKMetro - Nationaal</v>
      </c>
      <c r="BM373" s="529">
        <v>0</v>
      </c>
      <c r="BN373" s="180">
        <f>BM373/INDEX(Parameters!$B:$B,MATCH("AfschrijftermijnVVE"&amp;12*$C373,Parameters!$A:$A,0))</f>
        <v>0</v>
      </c>
      <c r="BO373" s="184">
        <f>INDEX('inkoop ULL tbv EVPN'!I:I,MATCH(BL373,'inkoop ULL tbv EVPN'!H:H,0))</f>
        <v>2</v>
      </c>
      <c r="BP373" s="184">
        <f t="shared" si="221"/>
        <v>2</v>
      </c>
      <c r="BR373" s="180">
        <f>Parameters!$B$12*AG373</f>
        <v>102.08333333333334</v>
      </c>
      <c r="BS373" s="180">
        <f>SUM(Distributievergoedingen!$F$12,Distributievergoedingen!$I$12,Distributievergoedingen!$L$12,Distributievergoedingen!$O$12)*AF373+SUM(Distributievergoedingen!$O$12*AA373+Distributievergoedingen!$R$12+Distributievergoedingen!$U$12+Distributievergoedingen!$X$12)/(MAX(36,12*C373))</f>
        <v>112.08333333333333</v>
      </c>
      <c r="BT373" s="150"/>
      <c r="BU373" s="150">
        <f t="shared" si="222"/>
        <v>214.16666666666669</v>
      </c>
      <c r="BW373" s="522">
        <f t="shared" si="223"/>
        <v>216.16666666666669</v>
      </c>
      <c r="BY373" s="527">
        <f t="shared" si="224"/>
        <v>804.66666666666674</v>
      </c>
      <c r="BZ373" s="181">
        <f t="shared" si="225"/>
        <v>0.78824489795918373</v>
      </c>
      <c r="CA373" s="520" t="b">
        <f t="shared" si="226"/>
        <v>0</v>
      </c>
    </row>
    <row r="374" spans="1:79" s="151" customFormat="1">
      <c r="A374" s="151" t="str">
        <f t="shared" si="219"/>
        <v>4EoKEntryRegionaal20</v>
      </c>
      <c r="B374" s="520" t="str">
        <f t="shared" si="214"/>
        <v>4EoKEntryRegionaal20</v>
      </c>
      <c r="C374" s="179">
        <v>4</v>
      </c>
      <c r="D374" s="179" t="s">
        <v>303</v>
      </c>
      <c r="E374" s="178" t="s">
        <v>45</v>
      </c>
      <c r="F374" s="178" t="s">
        <v>265</v>
      </c>
      <c r="G374" s="185" t="s">
        <v>414</v>
      </c>
      <c r="J374" s="520" t="str">
        <f t="shared" si="193"/>
        <v>EntryRegionaal20</v>
      </c>
      <c r="L374" s="204">
        <f>INDEX(Mapping!$H:$H,MATCH(C$3&amp;C374,Mapping!$B:$B,0))</f>
        <v>1</v>
      </c>
      <c r="M374" s="204" t="str">
        <f>INDEX(Mapping!$H:$H,MATCH(D$3&amp;$D374,Mapping!$B:$B,0))</f>
        <v>EoK</v>
      </c>
      <c r="N374" s="204" t="str">
        <f>INDEX(Mapping!$H:$H,MATCH(E$3&amp;E374,Mapping!$B:$B,0))</f>
        <v>Lite</v>
      </c>
      <c r="O374" s="204" t="str">
        <f>INDEX(Mapping!$H:$H,MATCH(F$3&amp;F374,Mapping!$B:$B,0))</f>
        <v>Metro</v>
      </c>
      <c r="P374" s="204">
        <f>INDEX(Mapping!$H:$H,MATCH(G$3&amp;G374,Mapping!$B:$B,0))</f>
        <v>20</v>
      </c>
      <c r="Q374" s="204" t="str">
        <f>INDEX(Mapping!$H:$H,MATCH(Q$3&amp;$F374,Mapping!$B:$B,0))</f>
        <v>Metro - Nationaal</v>
      </c>
      <c r="R374" s="204" t="str">
        <f>INDEX(Mapping!$H:$H,MATCH("ZM VPN Service Level"&amp;E374,Mapping!$B:$B,0))</f>
        <v>Advanced</v>
      </c>
      <c r="S374" s="139" t="b">
        <f>IF($D374="EoK",INDEX(Mapping!$I:$I,MATCH($G$3&amp;$G374,Mapping!B:B,0)),FALSE)</f>
        <v>0</v>
      </c>
      <c r="T374" s="139"/>
      <c r="U374" s="520" t="str">
        <f t="shared" si="194"/>
        <v>LiteMetro20</v>
      </c>
      <c r="W374" s="521">
        <f>MATCH($J374,'Tarieven ZM'!$B:$B,0)</f>
        <v>36</v>
      </c>
      <c r="X374" s="204">
        <f>INDEX('Tarieven ZM'!$H:$H,$W374)</f>
        <v>1000</v>
      </c>
      <c r="Y374" s="198">
        <f>-INDEX(Parameters!$B:$B,MATCH(Y$3&amp;$C374,Parameters!$A:$A,0))*$X374</f>
        <v>0</v>
      </c>
      <c r="Z374" s="198">
        <f>-INDEX(Parameters!$B:$B,MATCH(Z$3&amp;$C374,Parameters!$A:$A,0))*$X374</f>
        <v>0</v>
      </c>
      <c r="AA374" s="139">
        <f t="shared" si="195"/>
        <v>1000</v>
      </c>
      <c r="AB374" s="205">
        <f>AA374/INDEX(Parameters!$B:$B,MATCH("AfschrijftermijnVVE"&amp;12*$C374,Parameters!$A:$A,0))</f>
        <v>20.833333333333332</v>
      </c>
      <c r="AC374" s="204">
        <f>INDEX('Tarieven ZM'!$G:$G,$W374)</f>
        <v>1000</v>
      </c>
      <c r="AD374" s="198">
        <f>-INDEX(Parameters!$B:$B,MATCH(AD$3&amp;$C374,Parameters!$A:$A,0))*$AC374</f>
        <v>0</v>
      </c>
      <c r="AE374" s="198">
        <f>-INDEX(Parameters!$B:$B,MATCH(AE$3,Parameters!$A:$A,0))*$AC374</f>
        <v>0</v>
      </c>
      <c r="AF374" s="139">
        <f t="shared" si="196"/>
        <v>1000</v>
      </c>
      <c r="AG374" s="522">
        <f t="shared" si="197"/>
        <v>1020.8333333333334</v>
      </c>
      <c r="AH374" s="175"/>
      <c r="AI374" s="523">
        <f>MATCH($U374,'Tarieven W&amp;O'!$B:$B,0)</f>
        <v>45</v>
      </c>
      <c r="AJ374" s="204">
        <f>IF(AI374&lt;&gt;"nvt",INDEX('Tarieven W&amp;O'!$H:$H,$AI374),0)</f>
        <v>0</v>
      </c>
      <c r="AK374" s="204">
        <f>IF(AI374&lt;&gt;"nvt",INDEX('Tarieven W&amp;O'!$I:$I,$AI374),0)</f>
        <v>25</v>
      </c>
      <c r="AL374" s="524">
        <f>IF(AI374&lt;&gt;"nvt",-INDEX(Parameters!$B:$B,MATCH(AL$3,Parameters!$A:$A,0))*(AJ374+AK374),0)</f>
        <v>0</v>
      </c>
      <c r="AM374" s="525"/>
      <c r="AN374" s="139">
        <f t="shared" si="198"/>
        <v>25</v>
      </c>
      <c r="AO374" s="205">
        <f>AN374/INDEX(Parameters!$B:$B,MATCH("AfschrijftermijnVVE"&amp;12*$C374,Parameters!$A:$A,0))</f>
        <v>0.52083333333333337</v>
      </c>
      <c r="AP374" s="139">
        <f t="shared" si="199"/>
        <v>45</v>
      </c>
      <c r="AQ374" s="526">
        <f>IF(AP374&lt;&gt;"nvt",INDEX('Tarieven W&amp;O'!$G:$G,$AP374),0)</f>
        <v>29.78</v>
      </c>
      <c r="AR374" s="251">
        <f>IF($S374,INDEX('Tarieven W&amp;O'!$G:$G,MATCH(N374&amp;R374,'Tarieven W&amp;O'!$B:$B,0)),0)</f>
        <v>0</v>
      </c>
      <c r="AS374" s="205">
        <f>-INDEX(Parameters!$B:$B,MATCH(AS$3,Parameters!$A:$A,0))*(AQ374+AR374)</f>
        <v>0</v>
      </c>
      <c r="AT374" s="205">
        <f>INDEX(hulpblad!$E:$E,MATCH(M374&amp;Q374,hulpblad!$B:$B,0))</f>
        <v>2</v>
      </c>
      <c r="AU374" s="150">
        <f t="shared" si="215"/>
        <v>31.78</v>
      </c>
      <c r="AV374" s="150">
        <f t="shared" si="216"/>
        <v>32.300833333333337</v>
      </c>
      <c r="AX374" s="526">
        <f>Parameters!$B$6*AV374</f>
        <v>0.3230083333333334</v>
      </c>
      <c r="AY374" s="150">
        <v>0</v>
      </c>
      <c r="AZ374" s="150"/>
      <c r="BA374" s="150">
        <f t="shared" si="202"/>
        <v>0.3230083333333334</v>
      </c>
      <c r="BB374" s="150"/>
      <c r="BC374" s="522">
        <f t="shared" si="203"/>
        <v>32.623841666666671</v>
      </c>
      <c r="BD374" s="175"/>
      <c r="BE374" s="527">
        <f t="shared" si="217"/>
        <v>988.20949166666674</v>
      </c>
      <c r="BF374" s="181">
        <f t="shared" si="218"/>
        <v>0.96804195102040824</v>
      </c>
      <c r="BG374" s="520" t="b">
        <f t="shared" si="206"/>
        <v>0</v>
      </c>
      <c r="BI374" s="528" t="s">
        <v>2181</v>
      </c>
      <c r="BL374" s="151" t="str">
        <f t="shared" si="220"/>
        <v>EoKMetro - Nationaal</v>
      </c>
      <c r="BM374" s="529">
        <v>0</v>
      </c>
      <c r="BN374" s="180">
        <f>BM374/INDEX(Parameters!$B:$B,MATCH("AfschrijftermijnVVE"&amp;12*$C374,Parameters!$A:$A,0))</f>
        <v>0</v>
      </c>
      <c r="BO374" s="184">
        <f>INDEX('inkoop ULL tbv EVPN'!I:I,MATCH(BL374,'inkoop ULL tbv EVPN'!H:H,0))</f>
        <v>2</v>
      </c>
      <c r="BP374" s="184">
        <f t="shared" si="221"/>
        <v>2</v>
      </c>
      <c r="BR374" s="180">
        <f>Parameters!$B$12*AG374</f>
        <v>102.08333333333334</v>
      </c>
      <c r="BS374" s="180">
        <f>SUM(Distributievergoedingen!$F$12,Distributievergoedingen!$I$12,Distributievergoedingen!$L$12,Distributievergoedingen!$O$12)*AF374+SUM(Distributievergoedingen!$O$12*AA374+Distributievergoedingen!$R$12+Distributievergoedingen!$U$12+Distributievergoedingen!$X$12)/(MAX(36,12*C374))</f>
        <v>112.08333333333333</v>
      </c>
      <c r="BT374" s="150"/>
      <c r="BU374" s="150">
        <f t="shared" si="222"/>
        <v>214.16666666666669</v>
      </c>
      <c r="BW374" s="522">
        <f t="shared" si="223"/>
        <v>216.16666666666669</v>
      </c>
      <c r="BY374" s="527">
        <f t="shared" si="224"/>
        <v>804.66666666666674</v>
      </c>
      <c r="BZ374" s="181">
        <f t="shared" si="225"/>
        <v>0.78824489795918373</v>
      </c>
      <c r="CA374" s="520" t="b">
        <f t="shared" si="226"/>
        <v>0</v>
      </c>
    </row>
    <row r="375" spans="1:79" s="151" customFormat="1">
      <c r="A375" s="151" t="str">
        <f t="shared" si="219"/>
        <v>4EoKEntryRegionaal30</v>
      </c>
      <c r="B375" s="520" t="str">
        <f t="shared" si="214"/>
        <v>4EoKEntryRegionaal30</v>
      </c>
      <c r="C375" s="179">
        <v>4</v>
      </c>
      <c r="D375" s="179" t="s">
        <v>303</v>
      </c>
      <c r="E375" s="178" t="s">
        <v>45</v>
      </c>
      <c r="F375" s="178" t="s">
        <v>265</v>
      </c>
      <c r="G375" s="185" t="s">
        <v>415</v>
      </c>
      <c r="J375" s="520" t="str">
        <f t="shared" si="193"/>
        <v>EntryRegionaal30</v>
      </c>
      <c r="L375" s="204">
        <f>INDEX(Mapping!$H:$H,MATCH(C$3&amp;C375,Mapping!$B:$B,0))</f>
        <v>1</v>
      </c>
      <c r="M375" s="204" t="str">
        <f>INDEX(Mapping!$H:$H,MATCH(D$3&amp;$D375,Mapping!$B:$B,0))</f>
        <v>EoK</v>
      </c>
      <c r="N375" s="204" t="str">
        <f>INDEX(Mapping!$H:$H,MATCH(E$3&amp;E375,Mapping!$B:$B,0))</f>
        <v>Lite</v>
      </c>
      <c r="O375" s="204" t="str">
        <f>INDEX(Mapping!$H:$H,MATCH(F$3&amp;F375,Mapping!$B:$B,0))</f>
        <v>Metro</v>
      </c>
      <c r="P375" s="204">
        <f>INDEX(Mapping!$H:$H,MATCH(G$3&amp;G375,Mapping!$B:$B,0))</f>
        <v>30</v>
      </c>
      <c r="Q375" s="204" t="str">
        <f>INDEX(Mapping!$H:$H,MATCH(Q$3&amp;$F375,Mapping!$B:$B,0))</f>
        <v>Metro - Nationaal</v>
      </c>
      <c r="R375" s="204" t="str">
        <f>INDEX(Mapping!$H:$H,MATCH("ZM VPN Service Level"&amp;E375,Mapping!$B:$B,0))</f>
        <v>Advanced</v>
      </c>
      <c r="S375" s="139" t="b">
        <f>IF($D375="EoK",INDEX(Mapping!$I:$I,MATCH($G$3&amp;$G375,Mapping!B:B,0)),FALSE)</f>
        <v>0</v>
      </c>
      <c r="T375" s="139"/>
      <c r="U375" s="520" t="str">
        <f t="shared" si="194"/>
        <v>LiteMetro30</v>
      </c>
      <c r="W375" s="521">
        <f>MATCH($J375,'Tarieven ZM'!$B:$B,0)</f>
        <v>37</v>
      </c>
      <c r="X375" s="204">
        <f>INDEX('Tarieven ZM'!$H:$H,$W375)</f>
        <v>1000</v>
      </c>
      <c r="Y375" s="198">
        <f>-INDEX(Parameters!$B:$B,MATCH(Y$3&amp;$C375,Parameters!$A:$A,0))*$X375</f>
        <v>0</v>
      </c>
      <c r="Z375" s="198">
        <f>-INDEX(Parameters!$B:$B,MATCH(Z$3&amp;$C375,Parameters!$A:$A,0))*$X375</f>
        <v>0</v>
      </c>
      <c r="AA375" s="139">
        <f t="shared" si="195"/>
        <v>1000</v>
      </c>
      <c r="AB375" s="205">
        <f>AA375/INDEX(Parameters!$B:$B,MATCH("AfschrijftermijnVVE"&amp;12*$C375,Parameters!$A:$A,0))</f>
        <v>20.833333333333332</v>
      </c>
      <c r="AC375" s="204">
        <f>INDEX('Tarieven ZM'!$G:$G,$W375)</f>
        <v>1000</v>
      </c>
      <c r="AD375" s="198">
        <f>-INDEX(Parameters!$B:$B,MATCH(AD$3&amp;$C375,Parameters!$A:$A,0))*$AC375</f>
        <v>0</v>
      </c>
      <c r="AE375" s="198">
        <f>-INDEX(Parameters!$B:$B,MATCH(AE$3,Parameters!$A:$A,0))*$AC375</f>
        <v>0</v>
      </c>
      <c r="AF375" s="139">
        <f t="shared" si="196"/>
        <v>1000</v>
      </c>
      <c r="AG375" s="522">
        <f t="shared" si="197"/>
        <v>1020.8333333333334</v>
      </c>
      <c r="AH375" s="175"/>
      <c r="AI375" s="523">
        <f>MATCH($U375,'Tarieven W&amp;O'!$B:$B,0)</f>
        <v>46</v>
      </c>
      <c r="AJ375" s="204">
        <f>IF(AI375&lt;&gt;"nvt",INDEX('Tarieven W&amp;O'!$H:$H,$AI375),0)</f>
        <v>0</v>
      </c>
      <c r="AK375" s="204">
        <f>IF(AI375&lt;&gt;"nvt",INDEX('Tarieven W&amp;O'!$I:$I,$AI375),0)</f>
        <v>25</v>
      </c>
      <c r="AL375" s="524">
        <f>IF(AI375&lt;&gt;"nvt",-INDEX(Parameters!$B:$B,MATCH(AL$3,Parameters!$A:$A,0))*(AJ375+AK375),0)</f>
        <v>0</v>
      </c>
      <c r="AM375" s="525"/>
      <c r="AN375" s="139">
        <f t="shared" si="198"/>
        <v>25</v>
      </c>
      <c r="AO375" s="205">
        <f>AN375/INDEX(Parameters!$B:$B,MATCH("AfschrijftermijnVVE"&amp;12*$C375,Parameters!$A:$A,0))</f>
        <v>0.52083333333333337</v>
      </c>
      <c r="AP375" s="139">
        <f t="shared" si="199"/>
        <v>46</v>
      </c>
      <c r="AQ375" s="526">
        <f>IF(AP375&lt;&gt;"nvt",INDEX('Tarieven W&amp;O'!$G:$G,$AP375),0)</f>
        <v>33.54</v>
      </c>
      <c r="AR375" s="251">
        <f>IF($S375,INDEX('Tarieven W&amp;O'!$G:$G,MATCH(N375&amp;R375,'Tarieven W&amp;O'!$B:$B,0)),0)</f>
        <v>0</v>
      </c>
      <c r="AS375" s="205">
        <f>-INDEX(Parameters!$B:$B,MATCH(AS$3,Parameters!$A:$A,0))*(AQ375+AR375)</f>
        <v>0</v>
      </c>
      <c r="AT375" s="205">
        <f>INDEX(hulpblad!$E:$E,MATCH(M375&amp;Q375,hulpblad!$B:$B,0))</f>
        <v>2</v>
      </c>
      <c r="AU375" s="150">
        <f t="shared" si="215"/>
        <v>35.54</v>
      </c>
      <c r="AV375" s="150">
        <f t="shared" si="216"/>
        <v>36.060833333333335</v>
      </c>
      <c r="AX375" s="526">
        <f>Parameters!$B$6*AV375</f>
        <v>0.36060833333333336</v>
      </c>
      <c r="AY375" s="150">
        <v>0</v>
      </c>
      <c r="AZ375" s="150"/>
      <c r="BA375" s="150">
        <f t="shared" si="202"/>
        <v>0.36060833333333336</v>
      </c>
      <c r="BB375" s="150"/>
      <c r="BC375" s="522">
        <f t="shared" si="203"/>
        <v>36.421441666666666</v>
      </c>
      <c r="BD375" s="175"/>
      <c r="BE375" s="527">
        <f t="shared" si="217"/>
        <v>984.41189166666675</v>
      </c>
      <c r="BF375" s="181">
        <f t="shared" si="218"/>
        <v>0.96432185306122453</v>
      </c>
      <c r="BG375" s="520" t="b">
        <f t="shared" si="206"/>
        <v>0</v>
      </c>
      <c r="BI375" s="528" t="s">
        <v>2181</v>
      </c>
      <c r="BL375" s="151" t="str">
        <f t="shared" si="220"/>
        <v>EoKMetro - Nationaal</v>
      </c>
      <c r="BM375" s="529">
        <v>0</v>
      </c>
      <c r="BN375" s="180">
        <f>BM375/INDEX(Parameters!$B:$B,MATCH("AfschrijftermijnVVE"&amp;12*$C375,Parameters!$A:$A,0))</f>
        <v>0</v>
      </c>
      <c r="BO375" s="184">
        <f>INDEX('inkoop ULL tbv EVPN'!I:I,MATCH(BL375,'inkoop ULL tbv EVPN'!H:H,0))</f>
        <v>2</v>
      </c>
      <c r="BP375" s="184">
        <f t="shared" si="221"/>
        <v>2</v>
      </c>
      <c r="BR375" s="180">
        <f>Parameters!$B$12*AG375</f>
        <v>102.08333333333334</v>
      </c>
      <c r="BS375" s="180">
        <f>SUM(Distributievergoedingen!$F$12,Distributievergoedingen!$I$12,Distributievergoedingen!$L$12,Distributievergoedingen!$O$12)*AF375+SUM(Distributievergoedingen!$O$12*AA375+Distributievergoedingen!$R$12+Distributievergoedingen!$U$12+Distributievergoedingen!$X$12)/(MAX(36,12*C375))</f>
        <v>112.08333333333333</v>
      </c>
      <c r="BT375" s="150"/>
      <c r="BU375" s="150">
        <f t="shared" si="222"/>
        <v>214.16666666666669</v>
      </c>
      <c r="BW375" s="522">
        <f t="shared" si="223"/>
        <v>216.16666666666669</v>
      </c>
      <c r="BY375" s="527">
        <f t="shared" si="224"/>
        <v>804.66666666666674</v>
      </c>
      <c r="BZ375" s="181">
        <f t="shared" si="225"/>
        <v>0.78824489795918373</v>
      </c>
      <c r="CA375" s="520" t="b">
        <f t="shared" si="226"/>
        <v>0</v>
      </c>
    </row>
    <row r="376" spans="1:79" s="151" customFormat="1">
      <c r="A376" s="151" t="str">
        <f t="shared" si="219"/>
        <v>4EoKEntryRegionaal50</v>
      </c>
      <c r="B376" s="520" t="str">
        <f t="shared" si="214"/>
        <v>4EoKEntryRegionaal50</v>
      </c>
      <c r="C376" s="179">
        <v>4</v>
      </c>
      <c r="D376" s="179" t="s">
        <v>303</v>
      </c>
      <c r="E376" s="178" t="s">
        <v>45</v>
      </c>
      <c r="F376" s="178" t="s">
        <v>265</v>
      </c>
      <c r="G376" s="185" t="s">
        <v>416</v>
      </c>
      <c r="J376" s="520" t="str">
        <f t="shared" si="193"/>
        <v>EntryRegionaal50</v>
      </c>
      <c r="L376" s="204">
        <f>INDEX(Mapping!$H:$H,MATCH(C$3&amp;C376,Mapping!$B:$B,0))</f>
        <v>1</v>
      </c>
      <c r="M376" s="204" t="str">
        <f>INDEX(Mapping!$H:$H,MATCH(D$3&amp;$D376,Mapping!$B:$B,0))</f>
        <v>EoK</v>
      </c>
      <c r="N376" s="204" t="str">
        <f>INDEX(Mapping!$H:$H,MATCH(E$3&amp;E376,Mapping!$B:$B,0))</f>
        <v>Lite</v>
      </c>
      <c r="O376" s="204" t="str">
        <f>INDEX(Mapping!$H:$H,MATCH(F$3&amp;F376,Mapping!$B:$B,0))</f>
        <v>Metro</v>
      </c>
      <c r="P376" s="204">
        <f>INDEX(Mapping!$H:$H,MATCH(G$3&amp;G376,Mapping!$B:$B,0))</f>
        <v>50</v>
      </c>
      <c r="Q376" s="204" t="str">
        <f>INDEX(Mapping!$H:$H,MATCH(Q$3&amp;$F376,Mapping!$B:$B,0))</f>
        <v>Metro - Nationaal</v>
      </c>
      <c r="R376" s="204" t="str">
        <f>INDEX(Mapping!$H:$H,MATCH("ZM VPN Service Level"&amp;E376,Mapping!$B:$B,0))</f>
        <v>Advanced</v>
      </c>
      <c r="S376" s="139" t="b">
        <f>IF($D376="EoK",INDEX(Mapping!$I:$I,MATCH($G$3&amp;$G376,Mapping!B:B,0)),FALSE)</f>
        <v>0</v>
      </c>
      <c r="T376" s="139"/>
      <c r="U376" s="520" t="str">
        <f t="shared" si="194"/>
        <v>LiteMetro50</v>
      </c>
      <c r="W376" s="521">
        <f>MATCH($J376,'Tarieven ZM'!$B:$B,0)</f>
        <v>38</v>
      </c>
      <c r="X376" s="204">
        <f>INDEX('Tarieven ZM'!$H:$H,$W376)</f>
        <v>1000</v>
      </c>
      <c r="Y376" s="198">
        <f>-INDEX(Parameters!$B:$B,MATCH(Y$3&amp;$C376,Parameters!$A:$A,0))*$X376</f>
        <v>0</v>
      </c>
      <c r="Z376" s="198">
        <f>-INDEX(Parameters!$B:$B,MATCH(Z$3&amp;$C376,Parameters!$A:$A,0))*$X376</f>
        <v>0</v>
      </c>
      <c r="AA376" s="139">
        <f t="shared" si="195"/>
        <v>1000</v>
      </c>
      <c r="AB376" s="205">
        <f>AA376/INDEX(Parameters!$B:$B,MATCH("AfschrijftermijnVVE"&amp;12*$C376,Parameters!$A:$A,0))</f>
        <v>20.833333333333332</v>
      </c>
      <c r="AC376" s="204">
        <f>INDEX('Tarieven ZM'!$G:$G,$W376)</f>
        <v>1000</v>
      </c>
      <c r="AD376" s="198">
        <f>-INDEX(Parameters!$B:$B,MATCH(AD$3&amp;$C376,Parameters!$A:$A,0))*$AC376</f>
        <v>0</v>
      </c>
      <c r="AE376" s="198">
        <f>-INDEX(Parameters!$B:$B,MATCH(AE$3,Parameters!$A:$A,0))*$AC376</f>
        <v>0</v>
      </c>
      <c r="AF376" s="139">
        <f t="shared" si="196"/>
        <v>1000</v>
      </c>
      <c r="AG376" s="522">
        <f t="shared" si="197"/>
        <v>1020.8333333333334</v>
      </c>
      <c r="AH376" s="175"/>
      <c r="AI376" s="523">
        <f>MATCH($U376,'Tarieven W&amp;O'!$B:$B,0)</f>
        <v>47</v>
      </c>
      <c r="AJ376" s="204">
        <f>IF(AI376&lt;&gt;"nvt",INDEX('Tarieven W&amp;O'!$H:$H,$AI376),0)</f>
        <v>0</v>
      </c>
      <c r="AK376" s="204">
        <f>IF(AI376&lt;&gt;"nvt",INDEX('Tarieven W&amp;O'!$I:$I,$AI376),0)</f>
        <v>25</v>
      </c>
      <c r="AL376" s="524">
        <f>IF(AI376&lt;&gt;"nvt",-INDEX(Parameters!$B:$B,MATCH(AL$3,Parameters!$A:$A,0))*(AJ376+AK376),0)</f>
        <v>0</v>
      </c>
      <c r="AM376" s="525"/>
      <c r="AN376" s="139">
        <f t="shared" si="198"/>
        <v>25</v>
      </c>
      <c r="AO376" s="205">
        <f>AN376/INDEX(Parameters!$B:$B,MATCH("AfschrijftermijnVVE"&amp;12*$C376,Parameters!$A:$A,0))</f>
        <v>0.52083333333333337</v>
      </c>
      <c r="AP376" s="139">
        <f t="shared" si="199"/>
        <v>47</v>
      </c>
      <c r="AQ376" s="526">
        <f>IF(AP376&lt;&gt;"nvt",INDEX('Tarieven W&amp;O'!$G:$G,$AP376),0)</f>
        <v>48.62</v>
      </c>
      <c r="AR376" s="251">
        <f>IF($S376,INDEX('Tarieven W&amp;O'!$G:$G,MATCH(N376&amp;R376,'Tarieven W&amp;O'!$B:$B,0)),0)</f>
        <v>0</v>
      </c>
      <c r="AS376" s="205">
        <f>-INDEX(Parameters!$B:$B,MATCH(AS$3,Parameters!$A:$A,0))*(AQ376+AR376)</f>
        <v>0</v>
      </c>
      <c r="AT376" s="205">
        <f>INDEX(hulpblad!$E:$E,MATCH(M376&amp;Q376,hulpblad!$B:$B,0))</f>
        <v>2</v>
      </c>
      <c r="AU376" s="150">
        <f t="shared" si="215"/>
        <v>50.62</v>
      </c>
      <c r="AV376" s="150">
        <f t="shared" si="216"/>
        <v>51.140833333333333</v>
      </c>
      <c r="AX376" s="526">
        <f>Parameters!$B$6*AV376</f>
        <v>0.51140833333333335</v>
      </c>
      <c r="AY376" s="150">
        <v>0</v>
      </c>
      <c r="AZ376" s="150"/>
      <c r="BA376" s="150">
        <f t="shared" si="202"/>
        <v>0.51140833333333335</v>
      </c>
      <c r="BB376" s="150"/>
      <c r="BC376" s="522">
        <f t="shared" si="203"/>
        <v>51.652241666666669</v>
      </c>
      <c r="BD376" s="175"/>
      <c r="BE376" s="527">
        <f t="shared" si="217"/>
        <v>969.1810916666667</v>
      </c>
      <c r="BF376" s="181">
        <f t="shared" si="218"/>
        <v>0.94940188571428574</v>
      </c>
      <c r="BG376" s="520" t="b">
        <f t="shared" si="206"/>
        <v>0</v>
      </c>
      <c r="BI376" s="528" t="s">
        <v>2181</v>
      </c>
      <c r="BL376" s="151" t="str">
        <f t="shared" si="220"/>
        <v>EoKMetro - Nationaal</v>
      </c>
      <c r="BM376" s="529">
        <v>0</v>
      </c>
      <c r="BN376" s="180">
        <f>BM376/INDEX(Parameters!$B:$B,MATCH("AfschrijftermijnVVE"&amp;12*$C376,Parameters!$A:$A,0))</f>
        <v>0</v>
      </c>
      <c r="BO376" s="184">
        <f>INDEX('inkoop ULL tbv EVPN'!I:I,MATCH(BL376,'inkoop ULL tbv EVPN'!H:H,0))</f>
        <v>2</v>
      </c>
      <c r="BP376" s="184">
        <f t="shared" si="221"/>
        <v>2</v>
      </c>
      <c r="BR376" s="180">
        <f>Parameters!$B$12*AG376</f>
        <v>102.08333333333334</v>
      </c>
      <c r="BS376" s="180">
        <f>SUM(Distributievergoedingen!$F$12,Distributievergoedingen!$I$12,Distributievergoedingen!$L$12,Distributievergoedingen!$O$12)*AF376+SUM(Distributievergoedingen!$O$12*AA376+Distributievergoedingen!$R$12+Distributievergoedingen!$U$12+Distributievergoedingen!$X$12)/(MAX(36,12*C376))</f>
        <v>112.08333333333333</v>
      </c>
      <c r="BT376" s="150"/>
      <c r="BU376" s="150">
        <f t="shared" si="222"/>
        <v>214.16666666666669</v>
      </c>
      <c r="BW376" s="522">
        <f t="shared" si="223"/>
        <v>216.16666666666669</v>
      </c>
      <c r="BY376" s="527">
        <f t="shared" si="224"/>
        <v>804.66666666666674</v>
      </c>
      <c r="BZ376" s="181">
        <f t="shared" si="225"/>
        <v>0.78824489795918373</v>
      </c>
      <c r="CA376" s="520" t="b">
        <f t="shared" si="226"/>
        <v>0</v>
      </c>
    </row>
    <row r="377" spans="1:79" s="151" customFormat="1">
      <c r="A377" s="151" t="str">
        <f t="shared" si="219"/>
        <v>4EoKEntryRegionaal80</v>
      </c>
      <c r="B377" s="520" t="str">
        <f t="shared" si="214"/>
        <v>4EoKEntryRegionaal80</v>
      </c>
      <c r="C377" s="179">
        <v>4</v>
      </c>
      <c r="D377" s="179" t="s">
        <v>303</v>
      </c>
      <c r="E377" s="178" t="s">
        <v>45</v>
      </c>
      <c r="F377" s="178" t="s">
        <v>265</v>
      </c>
      <c r="G377" s="185" t="s">
        <v>417</v>
      </c>
      <c r="J377" s="520" t="str">
        <f t="shared" si="193"/>
        <v>EntryRegionaal80</v>
      </c>
      <c r="L377" s="204">
        <f>INDEX(Mapping!$H:$H,MATCH(C$3&amp;C377,Mapping!$B:$B,0))</f>
        <v>1</v>
      </c>
      <c r="M377" s="204" t="str">
        <f>INDEX(Mapping!$H:$H,MATCH(D$3&amp;$D377,Mapping!$B:$B,0))</f>
        <v>EoK</v>
      </c>
      <c r="N377" s="204" t="str">
        <f>INDEX(Mapping!$H:$H,MATCH(E$3&amp;E377,Mapping!$B:$B,0))</f>
        <v>Lite</v>
      </c>
      <c r="O377" s="204" t="str">
        <f>INDEX(Mapping!$H:$H,MATCH(F$3&amp;F377,Mapping!$B:$B,0))</f>
        <v>Metro</v>
      </c>
      <c r="P377" s="204">
        <f>INDEX(Mapping!$H:$H,MATCH(G$3&amp;G377,Mapping!$B:$B,0))</f>
        <v>80</v>
      </c>
      <c r="Q377" s="204" t="str">
        <f>INDEX(Mapping!$H:$H,MATCH(Q$3&amp;$F377,Mapping!$B:$B,0))</f>
        <v>Metro - Nationaal</v>
      </c>
      <c r="R377" s="204" t="str">
        <f>INDEX(Mapping!$H:$H,MATCH("ZM VPN Service Level"&amp;E377,Mapping!$B:$B,0))</f>
        <v>Advanced</v>
      </c>
      <c r="S377" s="139" t="b">
        <f>IF($D377="EoK",INDEX(Mapping!$I:$I,MATCH($G$3&amp;$G377,Mapping!B:B,0)),FALSE)</f>
        <v>0</v>
      </c>
      <c r="T377" s="139"/>
      <c r="U377" s="520" t="str">
        <f t="shared" si="194"/>
        <v>LiteMetro80</v>
      </c>
      <c r="W377" s="521">
        <f>MATCH($J377,'Tarieven ZM'!$B:$B,0)</f>
        <v>39</v>
      </c>
      <c r="X377" s="204">
        <f>INDEX('Tarieven ZM'!$H:$H,$W377)</f>
        <v>1000</v>
      </c>
      <c r="Y377" s="198">
        <f>-INDEX(Parameters!$B:$B,MATCH(Y$3&amp;$C377,Parameters!$A:$A,0))*$X377</f>
        <v>0</v>
      </c>
      <c r="Z377" s="198">
        <f>-INDEX(Parameters!$B:$B,MATCH(Z$3&amp;$C377,Parameters!$A:$A,0))*$X377</f>
        <v>0</v>
      </c>
      <c r="AA377" s="139">
        <f t="shared" si="195"/>
        <v>1000</v>
      </c>
      <c r="AB377" s="205">
        <f>AA377/INDEX(Parameters!$B:$B,MATCH("AfschrijftermijnVVE"&amp;12*$C377,Parameters!$A:$A,0))</f>
        <v>20.833333333333332</v>
      </c>
      <c r="AC377" s="204">
        <f>INDEX('Tarieven ZM'!$G:$G,$W377)</f>
        <v>1000</v>
      </c>
      <c r="AD377" s="198">
        <f>-INDEX(Parameters!$B:$B,MATCH(AD$3&amp;$C377,Parameters!$A:$A,0))*$AC377</f>
        <v>0</v>
      </c>
      <c r="AE377" s="198">
        <f>-INDEX(Parameters!$B:$B,MATCH(AE$3,Parameters!$A:$A,0))*$AC377</f>
        <v>0</v>
      </c>
      <c r="AF377" s="139">
        <f t="shared" si="196"/>
        <v>1000</v>
      </c>
      <c r="AG377" s="522">
        <f t="shared" si="197"/>
        <v>1020.8333333333334</v>
      </c>
      <c r="AH377" s="175"/>
      <c r="AI377" s="523">
        <f>MATCH($U377,'Tarieven W&amp;O'!$B:$B,0)</f>
        <v>48</v>
      </c>
      <c r="AJ377" s="204">
        <f>IF(AI377&lt;&gt;"nvt",INDEX('Tarieven W&amp;O'!$H:$H,$AI377),0)</f>
        <v>0</v>
      </c>
      <c r="AK377" s="204">
        <f>IF(AI377&lt;&gt;"nvt",INDEX('Tarieven W&amp;O'!$I:$I,$AI377),0)</f>
        <v>25</v>
      </c>
      <c r="AL377" s="524">
        <f>IF(AI377&lt;&gt;"nvt",-INDEX(Parameters!$B:$B,MATCH(AL$3,Parameters!$A:$A,0))*(AJ377+AK377),0)</f>
        <v>0</v>
      </c>
      <c r="AM377" s="525"/>
      <c r="AN377" s="139">
        <f t="shared" si="198"/>
        <v>25</v>
      </c>
      <c r="AO377" s="205">
        <f>AN377/INDEX(Parameters!$B:$B,MATCH("AfschrijftermijnVVE"&amp;12*$C377,Parameters!$A:$A,0))</f>
        <v>0.52083333333333337</v>
      </c>
      <c r="AP377" s="139">
        <f t="shared" si="199"/>
        <v>48</v>
      </c>
      <c r="AQ377" s="526">
        <f>IF(AP377&lt;&gt;"nvt",INDEX('Tarieven W&amp;O'!$G:$G,$AP377),0)</f>
        <v>63.7</v>
      </c>
      <c r="AR377" s="251">
        <f>IF($S377,INDEX('Tarieven W&amp;O'!$G:$G,MATCH(N377&amp;R377,'Tarieven W&amp;O'!$B:$B,0)),0)</f>
        <v>0</v>
      </c>
      <c r="AS377" s="205">
        <f>-INDEX(Parameters!$B:$B,MATCH(AS$3,Parameters!$A:$A,0))*(AQ377+AR377)</f>
        <v>0</v>
      </c>
      <c r="AT377" s="205">
        <f>INDEX(hulpblad!$E:$E,MATCH(M377&amp;Q377,hulpblad!$B:$B,0))</f>
        <v>2</v>
      </c>
      <c r="AU377" s="150">
        <f t="shared" si="215"/>
        <v>65.7</v>
      </c>
      <c r="AV377" s="150">
        <f t="shared" si="216"/>
        <v>66.220833333333331</v>
      </c>
      <c r="AX377" s="526">
        <f>Parameters!$B$6*AV377</f>
        <v>0.66220833333333329</v>
      </c>
      <c r="AY377" s="150">
        <v>0</v>
      </c>
      <c r="AZ377" s="150"/>
      <c r="BA377" s="150">
        <f t="shared" si="202"/>
        <v>0.66220833333333329</v>
      </c>
      <c r="BB377" s="150"/>
      <c r="BC377" s="522">
        <f t="shared" si="203"/>
        <v>66.883041666666671</v>
      </c>
      <c r="BD377" s="175"/>
      <c r="BE377" s="527">
        <f t="shared" si="217"/>
        <v>953.95029166666666</v>
      </c>
      <c r="BF377" s="181">
        <f t="shared" si="218"/>
        <v>0.93448191836734684</v>
      </c>
      <c r="BG377" s="520" t="b">
        <f t="shared" si="206"/>
        <v>0</v>
      </c>
      <c r="BI377" s="528" t="s">
        <v>2181</v>
      </c>
      <c r="BL377" s="151" t="str">
        <f t="shared" si="220"/>
        <v>EoKMetro - Nationaal</v>
      </c>
      <c r="BM377" s="529">
        <v>0</v>
      </c>
      <c r="BN377" s="180">
        <f>BM377/INDEX(Parameters!$B:$B,MATCH("AfschrijftermijnVVE"&amp;12*$C377,Parameters!$A:$A,0))</f>
        <v>0</v>
      </c>
      <c r="BO377" s="184">
        <f>INDEX('inkoop ULL tbv EVPN'!I:I,MATCH(BL377,'inkoop ULL tbv EVPN'!H:H,0))</f>
        <v>2</v>
      </c>
      <c r="BP377" s="184">
        <f t="shared" si="221"/>
        <v>2</v>
      </c>
      <c r="BR377" s="180">
        <f>Parameters!$B$12*AG377</f>
        <v>102.08333333333334</v>
      </c>
      <c r="BS377" s="180">
        <f>SUM(Distributievergoedingen!$F$12,Distributievergoedingen!$I$12,Distributievergoedingen!$L$12,Distributievergoedingen!$O$12)*AF377+SUM(Distributievergoedingen!$O$12*AA377+Distributievergoedingen!$R$12+Distributievergoedingen!$U$12+Distributievergoedingen!$X$12)/(MAX(36,12*C377))</f>
        <v>112.08333333333333</v>
      </c>
      <c r="BT377" s="150"/>
      <c r="BU377" s="150">
        <f t="shared" si="222"/>
        <v>214.16666666666669</v>
      </c>
      <c r="BW377" s="522">
        <f t="shared" si="223"/>
        <v>216.16666666666669</v>
      </c>
      <c r="BY377" s="527">
        <f t="shared" si="224"/>
        <v>804.66666666666674</v>
      </c>
      <c r="BZ377" s="181">
        <f t="shared" si="225"/>
        <v>0.78824489795918373</v>
      </c>
      <c r="CA377" s="520" t="b">
        <f t="shared" si="226"/>
        <v>0</v>
      </c>
    </row>
    <row r="378" spans="1:79" s="151" customFormat="1">
      <c r="A378" s="151" t="str">
        <f t="shared" si="219"/>
        <v>4EoKEntryRegionaal100</v>
      </c>
      <c r="B378" s="520" t="str">
        <f t="shared" si="214"/>
        <v>4EoKEntryRegionaal100</v>
      </c>
      <c r="C378" s="179">
        <v>4</v>
      </c>
      <c r="D378" s="179" t="s">
        <v>303</v>
      </c>
      <c r="E378" s="178" t="s">
        <v>45</v>
      </c>
      <c r="F378" s="178" t="s">
        <v>265</v>
      </c>
      <c r="G378" s="185" t="s">
        <v>418</v>
      </c>
      <c r="J378" s="520" t="str">
        <f t="shared" si="193"/>
        <v>EntryRegionaal100</v>
      </c>
      <c r="L378" s="204">
        <f>INDEX(Mapping!$H:$H,MATCH(C$3&amp;C378,Mapping!$B:$B,0))</f>
        <v>1</v>
      </c>
      <c r="M378" s="204" t="str">
        <f>INDEX(Mapping!$H:$H,MATCH(D$3&amp;$D378,Mapping!$B:$B,0))</f>
        <v>EoK</v>
      </c>
      <c r="N378" s="204" t="str">
        <f>INDEX(Mapping!$H:$H,MATCH(E$3&amp;E378,Mapping!$B:$B,0))</f>
        <v>Lite</v>
      </c>
      <c r="O378" s="204" t="str">
        <f>INDEX(Mapping!$H:$H,MATCH(F$3&amp;F378,Mapping!$B:$B,0))</f>
        <v>Metro</v>
      </c>
      <c r="P378" s="204">
        <f>INDEX(Mapping!$H:$H,MATCH(G$3&amp;G378,Mapping!$B:$B,0))</f>
        <v>100</v>
      </c>
      <c r="Q378" s="204" t="str">
        <f>INDEX(Mapping!$H:$H,MATCH(Q$3&amp;$F378,Mapping!$B:$B,0))</f>
        <v>Metro - Nationaal</v>
      </c>
      <c r="R378" s="204" t="str">
        <f>INDEX(Mapping!$H:$H,MATCH("ZM VPN Service Level"&amp;E378,Mapping!$B:$B,0))</f>
        <v>Advanced</v>
      </c>
      <c r="S378" s="139" t="b">
        <f>IF($D378="EoK",INDEX(Mapping!$I:$I,MATCH($G$3&amp;$G378,Mapping!B:B,0)),FALSE)</f>
        <v>0</v>
      </c>
      <c r="T378" s="139"/>
      <c r="U378" s="520" t="str">
        <f t="shared" si="194"/>
        <v>LiteMetro100</v>
      </c>
      <c r="W378" s="521">
        <f>MATCH($J378,'Tarieven ZM'!$B:$B,0)</f>
        <v>40</v>
      </c>
      <c r="X378" s="204">
        <f>INDEX('Tarieven ZM'!$H:$H,$W378)</f>
        <v>1000</v>
      </c>
      <c r="Y378" s="198">
        <f>-INDEX(Parameters!$B:$B,MATCH(Y$3&amp;$C378,Parameters!$A:$A,0))*$X378</f>
        <v>0</v>
      </c>
      <c r="Z378" s="198">
        <f>-INDEX(Parameters!$B:$B,MATCH(Z$3&amp;$C378,Parameters!$A:$A,0))*$X378</f>
        <v>0</v>
      </c>
      <c r="AA378" s="139">
        <f t="shared" si="195"/>
        <v>1000</v>
      </c>
      <c r="AB378" s="205">
        <f>AA378/INDEX(Parameters!$B:$B,MATCH("AfschrijftermijnVVE"&amp;12*$C378,Parameters!$A:$A,0))</f>
        <v>20.833333333333332</v>
      </c>
      <c r="AC378" s="204">
        <f>INDEX('Tarieven ZM'!$G:$G,$W378)</f>
        <v>1000</v>
      </c>
      <c r="AD378" s="198">
        <f>-INDEX(Parameters!$B:$B,MATCH(AD$3&amp;$C378,Parameters!$A:$A,0))*$AC378</f>
        <v>0</v>
      </c>
      <c r="AE378" s="198">
        <f>-INDEX(Parameters!$B:$B,MATCH(AE$3,Parameters!$A:$A,0))*$AC378</f>
        <v>0</v>
      </c>
      <c r="AF378" s="139">
        <f t="shared" si="196"/>
        <v>1000</v>
      </c>
      <c r="AG378" s="522">
        <f t="shared" si="197"/>
        <v>1020.8333333333334</v>
      </c>
      <c r="AH378" s="175"/>
      <c r="AI378" s="523">
        <f>MATCH($U378,'Tarieven W&amp;O'!$B:$B,0)</f>
        <v>49</v>
      </c>
      <c r="AJ378" s="204">
        <f>IF(AI378&lt;&gt;"nvt",INDEX('Tarieven W&amp;O'!$H:$H,$AI378),0)</f>
        <v>0</v>
      </c>
      <c r="AK378" s="204">
        <f>IF(AI378&lt;&gt;"nvt",INDEX('Tarieven W&amp;O'!$I:$I,$AI378),0)</f>
        <v>25</v>
      </c>
      <c r="AL378" s="524">
        <f>IF(AI378&lt;&gt;"nvt",-INDEX(Parameters!$B:$B,MATCH(AL$3,Parameters!$A:$A,0))*(AJ378+AK378),0)</f>
        <v>0</v>
      </c>
      <c r="AM378" s="525"/>
      <c r="AN378" s="139">
        <f t="shared" si="198"/>
        <v>25</v>
      </c>
      <c r="AO378" s="205">
        <f>AN378/INDEX(Parameters!$B:$B,MATCH("AfschrijftermijnVVE"&amp;12*$C378,Parameters!$A:$A,0))</f>
        <v>0.52083333333333337</v>
      </c>
      <c r="AP378" s="139">
        <f t="shared" si="199"/>
        <v>49</v>
      </c>
      <c r="AQ378" s="526">
        <f>IF(AP378&lt;&gt;"nvt",INDEX('Tarieven W&amp;O'!$G:$G,$AP378),0)</f>
        <v>71.239999999999995</v>
      </c>
      <c r="AR378" s="251">
        <f>IF($S378,INDEX('Tarieven W&amp;O'!$G:$G,MATCH(N378&amp;R378,'Tarieven W&amp;O'!$B:$B,0)),0)</f>
        <v>0</v>
      </c>
      <c r="AS378" s="205">
        <f>-INDEX(Parameters!$B:$B,MATCH(AS$3,Parameters!$A:$A,0))*(AQ378+AR378)</f>
        <v>0</v>
      </c>
      <c r="AT378" s="205">
        <f>INDEX(hulpblad!$E:$E,MATCH(M378&amp;Q378,hulpblad!$B:$B,0))</f>
        <v>2</v>
      </c>
      <c r="AU378" s="150">
        <f t="shared" si="215"/>
        <v>73.239999999999995</v>
      </c>
      <c r="AV378" s="150">
        <f t="shared" si="216"/>
        <v>73.760833333333323</v>
      </c>
      <c r="AX378" s="526">
        <f>Parameters!$B$6*AV378</f>
        <v>0.7376083333333332</v>
      </c>
      <c r="AY378" s="150">
        <v>0</v>
      </c>
      <c r="AZ378" s="150"/>
      <c r="BA378" s="150">
        <f t="shared" si="202"/>
        <v>0.7376083333333332</v>
      </c>
      <c r="BB378" s="150"/>
      <c r="BC378" s="522">
        <f t="shared" si="203"/>
        <v>74.49844166666665</v>
      </c>
      <c r="BD378" s="175"/>
      <c r="BE378" s="527">
        <f t="shared" si="217"/>
        <v>946.33489166666675</v>
      </c>
      <c r="BF378" s="181">
        <f t="shared" si="218"/>
        <v>0.92702193469387761</v>
      </c>
      <c r="BG378" s="520" t="b">
        <f t="shared" si="206"/>
        <v>0</v>
      </c>
      <c r="BI378" s="528" t="s">
        <v>2181</v>
      </c>
      <c r="BL378" s="151" t="str">
        <f t="shared" si="220"/>
        <v>EoKMetro - Nationaal</v>
      </c>
      <c r="BM378" s="529">
        <v>0</v>
      </c>
      <c r="BN378" s="180">
        <f>BM378/INDEX(Parameters!$B:$B,MATCH("AfschrijftermijnVVE"&amp;12*$C378,Parameters!$A:$A,0))</f>
        <v>0</v>
      </c>
      <c r="BO378" s="184">
        <f>INDEX('inkoop ULL tbv EVPN'!I:I,MATCH(BL378,'inkoop ULL tbv EVPN'!H:H,0))</f>
        <v>2</v>
      </c>
      <c r="BP378" s="184">
        <f t="shared" si="221"/>
        <v>2</v>
      </c>
      <c r="BR378" s="180">
        <f>Parameters!$B$12*AG378</f>
        <v>102.08333333333334</v>
      </c>
      <c r="BS378" s="180">
        <f>SUM(Distributievergoedingen!$F$12,Distributievergoedingen!$I$12,Distributievergoedingen!$L$12,Distributievergoedingen!$O$12)*AF378+SUM(Distributievergoedingen!$O$12*AA378+Distributievergoedingen!$R$12+Distributievergoedingen!$U$12+Distributievergoedingen!$X$12)/(MAX(36,12*C378))</f>
        <v>112.08333333333333</v>
      </c>
      <c r="BT378" s="150"/>
      <c r="BU378" s="150">
        <f t="shared" si="222"/>
        <v>214.16666666666669</v>
      </c>
      <c r="BW378" s="522">
        <f t="shared" si="223"/>
        <v>216.16666666666669</v>
      </c>
      <c r="BY378" s="527">
        <f t="shared" si="224"/>
        <v>804.66666666666674</v>
      </c>
      <c r="BZ378" s="181">
        <f t="shared" si="225"/>
        <v>0.78824489795918373</v>
      </c>
      <c r="CA378" s="520" t="b">
        <f t="shared" si="226"/>
        <v>0</v>
      </c>
    </row>
    <row r="379" spans="1:79" s="151" customFormat="1">
      <c r="A379" s="151" t="str">
        <f t="shared" si="219"/>
        <v>4EoKEntryRegionaal200</v>
      </c>
      <c r="B379" s="520" t="str">
        <f t="shared" si="214"/>
        <v>4EoKEntryRegionaal200</v>
      </c>
      <c r="C379" s="179">
        <v>4</v>
      </c>
      <c r="D379" s="179" t="s">
        <v>303</v>
      </c>
      <c r="E379" s="178" t="s">
        <v>45</v>
      </c>
      <c r="F379" s="178" t="s">
        <v>265</v>
      </c>
      <c r="G379" s="185" t="s">
        <v>419</v>
      </c>
      <c r="J379" s="520" t="str">
        <f t="shared" si="193"/>
        <v>EntryRegionaal200</v>
      </c>
      <c r="L379" s="204">
        <f>INDEX(Mapping!$H:$H,MATCH(C$3&amp;C379,Mapping!$B:$B,0))</f>
        <v>1</v>
      </c>
      <c r="M379" s="204" t="str">
        <f>INDEX(Mapping!$H:$H,MATCH(D$3&amp;$D379,Mapping!$B:$B,0))</f>
        <v>EoK</v>
      </c>
      <c r="N379" s="204" t="str">
        <f>INDEX(Mapping!$H:$H,MATCH(E$3&amp;E379,Mapping!$B:$B,0))</f>
        <v>Lite</v>
      </c>
      <c r="O379" s="204" t="str">
        <f>INDEX(Mapping!$H:$H,MATCH(F$3&amp;F379,Mapping!$B:$B,0))</f>
        <v>Metro</v>
      </c>
      <c r="P379" s="204">
        <f>INDEX(Mapping!$H:$H,MATCH(G$3&amp;G379,Mapping!$B:$B,0))</f>
        <v>200</v>
      </c>
      <c r="Q379" s="204" t="str">
        <f>INDEX(Mapping!$H:$H,MATCH(Q$3&amp;$F379,Mapping!$B:$B,0))</f>
        <v>Metro - Nationaal</v>
      </c>
      <c r="R379" s="204" t="str">
        <f>INDEX(Mapping!$H:$H,MATCH("ZM VPN Service Level"&amp;E379,Mapping!$B:$B,0))</f>
        <v>Advanced</v>
      </c>
      <c r="S379" s="139" t="b">
        <f>IF($D379="EoK",INDEX(Mapping!$I:$I,MATCH($G$3&amp;$G379,Mapping!B:B,0)),FALSE)</f>
        <v>0</v>
      </c>
      <c r="T379" s="139"/>
      <c r="U379" s="520" t="str">
        <f t="shared" si="194"/>
        <v>LiteMetro200</v>
      </c>
      <c r="W379" s="521">
        <f>MATCH($J379,'Tarieven ZM'!$B:$B,0)</f>
        <v>41</v>
      </c>
      <c r="X379" s="204">
        <f>INDEX('Tarieven ZM'!$H:$H,$W379)</f>
        <v>1000</v>
      </c>
      <c r="Y379" s="198">
        <f>-INDEX(Parameters!$B:$B,MATCH(Y$3&amp;$C379,Parameters!$A:$A,0))*$X379</f>
        <v>0</v>
      </c>
      <c r="Z379" s="198">
        <f>-INDEX(Parameters!$B:$B,MATCH(Z$3&amp;$C379,Parameters!$A:$A,0))*$X379</f>
        <v>0</v>
      </c>
      <c r="AA379" s="139">
        <f t="shared" si="195"/>
        <v>1000</v>
      </c>
      <c r="AB379" s="205">
        <f>AA379/INDEX(Parameters!$B:$B,MATCH("AfschrijftermijnVVE"&amp;12*$C379,Parameters!$A:$A,0))</f>
        <v>20.833333333333332</v>
      </c>
      <c r="AC379" s="204">
        <f>INDEX('Tarieven ZM'!$G:$G,$W379)</f>
        <v>1000</v>
      </c>
      <c r="AD379" s="198">
        <f>-INDEX(Parameters!$B:$B,MATCH(AD$3&amp;$C379,Parameters!$A:$A,0))*$AC379</f>
        <v>0</v>
      </c>
      <c r="AE379" s="198">
        <f>-INDEX(Parameters!$B:$B,MATCH(AE$3,Parameters!$A:$A,0))*$AC379</f>
        <v>0</v>
      </c>
      <c r="AF379" s="139">
        <f t="shared" si="196"/>
        <v>1000</v>
      </c>
      <c r="AG379" s="522">
        <f t="shared" si="197"/>
        <v>1020.8333333333334</v>
      </c>
      <c r="AH379" s="175"/>
      <c r="AI379" s="523">
        <f>MATCH($U379,'Tarieven W&amp;O'!$B:$B,0)</f>
        <v>50</v>
      </c>
      <c r="AJ379" s="204">
        <f>IF(AI379&lt;&gt;"nvt",INDEX('Tarieven W&amp;O'!$H:$H,$AI379),0)</f>
        <v>0</v>
      </c>
      <c r="AK379" s="204">
        <f>IF(AI379&lt;&gt;"nvt",INDEX('Tarieven W&amp;O'!$I:$I,$AI379),0)</f>
        <v>25</v>
      </c>
      <c r="AL379" s="524">
        <f>IF(AI379&lt;&gt;"nvt",-INDEX(Parameters!$B:$B,MATCH(AL$3,Parameters!$A:$A,0))*(AJ379+AK379),0)</f>
        <v>0</v>
      </c>
      <c r="AM379" s="525"/>
      <c r="AN379" s="139">
        <f t="shared" si="198"/>
        <v>25</v>
      </c>
      <c r="AO379" s="205">
        <f>AN379/INDEX(Parameters!$B:$B,MATCH("AfschrijftermijnVVE"&amp;12*$C379,Parameters!$A:$A,0))</f>
        <v>0.52083333333333337</v>
      </c>
      <c r="AP379" s="139">
        <f t="shared" si="199"/>
        <v>50</v>
      </c>
      <c r="AQ379" s="526">
        <f>IF(AP379&lt;&gt;"nvt",INDEX('Tarieven W&amp;O'!$G:$G,$AP379),0)</f>
        <v>108.93</v>
      </c>
      <c r="AR379" s="251">
        <f>IF($S379,INDEX('Tarieven W&amp;O'!$G:$G,MATCH(N379&amp;R379,'Tarieven W&amp;O'!$B:$B,0)),0)</f>
        <v>0</v>
      </c>
      <c r="AS379" s="205">
        <f>-INDEX(Parameters!$B:$B,MATCH(AS$3,Parameters!$A:$A,0))*(AQ379+AR379)</f>
        <v>0</v>
      </c>
      <c r="AT379" s="205">
        <f>INDEX(hulpblad!$E:$E,MATCH(M379&amp;Q379,hulpblad!$B:$B,0))</f>
        <v>2</v>
      </c>
      <c r="AU379" s="150">
        <f t="shared" si="215"/>
        <v>110.93</v>
      </c>
      <c r="AV379" s="150">
        <f t="shared" si="216"/>
        <v>111.45083333333334</v>
      </c>
      <c r="AX379" s="526">
        <f>Parameters!$B$6*AV379</f>
        <v>1.1145083333333334</v>
      </c>
      <c r="AY379" s="150">
        <v>0</v>
      </c>
      <c r="AZ379" s="150"/>
      <c r="BA379" s="150">
        <f t="shared" si="202"/>
        <v>1.1145083333333334</v>
      </c>
      <c r="BB379" s="150"/>
      <c r="BC379" s="522">
        <f t="shared" si="203"/>
        <v>112.56534166666667</v>
      </c>
      <c r="BD379" s="175"/>
      <c r="BE379" s="527">
        <f t="shared" si="217"/>
        <v>908.26799166666672</v>
      </c>
      <c r="BF379" s="181">
        <f t="shared" si="218"/>
        <v>0.8897319102040816</v>
      </c>
      <c r="BG379" s="520" t="b">
        <f t="shared" si="206"/>
        <v>0</v>
      </c>
      <c r="BI379" s="528" t="s">
        <v>2181</v>
      </c>
      <c r="BL379" s="151" t="str">
        <f t="shared" si="220"/>
        <v>EoKMetro - Nationaal</v>
      </c>
      <c r="BM379" s="529">
        <v>0</v>
      </c>
      <c r="BN379" s="180">
        <f>BM379/INDEX(Parameters!$B:$B,MATCH("AfschrijftermijnVVE"&amp;12*$C379,Parameters!$A:$A,0))</f>
        <v>0</v>
      </c>
      <c r="BO379" s="184">
        <f>INDEX('inkoop ULL tbv EVPN'!I:I,MATCH(BL379,'inkoop ULL tbv EVPN'!H:H,0))</f>
        <v>2</v>
      </c>
      <c r="BP379" s="184">
        <f t="shared" si="221"/>
        <v>2</v>
      </c>
      <c r="BR379" s="180">
        <f>Parameters!$B$12*AG379</f>
        <v>102.08333333333334</v>
      </c>
      <c r="BS379" s="180">
        <f>SUM(Distributievergoedingen!$F$12,Distributievergoedingen!$I$12,Distributievergoedingen!$L$12,Distributievergoedingen!$O$12)*AF379+SUM(Distributievergoedingen!$O$12*AA379+Distributievergoedingen!$R$12+Distributievergoedingen!$U$12+Distributievergoedingen!$X$12)/(MAX(36,12*C379))</f>
        <v>112.08333333333333</v>
      </c>
      <c r="BT379" s="150"/>
      <c r="BU379" s="150">
        <f t="shared" si="222"/>
        <v>214.16666666666669</v>
      </c>
      <c r="BW379" s="522">
        <f t="shared" si="223"/>
        <v>216.16666666666669</v>
      </c>
      <c r="BY379" s="527">
        <f t="shared" si="224"/>
        <v>804.66666666666674</v>
      </c>
      <c r="BZ379" s="181">
        <f t="shared" si="225"/>
        <v>0.78824489795918373</v>
      </c>
      <c r="CA379" s="520" t="b">
        <f t="shared" si="226"/>
        <v>0</v>
      </c>
    </row>
    <row r="380" spans="1:79" s="151" customFormat="1">
      <c r="A380" s="151" t="str">
        <f t="shared" si="219"/>
        <v>4EoKEntryRegionaal300</v>
      </c>
      <c r="B380" s="520" t="str">
        <f t="shared" si="214"/>
        <v>4EoKEntryRegionaal300</v>
      </c>
      <c r="C380" s="179">
        <v>4</v>
      </c>
      <c r="D380" s="179" t="s">
        <v>303</v>
      </c>
      <c r="E380" s="178" t="s">
        <v>45</v>
      </c>
      <c r="F380" s="178" t="s">
        <v>265</v>
      </c>
      <c r="G380" s="185" t="s">
        <v>420</v>
      </c>
      <c r="J380" s="520" t="str">
        <f t="shared" si="193"/>
        <v>EntryRegionaal300</v>
      </c>
      <c r="L380" s="204">
        <f>INDEX(Mapping!$H:$H,MATCH(C$3&amp;C380,Mapping!$B:$B,0))</f>
        <v>1</v>
      </c>
      <c r="M380" s="204" t="str">
        <f>INDEX(Mapping!$H:$H,MATCH(D$3&amp;$D380,Mapping!$B:$B,0))</f>
        <v>EoK</v>
      </c>
      <c r="N380" s="204" t="str">
        <f>INDEX(Mapping!$H:$H,MATCH(E$3&amp;E380,Mapping!$B:$B,0))</f>
        <v>Lite</v>
      </c>
      <c r="O380" s="204" t="str">
        <f>INDEX(Mapping!$H:$H,MATCH(F$3&amp;F380,Mapping!$B:$B,0))</f>
        <v>Metro</v>
      </c>
      <c r="P380" s="204">
        <f>INDEX(Mapping!$H:$H,MATCH(G$3&amp;G380,Mapping!$B:$B,0))</f>
        <v>300</v>
      </c>
      <c r="Q380" s="204" t="str">
        <f>INDEX(Mapping!$H:$H,MATCH(Q$3&amp;$F380,Mapping!$B:$B,0))</f>
        <v>Metro - Nationaal</v>
      </c>
      <c r="R380" s="204" t="str">
        <f>INDEX(Mapping!$H:$H,MATCH("ZM VPN Service Level"&amp;E380,Mapping!$B:$B,0))</f>
        <v>Advanced</v>
      </c>
      <c r="S380" s="139" t="b">
        <f>IF($D380="EoK",INDEX(Mapping!$I:$I,MATCH($G$3&amp;$G380,Mapping!B:B,0)),FALSE)</f>
        <v>0</v>
      </c>
      <c r="T380" s="139"/>
      <c r="U380" s="520" t="str">
        <f t="shared" si="194"/>
        <v>LiteMetro300</v>
      </c>
      <c r="W380" s="521">
        <f>MATCH($J380,'Tarieven ZM'!$B:$B,0)</f>
        <v>42</v>
      </c>
      <c r="X380" s="204">
        <f>INDEX('Tarieven ZM'!$H:$H,$W380)</f>
        <v>1000</v>
      </c>
      <c r="Y380" s="198">
        <f>-INDEX(Parameters!$B:$B,MATCH(Y$3&amp;$C380,Parameters!$A:$A,0))*$X380</f>
        <v>0</v>
      </c>
      <c r="Z380" s="198">
        <f>-INDEX(Parameters!$B:$B,MATCH(Z$3&amp;$C380,Parameters!$A:$A,0))*$X380</f>
        <v>0</v>
      </c>
      <c r="AA380" s="139">
        <f t="shared" si="195"/>
        <v>1000</v>
      </c>
      <c r="AB380" s="205">
        <f>AA380/INDEX(Parameters!$B:$B,MATCH("AfschrijftermijnVVE"&amp;12*$C380,Parameters!$A:$A,0))</f>
        <v>20.833333333333332</v>
      </c>
      <c r="AC380" s="204">
        <f>INDEX('Tarieven ZM'!$G:$G,$W380)</f>
        <v>1000</v>
      </c>
      <c r="AD380" s="198">
        <f>-INDEX(Parameters!$B:$B,MATCH(AD$3&amp;$C380,Parameters!$A:$A,0))*$AC380</f>
        <v>0</v>
      </c>
      <c r="AE380" s="198">
        <f>-INDEX(Parameters!$B:$B,MATCH(AE$3,Parameters!$A:$A,0))*$AC380</f>
        <v>0</v>
      </c>
      <c r="AF380" s="139">
        <f t="shared" si="196"/>
        <v>1000</v>
      </c>
      <c r="AG380" s="522">
        <f t="shared" si="197"/>
        <v>1020.8333333333334</v>
      </c>
      <c r="AH380" s="175"/>
      <c r="AI380" s="523">
        <f>MATCH($U380,'Tarieven W&amp;O'!$B:$B,0)</f>
        <v>51</v>
      </c>
      <c r="AJ380" s="204">
        <f>IF(AI380&lt;&gt;"nvt",INDEX('Tarieven W&amp;O'!$H:$H,$AI380),0)</f>
        <v>0</v>
      </c>
      <c r="AK380" s="204">
        <f>IF(AI380&lt;&gt;"nvt",INDEX('Tarieven W&amp;O'!$I:$I,$AI380),0)</f>
        <v>25</v>
      </c>
      <c r="AL380" s="524">
        <f>IF(AI380&lt;&gt;"nvt",-INDEX(Parameters!$B:$B,MATCH(AL$3,Parameters!$A:$A,0))*(AJ380+AK380),0)</f>
        <v>0</v>
      </c>
      <c r="AM380" s="525"/>
      <c r="AN380" s="139">
        <f t="shared" si="198"/>
        <v>25</v>
      </c>
      <c r="AO380" s="205">
        <f>AN380/INDEX(Parameters!$B:$B,MATCH("AfschrijftermijnVVE"&amp;12*$C380,Parameters!$A:$A,0))</f>
        <v>0.52083333333333337</v>
      </c>
      <c r="AP380" s="139">
        <f t="shared" si="199"/>
        <v>51</v>
      </c>
      <c r="AQ380" s="526">
        <f>IF(AP380&lt;&gt;"nvt",INDEX('Tarieven W&amp;O'!$G:$G,$AP380),0)</f>
        <v>127.77</v>
      </c>
      <c r="AR380" s="251">
        <f>IF($S380,INDEX('Tarieven W&amp;O'!$G:$G,MATCH(N380&amp;R380,'Tarieven W&amp;O'!$B:$B,0)),0)</f>
        <v>0</v>
      </c>
      <c r="AS380" s="205">
        <f>-INDEX(Parameters!$B:$B,MATCH(AS$3,Parameters!$A:$A,0))*(AQ380+AR380)</f>
        <v>0</v>
      </c>
      <c r="AT380" s="205">
        <f>INDEX(hulpblad!$E:$E,MATCH(M380&amp;Q380,hulpblad!$B:$B,0))</f>
        <v>2</v>
      </c>
      <c r="AU380" s="150">
        <f t="shared" si="215"/>
        <v>129.76999999999998</v>
      </c>
      <c r="AV380" s="150">
        <f t="shared" si="216"/>
        <v>130.29083333333332</v>
      </c>
      <c r="AX380" s="526">
        <f>Parameters!$B$6*AV380</f>
        <v>1.3029083333333333</v>
      </c>
      <c r="AY380" s="150">
        <v>0</v>
      </c>
      <c r="AZ380" s="150"/>
      <c r="BA380" s="150">
        <f t="shared" si="202"/>
        <v>1.3029083333333333</v>
      </c>
      <c r="BB380" s="150"/>
      <c r="BC380" s="522">
        <f t="shared" si="203"/>
        <v>131.59374166666666</v>
      </c>
      <c r="BD380" s="175"/>
      <c r="BE380" s="527">
        <f t="shared" si="217"/>
        <v>889.23959166666668</v>
      </c>
      <c r="BF380" s="181">
        <f t="shared" si="218"/>
        <v>0.87109184489795921</v>
      </c>
      <c r="BG380" s="520" t="b">
        <f t="shared" si="206"/>
        <v>0</v>
      </c>
      <c r="BI380" s="528" t="s">
        <v>2181</v>
      </c>
      <c r="BL380" s="151" t="str">
        <f t="shared" si="220"/>
        <v>EoKMetro - Nationaal</v>
      </c>
      <c r="BM380" s="529">
        <v>0</v>
      </c>
      <c r="BN380" s="180">
        <f>BM380/INDEX(Parameters!$B:$B,MATCH("AfschrijftermijnVVE"&amp;12*$C380,Parameters!$A:$A,0))</f>
        <v>0</v>
      </c>
      <c r="BO380" s="184">
        <f>INDEX('inkoop ULL tbv EVPN'!I:I,MATCH(BL380,'inkoop ULL tbv EVPN'!H:H,0))</f>
        <v>2</v>
      </c>
      <c r="BP380" s="184">
        <f t="shared" si="221"/>
        <v>2</v>
      </c>
      <c r="BR380" s="180">
        <f>Parameters!$B$12*AG380</f>
        <v>102.08333333333334</v>
      </c>
      <c r="BS380" s="180">
        <f>SUM(Distributievergoedingen!$F$12,Distributievergoedingen!$I$12,Distributievergoedingen!$L$12,Distributievergoedingen!$O$12)*AF380+SUM(Distributievergoedingen!$O$12*AA380+Distributievergoedingen!$R$12+Distributievergoedingen!$U$12+Distributievergoedingen!$X$12)/(MAX(36,12*C380))</f>
        <v>112.08333333333333</v>
      </c>
      <c r="BT380" s="150"/>
      <c r="BU380" s="150">
        <f t="shared" si="222"/>
        <v>214.16666666666669</v>
      </c>
      <c r="BW380" s="522">
        <f t="shared" si="223"/>
        <v>216.16666666666669</v>
      </c>
      <c r="BY380" s="527">
        <f t="shared" si="224"/>
        <v>804.66666666666674</v>
      </c>
      <c r="BZ380" s="181">
        <f t="shared" si="225"/>
        <v>0.78824489795918373</v>
      </c>
      <c r="CA380" s="520" t="b">
        <f t="shared" si="226"/>
        <v>0</v>
      </c>
    </row>
    <row r="381" spans="1:79" s="151" customFormat="1">
      <c r="A381" s="151" t="str">
        <f t="shared" si="219"/>
        <v>4EoKEntryRegionaal500</v>
      </c>
      <c r="B381" s="520" t="str">
        <f t="shared" si="214"/>
        <v>4EoKEntryRegionaal500</v>
      </c>
      <c r="C381" s="179">
        <v>4</v>
      </c>
      <c r="D381" s="179" t="s">
        <v>303</v>
      </c>
      <c r="E381" s="178" t="s">
        <v>45</v>
      </c>
      <c r="F381" s="178" t="s">
        <v>265</v>
      </c>
      <c r="G381" s="185" t="s">
        <v>421</v>
      </c>
      <c r="J381" s="520" t="str">
        <f t="shared" si="193"/>
        <v>EntryRegionaal500</v>
      </c>
      <c r="L381" s="204">
        <f>INDEX(Mapping!$H:$H,MATCH(C$3&amp;C381,Mapping!$B:$B,0))</f>
        <v>1</v>
      </c>
      <c r="M381" s="204" t="str">
        <f>INDEX(Mapping!$H:$H,MATCH(D$3&amp;$D381,Mapping!$B:$B,0))</f>
        <v>EoK</v>
      </c>
      <c r="N381" s="204" t="str">
        <f>INDEX(Mapping!$H:$H,MATCH(E$3&amp;E381,Mapping!$B:$B,0))</f>
        <v>Lite</v>
      </c>
      <c r="O381" s="204" t="str">
        <f>INDEX(Mapping!$H:$H,MATCH(F$3&amp;F381,Mapping!$B:$B,0))</f>
        <v>Metro</v>
      </c>
      <c r="P381" s="204">
        <f>INDEX(Mapping!$H:$H,MATCH(G$3&amp;G381,Mapping!$B:$B,0))</f>
        <v>500</v>
      </c>
      <c r="Q381" s="204" t="str">
        <f>INDEX(Mapping!$H:$H,MATCH(Q$3&amp;$F381,Mapping!$B:$B,0))</f>
        <v>Metro - Nationaal</v>
      </c>
      <c r="R381" s="204" t="str">
        <f>INDEX(Mapping!$H:$H,MATCH("ZM VPN Service Level"&amp;E381,Mapping!$B:$B,0))</f>
        <v>Advanced</v>
      </c>
      <c r="S381" s="139" t="b">
        <f>IF($D381="EoK",INDEX(Mapping!$I:$I,MATCH($G$3&amp;$G381,Mapping!B:B,0)),FALSE)</f>
        <v>0</v>
      </c>
      <c r="T381" s="139"/>
      <c r="U381" s="520" t="str">
        <f t="shared" si="194"/>
        <v>LiteMetro500</v>
      </c>
      <c r="W381" s="521">
        <f>MATCH($J381,'Tarieven ZM'!$B:$B,0)</f>
        <v>43</v>
      </c>
      <c r="X381" s="204">
        <f>INDEX('Tarieven ZM'!$H:$H,$W381)</f>
        <v>1000</v>
      </c>
      <c r="Y381" s="198">
        <f>-INDEX(Parameters!$B:$B,MATCH(Y$3&amp;$C381,Parameters!$A:$A,0))*$X381</f>
        <v>0</v>
      </c>
      <c r="Z381" s="198">
        <f>-INDEX(Parameters!$B:$B,MATCH(Z$3&amp;$C381,Parameters!$A:$A,0))*$X381</f>
        <v>0</v>
      </c>
      <c r="AA381" s="139">
        <f t="shared" si="195"/>
        <v>1000</v>
      </c>
      <c r="AB381" s="205">
        <f>AA381/INDEX(Parameters!$B:$B,MATCH("AfschrijftermijnVVE"&amp;12*$C381,Parameters!$A:$A,0))</f>
        <v>20.833333333333332</v>
      </c>
      <c r="AC381" s="204">
        <f>INDEX('Tarieven ZM'!$G:$G,$W381)</f>
        <v>1000</v>
      </c>
      <c r="AD381" s="198">
        <f>-INDEX(Parameters!$B:$B,MATCH(AD$3&amp;$C381,Parameters!$A:$A,0))*$AC381</f>
        <v>0</v>
      </c>
      <c r="AE381" s="198">
        <f>-INDEX(Parameters!$B:$B,MATCH(AE$3,Parameters!$A:$A,0))*$AC381</f>
        <v>0</v>
      </c>
      <c r="AF381" s="139">
        <f t="shared" si="196"/>
        <v>1000</v>
      </c>
      <c r="AG381" s="522">
        <f t="shared" si="197"/>
        <v>1020.8333333333334</v>
      </c>
      <c r="AH381" s="175"/>
      <c r="AI381" s="523">
        <f>MATCH($U381,'Tarieven W&amp;O'!$B:$B,0)</f>
        <v>52</v>
      </c>
      <c r="AJ381" s="204">
        <f>IF(AI381&lt;&gt;"nvt",INDEX('Tarieven W&amp;O'!$H:$H,$AI381),0)</f>
        <v>0</v>
      </c>
      <c r="AK381" s="204">
        <f>IF(AI381&lt;&gt;"nvt",INDEX('Tarieven W&amp;O'!$I:$I,$AI381),0)</f>
        <v>25</v>
      </c>
      <c r="AL381" s="524">
        <f>IF(AI381&lt;&gt;"nvt",-INDEX(Parameters!$B:$B,MATCH(AL$3,Parameters!$A:$A,0))*(AJ381+AK381),0)</f>
        <v>0</v>
      </c>
      <c r="AM381" s="525"/>
      <c r="AN381" s="139">
        <f t="shared" si="198"/>
        <v>25</v>
      </c>
      <c r="AO381" s="205">
        <f>AN381/INDEX(Parameters!$B:$B,MATCH("AfschrijftermijnVVE"&amp;12*$C381,Parameters!$A:$A,0))</f>
        <v>0.52083333333333337</v>
      </c>
      <c r="AP381" s="139">
        <f t="shared" si="199"/>
        <v>52</v>
      </c>
      <c r="AQ381" s="526">
        <f>IF(AP381&lt;&gt;"nvt",INDEX('Tarieven W&amp;O'!$G:$G,$AP381),0)</f>
        <v>161.69</v>
      </c>
      <c r="AR381" s="251">
        <f>IF($S381,INDEX('Tarieven W&amp;O'!$G:$G,MATCH(N381&amp;R381,'Tarieven W&amp;O'!$B:$B,0)),0)</f>
        <v>0</v>
      </c>
      <c r="AS381" s="205">
        <f>-INDEX(Parameters!$B:$B,MATCH(AS$3,Parameters!$A:$A,0))*(AQ381+AR381)</f>
        <v>0</v>
      </c>
      <c r="AT381" s="205">
        <f>INDEX(hulpblad!$E:$E,MATCH(M381&amp;Q381,hulpblad!$B:$B,0))</f>
        <v>2</v>
      </c>
      <c r="AU381" s="150">
        <f t="shared" si="215"/>
        <v>163.69</v>
      </c>
      <c r="AV381" s="150">
        <f t="shared" si="216"/>
        <v>164.21083333333334</v>
      </c>
      <c r="AX381" s="526">
        <f>Parameters!$B$6*AV381</f>
        <v>1.6421083333333335</v>
      </c>
      <c r="AY381" s="150">
        <v>0</v>
      </c>
      <c r="AZ381" s="150"/>
      <c r="BA381" s="150">
        <f t="shared" si="202"/>
        <v>1.6421083333333335</v>
      </c>
      <c r="BB381" s="150"/>
      <c r="BC381" s="522">
        <f t="shared" si="203"/>
        <v>165.85294166666668</v>
      </c>
      <c r="BD381" s="175"/>
      <c r="BE381" s="527">
        <f t="shared" si="217"/>
        <v>854.98039166666672</v>
      </c>
      <c r="BF381" s="181">
        <f t="shared" si="218"/>
        <v>0.83753181224489803</v>
      </c>
      <c r="BG381" s="520" t="b">
        <f t="shared" si="206"/>
        <v>0</v>
      </c>
      <c r="BI381" s="528" t="s">
        <v>2181</v>
      </c>
      <c r="BL381" s="151" t="str">
        <f t="shared" si="220"/>
        <v>EoKMetro - Nationaal</v>
      </c>
      <c r="BM381" s="529">
        <v>0</v>
      </c>
      <c r="BN381" s="180">
        <f>BM381/INDEX(Parameters!$B:$B,MATCH("AfschrijftermijnVVE"&amp;12*$C381,Parameters!$A:$A,0))</f>
        <v>0</v>
      </c>
      <c r="BO381" s="184">
        <f>INDEX('inkoop ULL tbv EVPN'!I:I,MATCH(BL381,'inkoop ULL tbv EVPN'!H:H,0))</f>
        <v>2</v>
      </c>
      <c r="BP381" s="184">
        <f t="shared" si="221"/>
        <v>2</v>
      </c>
      <c r="BR381" s="180">
        <f>Parameters!$B$12*AG381</f>
        <v>102.08333333333334</v>
      </c>
      <c r="BS381" s="180">
        <f>SUM(Distributievergoedingen!$F$12,Distributievergoedingen!$I$12,Distributievergoedingen!$L$12,Distributievergoedingen!$O$12)*AF381+SUM(Distributievergoedingen!$O$12*AA381+Distributievergoedingen!$R$12+Distributievergoedingen!$U$12+Distributievergoedingen!$X$12)/(MAX(36,12*C381))</f>
        <v>112.08333333333333</v>
      </c>
      <c r="BT381" s="150"/>
      <c r="BU381" s="150">
        <f t="shared" si="222"/>
        <v>214.16666666666669</v>
      </c>
      <c r="BW381" s="522">
        <f t="shared" si="223"/>
        <v>216.16666666666669</v>
      </c>
      <c r="BY381" s="527">
        <f t="shared" si="224"/>
        <v>804.66666666666674</v>
      </c>
      <c r="BZ381" s="181">
        <f t="shared" si="225"/>
        <v>0.78824489795918373</v>
      </c>
      <c r="CA381" s="520" t="b">
        <f t="shared" si="226"/>
        <v>0</v>
      </c>
    </row>
    <row r="382" spans="1:79" s="151" customFormat="1">
      <c r="A382" s="151" t="str">
        <f t="shared" si="219"/>
        <v>4EoKEntryRegionaal800</v>
      </c>
      <c r="B382" s="520" t="str">
        <f t="shared" si="214"/>
        <v>4EoKEntryRegionaal800</v>
      </c>
      <c r="C382" s="179">
        <v>4</v>
      </c>
      <c r="D382" s="179" t="s">
        <v>303</v>
      </c>
      <c r="E382" s="178" t="s">
        <v>45</v>
      </c>
      <c r="F382" s="178" t="s">
        <v>265</v>
      </c>
      <c r="G382" s="185" t="s">
        <v>422</v>
      </c>
      <c r="J382" s="520" t="str">
        <f t="shared" si="193"/>
        <v>EntryRegionaal800</v>
      </c>
      <c r="L382" s="204">
        <f>INDEX(Mapping!$H:$H,MATCH(C$3&amp;C382,Mapping!$B:$B,0))</f>
        <v>1</v>
      </c>
      <c r="M382" s="204" t="str">
        <f>INDEX(Mapping!$H:$H,MATCH(D$3&amp;$D382,Mapping!$B:$B,0))</f>
        <v>EoK</v>
      </c>
      <c r="N382" s="204" t="str">
        <f>INDEX(Mapping!$H:$H,MATCH(E$3&amp;E382,Mapping!$B:$B,0))</f>
        <v>Lite</v>
      </c>
      <c r="O382" s="204" t="str">
        <f>INDEX(Mapping!$H:$H,MATCH(F$3&amp;F382,Mapping!$B:$B,0))</f>
        <v>Metro</v>
      </c>
      <c r="P382" s="204">
        <f>INDEX(Mapping!$H:$H,MATCH(G$3&amp;G382,Mapping!$B:$B,0))</f>
        <v>800</v>
      </c>
      <c r="Q382" s="204" t="str">
        <f>INDEX(Mapping!$H:$H,MATCH(Q$3&amp;$F382,Mapping!$B:$B,0))</f>
        <v>Metro - Nationaal</v>
      </c>
      <c r="R382" s="204" t="str">
        <f>INDEX(Mapping!$H:$H,MATCH("ZM VPN Service Level"&amp;E382,Mapping!$B:$B,0))</f>
        <v>Advanced</v>
      </c>
      <c r="S382" s="139" t="b">
        <f>IF($D382="EoK",INDEX(Mapping!$I:$I,MATCH($G$3&amp;$G382,Mapping!B:B,0)),FALSE)</f>
        <v>0</v>
      </c>
      <c r="T382" s="139"/>
      <c r="U382" s="520" t="str">
        <f t="shared" si="194"/>
        <v>LiteMetro800</v>
      </c>
      <c r="W382" s="521">
        <f>MATCH($J382,'Tarieven ZM'!$B:$B,0)</f>
        <v>44</v>
      </c>
      <c r="X382" s="204">
        <f>INDEX('Tarieven ZM'!$H:$H,$W382)</f>
        <v>1000</v>
      </c>
      <c r="Y382" s="198">
        <f>-INDEX(Parameters!$B:$B,MATCH(Y$3&amp;$C382,Parameters!$A:$A,0))*$X382</f>
        <v>0</v>
      </c>
      <c r="Z382" s="198">
        <f>-INDEX(Parameters!$B:$B,MATCH(Z$3&amp;$C382,Parameters!$A:$A,0))*$X382</f>
        <v>0</v>
      </c>
      <c r="AA382" s="139">
        <f t="shared" si="195"/>
        <v>1000</v>
      </c>
      <c r="AB382" s="205">
        <f>AA382/INDEX(Parameters!$B:$B,MATCH("AfschrijftermijnVVE"&amp;12*$C382,Parameters!$A:$A,0))</f>
        <v>20.833333333333332</v>
      </c>
      <c r="AC382" s="204">
        <f>INDEX('Tarieven ZM'!$G:$G,$W382)</f>
        <v>1000</v>
      </c>
      <c r="AD382" s="198">
        <f>-INDEX(Parameters!$B:$B,MATCH(AD$3&amp;$C382,Parameters!$A:$A,0))*$AC382</f>
        <v>0</v>
      </c>
      <c r="AE382" s="198">
        <f>-INDEX(Parameters!$B:$B,MATCH(AE$3,Parameters!$A:$A,0))*$AC382</f>
        <v>0</v>
      </c>
      <c r="AF382" s="139">
        <f t="shared" si="196"/>
        <v>1000</v>
      </c>
      <c r="AG382" s="522">
        <f t="shared" si="197"/>
        <v>1020.8333333333334</v>
      </c>
      <c r="AH382" s="175"/>
      <c r="AI382" s="523">
        <f>MATCH($U382,'Tarieven W&amp;O'!$B:$B,0)</f>
        <v>53</v>
      </c>
      <c r="AJ382" s="204">
        <f>IF(AI382&lt;&gt;"nvt",INDEX('Tarieven W&amp;O'!$H:$H,$AI382),0)</f>
        <v>0</v>
      </c>
      <c r="AK382" s="204">
        <f>IF(AI382&lt;&gt;"nvt",INDEX('Tarieven W&amp;O'!$I:$I,$AI382),0)</f>
        <v>25</v>
      </c>
      <c r="AL382" s="524">
        <f>IF(AI382&lt;&gt;"nvt",-INDEX(Parameters!$B:$B,MATCH(AL$3,Parameters!$A:$A,0))*(AJ382+AK382),0)</f>
        <v>0</v>
      </c>
      <c r="AM382" s="525"/>
      <c r="AN382" s="139">
        <f t="shared" si="198"/>
        <v>25</v>
      </c>
      <c r="AO382" s="205">
        <f>AN382/INDEX(Parameters!$B:$B,MATCH("AfschrijftermijnVVE"&amp;12*$C382,Parameters!$A:$A,0))</f>
        <v>0.52083333333333337</v>
      </c>
      <c r="AP382" s="139">
        <f t="shared" si="199"/>
        <v>53</v>
      </c>
      <c r="AQ382" s="526">
        <f>IF(AP382&lt;&gt;"nvt",INDEX('Tarieven W&amp;O'!$G:$G,$AP382),0)</f>
        <v>184.31</v>
      </c>
      <c r="AR382" s="251">
        <f>IF($S382,INDEX('Tarieven W&amp;O'!$G:$G,MATCH(N382&amp;R382,'Tarieven W&amp;O'!$B:$B,0)),0)</f>
        <v>0</v>
      </c>
      <c r="AS382" s="205">
        <f>-INDEX(Parameters!$B:$B,MATCH(AS$3,Parameters!$A:$A,0))*(AQ382+AR382)</f>
        <v>0</v>
      </c>
      <c r="AT382" s="205">
        <f>INDEX(hulpblad!$E:$E,MATCH(M382&amp;Q382,hulpblad!$B:$B,0))</f>
        <v>2</v>
      </c>
      <c r="AU382" s="150">
        <f t="shared" si="215"/>
        <v>186.31</v>
      </c>
      <c r="AV382" s="150">
        <f t="shared" si="216"/>
        <v>186.83083333333335</v>
      </c>
      <c r="AX382" s="526">
        <f>Parameters!$B$6*AV382</f>
        <v>1.8683083333333335</v>
      </c>
      <c r="AY382" s="150">
        <v>0</v>
      </c>
      <c r="AZ382" s="150"/>
      <c r="BA382" s="150">
        <f t="shared" si="202"/>
        <v>1.8683083333333335</v>
      </c>
      <c r="BB382" s="150"/>
      <c r="BC382" s="522">
        <f t="shared" si="203"/>
        <v>188.69914166666669</v>
      </c>
      <c r="BD382" s="175"/>
      <c r="BE382" s="527">
        <f t="shared" si="217"/>
        <v>832.13419166666665</v>
      </c>
      <c r="BF382" s="181">
        <f t="shared" si="218"/>
        <v>0.81515186122448979</v>
      </c>
      <c r="BG382" s="520" t="b">
        <f t="shared" si="206"/>
        <v>0</v>
      </c>
      <c r="BI382" s="528" t="s">
        <v>2181</v>
      </c>
      <c r="BL382" s="151" t="str">
        <f t="shared" si="220"/>
        <v>EoKMetro - Nationaal</v>
      </c>
      <c r="BM382" s="529">
        <v>0</v>
      </c>
      <c r="BN382" s="180">
        <f>BM382/INDEX(Parameters!$B:$B,MATCH("AfschrijftermijnVVE"&amp;12*$C382,Parameters!$A:$A,0))</f>
        <v>0</v>
      </c>
      <c r="BO382" s="184">
        <f>INDEX('inkoop ULL tbv EVPN'!I:I,MATCH(BL382,'inkoop ULL tbv EVPN'!H:H,0))</f>
        <v>2</v>
      </c>
      <c r="BP382" s="184">
        <f t="shared" si="221"/>
        <v>2</v>
      </c>
      <c r="BR382" s="180">
        <f>Parameters!$B$12*AG382</f>
        <v>102.08333333333334</v>
      </c>
      <c r="BS382" s="180">
        <f>SUM(Distributievergoedingen!$F$12,Distributievergoedingen!$I$12,Distributievergoedingen!$L$12,Distributievergoedingen!$O$12)*AF382+SUM(Distributievergoedingen!$O$12*AA382+Distributievergoedingen!$R$12+Distributievergoedingen!$U$12+Distributievergoedingen!$X$12)/(MAX(36,12*C382))</f>
        <v>112.08333333333333</v>
      </c>
      <c r="BT382" s="150"/>
      <c r="BU382" s="150">
        <f t="shared" si="222"/>
        <v>214.16666666666669</v>
      </c>
      <c r="BW382" s="522">
        <f t="shared" si="223"/>
        <v>216.16666666666669</v>
      </c>
      <c r="BY382" s="527">
        <f t="shared" si="224"/>
        <v>804.66666666666674</v>
      </c>
      <c r="BZ382" s="181">
        <f t="shared" si="225"/>
        <v>0.78824489795918373</v>
      </c>
      <c r="CA382" s="520" t="b">
        <f t="shared" si="226"/>
        <v>0</v>
      </c>
    </row>
    <row r="383" spans="1:79" s="151" customFormat="1">
      <c r="A383" s="151" t="str">
        <f t="shared" si="219"/>
        <v>4EoKEntryRegionaal1000</v>
      </c>
      <c r="B383" s="520" t="str">
        <f t="shared" si="214"/>
        <v>4EoKEntryRegionaal1000</v>
      </c>
      <c r="C383" s="179">
        <v>4</v>
      </c>
      <c r="D383" s="179" t="s">
        <v>303</v>
      </c>
      <c r="E383" s="178" t="s">
        <v>45</v>
      </c>
      <c r="F383" s="178" t="s">
        <v>265</v>
      </c>
      <c r="G383" s="185" t="s">
        <v>423</v>
      </c>
      <c r="J383" s="520" t="str">
        <f t="shared" si="193"/>
        <v>EntryRegionaal1000</v>
      </c>
      <c r="L383" s="204">
        <f>INDEX(Mapping!$H:$H,MATCH(C$3&amp;C383,Mapping!$B:$B,0))</f>
        <v>1</v>
      </c>
      <c r="M383" s="204" t="str">
        <f>INDEX(Mapping!$H:$H,MATCH(D$3&amp;$D383,Mapping!$B:$B,0))</f>
        <v>EoK</v>
      </c>
      <c r="N383" s="204" t="str">
        <f>INDEX(Mapping!$H:$H,MATCH(E$3&amp;E383,Mapping!$B:$B,0))</f>
        <v>Lite</v>
      </c>
      <c r="O383" s="204" t="str">
        <f>INDEX(Mapping!$H:$H,MATCH(F$3&amp;F383,Mapping!$B:$B,0))</f>
        <v>Metro</v>
      </c>
      <c r="P383" s="204">
        <f>INDEX(Mapping!$H:$H,MATCH(G$3&amp;G383,Mapping!$B:$B,0))</f>
        <v>1000</v>
      </c>
      <c r="Q383" s="204" t="str">
        <f>INDEX(Mapping!$H:$H,MATCH(Q$3&amp;$F383,Mapping!$B:$B,0))</f>
        <v>Metro - Nationaal</v>
      </c>
      <c r="R383" s="204" t="str">
        <f>INDEX(Mapping!$H:$H,MATCH("ZM VPN Service Level"&amp;E383,Mapping!$B:$B,0))</f>
        <v>Advanced</v>
      </c>
      <c r="S383" s="139" t="b">
        <f>IF($D383="EoK",INDEX(Mapping!$I:$I,MATCH($G$3&amp;$G383,Mapping!B:B,0)),FALSE)</f>
        <v>0</v>
      </c>
      <c r="T383" s="139"/>
      <c r="U383" s="520" t="str">
        <f t="shared" si="194"/>
        <v>LiteMetro1000</v>
      </c>
      <c r="W383" s="521">
        <f>MATCH($J383,'Tarieven ZM'!$B:$B,0)</f>
        <v>45</v>
      </c>
      <c r="X383" s="204">
        <f>INDEX('Tarieven ZM'!$H:$H,$W383)</f>
        <v>1000</v>
      </c>
      <c r="Y383" s="198">
        <f>-INDEX(Parameters!$B:$B,MATCH(Y$3&amp;$C383,Parameters!$A:$A,0))*$X383</f>
        <v>0</v>
      </c>
      <c r="Z383" s="198">
        <f>-INDEX(Parameters!$B:$B,MATCH(Z$3&amp;$C383,Parameters!$A:$A,0))*$X383</f>
        <v>0</v>
      </c>
      <c r="AA383" s="139">
        <f t="shared" si="195"/>
        <v>1000</v>
      </c>
      <c r="AB383" s="205">
        <f>AA383/INDEX(Parameters!$B:$B,MATCH("AfschrijftermijnVVE"&amp;12*$C383,Parameters!$A:$A,0))</f>
        <v>20.833333333333332</v>
      </c>
      <c r="AC383" s="204">
        <f>INDEX('Tarieven ZM'!$G:$G,$W383)</f>
        <v>1000</v>
      </c>
      <c r="AD383" s="198">
        <f>-INDEX(Parameters!$B:$B,MATCH(AD$3&amp;$C383,Parameters!$A:$A,0))*$AC383</f>
        <v>0</v>
      </c>
      <c r="AE383" s="198">
        <f>-INDEX(Parameters!$B:$B,MATCH(AE$3,Parameters!$A:$A,0))*$AC383</f>
        <v>0</v>
      </c>
      <c r="AF383" s="139">
        <f t="shared" si="196"/>
        <v>1000</v>
      </c>
      <c r="AG383" s="522">
        <f t="shared" si="197"/>
        <v>1020.8333333333334</v>
      </c>
      <c r="AH383" s="175"/>
      <c r="AI383" s="523">
        <f>MATCH($U383,'Tarieven W&amp;O'!$B:$B,0)</f>
        <v>54</v>
      </c>
      <c r="AJ383" s="204">
        <f>IF(AI383&lt;&gt;"nvt",INDEX('Tarieven W&amp;O'!$H:$H,$AI383),0)</f>
        <v>0</v>
      </c>
      <c r="AK383" s="204">
        <f>IF(AI383&lt;&gt;"nvt",INDEX('Tarieven W&amp;O'!$I:$I,$AI383),0)</f>
        <v>25</v>
      </c>
      <c r="AL383" s="524">
        <f>IF(AI383&lt;&gt;"nvt",-INDEX(Parameters!$B:$B,MATCH(AL$3,Parameters!$A:$A,0))*(AJ383+AK383),0)</f>
        <v>0</v>
      </c>
      <c r="AM383" s="525"/>
      <c r="AN383" s="139">
        <f t="shared" si="198"/>
        <v>25</v>
      </c>
      <c r="AO383" s="205">
        <f>AN383/INDEX(Parameters!$B:$B,MATCH("AfschrijftermijnVVE"&amp;12*$C383,Parameters!$A:$A,0))</f>
        <v>0.52083333333333337</v>
      </c>
      <c r="AP383" s="139">
        <f t="shared" si="199"/>
        <v>54</v>
      </c>
      <c r="AQ383" s="526">
        <f>IF(AP383&lt;&gt;"nvt",INDEX('Tarieven W&amp;O'!$G:$G,$AP383),0)</f>
        <v>203.15</v>
      </c>
      <c r="AR383" s="251">
        <f>IF($S383,INDEX('Tarieven W&amp;O'!$G:$G,MATCH(N383&amp;R383,'Tarieven W&amp;O'!$B:$B,0)),0)</f>
        <v>0</v>
      </c>
      <c r="AS383" s="205">
        <f>-INDEX(Parameters!$B:$B,MATCH(AS$3,Parameters!$A:$A,0))*(AQ383+AR383)</f>
        <v>0</v>
      </c>
      <c r="AT383" s="205">
        <f>INDEX(hulpblad!$E:$E,MATCH(M383&amp;Q383,hulpblad!$B:$B,0))</f>
        <v>2</v>
      </c>
      <c r="AU383" s="150">
        <f t="shared" si="215"/>
        <v>205.15</v>
      </c>
      <c r="AV383" s="150">
        <f t="shared" si="216"/>
        <v>205.67083333333335</v>
      </c>
      <c r="AX383" s="526">
        <f>Parameters!$B$6*AV383</f>
        <v>2.0567083333333334</v>
      </c>
      <c r="AY383" s="150">
        <v>0</v>
      </c>
      <c r="AZ383" s="150"/>
      <c r="BA383" s="150">
        <f t="shared" si="202"/>
        <v>2.0567083333333334</v>
      </c>
      <c r="BB383" s="150"/>
      <c r="BC383" s="522">
        <f t="shared" si="203"/>
        <v>207.7275416666667</v>
      </c>
      <c r="BD383" s="175"/>
      <c r="BE383" s="527">
        <f t="shared" si="217"/>
        <v>813.10579166666662</v>
      </c>
      <c r="BF383" s="181">
        <f t="shared" si="218"/>
        <v>0.79651179591836729</v>
      </c>
      <c r="BG383" s="520" t="b">
        <f t="shared" si="206"/>
        <v>0</v>
      </c>
      <c r="BI383" s="528" t="s">
        <v>2181</v>
      </c>
      <c r="BL383" s="151" t="str">
        <f t="shared" si="220"/>
        <v>EoKMetro - Nationaal</v>
      </c>
      <c r="BM383" s="529">
        <v>0</v>
      </c>
      <c r="BN383" s="180">
        <f>BM383/INDEX(Parameters!$B:$B,MATCH("AfschrijftermijnVVE"&amp;12*$C383,Parameters!$A:$A,0))</f>
        <v>0</v>
      </c>
      <c r="BO383" s="184">
        <f>INDEX('inkoop ULL tbv EVPN'!I:I,MATCH(BL383,'inkoop ULL tbv EVPN'!H:H,0))</f>
        <v>2</v>
      </c>
      <c r="BP383" s="184">
        <f t="shared" si="221"/>
        <v>2</v>
      </c>
      <c r="BR383" s="180">
        <f>Parameters!$B$12*AG383</f>
        <v>102.08333333333334</v>
      </c>
      <c r="BS383" s="180">
        <f>SUM(Distributievergoedingen!$F$12,Distributievergoedingen!$I$12,Distributievergoedingen!$L$12,Distributievergoedingen!$O$12)*AF383+SUM(Distributievergoedingen!$O$12*AA383+Distributievergoedingen!$R$12+Distributievergoedingen!$U$12+Distributievergoedingen!$X$12)/(MAX(36,12*C383))</f>
        <v>112.08333333333333</v>
      </c>
      <c r="BT383" s="150"/>
      <c r="BU383" s="150">
        <f t="shared" si="222"/>
        <v>214.16666666666669</v>
      </c>
      <c r="BW383" s="522">
        <f t="shared" si="223"/>
        <v>216.16666666666669</v>
      </c>
      <c r="BY383" s="527">
        <f t="shared" si="224"/>
        <v>804.66666666666674</v>
      </c>
      <c r="BZ383" s="181">
        <f t="shared" si="225"/>
        <v>0.78824489795918373</v>
      </c>
      <c r="CA383" s="520" t="b">
        <f t="shared" si="226"/>
        <v>0</v>
      </c>
    </row>
    <row r="384" spans="1:79" s="151" customFormat="1">
      <c r="A384" s="151" t="str">
        <f t="shared" si="219"/>
        <v>4EoKEntryNationaal1</v>
      </c>
      <c r="B384" s="520" t="str">
        <f t="shared" si="214"/>
        <v>4EoKEntryNationaal1</v>
      </c>
      <c r="C384" s="179">
        <v>4</v>
      </c>
      <c r="D384" s="179" t="s">
        <v>303</v>
      </c>
      <c r="E384" s="178" t="s">
        <v>45</v>
      </c>
      <c r="F384" s="178" t="s">
        <v>266</v>
      </c>
      <c r="G384" s="185" t="s">
        <v>362</v>
      </c>
      <c r="J384" s="520" t="str">
        <f t="shared" si="193"/>
        <v>EntryNationaal1</v>
      </c>
      <c r="L384" s="204">
        <f>INDEX(Mapping!$H:$H,MATCH(C$3&amp;C384,Mapping!$B:$B,0))</f>
        <v>1</v>
      </c>
      <c r="M384" s="204" t="str">
        <f>INDEX(Mapping!$H:$H,MATCH(D$3&amp;$D384,Mapping!$B:$B,0))</f>
        <v>EoK</v>
      </c>
      <c r="N384" s="204" t="str">
        <f>INDEX(Mapping!$H:$H,MATCH(E$3&amp;E384,Mapping!$B:$B,0))</f>
        <v>Lite</v>
      </c>
      <c r="O384" s="204" t="str">
        <f>INDEX(Mapping!$H:$H,MATCH(F$3&amp;F384,Mapping!$B:$B,0))</f>
        <v>Metro</v>
      </c>
      <c r="P384" s="204">
        <f>INDEX(Mapping!$H:$H,MATCH(G$3&amp;G384,Mapping!$B:$B,0))</f>
        <v>1</v>
      </c>
      <c r="Q384" s="204" t="str">
        <f>INDEX(Mapping!$H:$H,MATCH(Q$3&amp;$F384,Mapping!$B:$B,0))</f>
        <v>Metro - Nationaal</v>
      </c>
      <c r="R384" s="204" t="str">
        <f>INDEX(Mapping!$H:$H,MATCH("ZM VPN Service Level"&amp;E384,Mapping!$B:$B,0))</f>
        <v>Advanced</v>
      </c>
      <c r="S384" s="139" t="b">
        <f>IF($D384="EoK",INDEX(Mapping!$I:$I,MATCH($G$3&amp;$G384,Mapping!B:B,0)),FALSE)</f>
        <v>1</v>
      </c>
      <c r="T384" s="139"/>
      <c r="U384" s="520" t="str">
        <f t="shared" si="194"/>
        <v>LiteMetro1</v>
      </c>
      <c r="W384" s="521">
        <f>MATCH($J384,'Tarieven ZM'!$B:$B,0)</f>
        <v>46</v>
      </c>
      <c r="X384" s="204">
        <f>INDEX('Tarieven ZM'!$H:$H,$W384)</f>
        <v>1000</v>
      </c>
      <c r="Y384" s="198">
        <f>-INDEX(Parameters!$B:$B,MATCH(Y$3&amp;$C384,Parameters!$A:$A,0))*$X384</f>
        <v>0</v>
      </c>
      <c r="Z384" s="198">
        <f>-INDEX(Parameters!$B:$B,MATCH(Z$3&amp;$C384,Parameters!$A:$A,0))*$X384</f>
        <v>0</v>
      </c>
      <c r="AA384" s="139">
        <f t="shared" si="195"/>
        <v>1000</v>
      </c>
      <c r="AB384" s="205">
        <f>AA384/INDEX(Parameters!$B:$B,MATCH("AfschrijftermijnVVE"&amp;12*$C384,Parameters!$A:$A,0))</f>
        <v>20.833333333333332</v>
      </c>
      <c r="AC384" s="204">
        <f>INDEX('Tarieven ZM'!$G:$G,$W384)</f>
        <v>1000</v>
      </c>
      <c r="AD384" s="198">
        <f>-INDEX(Parameters!$B:$B,MATCH(AD$3&amp;$C384,Parameters!$A:$A,0))*$AC384</f>
        <v>0</v>
      </c>
      <c r="AE384" s="198">
        <f>-INDEX(Parameters!$B:$B,MATCH(AE$3,Parameters!$A:$A,0))*$AC384</f>
        <v>0</v>
      </c>
      <c r="AF384" s="139">
        <f t="shared" si="196"/>
        <v>1000</v>
      </c>
      <c r="AG384" s="522">
        <f t="shared" si="197"/>
        <v>1020.8333333333334</v>
      </c>
      <c r="AH384" s="175"/>
      <c r="AI384" s="523">
        <f>MATCH($U384,'Tarieven W&amp;O'!$B:$B,0)</f>
        <v>36</v>
      </c>
      <c r="AJ384" s="204">
        <f>IF(AI384&lt;&gt;"nvt",INDEX('Tarieven W&amp;O'!$H:$H,$AI384),0)</f>
        <v>0</v>
      </c>
      <c r="AK384" s="204">
        <f>IF(AI384&lt;&gt;"nvt",INDEX('Tarieven W&amp;O'!$I:$I,$AI384),0)</f>
        <v>25</v>
      </c>
      <c r="AL384" s="524">
        <f>IF(AI384&lt;&gt;"nvt",-INDEX(Parameters!$B:$B,MATCH(AL$3,Parameters!$A:$A,0))*(AJ384+AK384),0)</f>
        <v>0</v>
      </c>
      <c r="AM384" s="525"/>
      <c r="AN384" s="139">
        <f t="shared" si="198"/>
        <v>25</v>
      </c>
      <c r="AO384" s="205">
        <f>AN384/INDEX(Parameters!$B:$B,MATCH("AfschrijftermijnVVE"&amp;12*$C384,Parameters!$A:$A,0))</f>
        <v>0.52083333333333337</v>
      </c>
      <c r="AP384" s="139">
        <f t="shared" si="199"/>
        <v>36</v>
      </c>
      <c r="AQ384" s="526">
        <f>IF(AP384&lt;&gt;"nvt",INDEX('Tarieven W&amp;O'!$G:$G,$AP384),0)</f>
        <v>14.29</v>
      </c>
      <c r="AR384" s="251">
        <f>IF($S384,INDEX('Tarieven W&amp;O'!$G:$G,MATCH(N384&amp;R384,'Tarieven W&amp;O'!$B:$B,0)),0)</f>
        <v>5.25</v>
      </c>
      <c r="AS384" s="205">
        <f>-INDEX(Parameters!$B:$B,MATCH(AS$3,Parameters!$A:$A,0))*(AQ384+AR384)</f>
        <v>0</v>
      </c>
      <c r="AT384" s="205">
        <f>INDEX(hulpblad!$E:$E,MATCH(M384&amp;Q384,hulpblad!$B:$B,0))</f>
        <v>2</v>
      </c>
      <c r="AU384" s="150">
        <f t="shared" si="215"/>
        <v>21.54</v>
      </c>
      <c r="AV384" s="150">
        <f t="shared" si="216"/>
        <v>22.060833333333331</v>
      </c>
      <c r="AX384" s="526">
        <f>Parameters!$B$6*AV384</f>
        <v>0.22060833333333332</v>
      </c>
      <c r="AY384" s="150">
        <v>0</v>
      </c>
      <c r="AZ384" s="150"/>
      <c r="BA384" s="150">
        <f t="shared" si="202"/>
        <v>0.22060833333333332</v>
      </c>
      <c r="BB384" s="150"/>
      <c r="BC384" s="522">
        <f t="shared" si="203"/>
        <v>22.281441666666666</v>
      </c>
      <c r="BD384" s="175"/>
      <c r="BE384" s="527">
        <f t="shared" si="217"/>
        <v>998.55189166666673</v>
      </c>
      <c r="BF384" s="181">
        <f t="shared" si="218"/>
        <v>0.97817328163265305</v>
      </c>
      <c r="BG384" s="520" t="b">
        <f t="shared" si="206"/>
        <v>0</v>
      </c>
      <c r="BI384" s="528" t="s">
        <v>2181</v>
      </c>
      <c r="BL384" s="151" t="str">
        <f t="shared" si="220"/>
        <v>EoKMetro - Nationaal</v>
      </c>
      <c r="BM384" s="529">
        <v>0</v>
      </c>
      <c r="BN384" s="180">
        <f>BM384/INDEX(Parameters!$B:$B,MATCH("AfschrijftermijnVVE"&amp;12*$C384,Parameters!$A:$A,0))</f>
        <v>0</v>
      </c>
      <c r="BO384" s="184">
        <f>INDEX('inkoop ULL tbv EVPN'!I:I,MATCH(BL384,'inkoop ULL tbv EVPN'!H:H,0))</f>
        <v>2</v>
      </c>
      <c r="BP384" s="184">
        <f t="shared" si="221"/>
        <v>2</v>
      </c>
      <c r="BR384" s="180">
        <f>Parameters!$B$12*AG384</f>
        <v>102.08333333333334</v>
      </c>
      <c r="BS384" s="180">
        <f>SUM(Distributievergoedingen!$F$12,Distributievergoedingen!$I$12,Distributievergoedingen!$L$12,Distributievergoedingen!$O$12)*AF384+SUM(Distributievergoedingen!$O$12*AA384+Distributievergoedingen!$R$12+Distributievergoedingen!$U$12+Distributievergoedingen!$X$12)/(MAX(36,12*C384))</f>
        <v>112.08333333333333</v>
      </c>
      <c r="BT384" s="150"/>
      <c r="BU384" s="150">
        <f t="shared" si="222"/>
        <v>214.16666666666669</v>
      </c>
      <c r="BW384" s="522">
        <f t="shared" si="223"/>
        <v>216.16666666666669</v>
      </c>
      <c r="BY384" s="527">
        <f t="shared" si="224"/>
        <v>804.66666666666674</v>
      </c>
      <c r="BZ384" s="181">
        <f t="shared" si="225"/>
        <v>0.78824489795918373</v>
      </c>
      <c r="CA384" s="520" t="b">
        <f t="shared" si="226"/>
        <v>0</v>
      </c>
    </row>
    <row r="385" spans="1:79" s="151" customFormat="1">
      <c r="A385" s="151" t="str">
        <f t="shared" si="219"/>
        <v>4EoKEntryNationaal2</v>
      </c>
      <c r="B385" s="520" t="str">
        <f t="shared" si="214"/>
        <v>4EoKEntryNationaal2</v>
      </c>
      <c r="C385" s="179">
        <v>4</v>
      </c>
      <c r="D385" s="179" t="s">
        <v>303</v>
      </c>
      <c r="E385" s="178" t="s">
        <v>45</v>
      </c>
      <c r="F385" s="178" t="s">
        <v>266</v>
      </c>
      <c r="G385" s="185" t="s">
        <v>363</v>
      </c>
      <c r="J385" s="520" t="str">
        <f t="shared" si="193"/>
        <v>EntryNationaal2</v>
      </c>
      <c r="L385" s="204">
        <f>INDEX(Mapping!$H:$H,MATCH(C$3&amp;C385,Mapping!$B:$B,0))</f>
        <v>1</v>
      </c>
      <c r="M385" s="204" t="str">
        <f>INDEX(Mapping!$H:$H,MATCH(D$3&amp;$D385,Mapping!$B:$B,0))</f>
        <v>EoK</v>
      </c>
      <c r="N385" s="204" t="str">
        <f>INDEX(Mapping!$H:$H,MATCH(E$3&amp;E385,Mapping!$B:$B,0))</f>
        <v>Lite</v>
      </c>
      <c r="O385" s="204" t="str">
        <f>INDEX(Mapping!$H:$H,MATCH(F$3&amp;F385,Mapping!$B:$B,0))</f>
        <v>Metro</v>
      </c>
      <c r="P385" s="204">
        <f>INDEX(Mapping!$H:$H,MATCH(G$3&amp;G385,Mapping!$B:$B,0))</f>
        <v>2</v>
      </c>
      <c r="Q385" s="204" t="str">
        <f>INDEX(Mapping!$H:$H,MATCH(Q$3&amp;$F385,Mapping!$B:$B,0))</f>
        <v>Metro - Nationaal</v>
      </c>
      <c r="R385" s="204" t="str">
        <f>INDEX(Mapping!$H:$H,MATCH("ZM VPN Service Level"&amp;E385,Mapping!$B:$B,0))</f>
        <v>Advanced</v>
      </c>
      <c r="S385" s="139" t="b">
        <f>IF($D385="EoK",INDEX(Mapping!$I:$I,MATCH($G$3&amp;$G385,Mapping!B:B,0)),FALSE)</f>
        <v>1</v>
      </c>
      <c r="T385" s="139"/>
      <c r="U385" s="520" t="str">
        <f t="shared" si="194"/>
        <v>LiteMetro2</v>
      </c>
      <c r="W385" s="521">
        <f>MATCH($J385,'Tarieven ZM'!$B:$B,0)</f>
        <v>47</v>
      </c>
      <c r="X385" s="204">
        <f>INDEX('Tarieven ZM'!$H:$H,$W385)</f>
        <v>1000</v>
      </c>
      <c r="Y385" s="198">
        <f>-INDEX(Parameters!$B:$B,MATCH(Y$3&amp;$C385,Parameters!$A:$A,0))*$X385</f>
        <v>0</v>
      </c>
      <c r="Z385" s="198">
        <f>-INDEX(Parameters!$B:$B,MATCH(Z$3&amp;$C385,Parameters!$A:$A,0))*$X385</f>
        <v>0</v>
      </c>
      <c r="AA385" s="139">
        <f t="shared" si="195"/>
        <v>1000</v>
      </c>
      <c r="AB385" s="205">
        <f>AA385/INDEX(Parameters!$B:$B,MATCH("AfschrijftermijnVVE"&amp;12*$C385,Parameters!$A:$A,0))</f>
        <v>20.833333333333332</v>
      </c>
      <c r="AC385" s="204">
        <f>INDEX('Tarieven ZM'!$G:$G,$W385)</f>
        <v>1000</v>
      </c>
      <c r="AD385" s="198">
        <f>-INDEX(Parameters!$B:$B,MATCH(AD$3&amp;$C385,Parameters!$A:$A,0))*$AC385</f>
        <v>0</v>
      </c>
      <c r="AE385" s="198">
        <f>-INDEX(Parameters!$B:$B,MATCH(AE$3,Parameters!$A:$A,0))*$AC385</f>
        <v>0</v>
      </c>
      <c r="AF385" s="139">
        <f t="shared" si="196"/>
        <v>1000</v>
      </c>
      <c r="AG385" s="522">
        <f t="shared" si="197"/>
        <v>1020.8333333333334</v>
      </c>
      <c r="AH385" s="175"/>
      <c r="AI385" s="523">
        <f>MATCH($U385,'Tarieven W&amp;O'!$B:$B,0)</f>
        <v>37</v>
      </c>
      <c r="AJ385" s="204">
        <f>IF(AI385&lt;&gt;"nvt",INDEX('Tarieven W&amp;O'!$H:$H,$AI385),0)</f>
        <v>0</v>
      </c>
      <c r="AK385" s="204">
        <f>IF(AI385&lt;&gt;"nvt",INDEX('Tarieven W&amp;O'!$I:$I,$AI385),0)</f>
        <v>25</v>
      </c>
      <c r="AL385" s="524">
        <f>IF(AI385&lt;&gt;"nvt",-INDEX(Parameters!$B:$B,MATCH(AL$3,Parameters!$A:$A,0))*(AJ385+AK385),0)</f>
        <v>0</v>
      </c>
      <c r="AM385" s="525"/>
      <c r="AN385" s="139">
        <f t="shared" si="198"/>
        <v>25</v>
      </c>
      <c r="AO385" s="205">
        <f>AN385/INDEX(Parameters!$B:$B,MATCH("AfschrijftermijnVVE"&amp;12*$C385,Parameters!$A:$A,0))</f>
        <v>0.52083333333333337</v>
      </c>
      <c r="AP385" s="139">
        <f t="shared" si="199"/>
        <v>37</v>
      </c>
      <c r="AQ385" s="526">
        <f>IF(AP385&lt;&gt;"nvt",INDEX('Tarieven W&amp;O'!$G:$G,$AP385),0)</f>
        <v>16.55</v>
      </c>
      <c r="AR385" s="251">
        <f>IF($S385,INDEX('Tarieven W&amp;O'!$G:$G,MATCH(N385&amp;R385,'Tarieven W&amp;O'!$B:$B,0)),0)</f>
        <v>5.25</v>
      </c>
      <c r="AS385" s="205">
        <f>-INDEX(Parameters!$B:$B,MATCH(AS$3,Parameters!$A:$A,0))*(AQ385+AR385)</f>
        <v>0</v>
      </c>
      <c r="AT385" s="205">
        <f>INDEX(hulpblad!$E:$E,MATCH(M385&amp;Q385,hulpblad!$B:$B,0))</f>
        <v>2</v>
      </c>
      <c r="AU385" s="150">
        <f t="shared" si="215"/>
        <v>23.8</v>
      </c>
      <c r="AV385" s="150">
        <f t="shared" si="216"/>
        <v>24.320833333333333</v>
      </c>
      <c r="AX385" s="526">
        <f>Parameters!$B$6*AV385</f>
        <v>0.24320833333333333</v>
      </c>
      <c r="AY385" s="150">
        <v>0</v>
      </c>
      <c r="AZ385" s="150"/>
      <c r="BA385" s="150">
        <f t="shared" si="202"/>
        <v>0.24320833333333333</v>
      </c>
      <c r="BB385" s="150"/>
      <c r="BC385" s="522">
        <f t="shared" si="203"/>
        <v>24.564041666666665</v>
      </c>
      <c r="BD385" s="175"/>
      <c r="BE385" s="527">
        <f t="shared" si="217"/>
        <v>996.26929166666673</v>
      </c>
      <c r="BF385" s="181">
        <f t="shared" si="218"/>
        <v>0.97593726530612246</v>
      </c>
      <c r="BG385" s="520" t="b">
        <f t="shared" si="206"/>
        <v>0</v>
      </c>
      <c r="BI385" s="528" t="s">
        <v>2181</v>
      </c>
      <c r="BL385" s="151" t="str">
        <f t="shared" si="220"/>
        <v>EoKMetro - Nationaal</v>
      </c>
      <c r="BM385" s="529">
        <v>0</v>
      </c>
      <c r="BN385" s="180">
        <f>BM385/INDEX(Parameters!$B:$B,MATCH("AfschrijftermijnVVE"&amp;12*$C385,Parameters!$A:$A,0))</f>
        <v>0</v>
      </c>
      <c r="BO385" s="184">
        <f>INDEX('inkoop ULL tbv EVPN'!I:I,MATCH(BL385,'inkoop ULL tbv EVPN'!H:H,0))</f>
        <v>2</v>
      </c>
      <c r="BP385" s="184">
        <f t="shared" si="221"/>
        <v>2</v>
      </c>
      <c r="BR385" s="180">
        <f>Parameters!$B$12*AG385</f>
        <v>102.08333333333334</v>
      </c>
      <c r="BS385" s="180">
        <f>SUM(Distributievergoedingen!$F$12,Distributievergoedingen!$I$12,Distributievergoedingen!$L$12,Distributievergoedingen!$O$12)*AF385+SUM(Distributievergoedingen!$O$12*AA385+Distributievergoedingen!$R$12+Distributievergoedingen!$U$12+Distributievergoedingen!$X$12)/(MAX(36,12*C385))</f>
        <v>112.08333333333333</v>
      </c>
      <c r="BT385" s="150"/>
      <c r="BU385" s="150">
        <f t="shared" si="222"/>
        <v>214.16666666666669</v>
      </c>
      <c r="BW385" s="522">
        <f t="shared" si="223"/>
        <v>216.16666666666669</v>
      </c>
      <c r="BY385" s="527">
        <f t="shared" si="224"/>
        <v>804.66666666666674</v>
      </c>
      <c r="BZ385" s="181">
        <f t="shared" si="225"/>
        <v>0.78824489795918373</v>
      </c>
      <c r="CA385" s="520" t="b">
        <f t="shared" si="226"/>
        <v>0</v>
      </c>
    </row>
    <row r="386" spans="1:79" s="151" customFormat="1">
      <c r="A386" s="151" t="str">
        <f t="shared" si="219"/>
        <v>4EoKEntryNationaal3</v>
      </c>
      <c r="B386" s="520" t="str">
        <f t="shared" si="214"/>
        <v>4EoKEntryNationaal3</v>
      </c>
      <c r="C386" s="179">
        <v>4</v>
      </c>
      <c r="D386" s="179" t="s">
        <v>303</v>
      </c>
      <c r="E386" s="178" t="s">
        <v>45</v>
      </c>
      <c r="F386" s="178" t="s">
        <v>266</v>
      </c>
      <c r="G386" s="185" t="s">
        <v>407</v>
      </c>
      <c r="J386" s="520" t="str">
        <f t="shared" si="193"/>
        <v>EntryNationaal3</v>
      </c>
      <c r="L386" s="204">
        <f>INDEX(Mapping!$H:$H,MATCH(C$3&amp;C386,Mapping!$B:$B,0))</f>
        <v>1</v>
      </c>
      <c r="M386" s="204" t="str">
        <f>INDEX(Mapping!$H:$H,MATCH(D$3&amp;$D386,Mapping!$B:$B,0))</f>
        <v>EoK</v>
      </c>
      <c r="N386" s="204" t="str">
        <f>INDEX(Mapping!$H:$H,MATCH(E$3&amp;E386,Mapping!$B:$B,0))</f>
        <v>Lite</v>
      </c>
      <c r="O386" s="204" t="str">
        <f>INDEX(Mapping!$H:$H,MATCH(F$3&amp;F386,Mapping!$B:$B,0))</f>
        <v>Metro</v>
      </c>
      <c r="P386" s="204">
        <f>INDEX(Mapping!$H:$H,MATCH(G$3&amp;G386,Mapping!$B:$B,0))</f>
        <v>3</v>
      </c>
      <c r="Q386" s="204" t="str">
        <f>INDEX(Mapping!$H:$H,MATCH(Q$3&amp;$F386,Mapping!$B:$B,0))</f>
        <v>Metro - Nationaal</v>
      </c>
      <c r="R386" s="204" t="str">
        <f>INDEX(Mapping!$H:$H,MATCH("ZM VPN Service Level"&amp;E386,Mapping!$B:$B,0))</f>
        <v>Advanced</v>
      </c>
      <c r="S386" s="139" t="b">
        <f>IF($D386="EoK",INDEX(Mapping!$I:$I,MATCH($G$3&amp;$G386,Mapping!B:B,0)),FALSE)</f>
        <v>0</v>
      </c>
      <c r="T386" s="139"/>
      <c r="U386" s="520" t="str">
        <f t="shared" si="194"/>
        <v>LiteMetro3</v>
      </c>
      <c r="W386" s="521">
        <f>MATCH($J386,'Tarieven ZM'!$B:$B,0)</f>
        <v>48</v>
      </c>
      <c r="X386" s="204">
        <f>INDEX('Tarieven ZM'!$H:$H,$W386)</f>
        <v>1000</v>
      </c>
      <c r="Y386" s="198">
        <f>-INDEX(Parameters!$B:$B,MATCH(Y$3&amp;$C386,Parameters!$A:$A,0))*$X386</f>
        <v>0</v>
      </c>
      <c r="Z386" s="198">
        <f>-INDEX(Parameters!$B:$B,MATCH(Z$3&amp;$C386,Parameters!$A:$A,0))*$X386</f>
        <v>0</v>
      </c>
      <c r="AA386" s="139">
        <f t="shared" si="195"/>
        <v>1000</v>
      </c>
      <c r="AB386" s="205">
        <f>AA386/INDEX(Parameters!$B:$B,MATCH("AfschrijftermijnVVE"&amp;12*$C386,Parameters!$A:$A,0))</f>
        <v>20.833333333333332</v>
      </c>
      <c r="AC386" s="204">
        <f>INDEX('Tarieven ZM'!$G:$G,$W386)</f>
        <v>1000</v>
      </c>
      <c r="AD386" s="198">
        <f>-INDEX(Parameters!$B:$B,MATCH(AD$3&amp;$C386,Parameters!$A:$A,0))*$AC386</f>
        <v>0</v>
      </c>
      <c r="AE386" s="198">
        <f>-INDEX(Parameters!$B:$B,MATCH(AE$3,Parameters!$A:$A,0))*$AC386</f>
        <v>0</v>
      </c>
      <c r="AF386" s="139">
        <f t="shared" si="196"/>
        <v>1000</v>
      </c>
      <c r="AG386" s="522">
        <f t="shared" si="197"/>
        <v>1020.8333333333334</v>
      </c>
      <c r="AH386" s="175"/>
      <c r="AI386" s="523">
        <f>MATCH($U386,'Tarieven W&amp;O'!$B:$B,0)</f>
        <v>38</v>
      </c>
      <c r="AJ386" s="204">
        <f>IF(AI386&lt;&gt;"nvt",INDEX('Tarieven W&amp;O'!$H:$H,$AI386),0)</f>
        <v>0</v>
      </c>
      <c r="AK386" s="204">
        <f>IF(AI386&lt;&gt;"nvt",INDEX('Tarieven W&amp;O'!$I:$I,$AI386),0)</f>
        <v>25</v>
      </c>
      <c r="AL386" s="524">
        <f>IF(AI386&lt;&gt;"nvt",-INDEX(Parameters!$B:$B,MATCH(AL$3,Parameters!$A:$A,0))*(AJ386+AK386),0)</f>
        <v>0</v>
      </c>
      <c r="AM386" s="525"/>
      <c r="AN386" s="139">
        <f t="shared" si="198"/>
        <v>25</v>
      </c>
      <c r="AO386" s="205">
        <f>AN386/INDEX(Parameters!$B:$B,MATCH("AfschrijftermijnVVE"&amp;12*$C386,Parameters!$A:$A,0))</f>
        <v>0.52083333333333337</v>
      </c>
      <c r="AP386" s="139">
        <f t="shared" si="199"/>
        <v>38</v>
      </c>
      <c r="AQ386" s="526">
        <f>IF(AP386&lt;&gt;"nvt",INDEX('Tarieven W&amp;O'!$G:$G,$AP386),0)</f>
        <v>18.47</v>
      </c>
      <c r="AR386" s="251">
        <f>IF($S386,INDEX('Tarieven W&amp;O'!$G:$G,MATCH(N386&amp;R386,'Tarieven W&amp;O'!$B:$B,0)),0)</f>
        <v>0</v>
      </c>
      <c r="AS386" s="205">
        <f>-INDEX(Parameters!$B:$B,MATCH(AS$3,Parameters!$A:$A,0))*(AQ386+AR386)</f>
        <v>0</v>
      </c>
      <c r="AT386" s="205">
        <f>INDEX(hulpblad!$E:$E,MATCH(M386&amp;Q386,hulpblad!$B:$B,0))</f>
        <v>2</v>
      </c>
      <c r="AU386" s="150">
        <f t="shared" si="215"/>
        <v>20.47</v>
      </c>
      <c r="AV386" s="150">
        <f t="shared" si="216"/>
        <v>20.990833333333331</v>
      </c>
      <c r="AX386" s="526">
        <f>Parameters!$B$6*AV386</f>
        <v>0.20990833333333331</v>
      </c>
      <c r="AY386" s="150">
        <v>0</v>
      </c>
      <c r="AZ386" s="150"/>
      <c r="BA386" s="150">
        <f t="shared" si="202"/>
        <v>0.20990833333333331</v>
      </c>
      <c r="BB386" s="150"/>
      <c r="BC386" s="522">
        <f t="shared" si="203"/>
        <v>21.200741666666666</v>
      </c>
      <c r="BD386" s="175"/>
      <c r="BE386" s="527">
        <f t="shared" si="217"/>
        <v>999.63259166666671</v>
      </c>
      <c r="BF386" s="181">
        <f t="shared" si="218"/>
        <v>0.97923192653061231</v>
      </c>
      <c r="BG386" s="520" t="b">
        <f t="shared" si="206"/>
        <v>0</v>
      </c>
      <c r="BI386" s="528" t="s">
        <v>2181</v>
      </c>
      <c r="BL386" s="151" t="str">
        <f t="shared" si="220"/>
        <v>EoKMetro - Nationaal</v>
      </c>
      <c r="BM386" s="529">
        <v>0</v>
      </c>
      <c r="BN386" s="180">
        <f>BM386/INDEX(Parameters!$B:$B,MATCH("AfschrijftermijnVVE"&amp;12*$C386,Parameters!$A:$A,0))</f>
        <v>0</v>
      </c>
      <c r="BO386" s="184">
        <f>INDEX('inkoop ULL tbv EVPN'!I:I,MATCH(BL386,'inkoop ULL tbv EVPN'!H:H,0))</f>
        <v>2</v>
      </c>
      <c r="BP386" s="184">
        <f t="shared" si="221"/>
        <v>2</v>
      </c>
      <c r="BR386" s="180">
        <f>Parameters!$B$12*AG386</f>
        <v>102.08333333333334</v>
      </c>
      <c r="BS386" s="180">
        <f>SUM(Distributievergoedingen!$F$12,Distributievergoedingen!$I$12,Distributievergoedingen!$L$12,Distributievergoedingen!$O$12)*AF386+SUM(Distributievergoedingen!$O$12*AA386+Distributievergoedingen!$R$12+Distributievergoedingen!$U$12+Distributievergoedingen!$X$12)/(MAX(36,12*C386))</f>
        <v>112.08333333333333</v>
      </c>
      <c r="BT386" s="150"/>
      <c r="BU386" s="150">
        <f t="shared" si="222"/>
        <v>214.16666666666669</v>
      </c>
      <c r="BW386" s="522">
        <f t="shared" si="223"/>
        <v>216.16666666666669</v>
      </c>
      <c r="BY386" s="527">
        <f t="shared" si="224"/>
        <v>804.66666666666674</v>
      </c>
      <c r="BZ386" s="181">
        <f t="shared" si="225"/>
        <v>0.78824489795918373</v>
      </c>
      <c r="CA386" s="520" t="b">
        <f t="shared" si="226"/>
        <v>0</v>
      </c>
    </row>
    <row r="387" spans="1:79" s="151" customFormat="1">
      <c r="A387" s="151" t="str">
        <f t="shared" si="219"/>
        <v>4EoKEntryNationaal4</v>
      </c>
      <c r="B387" s="520" t="str">
        <f t="shared" si="214"/>
        <v>4EoKEntryNationaal4</v>
      </c>
      <c r="C387" s="179">
        <v>4</v>
      </c>
      <c r="D387" s="179" t="s">
        <v>303</v>
      </c>
      <c r="E387" s="178" t="s">
        <v>45</v>
      </c>
      <c r="F387" s="178" t="s">
        <v>266</v>
      </c>
      <c r="G387" s="185" t="s">
        <v>408</v>
      </c>
      <c r="J387" s="520" t="str">
        <f t="shared" si="193"/>
        <v>EntryNationaal4</v>
      </c>
      <c r="L387" s="204">
        <f>INDEX(Mapping!$H:$H,MATCH(C$3&amp;C387,Mapping!$B:$B,0))</f>
        <v>1</v>
      </c>
      <c r="M387" s="204" t="str">
        <f>INDEX(Mapping!$H:$H,MATCH(D$3&amp;$D387,Mapping!$B:$B,0))</f>
        <v>EoK</v>
      </c>
      <c r="N387" s="204" t="str">
        <f>INDEX(Mapping!$H:$H,MATCH(E$3&amp;E387,Mapping!$B:$B,0))</f>
        <v>Lite</v>
      </c>
      <c r="O387" s="204" t="str">
        <f>INDEX(Mapping!$H:$H,MATCH(F$3&amp;F387,Mapping!$B:$B,0))</f>
        <v>Metro</v>
      </c>
      <c r="P387" s="204">
        <f>INDEX(Mapping!$H:$H,MATCH(G$3&amp;G387,Mapping!$B:$B,0))</f>
        <v>4</v>
      </c>
      <c r="Q387" s="204" t="str">
        <f>INDEX(Mapping!$H:$H,MATCH(Q$3&amp;$F387,Mapping!$B:$B,0))</f>
        <v>Metro - Nationaal</v>
      </c>
      <c r="R387" s="204" t="str">
        <f>INDEX(Mapping!$H:$H,MATCH("ZM VPN Service Level"&amp;E387,Mapping!$B:$B,0))</f>
        <v>Advanced</v>
      </c>
      <c r="S387" s="139" t="b">
        <f>IF($D387="EoK",INDEX(Mapping!$I:$I,MATCH($G$3&amp;$G387,Mapping!B:B,0)),FALSE)</f>
        <v>0</v>
      </c>
      <c r="T387" s="139"/>
      <c r="U387" s="520" t="str">
        <f t="shared" si="194"/>
        <v>LiteMetro4</v>
      </c>
      <c r="W387" s="521">
        <f>MATCH($J387,'Tarieven ZM'!$B:$B,0)</f>
        <v>49</v>
      </c>
      <c r="X387" s="204">
        <f>INDEX('Tarieven ZM'!$H:$H,$W387)</f>
        <v>1000</v>
      </c>
      <c r="Y387" s="198">
        <f>-INDEX(Parameters!$B:$B,MATCH(Y$3&amp;$C387,Parameters!$A:$A,0))*$X387</f>
        <v>0</v>
      </c>
      <c r="Z387" s="198">
        <f>-INDEX(Parameters!$B:$B,MATCH(Z$3&amp;$C387,Parameters!$A:$A,0))*$X387</f>
        <v>0</v>
      </c>
      <c r="AA387" s="139">
        <f t="shared" si="195"/>
        <v>1000</v>
      </c>
      <c r="AB387" s="205">
        <f>AA387/INDEX(Parameters!$B:$B,MATCH("AfschrijftermijnVVE"&amp;12*$C387,Parameters!$A:$A,0))</f>
        <v>20.833333333333332</v>
      </c>
      <c r="AC387" s="204">
        <f>INDEX('Tarieven ZM'!$G:$G,$W387)</f>
        <v>1000</v>
      </c>
      <c r="AD387" s="198">
        <f>-INDEX(Parameters!$B:$B,MATCH(AD$3&amp;$C387,Parameters!$A:$A,0))*$AC387</f>
        <v>0</v>
      </c>
      <c r="AE387" s="198">
        <f>-INDEX(Parameters!$B:$B,MATCH(AE$3,Parameters!$A:$A,0))*$AC387</f>
        <v>0</v>
      </c>
      <c r="AF387" s="139">
        <f t="shared" si="196"/>
        <v>1000</v>
      </c>
      <c r="AG387" s="522">
        <f t="shared" si="197"/>
        <v>1020.8333333333334</v>
      </c>
      <c r="AH387" s="175"/>
      <c r="AI387" s="523">
        <f>MATCH($U387,'Tarieven W&amp;O'!$B:$B,0)</f>
        <v>39</v>
      </c>
      <c r="AJ387" s="204">
        <f>IF(AI387&lt;&gt;"nvt",INDEX('Tarieven W&amp;O'!$H:$H,$AI387),0)</f>
        <v>0</v>
      </c>
      <c r="AK387" s="204">
        <f>IF(AI387&lt;&gt;"nvt",INDEX('Tarieven W&amp;O'!$I:$I,$AI387),0)</f>
        <v>25</v>
      </c>
      <c r="AL387" s="524">
        <f>IF(AI387&lt;&gt;"nvt",-INDEX(Parameters!$B:$B,MATCH(AL$3,Parameters!$A:$A,0))*(AJ387+AK387),0)</f>
        <v>0</v>
      </c>
      <c r="AM387" s="525"/>
      <c r="AN387" s="139">
        <f t="shared" si="198"/>
        <v>25</v>
      </c>
      <c r="AO387" s="205">
        <f>AN387/INDEX(Parameters!$B:$B,MATCH("AfschrijftermijnVVE"&amp;12*$C387,Parameters!$A:$A,0))</f>
        <v>0.52083333333333337</v>
      </c>
      <c r="AP387" s="139">
        <f t="shared" si="199"/>
        <v>39</v>
      </c>
      <c r="AQ387" s="526">
        <f>IF(AP387&lt;&gt;"nvt",INDEX('Tarieven W&amp;O'!$G:$G,$AP387),0)</f>
        <v>18.47</v>
      </c>
      <c r="AR387" s="251">
        <f>IF($S387,INDEX('Tarieven W&amp;O'!$G:$G,MATCH(N387&amp;R387,'Tarieven W&amp;O'!$B:$B,0)),0)</f>
        <v>0</v>
      </c>
      <c r="AS387" s="205">
        <f>-INDEX(Parameters!$B:$B,MATCH(AS$3,Parameters!$A:$A,0))*(AQ387+AR387)</f>
        <v>0</v>
      </c>
      <c r="AT387" s="205">
        <f>INDEX(hulpblad!$E:$E,MATCH(M387&amp;Q387,hulpblad!$B:$B,0))</f>
        <v>2</v>
      </c>
      <c r="AU387" s="150">
        <f t="shared" si="215"/>
        <v>20.47</v>
      </c>
      <c r="AV387" s="150">
        <f t="shared" si="216"/>
        <v>20.990833333333331</v>
      </c>
      <c r="AX387" s="526">
        <f>Parameters!$B$6*AV387</f>
        <v>0.20990833333333331</v>
      </c>
      <c r="AY387" s="150">
        <v>0</v>
      </c>
      <c r="AZ387" s="150"/>
      <c r="BA387" s="150">
        <f t="shared" si="202"/>
        <v>0.20990833333333331</v>
      </c>
      <c r="BB387" s="150"/>
      <c r="BC387" s="522">
        <f t="shared" si="203"/>
        <v>21.200741666666666</v>
      </c>
      <c r="BD387" s="175"/>
      <c r="BE387" s="527">
        <f t="shared" si="217"/>
        <v>999.63259166666671</v>
      </c>
      <c r="BF387" s="181">
        <f t="shared" si="218"/>
        <v>0.97923192653061231</v>
      </c>
      <c r="BG387" s="520" t="b">
        <f t="shared" si="206"/>
        <v>0</v>
      </c>
      <c r="BI387" s="528" t="s">
        <v>2181</v>
      </c>
      <c r="BL387" s="151" t="str">
        <f t="shared" si="220"/>
        <v>EoKMetro - Nationaal</v>
      </c>
      <c r="BM387" s="529">
        <v>0</v>
      </c>
      <c r="BN387" s="180">
        <f>BM387/INDEX(Parameters!$B:$B,MATCH("AfschrijftermijnVVE"&amp;12*$C387,Parameters!$A:$A,0))</f>
        <v>0</v>
      </c>
      <c r="BO387" s="184">
        <f>INDEX('inkoop ULL tbv EVPN'!I:I,MATCH(BL387,'inkoop ULL tbv EVPN'!H:H,0))</f>
        <v>2</v>
      </c>
      <c r="BP387" s="184">
        <f t="shared" si="221"/>
        <v>2</v>
      </c>
      <c r="BR387" s="180">
        <f>Parameters!$B$12*AG387</f>
        <v>102.08333333333334</v>
      </c>
      <c r="BS387" s="180">
        <f>SUM(Distributievergoedingen!$F$12,Distributievergoedingen!$I$12,Distributievergoedingen!$L$12,Distributievergoedingen!$O$12)*AF387+SUM(Distributievergoedingen!$O$12*AA387+Distributievergoedingen!$R$12+Distributievergoedingen!$U$12+Distributievergoedingen!$X$12)/(MAX(36,12*C387))</f>
        <v>112.08333333333333</v>
      </c>
      <c r="BT387" s="150"/>
      <c r="BU387" s="150">
        <f t="shared" si="222"/>
        <v>214.16666666666669</v>
      </c>
      <c r="BW387" s="522">
        <f t="shared" si="223"/>
        <v>216.16666666666669</v>
      </c>
      <c r="BY387" s="527">
        <f t="shared" si="224"/>
        <v>804.66666666666674</v>
      </c>
      <c r="BZ387" s="181">
        <f t="shared" si="225"/>
        <v>0.78824489795918373</v>
      </c>
      <c r="CA387" s="520" t="b">
        <f t="shared" si="226"/>
        <v>0</v>
      </c>
    </row>
    <row r="388" spans="1:79" s="151" customFormat="1">
      <c r="A388" s="151" t="str">
        <f t="shared" si="219"/>
        <v>4EoKEntryNationaal5</v>
      </c>
      <c r="B388" s="520" t="str">
        <f t="shared" si="214"/>
        <v>4EoKEntryNationaal5</v>
      </c>
      <c r="C388" s="179">
        <v>4</v>
      </c>
      <c r="D388" s="179" t="s">
        <v>303</v>
      </c>
      <c r="E388" s="178" t="s">
        <v>45</v>
      </c>
      <c r="F388" s="178" t="s">
        <v>266</v>
      </c>
      <c r="G388" s="185" t="s">
        <v>409</v>
      </c>
      <c r="J388" s="520" t="str">
        <f t="shared" si="193"/>
        <v>EntryNationaal5</v>
      </c>
      <c r="L388" s="204">
        <f>INDEX(Mapping!$H:$H,MATCH(C$3&amp;C388,Mapping!$B:$B,0))</f>
        <v>1</v>
      </c>
      <c r="M388" s="204" t="str">
        <f>INDEX(Mapping!$H:$H,MATCH(D$3&amp;$D388,Mapping!$B:$B,0))</f>
        <v>EoK</v>
      </c>
      <c r="N388" s="204" t="str">
        <f>INDEX(Mapping!$H:$H,MATCH(E$3&amp;E388,Mapping!$B:$B,0))</f>
        <v>Lite</v>
      </c>
      <c r="O388" s="204" t="str">
        <f>INDEX(Mapping!$H:$H,MATCH(F$3&amp;F388,Mapping!$B:$B,0))</f>
        <v>Metro</v>
      </c>
      <c r="P388" s="204">
        <f>INDEX(Mapping!$H:$H,MATCH(G$3&amp;G388,Mapping!$B:$B,0))</f>
        <v>5</v>
      </c>
      <c r="Q388" s="204" t="str">
        <f>INDEX(Mapping!$H:$H,MATCH(Q$3&amp;$F388,Mapping!$B:$B,0))</f>
        <v>Metro - Nationaal</v>
      </c>
      <c r="R388" s="204" t="str">
        <f>INDEX(Mapping!$H:$H,MATCH("ZM VPN Service Level"&amp;E388,Mapping!$B:$B,0))</f>
        <v>Advanced</v>
      </c>
      <c r="S388" s="139" t="b">
        <f>IF($D388="EoK",INDEX(Mapping!$I:$I,MATCH($G$3&amp;$G388,Mapping!B:B,0)),FALSE)</f>
        <v>0</v>
      </c>
      <c r="T388" s="139"/>
      <c r="U388" s="520" t="str">
        <f t="shared" si="194"/>
        <v>LiteMetro5</v>
      </c>
      <c r="W388" s="521">
        <f>MATCH($J388,'Tarieven ZM'!$B:$B,0)</f>
        <v>50</v>
      </c>
      <c r="X388" s="204">
        <f>INDEX('Tarieven ZM'!$H:$H,$W388)</f>
        <v>1000</v>
      </c>
      <c r="Y388" s="198">
        <f>-INDEX(Parameters!$B:$B,MATCH(Y$3&amp;$C388,Parameters!$A:$A,0))*$X388</f>
        <v>0</v>
      </c>
      <c r="Z388" s="198">
        <f>-INDEX(Parameters!$B:$B,MATCH(Z$3&amp;$C388,Parameters!$A:$A,0))*$X388</f>
        <v>0</v>
      </c>
      <c r="AA388" s="139">
        <f t="shared" si="195"/>
        <v>1000</v>
      </c>
      <c r="AB388" s="205">
        <f>AA388/INDEX(Parameters!$B:$B,MATCH("AfschrijftermijnVVE"&amp;12*$C388,Parameters!$A:$A,0))</f>
        <v>20.833333333333332</v>
      </c>
      <c r="AC388" s="204">
        <f>INDEX('Tarieven ZM'!$G:$G,$W388)</f>
        <v>1000</v>
      </c>
      <c r="AD388" s="198">
        <f>-INDEX(Parameters!$B:$B,MATCH(AD$3&amp;$C388,Parameters!$A:$A,0))*$AC388</f>
        <v>0</v>
      </c>
      <c r="AE388" s="198">
        <f>-INDEX(Parameters!$B:$B,MATCH(AE$3,Parameters!$A:$A,0))*$AC388</f>
        <v>0</v>
      </c>
      <c r="AF388" s="139">
        <f t="shared" si="196"/>
        <v>1000</v>
      </c>
      <c r="AG388" s="522">
        <f t="shared" si="197"/>
        <v>1020.8333333333334</v>
      </c>
      <c r="AH388" s="175"/>
      <c r="AI388" s="523">
        <f>MATCH($U388,'Tarieven W&amp;O'!$B:$B,0)</f>
        <v>40</v>
      </c>
      <c r="AJ388" s="204">
        <f>IF(AI388&lt;&gt;"nvt",INDEX('Tarieven W&amp;O'!$H:$H,$AI388),0)</f>
        <v>0</v>
      </c>
      <c r="AK388" s="204">
        <f>IF(AI388&lt;&gt;"nvt",INDEX('Tarieven W&amp;O'!$I:$I,$AI388),0)</f>
        <v>25</v>
      </c>
      <c r="AL388" s="524">
        <f>IF(AI388&lt;&gt;"nvt",-INDEX(Parameters!$B:$B,MATCH(AL$3,Parameters!$A:$A,0))*(AJ388+AK388),0)</f>
        <v>0</v>
      </c>
      <c r="AM388" s="525"/>
      <c r="AN388" s="139">
        <f t="shared" si="198"/>
        <v>25</v>
      </c>
      <c r="AO388" s="205">
        <f>AN388/INDEX(Parameters!$B:$B,MATCH("AfschrijftermijnVVE"&amp;12*$C388,Parameters!$A:$A,0))</f>
        <v>0.52083333333333337</v>
      </c>
      <c r="AP388" s="139">
        <f t="shared" si="199"/>
        <v>40</v>
      </c>
      <c r="AQ388" s="526">
        <f>IF(AP388&lt;&gt;"nvt",INDEX('Tarieven W&amp;O'!$G:$G,$AP388),0)</f>
        <v>18.47</v>
      </c>
      <c r="AR388" s="251">
        <f>IF($S388,INDEX('Tarieven W&amp;O'!$G:$G,MATCH(N388&amp;R388,'Tarieven W&amp;O'!$B:$B,0)),0)</f>
        <v>0</v>
      </c>
      <c r="AS388" s="205">
        <f>-INDEX(Parameters!$B:$B,MATCH(AS$3,Parameters!$A:$A,0))*(AQ388+AR388)</f>
        <v>0</v>
      </c>
      <c r="AT388" s="205">
        <f>INDEX(hulpblad!$E:$E,MATCH(M388&amp;Q388,hulpblad!$B:$B,0))</f>
        <v>2</v>
      </c>
      <c r="AU388" s="150">
        <f t="shared" si="215"/>
        <v>20.47</v>
      </c>
      <c r="AV388" s="150">
        <f t="shared" si="216"/>
        <v>20.990833333333331</v>
      </c>
      <c r="AX388" s="526">
        <f>Parameters!$B$6*AV388</f>
        <v>0.20990833333333331</v>
      </c>
      <c r="AY388" s="150">
        <v>0</v>
      </c>
      <c r="AZ388" s="150"/>
      <c r="BA388" s="150">
        <f t="shared" si="202"/>
        <v>0.20990833333333331</v>
      </c>
      <c r="BB388" s="150"/>
      <c r="BC388" s="522">
        <f t="shared" si="203"/>
        <v>21.200741666666666</v>
      </c>
      <c r="BD388" s="175"/>
      <c r="BE388" s="527">
        <f t="shared" si="217"/>
        <v>999.63259166666671</v>
      </c>
      <c r="BF388" s="181">
        <f t="shared" si="218"/>
        <v>0.97923192653061231</v>
      </c>
      <c r="BG388" s="520" t="b">
        <f t="shared" si="206"/>
        <v>0</v>
      </c>
      <c r="BI388" s="528" t="s">
        <v>2181</v>
      </c>
      <c r="BL388" s="151" t="str">
        <f t="shared" si="220"/>
        <v>EoKMetro - Nationaal</v>
      </c>
      <c r="BM388" s="529">
        <v>0</v>
      </c>
      <c r="BN388" s="180">
        <f>BM388/INDEX(Parameters!$B:$B,MATCH("AfschrijftermijnVVE"&amp;12*$C388,Parameters!$A:$A,0))</f>
        <v>0</v>
      </c>
      <c r="BO388" s="184">
        <f>INDEX('inkoop ULL tbv EVPN'!I:I,MATCH(BL388,'inkoop ULL tbv EVPN'!H:H,0))</f>
        <v>2</v>
      </c>
      <c r="BP388" s="184">
        <f t="shared" si="221"/>
        <v>2</v>
      </c>
      <c r="BR388" s="180">
        <f>Parameters!$B$12*AG388</f>
        <v>102.08333333333334</v>
      </c>
      <c r="BS388" s="180">
        <f>SUM(Distributievergoedingen!$F$12,Distributievergoedingen!$I$12,Distributievergoedingen!$L$12,Distributievergoedingen!$O$12)*AF388+SUM(Distributievergoedingen!$O$12*AA388+Distributievergoedingen!$R$12+Distributievergoedingen!$U$12+Distributievergoedingen!$X$12)/(MAX(36,12*C388))</f>
        <v>112.08333333333333</v>
      </c>
      <c r="BT388" s="150"/>
      <c r="BU388" s="150">
        <f t="shared" si="222"/>
        <v>214.16666666666669</v>
      </c>
      <c r="BW388" s="522">
        <f t="shared" si="223"/>
        <v>216.16666666666669</v>
      </c>
      <c r="BY388" s="527">
        <f t="shared" si="224"/>
        <v>804.66666666666674</v>
      </c>
      <c r="BZ388" s="181">
        <f t="shared" si="225"/>
        <v>0.78824489795918373</v>
      </c>
      <c r="CA388" s="520" t="b">
        <f t="shared" si="226"/>
        <v>0</v>
      </c>
    </row>
    <row r="389" spans="1:79" s="151" customFormat="1">
      <c r="A389" s="151" t="str">
        <f t="shared" si="219"/>
        <v>4EoKEntryNationaal6</v>
      </c>
      <c r="B389" s="520" t="str">
        <f t="shared" si="214"/>
        <v>4EoKEntryNationaal6</v>
      </c>
      <c r="C389" s="179">
        <v>4</v>
      </c>
      <c r="D389" s="179" t="s">
        <v>303</v>
      </c>
      <c r="E389" s="178" t="s">
        <v>45</v>
      </c>
      <c r="F389" s="178" t="s">
        <v>266</v>
      </c>
      <c r="G389" s="185" t="s">
        <v>410</v>
      </c>
      <c r="J389" s="520" t="str">
        <f t="shared" si="193"/>
        <v>EntryNationaal6</v>
      </c>
      <c r="L389" s="204">
        <f>INDEX(Mapping!$H:$H,MATCH(C$3&amp;C389,Mapping!$B:$B,0))</f>
        <v>1</v>
      </c>
      <c r="M389" s="204" t="str">
        <f>INDEX(Mapping!$H:$H,MATCH(D$3&amp;$D389,Mapping!$B:$B,0))</f>
        <v>EoK</v>
      </c>
      <c r="N389" s="204" t="str">
        <f>INDEX(Mapping!$H:$H,MATCH(E$3&amp;E389,Mapping!$B:$B,0))</f>
        <v>Lite</v>
      </c>
      <c r="O389" s="204" t="str">
        <f>INDEX(Mapping!$H:$H,MATCH(F$3&amp;F389,Mapping!$B:$B,0))</f>
        <v>Metro</v>
      </c>
      <c r="P389" s="204">
        <f>INDEX(Mapping!$H:$H,MATCH(G$3&amp;G389,Mapping!$B:$B,0))</f>
        <v>6</v>
      </c>
      <c r="Q389" s="204" t="str">
        <f>INDEX(Mapping!$H:$H,MATCH(Q$3&amp;$F389,Mapping!$B:$B,0))</f>
        <v>Metro - Nationaal</v>
      </c>
      <c r="R389" s="204" t="str">
        <f>INDEX(Mapping!$H:$H,MATCH("ZM VPN Service Level"&amp;E389,Mapping!$B:$B,0))</f>
        <v>Advanced</v>
      </c>
      <c r="S389" s="139" t="b">
        <f>IF($D389="EoK",INDEX(Mapping!$I:$I,MATCH($G$3&amp;$G389,Mapping!B:B,0)),FALSE)</f>
        <v>0</v>
      </c>
      <c r="T389" s="139"/>
      <c r="U389" s="520" t="str">
        <f t="shared" si="194"/>
        <v>LiteMetro6</v>
      </c>
      <c r="W389" s="521">
        <f>MATCH($J389,'Tarieven ZM'!$B:$B,0)</f>
        <v>51</v>
      </c>
      <c r="X389" s="204">
        <f>INDEX('Tarieven ZM'!$H:$H,$W389)</f>
        <v>1000</v>
      </c>
      <c r="Y389" s="198">
        <f>-INDEX(Parameters!$B:$B,MATCH(Y$3&amp;$C389,Parameters!$A:$A,0))*$X389</f>
        <v>0</v>
      </c>
      <c r="Z389" s="198">
        <f>-INDEX(Parameters!$B:$B,MATCH(Z$3&amp;$C389,Parameters!$A:$A,0))*$X389</f>
        <v>0</v>
      </c>
      <c r="AA389" s="139">
        <f t="shared" si="195"/>
        <v>1000</v>
      </c>
      <c r="AB389" s="205">
        <f>AA389/INDEX(Parameters!$B:$B,MATCH("AfschrijftermijnVVE"&amp;12*$C389,Parameters!$A:$A,0))</f>
        <v>20.833333333333332</v>
      </c>
      <c r="AC389" s="204">
        <f>INDEX('Tarieven ZM'!$G:$G,$W389)</f>
        <v>1000</v>
      </c>
      <c r="AD389" s="198">
        <f>-INDEX(Parameters!$B:$B,MATCH(AD$3&amp;$C389,Parameters!$A:$A,0))*$AC389</f>
        <v>0</v>
      </c>
      <c r="AE389" s="198">
        <f>-INDEX(Parameters!$B:$B,MATCH(AE$3,Parameters!$A:$A,0))*$AC389</f>
        <v>0</v>
      </c>
      <c r="AF389" s="139">
        <f t="shared" si="196"/>
        <v>1000</v>
      </c>
      <c r="AG389" s="522">
        <f t="shared" si="197"/>
        <v>1020.8333333333334</v>
      </c>
      <c r="AH389" s="175"/>
      <c r="AI389" s="523">
        <f>MATCH($U389,'Tarieven W&amp;O'!$B:$B,0)</f>
        <v>41</v>
      </c>
      <c r="AJ389" s="204">
        <f>IF(AI389&lt;&gt;"nvt",INDEX('Tarieven W&amp;O'!$H:$H,$AI389),0)</f>
        <v>0</v>
      </c>
      <c r="AK389" s="204">
        <f>IF(AI389&lt;&gt;"nvt",INDEX('Tarieven W&amp;O'!$I:$I,$AI389),0)</f>
        <v>25</v>
      </c>
      <c r="AL389" s="524">
        <f>IF(AI389&lt;&gt;"nvt",-INDEX(Parameters!$B:$B,MATCH(AL$3,Parameters!$A:$A,0))*(AJ389+AK389),0)</f>
        <v>0</v>
      </c>
      <c r="AM389" s="525"/>
      <c r="AN389" s="139">
        <f t="shared" si="198"/>
        <v>25</v>
      </c>
      <c r="AO389" s="205">
        <f>AN389/INDEX(Parameters!$B:$B,MATCH("AfschrijftermijnVVE"&amp;12*$C389,Parameters!$A:$A,0))</f>
        <v>0.52083333333333337</v>
      </c>
      <c r="AP389" s="139">
        <f t="shared" si="199"/>
        <v>41</v>
      </c>
      <c r="AQ389" s="526">
        <f>IF(AP389&lt;&gt;"nvt",INDEX('Tarieven W&amp;O'!$G:$G,$AP389),0)</f>
        <v>18.47</v>
      </c>
      <c r="AR389" s="251">
        <f>IF($S389,INDEX('Tarieven W&amp;O'!$G:$G,MATCH(N389&amp;R389,'Tarieven W&amp;O'!$B:$B,0)),0)</f>
        <v>0</v>
      </c>
      <c r="AS389" s="205">
        <f>-INDEX(Parameters!$B:$B,MATCH(AS$3,Parameters!$A:$A,0))*(AQ389+AR389)</f>
        <v>0</v>
      </c>
      <c r="AT389" s="205">
        <f>INDEX(hulpblad!$E:$E,MATCH(M389&amp;Q389,hulpblad!$B:$B,0))</f>
        <v>2</v>
      </c>
      <c r="AU389" s="150">
        <f t="shared" si="215"/>
        <v>20.47</v>
      </c>
      <c r="AV389" s="150">
        <f t="shared" si="216"/>
        <v>20.990833333333331</v>
      </c>
      <c r="AX389" s="526">
        <f>Parameters!$B$6*AV389</f>
        <v>0.20990833333333331</v>
      </c>
      <c r="AY389" s="150">
        <v>0</v>
      </c>
      <c r="AZ389" s="150"/>
      <c r="BA389" s="150">
        <f t="shared" si="202"/>
        <v>0.20990833333333331</v>
      </c>
      <c r="BB389" s="150"/>
      <c r="BC389" s="522">
        <f t="shared" si="203"/>
        <v>21.200741666666666</v>
      </c>
      <c r="BD389" s="175"/>
      <c r="BE389" s="527">
        <f t="shared" si="217"/>
        <v>999.63259166666671</v>
      </c>
      <c r="BF389" s="181">
        <f t="shared" si="218"/>
        <v>0.97923192653061231</v>
      </c>
      <c r="BG389" s="520" t="b">
        <f t="shared" si="206"/>
        <v>0</v>
      </c>
      <c r="BI389" s="528" t="s">
        <v>2181</v>
      </c>
      <c r="BL389" s="151" t="str">
        <f t="shared" si="220"/>
        <v>EoKMetro - Nationaal</v>
      </c>
      <c r="BM389" s="529">
        <v>0</v>
      </c>
      <c r="BN389" s="180">
        <f>BM389/INDEX(Parameters!$B:$B,MATCH("AfschrijftermijnVVE"&amp;12*$C389,Parameters!$A:$A,0))</f>
        <v>0</v>
      </c>
      <c r="BO389" s="184">
        <f>INDEX('inkoop ULL tbv EVPN'!I:I,MATCH(BL389,'inkoop ULL tbv EVPN'!H:H,0))</f>
        <v>2</v>
      </c>
      <c r="BP389" s="184">
        <f t="shared" si="221"/>
        <v>2</v>
      </c>
      <c r="BR389" s="180">
        <f>Parameters!$B$12*AG389</f>
        <v>102.08333333333334</v>
      </c>
      <c r="BS389" s="180">
        <f>SUM(Distributievergoedingen!$F$12,Distributievergoedingen!$I$12,Distributievergoedingen!$L$12,Distributievergoedingen!$O$12)*AF389+SUM(Distributievergoedingen!$O$12*AA389+Distributievergoedingen!$R$12+Distributievergoedingen!$U$12+Distributievergoedingen!$X$12)/(MAX(36,12*C389))</f>
        <v>112.08333333333333</v>
      </c>
      <c r="BT389" s="150"/>
      <c r="BU389" s="150">
        <f t="shared" si="222"/>
        <v>214.16666666666669</v>
      </c>
      <c r="BW389" s="522">
        <f t="shared" si="223"/>
        <v>216.16666666666669</v>
      </c>
      <c r="BY389" s="527">
        <f t="shared" si="224"/>
        <v>804.66666666666674</v>
      </c>
      <c r="BZ389" s="181">
        <f t="shared" si="225"/>
        <v>0.78824489795918373</v>
      </c>
      <c r="CA389" s="520" t="b">
        <f t="shared" si="226"/>
        <v>0</v>
      </c>
    </row>
    <row r="390" spans="1:79" s="151" customFormat="1">
      <c r="A390" s="151" t="str">
        <f t="shared" si="219"/>
        <v>4EoKEntryNationaal8</v>
      </c>
      <c r="B390" s="520" t="str">
        <f t="shared" si="214"/>
        <v>4EoKEntryNationaal8</v>
      </c>
      <c r="C390" s="179">
        <v>4</v>
      </c>
      <c r="D390" s="179" t="s">
        <v>303</v>
      </c>
      <c r="E390" s="178" t="s">
        <v>45</v>
      </c>
      <c r="F390" s="178" t="s">
        <v>266</v>
      </c>
      <c r="G390" s="185" t="s">
        <v>411</v>
      </c>
      <c r="J390" s="520" t="str">
        <f t="shared" si="193"/>
        <v>EntryNationaal8</v>
      </c>
      <c r="L390" s="204">
        <f>INDEX(Mapping!$H:$H,MATCH(C$3&amp;C390,Mapping!$B:$B,0))</f>
        <v>1</v>
      </c>
      <c r="M390" s="204" t="str">
        <f>INDEX(Mapping!$H:$H,MATCH(D$3&amp;$D390,Mapping!$B:$B,0))</f>
        <v>EoK</v>
      </c>
      <c r="N390" s="204" t="str">
        <f>INDEX(Mapping!$H:$H,MATCH(E$3&amp;E390,Mapping!$B:$B,0))</f>
        <v>Lite</v>
      </c>
      <c r="O390" s="204" t="str">
        <f>INDEX(Mapping!$H:$H,MATCH(F$3&amp;F390,Mapping!$B:$B,0))</f>
        <v>Metro</v>
      </c>
      <c r="P390" s="204">
        <f>INDEX(Mapping!$H:$H,MATCH(G$3&amp;G390,Mapping!$B:$B,0))</f>
        <v>8</v>
      </c>
      <c r="Q390" s="204" t="str">
        <f>INDEX(Mapping!$H:$H,MATCH(Q$3&amp;$F390,Mapping!$B:$B,0))</f>
        <v>Metro - Nationaal</v>
      </c>
      <c r="R390" s="204" t="str">
        <f>INDEX(Mapping!$H:$H,MATCH("ZM VPN Service Level"&amp;E390,Mapping!$B:$B,0))</f>
        <v>Advanced</v>
      </c>
      <c r="S390" s="139" t="b">
        <f>IF($D390="EoK",INDEX(Mapping!$I:$I,MATCH($G$3&amp;$G390,Mapping!B:B,0)),FALSE)</f>
        <v>0</v>
      </c>
      <c r="T390" s="139"/>
      <c r="U390" s="520" t="str">
        <f t="shared" si="194"/>
        <v>LiteMetro8</v>
      </c>
      <c r="W390" s="521">
        <f>MATCH($J390,'Tarieven ZM'!$B:$B,0)</f>
        <v>52</v>
      </c>
      <c r="X390" s="204">
        <f>INDEX('Tarieven ZM'!$H:$H,$W390)</f>
        <v>1000</v>
      </c>
      <c r="Y390" s="198">
        <f>-INDEX(Parameters!$B:$B,MATCH(Y$3&amp;$C390,Parameters!$A:$A,0))*$X390</f>
        <v>0</v>
      </c>
      <c r="Z390" s="198">
        <f>-INDEX(Parameters!$B:$B,MATCH(Z$3&amp;$C390,Parameters!$A:$A,0))*$X390</f>
        <v>0</v>
      </c>
      <c r="AA390" s="139">
        <f t="shared" si="195"/>
        <v>1000</v>
      </c>
      <c r="AB390" s="205">
        <f>AA390/INDEX(Parameters!$B:$B,MATCH("AfschrijftermijnVVE"&amp;12*$C390,Parameters!$A:$A,0))</f>
        <v>20.833333333333332</v>
      </c>
      <c r="AC390" s="204">
        <f>INDEX('Tarieven ZM'!$G:$G,$W390)</f>
        <v>1000</v>
      </c>
      <c r="AD390" s="198">
        <f>-INDEX(Parameters!$B:$B,MATCH(AD$3&amp;$C390,Parameters!$A:$A,0))*$AC390</f>
        <v>0</v>
      </c>
      <c r="AE390" s="198">
        <f>-INDEX(Parameters!$B:$B,MATCH(AE$3,Parameters!$A:$A,0))*$AC390</f>
        <v>0</v>
      </c>
      <c r="AF390" s="139">
        <f t="shared" si="196"/>
        <v>1000</v>
      </c>
      <c r="AG390" s="522">
        <f t="shared" si="197"/>
        <v>1020.8333333333334</v>
      </c>
      <c r="AH390" s="175"/>
      <c r="AI390" s="523">
        <f>MATCH($U390,'Tarieven W&amp;O'!$B:$B,0)</f>
        <v>42</v>
      </c>
      <c r="AJ390" s="204">
        <f>IF(AI390&lt;&gt;"nvt",INDEX('Tarieven W&amp;O'!$H:$H,$AI390),0)</f>
        <v>0</v>
      </c>
      <c r="AK390" s="204">
        <f>IF(AI390&lt;&gt;"nvt",INDEX('Tarieven W&amp;O'!$I:$I,$AI390),0)</f>
        <v>25</v>
      </c>
      <c r="AL390" s="524">
        <f>IF(AI390&lt;&gt;"nvt",-INDEX(Parameters!$B:$B,MATCH(AL$3,Parameters!$A:$A,0))*(AJ390+AK390),0)</f>
        <v>0</v>
      </c>
      <c r="AM390" s="525"/>
      <c r="AN390" s="139">
        <f t="shared" si="198"/>
        <v>25</v>
      </c>
      <c r="AO390" s="205">
        <f>AN390/INDEX(Parameters!$B:$B,MATCH("AfschrijftermijnVVE"&amp;12*$C390,Parameters!$A:$A,0))</f>
        <v>0.52083333333333337</v>
      </c>
      <c r="AP390" s="139">
        <f t="shared" si="199"/>
        <v>42</v>
      </c>
      <c r="AQ390" s="526">
        <f>IF(AP390&lt;&gt;"nvt",INDEX('Tarieven W&amp;O'!$G:$G,$AP390),0)</f>
        <v>18.47</v>
      </c>
      <c r="AR390" s="251">
        <f>IF($S390,INDEX('Tarieven W&amp;O'!$G:$G,MATCH(N390&amp;R390,'Tarieven W&amp;O'!$B:$B,0)),0)</f>
        <v>0</v>
      </c>
      <c r="AS390" s="205">
        <f>-INDEX(Parameters!$B:$B,MATCH(AS$3,Parameters!$A:$A,0))*(AQ390+AR390)</f>
        <v>0</v>
      </c>
      <c r="AT390" s="205">
        <f>INDEX(hulpblad!$E:$E,MATCH(M390&amp;Q390,hulpblad!$B:$B,0))</f>
        <v>2</v>
      </c>
      <c r="AU390" s="150">
        <f t="shared" si="215"/>
        <v>20.47</v>
      </c>
      <c r="AV390" s="150">
        <f t="shared" si="216"/>
        <v>20.990833333333331</v>
      </c>
      <c r="AX390" s="526">
        <f>Parameters!$B$6*AV390</f>
        <v>0.20990833333333331</v>
      </c>
      <c r="AY390" s="150">
        <v>0</v>
      </c>
      <c r="AZ390" s="150"/>
      <c r="BA390" s="150">
        <f t="shared" si="202"/>
        <v>0.20990833333333331</v>
      </c>
      <c r="BB390" s="150"/>
      <c r="BC390" s="522">
        <f t="shared" si="203"/>
        <v>21.200741666666666</v>
      </c>
      <c r="BD390" s="175"/>
      <c r="BE390" s="527">
        <f t="shared" si="217"/>
        <v>999.63259166666671</v>
      </c>
      <c r="BF390" s="181">
        <f t="shared" si="218"/>
        <v>0.97923192653061231</v>
      </c>
      <c r="BG390" s="520" t="b">
        <f t="shared" si="206"/>
        <v>0</v>
      </c>
      <c r="BI390" s="528" t="s">
        <v>2181</v>
      </c>
      <c r="BL390" s="151" t="str">
        <f t="shared" si="220"/>
        <v>EoKMetro - Nationaal</v>
      </c>
      <c r="BM390" s="529">
        <v>0</v>
      </c>
      <c r="BN390" s="180">
        <f>BM390/INDEX(Parameters!$B:$B,MATCH("AfschrijftermijnVVE"&amp;12*$C390,Parameters!$A:$A,0))</f>
        <v>0</v>
      </c>
      <c r="BO390" s="184">
        <f>INDEX('inkoop ULL tbv EVPN'!I:I,MATCH(BL390,'inkoop ULL tbv EVPN'!H:H,0))</f>
        <v>2</v>
      </c>
      <c r="BP390" s="184">
        <f t="shared" si="221"/>
        <v>2</v>
      </c>
      <c r="BR390" s="180">
        <f>Parameters!$B$12*AG390</f>
        <v>102.08333333333334</v>
      </c>
      <c r="BS390" s="180">
        <f>SUM(Distributievergoedingen!$F$12,Distributievergoedingen!$I$12,Distributievergoedingen!$L$12,Distributievergoedingen!$O$12)*AF390+SUM(Distributievergoedingen!$O$12*AA390+Distributievergoedingen!$R$12+Distributievergoedingen!$U$12+Distributievergoedingen!$X$12)/(MAX(36,12*C390))</f>
        <v>112.08333333333333</v>
      </c>
      <c r="BT390" s="150"/>
      <c r="BU390" s="150">
        <f t="shared" si="222"/>
        <v>214.16666666666669</v>
      </c>
      <c r="BW390" s="522">
        <f t="shared" si="223"/>
        <v>216.16666666666669</v>
      </c>
      <c r="BY390" s="527">
        <f t="shared" si="224"/>
        <v>804.66666666666674</v>
      </c>
      <c r="BZ390" s="181">
        <f t="shared" si="225"/>
        <v>0.78824489795918373</v>
      </c>
      <c r="CA390" s="520" t="b">
        <f t="shared" si="226"/>
        <v>0</v>
      </c>
    </row>
    <row r="391" spans="1:79" s="151" customFormat="1">
      <c r="A391" s="151" t="str">
        <f t="shared" si="219"/>
        <v>4EoKEntryNationaal10</v>
      </c>
      <c r="B391" s="520" t="str">
        <f t="shared" si="214"/>
        <v>4EoKEntryNationaal10</v>
      </c>
      <c r="C391" s="179">
        <v>4</v>
      </c>
      <c r="D391" s="179" t="s">
        <v>303</v>
      </c>
      <c r="E391" s="178" t="s">
        <v>45</v>
      </c>
      <c r="F391" s="178" t="s">
        <v>266</v>
      </c>
      <c r="G391" s="185" t="s">
        <v>412</v>
      </c>
      <c r="J391" s="520" t="str">
        <f t="shared" si="193"/>
        <v>EntryNationaal10</v>
      </c>
      <c r="L391" s="204">
        <f>INDEX(Mapping!$H:$H,MATCH(C$3&amp;C391,Mapping!$B:$B,0))</f>
        <v>1</v>
      </c>
      <c r="M391" s="204" t="str">
        <f>INDEX(Mapping!$H:$H,MATCH(D$3&amp;$D391,Mapping!$B:$B,0))</f>
        <v>EoK</v>
      </c>
      <c r="N391" s="204" t="str">
        <f>INDEX(Mapping!$H:$H,MATCH(E$3&amp;E391,Mapping!$B:$B,0))</f>
        <v>Lite</v>
      </c>
      <c r="O391" s="204" t="str">
        <f>INDEX(Mapping!$H:$H,MATCH(F$3&amp;F391,Mapping!$B:$B,0))</f>
        <v>Metro</v>
      </c>
      <c r="P391" s="204">
        <f>INDEX(Mapping!$H:$H,MATCH(G$3&amp;G391,Mapping!$B:$B,0))</f>
        <v>10</v>
      </c>
      <c r="Q391" s="204" t="str">
        <f>INDEX(Mapping!$H:$H,MATCH(Q$3&amp;$F391,Mapping!$B:$B,0))</f>
        <v>Metro - Nationaal</v>
      </c>
      <c r="R391" s="204" t="str">
        <f>INDEX(Mapping!$H:$H,MATCH("ZM VPN Service Level"&amp;E391,Mapping!$B:$B,0))</f>
        <v>Advanced</v>
      </c>
      <c r="S391" s="139" t="b">
        <f>IF($D391="EoK",INDEX(Mapping!$I:$I,MATCH($G$3&amp;$G391,Mapping!B:B,0)),FALSE)</f>
        <v>0</v>
      </c>
      <c r="T391" s="139"/>
      <c r="U391" s="520" t="str">
        <f t="shared" si="194"/>
        <v>LiteMetro10</v>
      </c>
      <c r="W391" s="521">
        <f>MATCH($J391,'Tarieven ZM'!$B:$B,0)</f>
        <v>53</v>
      </c>
      <c r="X391" s="204">
        <f>INDEX('Tarieven ZM'!$H:$H,$W391)</f>
        <v>1000</v>
      </c>
      <c r="Y391" s="198">
        <f>-INDEX(Parameters!$B:$B,MATCH(Y$3&amp;$C391,Parameters!$A:$A,0))*$X391</f>
        <v>0</v>
      </c>
      <c r="Z391" s="198">
        <f>-INDEX(Parameters!$B:$B,MATCH(Z$3&amp;$C391,Parameters!$A:$A,0))*$X391</f>
        <v>0</v>
      </c>
      <c r="AA391" s="139">
        <f t="shared" si="195"/>
        <v>1000</v>
      </c>
      <c r="AB391" s="205">
        <f>AA391/INDEX(Parameters!$B:$B,MATCH("AfschrijftermijnVVE"&amp;12*$C391,Parameters!$A:$A,0))</f>
        <v>20.833333333333332</v>
      </c>
      <c r="AC391" s="204">
        <f>INDEX('Tarieven ZM'!$G:$G,$W391)</f>
        <v>1000</v>
      </c>
      <c r="AD391" s="198">
        <f>-INDEX(Parameters!$B:$B,MATCH(AD$3&amp;$C391,Parameters!$A:$A,0))*$AC391</f>
        <v>0</v>
      </c>
      <c r="AE391" s="198">
        <f>-INDEX(Parameters!$B:$B,MATCH(AE$3,Parameters!$A:$A,0))*$AC391</f>
        <v>0</v>
      </c>
      <c r="AF391" s="139">
        <f t="shared" si="196"/>
        <v>1000</v>
      </c>
      <c r="AG391" s="522">
        <f t="shared" si="197"/>
        <v>1020.8333333333334</v>
      </c>
      <c r="AH391" s="175"/>
      <c r="AI391" s="523">
        <f>MATCH($U391,'Tarieven W&amp;O'!$B:$B,0)</f>
        <v>43</v>
      </c>
      <c r="AJ391" s="204">
        <f>IF(AI391&lt;&gt;"nvt",INDEX('Tarieven W&amp;O'!$H:$H,$AI391),0)</f>
        <v>0</v>
      </c>
      <c r="AK391" s="204">
        <f>IF(AI391&lt;&gt;"nvt",INDEX('Tarieven W&amp;O'!$I:$I,$AI391),0)</f>
        <v>25</v>
      </c>
      <c r="AL391" s="524">
        <f>IF(AI391&lt;&gt;"nvt",-INDEX(Parameters!$B:$B,MATCH(AL$3,Parameters!$A:$A,0))*(AJ391+AK391),0)</f>
        <v>0</v>
      </c>
      <c r="AM391" s="525"/>
      <c r="AN391" s="139">
        <f t="shared" si="198"/>
        <v>25</v>
      </c>
      <c r="AO391" s="205">
        <f>AN391/INDEX(Parameters!$B:$B,MATCH("AfschrijftermijnVVE"&amp;12*$C391,Parameters!$A:$A,0))</f>
        <v>0.52083333333333337</v>
      </c>
      <c r="AP391" s="139">
        <f t="shared" si="199"/>
        <v>43</v>
      </c>
      <c r="AQ391" s="526">
        <f>IF(AP391&lt;&gt;"nvt",INDEX('Tarieven W&amp;O'!$G:$G,$AP391),0)</f>
        <v>18.47</v>
      </c>
      <c r="AR391" s="251">
        <f>IF($S391,INDEX('Tarieven W&amp;O'!$G:$G,MATCH(N391&amp;R391,'Tarieven W&amp;O'!$B:$B,0)),0)</f>
        <v>0</v>
      </c>
      <c r="AS391" s="205">
        <f>-INDEX(Parameters!$B:$B,MATCH(AS$3,Parameters!$A:$A,0))*(AQ391+AR391)</f>
        <v>0</v>
      </c>
      <c r="AT391" s="205">
        <f>INDEX(hulpblad!$E:$E,MATCH(M391&amp;Q391,hulpblad!$B:$B,0))</f>
        <v>2</v>
      </c>
      <c r="AU391" s="150">
        <f t="shared" si="215"/>
        <v>20.47</v>
      </c>
      <c r="AV391" s="150">
        <f t="shared" si="216"/>
        <v>20.990833333333331</v>
      </c>
      <c r="AX391" s="526">
        <f>Parameters!$B$6*AV391</f>
        <v>0.20990833333333331</v>
      </c>
      <c r="AY391" s="150">
        <v>0</v>
      </c>
      <c r="AZ391" s="150"/>
      <c r="BA391" s="150">
        <f t="shared" si="202"/>
        <v>0.20990833333333331</v>
      </c>
      <c r="BB391" s="150"/>
      <c r="BC391" s="522">
        <f t="shared" si="203"/>
        <v>21.200741666666666</v>
      </c>
      <c r="BD391" s="175"/>
      <c r="BE391" s="527">
        <f t="shared" si="217"/>
        <v>999.63259166666671</v>
      </c>
      <c r="BF391" s="181">
        <f t="shared" si="218"/>
        <v>0.97923192653061231</v>
      </c>
      <c r="BG391" s="520" t="b">
        <f t="shared" si="206"/>
        <v>0</v>
      </c>
      <c r="BI391" s="528" t="s">
        <v>2181</v>
      </c>
      <c r="BL391" s="151" t="str">
        <f t="shared" si="220"/>
        <v>EoKMetro - Nationaal</v>
      </c>
      <c r="BM391" s="529">
        <v>0</v>
      </c>
      <c r="BN391" s="180">
        <f>BM391/INDEX(Parameters!$B:$B,MATCH("AfschrijftermijnVVE"&amp;12*$C391,Parameters!$A:$A,0))</f>
        <v>0</v>
      </c>
      <c r="BO391" s="184">
        <f>INDEX('inkoop ULL tbv EVPN'!I:I,MATCH(BL391,'inkoop ULL tbv EVPN'!H:H,0))</f>
        <v>2</v>
      </c>
      <c r="BP391" s="184">
        <f t="shared" si="221"/>
        <v>2</v>
      </c>
      <c r="BR391" s="180">
        <f>Parameters!$B$12*AG391</f>
        <v>102.08333333333334</v>
      </c>
      <c r="BS391" s="180">
        <f>SUM(Distributievergoedingen!$F$12,Distributievergoedingen!$I$12,Distributievergoedingen!$L$12,Distributievergoedingen!$O$12)*AF391+SUM(Distributievergoedingen!$O$12*AA391+Distributievergoedingen!$R$12+Distributievergoedingen!$U$12+Distributievergoedingen!$X$12)/(MAX(36,12*C391))</f>
        <v>112.08333333333333</v>
      </c>
      <c r="BT391" s="150"/>
      <c r="BU391" s="150">
        <f t="shared" si="222"/>
        <v>214.16666666666669</v>
      </c>
      <c r="BW391" s="522">
        <f t="shared" si="223"/>
        <v>216.16666666666669</v>
      </c>
      <c r="BY391" s="527">
        <f t="shared" si="224"/>
        <v>804.66666666666674</v>
      </c>
      <c r="BZ391" s="181">
        <f t="shared" si="225"/>
        <v>0.78824489795918373</v>
      </c>
      <c r="CA391" s="520" t="b">
        <f t="shared" si="226"/>
        <v>0</v>
      </c>
    </row>
    <row r="392" spans="1:79" s="151" customFormat="1">
      <c r="A392" s="151" t="str">
        <f t="shared" si="219"/>
        <v>4EoKEntryNationaal15</v>
      </c>
      <c r="B392" s="520" t="str">
        <f t="shared" si="214"/>
        <v>4EoKEntryNationaal15</v>
      </c>
      <c r="C392" s="179">
        <v>4</v>
      </c>
      <c r="D392" s="179" t="s">
        <v>303</v>
      </c>
      <c r="E392" s="178" t="s">
        <v>45</v>
      </c>
      <c r="F392" s="178" t="s">
        <v>266</v>
      </c>
      <c r="G392" s="185" t="s">
        <v>413</v>
      </c>
      <c r="J392" s="520" t="str">
        <f t="shared" si="193"/>
        <v>EntryNationaal15</v>
      </c>
      <c r="L392" s="204">
        <f>INDEX(Mapping!$H:$H,MATCH(C$3&amp;C392,Mapping!$B:$B,0))</f>
        <v>1</v>
      </c>
      <c r="M392" s="204" t="str">
        <f>INDEX(Mapping!$H:$H,MATCH(D$3&amp;$D392,Mapping!$B:$B,0))</f>
        <v>EoK</v>
      </c>
      <c r="N392" s="204" t="str">
        <f>INDEX(Mapping!$H:$H,MATCH(E$3&amp;E392,Mapping!$B:$B,0))</f>
        <v>Lite</v>
      </c>
      <c r="O392" s="204" t="str">
        <f>INDEX(Mapping!$H:$H,MATCH(F$3&amp;F392,Mapping!$B:$B,0))</f>
        <v>Metro</v>
      </c>
      <c r="P392" s="204">
        <f>INDEX(Mapping!$H:$H,MATCH(G$3&amp;G392,Mapping!$B:$B,0))</f>
        <v>15</v>
      </c>
      <c r="Q392" s="204" t="str">
        <f>INDEX(Mapping!$H:$H,MATCH(Q$3&amp;$F392,Mapping!$B:$B,0))</f>
        <v>Metro - Nationaal</v>
      </c>
      <c r="R392" s="204" t="str">
        <f>INDEX(Mapping!$H:$H,MATCH("ZM VPN Service Level"&amp;E392,Mapping!$B:$B,0))</f>
        <v>Advanced</v>
      </c>
      <c r="S392" s="139" t="b">
        <f>IF($D392="EoK",INDEX(Mapping!$I:$I,MATCH($G$3&amp;$G392,Mapping!B:B,0)),FALSE)</f>
        <v>0</v>
      </c>
      <c r="T392" s="139"/>
      <c r="U392" s="520" t="str">
        <f t="shared" si="194"/>
        <v>LiteMetro15</v>
      </c>
      <c r="W392" s="521">
        <f>MATCH($J392,'Tarieven ZM'!$B:$B,0)</f>
        <v>54</v>
      </c>
      <c r="X392" s="204">
        <f>INDEX('Tarieven ZM'!$H:$H,$W392)</f>
        <v>1000</v>
      </c>
      <c r="Y392" s="198">
        <f>-INDEX(Parameters!$B:$B,MATCH(Y$3&amp;$C392,Parameters!$A:$A,0))*$X392</f>
        <v>0</v>
      </c>
      <c r="Z392" s="198">
        <f>-INDEX(Parameters!$B:$B,MATCH(Z$3&amp;$C392,Parameters!$A:$A,0))*$X392</f>
        <v>0</v>
      </c>
      <c r="AA392" s="139">
        <f t="shared" si="195"/>
        <v>1000</v>
      </c>
      <c r="AB392" s="205">
        <f>AA392/INDEX(Parameters!$B:$B,MATCH("AfschrijftermijnVVE"&amp;12*$C392,Parameters!$A:$A,0))</f>
        <v>20.833333333333332</v>
      </c>
      <c r="AC392" s="204">
        <f>INDEX('Tarieven ZM'!$G:$G,$W392)</f>
        <v>1000</v>
      </c>
      <c r="AD392" s="198">
        <f>-INDEX(Parameters!$B:$B,MATCH(AD$3&amp;$C392,Parameters!$A:$A,0))*$AC392</f>
        <v>0</v>
      </c>
      <c r="AE392" s="198">
        <f>-INDEX(Parameters!$B:$B,MATCH(AE$3,Parameters!$A:$A,0))*$AC392</f>
        <v>0</v>
      </c>
      <c r="AF392" s="139">
        <f t="shared" si="196"/>
        <v>1000</v>
      </c>
      <c r="AG392" s="522">
        <f t="shared" si="197"/>
        <v>1020.8333333333334</v>
      </c>
      <c r="AH392" s="175"/>
      <c r="AI392" s="523">
        <f>MATCH($U392,'Tarieven W&amp;O'!$B:$B,0)</f>
        <v>44</v>
      </c>
      <c r="AJ392" s="204">
        <f>IF(AI392&lt;&gt;"nvt",INDEX('Tarieven W&amp;O'!$H:$H,$AI392),0)</f>
        <v>0</v>
      </c>
      <c r="AK392" s="204">
        <f>IF(AI392&lt;&gt;"nvt",INDEX('Tarieven W&amp;O'!$I:$I,$AI392),0)</f>
        <v>25</v>
      </c>
      <c r="AL392" s="524">
        <f>IF(AI392&lt;&gt;"nvt",-INDEX(Parameters!$B:$B,MATCH(AL$3,Parameters!$A:$A,0))*(AJ392+AK392),0)</f>
        <v>0</v>
      </c>
      <c r="AM392" s="525"/>
      <c r="AN392" s="139">
        <f t="shared" si="198"/>
        <v>25</v>
      </c>
      <c r="AO392" s="205">
        <f>AN392/INDEX(Parameters!$B:$B,MATCH("AfschrijftermijnVVE"&amp;12*$C392,Parameters!$A:$A,0))</f>
        <v>0.52083333333333337</v>
      </c>
      <c r="AP392" s="139">
        <f t="shared" si="199"/>
        <v>44</v>
      </c>
      <c r="AQ392" s="526">
        <f>IF(AP392&lt;&gt;"nvt",INDEX('Tarieven W&amp;O'!$G:$G,$AP392),0)</f>
        <v>22.24</v>
      </c>
      <c r="AR392" s="251">
        <f>IF($S392,INDEX('Tarieven W&amp;O'!$G:$G,MATCH(N392&amp;R392,'Tarieven W&amp;O'!$B:$B,0)),0)</f>
        <v>0</v>
      </c>
      <c r="AS392" s="205">
        <f>-INDEX(Parameters!$B:$B,MATCH(AS$3,Parameters!$A:$A,0))*(AQ392+AR392)</f>
        <v>0</v>
      </c>
      <c r="AT392" s="205">
        <f>INDEX(hulpblad!$E:$E,MATCH(M392&amp;Q392,hulpblad!$B:$B,0))</f>
        <v>2</v>
      </c>
      <c r="AU392" s="150">
        <f t="shared" si="215"/>
        <v>24.24</v>
      </c>
      <c r="AV392" s="150">
        <f t="shared" si="216"/>
        <v>24.760833333333331</v>
      </c>
      <c r="AX392" s="526">
        <f>Parameters!$B$6*AV392</f>
        <v>0.24760833333333332</v>
      </c>
      <c r="AY392" s="150">
        <v>0</v>
      </c>
      <c r="AZ392" s="150"/>
      <c r="BA392" s="150">
        <f t="shared" si="202"/>
        <v>0.24760833333333332</v>
      </c>
      <c r="BB392" s="150"/>
      <c r="BC392" s="522">
        <f t="shared" si="203"/>
        <v>25.008441666666663</v>
      </c>
      <c r="BD392" s="175"/>
      <c r="BE392" s="527">
        <f t="shared" si="217"/>
        <v>995.82489166666676</v>
      </c>
      <c r="BF392" s="181">
        <f t="shared" si="218"/>
        <v>0.97550193469387758</v>
      </c>
      <c r="BG392" s="520" t="b">
        <f t="shared" si="206"/>
        <v>0</v>
      </c>
      <c r="BI392" s="528" t="s">
        <v>2181</v>
      </c>
      <c r="BL392" s="151" t="str">
        <f t="shared" si="220"/>
        <v>EoKMetro - Nationaal</v>
      </c>
      <c r="BM392" s="529">
        <v>0</v>
      </c>
      <c r="BN392" s="180">
        <f>BM392/INDEX(Parameters!$B:$B,MATCH("AfschrijftermijnVVE"&amp;12*$C392,Parameters!$A:$A,0))</f>
        <v>0</v>
      </c>
      <c r="BO392" s="184">
        <f>INDEX('inkoop ULL tbv EVPN'!I:I,MATCH(BL392,'inkoop ULL tbv EVPN'!H:H,0))</f>
        <v>2</v>
      </c>
      <c r="BP392" s="184">
        <f t="shared" si="221"/>
        <v>2</v>
      </c>
      <c r="BR392" s="180">
        <f>Parameters!$B$12*AG392</f>
        <v>102.08333333333334</v>
      </c>
      <c r="BS392" s="180">
        <f>SUM(Distributievergoedingen!$F$12,Distributievergoedingen!$I$12,Distributievergoedingen!$L$12,Distributievergoedingen!$O$12)*AF392+SUM(Distributievergoedingen!$O$12*AA392+Distributievergoedingen!$R$12+Distributievergoedingen!$U$12+Distributievergoedingen!$X$12)/(MAX(36,12*C392))</f>
        <v>112.08333333333333</v>
      </c>
      <c r="BT392" s="150"/>
      <c r="BU392" s="150">
        <f t="shared" si="222"/>
        <v>214.16666666666669</v>
      </c>
      <c r="BW392" s="522">
        <f t="shared" si="223"/>
        <v>216.16666666666669</v>
      </c>
      <c r="BY392" s="527">
        <f t="shared" si="224"/>
        <v>804.66666666666674</v>
      </c>
      <c r="BZ392" s="181">
        <f t="shared" si="225"/>
        <v>0.78824489795918373</v>
      </c>
      <c r="CA392" s="520" t="b">
        <f t="shared" si="226"/>
        <v>0</v>
      </c>
    </row>
    <row r="393" spans="1:79" s="151" customFormat="1">
      <c r="A393" s="151" t="str">
        <f t="shared" si="219"/>
        <v>4EoKEntryNationaal20</v>
      </c>
      <c r="B393" s="520" t="str">
        <f t="shared" si="214"/>
        <v>4EoKEntryNationaal20</v>
      </c>
      <c r="C393" s="179">
        <v>4</v>
      </c>
      <c r="D393" s="179" t="s">
        <v>303</v>
      </c>
      <c r="E393" s="178" t="s">
        <v>45</v>
      </c>
      <c r="F393" s="178" t="s">
        <v>266</v>
      </c>
      <c r="G393" s="185" t="s">
        <v>414</v>
      </c>
      <c r="J393" s="520" t="str">
        <f t="shared" si="193"/>
        <v>EntryNationaal20</v>
      </c>
      <c r="L393" s="204">
        <f>INDEX(Mapping!$H:$H,MATCH(C$3&amp;C393,Mapping!$B:$B,0))</f>
        <v>1</v>
      </c>
      <c r="M393" s="204" t="str">
        <f>INDEX(Mapping!$H:$H,MATCH(D$3&amp;$D393,Mapping!$B:$B,0))</f>
        <v>EoK</v>
      </c>
      <c r="N393" s="204" t="str">
        <f>INDEX(Mapping!$H:$H,MATCH(E$3&amp;E393,Mapping!$B:$B,0))</f>
        <v>Lite</v>
      </c>
      <c r="O393" s="204" t="str">
        <f>INDEX(Mapping!$H:$H,MATCH(F$3&amp;F393,Mapping!$B:$B,0))</f>
        <v>Metro</v>
      </c>
      <c r="P393" s="204">
        <f>INDEX(Mapping!$H:$H,MATCH(G$3&amp;G393,Mapping!$B:$B,0))</f>
        <v>20</v>
      </c>
      <c r="Q393" s="204" t="str">
        <f>INDEX(Mapping!$H:$H,MATCH(Q$3&amp;$F393,Mapping!$B:$B,0))</f>
        <v>Metro - Nationaal</v>
      </c>
      <c r="R393" s="204" t="str">
        <f>INDEX(Mapping!$H:$H,MATCH("ZM VPN Service Level"&amp;E393,Mapping!$B:$B,0))</f>
        <v>Advanced</v>
      </c>
      <c r="S393" s="139" t="b">
        <f>IF($D393="EoK",INDEX(Mapping!$I:$I,MATCH($G$3&amp;$G393,Mapping!B:B,0)),FALSE)</f>
        <v>0</v>
      </c>
      <c r="T393" s="139"/>
      <c r="U393" s="520" t="str">
        <f t="shared" si="194"/>
        <v>LiteMetro20</v>
      </c>
      <c r="W393" s="521">
        <f>MATCH($J393,'Tarieven ZM'!$B:$B,0)</f>
        <v>55</v>
      </c>
      <c r="X393" s="204">
        <f>INDEX('Tarieven ZM'!$H:$H,$W393)</f>
        <v>1000</v>
      </c>
      <c r="Y393" s="198">
        <f>-INDEX(Parameters!$B:$B,MATCH(Y$3&amp;$C393,Parameters!$A:$A,0))*$X393</f>
        <v>0</v>
      </c>
      <c r="Z393" s="198">
        <f>-INDEX(Parameters!$B:$B,MATCH(Z$3&amp;$C393,Parameters!$A:$A,0))*$X393</f>
        <v>0</v>
      </c>
      <c r="AA393" s="139">
        <f t="shared" si="195"/>
        <v>1000</v>
      </c>
      <c r="AB393" s="205">
        <f>AA393/INDEX(Parameters!$B:$B,MATCH("AfschrijftermijnVVE"&amp;12*$C393,Parameters!$A:$A,0))</f>
        <v>20.833333333333332</v>
      </c>
      <c r="AC393" s="204">
        <f>INDEX('Tarieven ZM'!$G:$G,$W393)</f>
        <v>1000</v>
      </c>
      <c r="AD393" s="198">
        <f>-INDEX(Parameters!$B:$B,MATCH(AD$3&amp;$C393,Parameters!$A:$A,0))*$AC393</f>
        <v>0</v>
      </c>
      <c r="AE393" s="198">
        <f>-INDEX(Parameters!$B:$B,MATCH(AE$3,Parameters!$A:$A,0))*$AC393</f>
        <v>0</v>
      </c>
      <c r="AF393" s="139">
        <f t="shared" si="196"/>
        <v>1000</v>
      </c>
      <c r="AG393" s="522">
        <f t="shared" si="197"/>
        <v>1020.8333333333334</v>
      </c>
      <c r="AH393" s="175"/>
      <c r="AI393" s="523">
        <f>MATCH($U393,'Tarieven W&amp;O'!$B:$B,0)</f>
        <v>45</v>
      </c>
      <c r="AJ393" s="204">
        <f>IF(AI393&lt;&gt;"nvt",INDEX('Tarieven W&amp;O'!$H:$H,$AI393),0)</f>
        <v>0</v>
      </c>
      <c r="AK393" s="204">
        <f>IF(AI393&lt;&gt;"nvt",INDEX('Tarieven W&amp;O'!$I:$I,$AI393),0)</f>
        <v>25</v>
      </c>
      <c r="AL393" s="524">
        <f>IF(AI393&lt;&gt;"nvt",-INDEX(Parameters!$B:$B,MATCH(AL$3,Parameters!$A:$A,0))*(AJ393+AK393),0)</f>
        <v>0</v>
      </c>
      <c r="AM393" s="525"/>
      <c r="AN393" s="139">
        <f t="shared" si="198"/>
        <v>25</v>
      </c>
      <c r="AO393" s="205">
        <f>AN393/INDEX(Parameters!$B:$B,MATCH("AfschrijftermijnVVE"&amp;12*$C393,Parameters!$A:$A,0))</f>
        <v>0.52083333333333337</v>
      </c>
      <c r="AP393" s="139">
        <f t="shared" si="199"/>
        <v>45</v>
      </c>
      <c r="AQ393" s="526">
        <f>IF(AP393&lt;&gt;"nvt",INDEX('Tarieven W&amp;O'!$G:$G,$AP393),0)</f>
        <v>29.78</v>
      </c>
      <c r="AR393" s="251">
        <f>IF($S393,INDEX('Tarieven W&amp;O'!$G:$G,MATCH(N393&amp;R393,'Tarieven W&amp;O'!$B:$B,0)),0)</f>
        <v>0</v>
      </c>
      <c r="AS393" s="205">
        <f>-INDEX(Parameters!$B:$B,MATCH(AS$3,Parameters!$A:$A,0))*(AQ393+AR393)</f>
        <v>0</v>
      </c>
      <c r="AT393" s="205">
        <f>INDEX(hulpblad!$E:$E,MATCH(M393&amp;Q393,hulpblad!$B:$B,0))</f>
        <v>2</v>
      </c>
      <c r="AU393" s="150">
        <f t="shared" si="215"/>
        <v>31.78</v>
      </c>
      <c r="AV393" s="150">
        <f t="shared" si="216"/>
        <v>32.300833333333337</v>
      </c>
      <c r="AX393" s="526">
        <f>Parameters!$B$6*AV393</f>
        <v>0.3230083333333334</v>
      </c>
      <c r="AY393" s="150">
        <v>0</v>
      </c>
      <c r="AZ393" s="150"/>
      <c r="BA393" s="150">
        <f t="shared" si="202"/>
        <v>0.3230083333333334</v>
      </c>
      <c r="BB393" s="150"/>
      <c r="BC393" s="522">
        <f t="shared" si="203"/>
        <v>32.623841666666671</v>
      </c>
      <c r="BD393" s="175"/>
      <c r="BE393" s="527">
        <f t="shared" si="217"/>
        <v>988.20949166666674</v>
      </c>
      <c r="BF393" s="181">
        <f t="shared" si="218"/>
        <v>0.96804195102040824</v>
      </c>
      <c r="BG393" s="520" t="b">
        <f t="shared" si="206"/>
        <v>0</v>
      </c>
      <c r="BI393" s="528" t="s">
        <v>2181</v>
      </c>
      <c r="BL393" s="151" t="str">
        <f t="shared" si="220"/>
        <v>EoKMetro - Nationaal</v>
      </c>
      <c r="BM393" s="529">
        <v>0</v>
      </c>
      <c r="BN393" s="180">
        <f>BM393/INDEX(Parameters!$B:$B,MATCH("AfschrijftermijnVVE"&amp;12*$C393,Parameters!$A:$A,0))</f>
        <v>0</v>
      </c>
      <c r="BO393" s="184">
        <f>INDEX('inkoop ULL tbv EVPN'!I:I,MATCH(BL393,'inkoop ULL tbv EVPN'!H:H,0))</f>
        <v>2</v>
      </c>
      <c r="BP393" s="184">
        <f t="shared" si="221"/>
        <v>2</v>
      </c>
      <c r="BR393" s="180">
        <f>Parameters!$B$12*AG393</f>
        <v>102.08333333333334</v>
      </c>
      <c r="BS393" s="180">
        <f>SUM(Distributievergoedingen!$F$12,Distributievergoedingen!$I$12,Distributievergoedingen!$L$12,Distributievergoedingen!$O$12)*AF393+SUM(Distributievergoedingen!$O$12*AA393+Distributievergoedingen!$R$12+Distributievergoedingen!$U$12+Distributievergoedingen!$X$12)/(MAX(36,12*C393))</f>
        <v>112.08333333333333</v>
      </c>
      <c r="BT393" s="150"/>
      <c r="BU393" s="150">
        <f t="shared" si="222"/>
        <v>214.16666666666669</v>
      </c>
      <c r="BW393" s="522">
        <f t="shared" si="223"/>
        <v>216.16666666666669</v>
      </c>
      <c r="BY393" s="527">
        <f t="shared" si="224"/>
        <v>804.66666666666674</v>
      </c>
      <c r="BZ393" s="181">
        <f t="shared" si="225"/>
        <v>0.78824489795918373</v>
      </c>
      <c r="CA393" s="520" t="b">
        <f t="shared" si="226"/>
        <v>0</v>
      </c>
    </row>
    <row r="394" spans="1:79" s="151" customFormat="1">
      <c r="A394" s="151" t="str">
        <f t="shared" si="219"/>
        <v>4EoKEntryNationaal30</v>
      </c>
      <c r="B394" s="520" t="str">
        <f t="shared" si="214"/>
        <v>4EoKEntryNationaal30</v>
      </c>
      <c r="C394" s="179">
        <v>4</v>
      </c>
      <c r="D394" s="179" t="s">
        <v>303</v>
      </c>
      <c r="E394" s="178" t="s">
        <v>45</v>
      </c>
      <c r="F394" s="178" t="s">
        <v>266</v>
      </c>
      <c r="G394" s="185" t="s">
        <v>415</v>
      </c>
      <c r="J394" s="520" t="str">
        <f t="shared" si="193"/>
        <v>EntryNationaal30</v>
      </c>
      <c r="L394" s="204">
        <f>INDEX(Mapping!$H:$H,MATCH(C$3&amp;C394,Mapping!$B:$B,0))</f>
        <v>1</v>
      </c>
      <c r="M394" s="204" t="str">
        <f>INDEX(Mapping!$H:$H,MATCH(D$3&amp;$D394,Mapping!$B:$B,0))</f>
        <v>EoK</v>
      </c>
      <c r="N394" s="204" t="str">
        <f>INDEX(Mapping!$H:$H,MATCH(E$3&amp;E394,Mapping!$B:$B,0))</f>
        <v>Lite</v>
      </c>
      <c r="O394" s="204" t="str">
        <f>INDEX(Mapping!$H:$H,MATCH(F$3&amp;F394,Mapping!$B:$B,0))</f>
        <v>Metro</v>
      </c>
      <c r="P394" s="204">
        <f>INDEX(Mapping!$H:$H,MATCH(G$3&amp;G394,Mapping!$B:$B,0))</f>
        <v>30</v>
      </c>
      <c r="Q394" s="204" t="str">
        <f>INDEX(Mapping!$H:$H,MATCH(Q$3&amp;$F394,Mapping!$B:$B,0))</f>
        <v>Metro - Nationaal</v>
      </c>
      <c r="R394" s="204" t="str">
        <f>INDEX(Mapping!$H:$H,MATCH("ZM VPN Service Level"&amp;E394,Mapping!$B:$B,0))</f>
        <v>Advanced</v>
      </c>
      <c r="S394" s="139" t="b">
        <f>IF($D394="EoK",INDEX(Mapping!$I:$I,MATCH($G$3&amp;$G394,Mapping!B:B,0)),FALSE)</f>
        <v>0</v>
      </c>
      <c r="T394" s="139"/>
      <c r="U394" s="520" t="str">
        <f t="shared" si="194"/>
        <v>LiteMetro30</v>
      </c>
      <c r="W394" s="521">
        <f>MATCH($J394,'Tarieven ZM'!$B:$B,0)</f>
        <v>56</v>
      </c>
      <c r="X394" s="204">
        <f>INDEX('Tarieven ZM'!$H:$H,$W394)</f>
        <v>1000</v>
      </c>
      <c r="Y394" s="198">
        <f>-INDEX(Parameters!$B:$B,MATCH(Y$3&amp;$C394,Parameters!$A:$A,0))*$X394</f>
        <v>0</v>
      </c>
      <c r="Z394" s="198">
        <f>-INDEX(Parameters!$B:$B,MATCH(Z$3&amp;$C394,Parameters!$A:$A,0))*$X394</f>
        <v>0</v>
      </c>
      <c r="AA394" s="139">
        <f t="shared" si="195"/>
        <v>1000</v>
      </c>
      <c r="AB394" s="205">
        <f>AA394/INDEX(Parameters!$B:$B,MATCH("AfschrijftermijnVVE"&amp;12*$C394,Parameters!$A:$A,0))</f>
        <v>20.833333333333332</v>
      </c>
      <c r="AC394" s="204">
        <f>INDEX('Tarieven ZM'!$G:$G,$W394)</f>
        <v>1000</v>
      </c>
      <c r="AD394" s="198">
        <f>-INDEX(Parameters!$B:$B,MATCH(AD$3&amp;$C394,Parameters!$A:$A,0))*$AC394</f>
        <v>0</v>
      </c>
      <c r="AE394" s="198">
        <f>-INDEX(Parameters!$B:$B,MATCH(AE$3,Parameters!$A:$A,0))*$AC394</f>
        <v>0</v>
      </c>
      <c r="AF394" s="139">
        <f t="shared" si="196"/>
        <v>1000</v>
      </c>
      <c r="AG394" s="522">
        <f t="shared" si="197"/>
        <v>1020.8333333333334</v>
      </c>
      <c r="AH394" s="175"/>
      <c r="AI394" s="523">
        <f>MATCH($U394,'Tarieven W&amp;O'!$B:$B,0)</f>
        <v>46</v>
      </c>
      <c r="AJ394" s="204">
        <f>IF(AI394&lt;&gt;"nvt",INDEX('Tarieven W&amp;O'!$H:$H,$AI394),0)</f>
        <v>0</v>
      </c>
      <c r="AK394" s="204">
        <f>IF(AI394&lt;&gt;"nvt",INDEX('Tarieven W&amp;O'!$I:$I,$AI394),0)</f>
        <v>25</v>
      </c>
      <c r="AL394" s="524">
        <f>IF(AI394&lt;&gt;"nvt",-INDEX(Parameters!$B:$B,MATCH(AL$3,Parameters!$A:$A,0))*(AJ394+AK394),0)</f>
        <v>0</v>
      </c>
      <c r="AM394" s="525"/>
      <c r="AN394" s="139">
        <f t="shared" si="198"/>
        <v>25</v>
      </c>
      <c r="AO394" s="205">
        <f>AN394/INDEX(Parameters!$B:$B,MATCH("AfschrijftermijnVVE"&amp;12*$C394,Parameters!$A:$A,0))</f>
        <v>0.52083333333333337</v>
      </c>
      <c r="AP394" s="139">
        <f t="shared" si="199"/>
        <v>46</v>
      </c>
      <c r="AQ394" s="526">
        <f>IF(AP394&lt;&gt;"nvt",INDEX('Tarieven W&amp;O'!$G:$G,$AP394),0)</f>
        <v>33.54</v>
      </c>
      <c r="AR394" s="251">
        <f>IF($S394,INDEX('Tarieven W&amp;O'!$G:$G,MATCH(N394&amp;R394,'Tarieven W&amp;O'!$B:$B,0)),0)</f>
        <v>0</v>
      </c>
      <c r="AS394" s="205">
        <f>-INDEX(Parameters!$B:$B,MATCH(AS$3,Parameters!$A:$A,0))*(AQ394+AR394)</f>
        <v>0</v>
      </c>
      <c r="AT394" s="205">
        <f>INDEX(hulpblad!$E:$E,MATCH(M394&amp;Q394,hulpblad!$B:$B,0))</f>
        <v>2</v>
      </c>
      <c r="AU394" s="150">
        <f t="shared" si="215"/>
        <v>35.54</v>
      </c>
      <c r="AV394" s="150">
        <f t="shared" si="216"/>
        <v>36.060833333333335</v>
      </c>
      <c r="AX394" s="526">
        <f>Parameters!$B$6*AV394</f>
        <v>0.36060833333333336</v>
      </c>
      <c r="AY394" s="150">
        <v>0</v>
      </c>
      <c r="AZ394" s="150"/>
      <c r="BA394" s="150">
        <f t="shared" si="202"/>
        <v>0.36060833333333336</v>
      </c>
      <c r="BB394" s="150"/>
      <c r="BC394" s="522">
        <f t="shared" si="203"/>
        <v>36.421441666666666</v>
      </c>
      <c r="BD394" s="175"/>
      <c r="BE394" s="527">
        <f t="shared" si="217"/>
        <v>984.41189166666675</v>
      </c>
      <c r="BF394" s="181">
        <f t="shared" si="218"/>
        <v>0.96432185306122453</v>
      </c>
      <c r="BG394" s="520" t="b">
        <f t="shared" si="206"/>
        <v>0</v>
      </c>
      <c r="BI394" s="528" t="s">
        <v>2181</v>
      </c>
      <c r="BL394" s="151" t="str">
        <f t="shared" si="220"/>
        <v>EoKMetro - Nationaal</v>
      </c>
      <c r="BM394" s="529">
        <v>0</v>
      </c>
      <c r="BN394" s="180">
        <f>BM394/INDEX(Parameters!$B:$B,MATCH("AfschrijftermijnVVE"&amp;12*$C394,Parameters!$A:$A,0))</f>
        <v>0</v>
      </c>
      <c r="BO394" s="184">
        <f>INDEX('inkoop ULL tbv EVPN'!I:I,MATCH(BL394,'inkoop ULL tbv EVPN'!H:H,0))</f>
        <v>2</v>
      </c>
      <c r="BP394" s="184">
        <f t="shared" si="221"/>
        <v>2</v>
      </c>
      <c r="BR394" s="180">
        <f>Parameters!$B$12*AG394</f>
        <v>102.08333333333334</v>
      </c>
      <c r="BS394" s="180">
        <f>SUM(Distributievergoedingen!$F$12,Distributievergoedingen!$I$12,Distributievergoedingen!$L$12,Distributievergoedingen!$O$12)*AF394+SUM(Distributievergoedingen!$O$12*AA394+Distributievergoedingen!$R$12+Distributievergoedingen!$U$12+Distributievergoedingen!$X$12)/(MAX(36,12*C394))</f>
        <v>112.08333333333333</v>
      </c>
      <c r="BT394" s="150"/>
      <c r="BU394" s="150">
        <f t="shared" si="222"/>
        <v>214.16666666666669</v>
      </c>
      <c r="BW394" s="522">
        <f t="shared" si="223"/>
        <v>216.16666666666669</v>
      </c>
      <c r="BY394" s="527">
        <f t="shared" si="224"/>
        <v>804.66666666666674</v>
      </c>
      <c r="BZ394" s="181">
        <f t="shared" si="225"/>
        <v>0.78824489795918373</v>
      </c>
      <c r="CA394" s="520" t="b">
        <f t="shared" si="226"/>
        <v>0</v>
      </c>
    </row>
    <row r="395" spans="1:79" s="151" customFormat="1">
      <c r="A395" s="151" t="str">
        <f t="shared" si="219"/>
        <v>4EoKEntryNationaal50</v>
      </c>
      <c r="B395" s="520" t="str">
        <f t="shared" si="214"/>
        <v>4EoKEntryNationaal50</v>
      </c>
      <c r="C395" s="179">
        <v>4</v>
      </c>
      <c r="D395" s="179" t="s">
        <v>303</v>
      </c>
      <c r="E395" s="178" t="s">
        <v>45</v>
      </c>
      <c r="F395" s="178" t="s">
        <v>266</v>
      </c>
      <c r="G395" s="185" t="s">
        <v>416</v>
      </c>
      <c r="J395" s="520" t="str">
        <f t="shared" si="193"/>
        <v>EntryNationaal50</v>
      </c>
      <c r="L395" s="204">
        <f>INDEX(Mapping!$H:$H,MATCH(C$3&amp;C395,Mapping!$B:$B,0))</f>
        <v>1</v>
      </c>
      <c r="M395" s="204" t="str">
        <f>INDEX(Mapping!$H:$H,MATCH(D$3&amp;$D395,Mapping!$B:$B,0))</f>
        <v>EoK</v>
      </c>
      <c r="N395" s="204" t="str">
        <f>INDEX(Mapping!$H:$H,MATCH(E$3&amp;E395,Mapping!$B:$B,0))</f>
        <v>Lite</v>
      </c>
      <c r="O395" s="204" t="str">
        <f>INDEX(Mapping!$H:$H,MATCH(F$3&amp;F395,Mapping!$B:$B,0))</f>
        <v>Metro</v>
      </c>
      <c r="P395" s="204">
        <f>INDEX(Mapping!$H:$H,MATCH(G$3&amp;G395,Mapping!$B:$B,0))</f>
        <v>50</v>
      </c>
      <c r="Q395" s="204" t="str">
        <f>INDEX(Mapping!$H:$H,MATCH(Q$3&amp;$F395,Mapping!$B:$B,0))</f>
        <v>Metro - Nationaal</v>
      </c>
      <c r="R395" s="204" t="str">
        <f>INDEX(Mapping!$H:$H,MATCH("ZM VPN Service Level"&amp;E395,Mapping!$B:$B,0))</f>
        <v>Advanced</v>
      </c>
      <c r="S395" s="139" t="b">
        <f>IF($D395="EoK",INDEX(Mapping!$I:$I,MATCH($G$3&amp;$G395,Mapping!B:B,0)),FALSE)</f>
        <v>0</v>
      </c>
      <c r="T395" s="139"/>
      <c r="U395" s="520" t="str">
        <f t="shared" si="194"/>
        <v>LiteMetro50</v>
      </c>
      <c r="W395" s="521">
        <f>MATCH($J395,'Tarieven ZM'!$B:$B,0)</f>
        <v>57</v>
      </c>
      <c r="X395" s="204">
        <f>INDEX('Tarieven ZM'!$H:$H,$W395)</f>
        <v>1000</v>
      </c>
      <c r="Y395" s="198">
        <f>-INDEX(Parameters!$B:$B,MATCH(Y$3&amp;$C395,Parameters!$A:$A,0))*$X395</f>
        <v>0</v>
      </c>
      <c r="Z395" s="198">
        <f>-INDEX(Parameters!$B:$B,MATCH(Z$3&amp;$C395,Parameters!$A:$A,0))*$X395</f>
        <v>0</v>
      </c>
      <c r="AA395" s="139">
        <f t="shared" si="195"/>
        <v>1000</v>
      </c>
      <c r="AB395" s="205">
        <f>AA395/INDEX(Parameters!$B:$B,MATCH("AfschrijftermijnVVE"&amp;12*$C395,Parameters!$A:$A,0))</f>
        <v>20.833333333333332</v>
      </c>
      <c r="AC395" s="204">
        <f>INDEX('Tarieven ZM'!$G:$G,$W395)</f>
        <v>1000</v>
      </c>
      <c r="AD395" s="198">
        <f>-INDEX(Parameters!$B:$B,MATCH(AD$3&amp;$C395,Parameters!$A:$A,0))*$AC395</f>
        <v>0</v>
      </c>
      <c r="AE395" s="198">
        <f>-INDEX(Parameters!$B:$B,MATCH(AE$3,Parameters!$A:$A,0))*$AC395</f>
        <v>0</v>
      </c>
      <c r="AF395" s="139">
        <f t="shared" si="196"/>
        <v>1000</v>
      </c>
      <c r="AG395" s="522">
        <f t="shared" si="197"/>
        <v>1020.8333333333334</v>
      </c>
      <c r="AH395" s="175"/>
      <c r="AI395" s="523">
        <f>MATCH($U395,'Tarieven W&amp;O'!$B:$B,0)</f>
        <v>47</v>
      </c>
      <c r="AJ395" s="204">
        <f>IF(AI395&lt;&gt;"nvt",INDEX('Tarieven W&amp;O'!$H:$H,$AI395),0)</f>
        <v>0</v>
      </c>
      <c r="AK395" s="204">
        <f>IF(AI395&lt;&gt;"nvt",INDEX('Tarieven W&amp;O'!$I:$I,$AI395),0)</f>
        <v>25</v>
      </c>
      <c r="AL395" s="524">
        <f>IF(AI395&lt;&gt;"nvt",-INDEX(Parameters!$B:$B,MATCH(AL$3,Parameters!$A:$A,0))*(AJ395+AK395),0)</f>
        <v>0</v>
      </c>
      <c r="AM395" s="525"/>
      <c r="AN395" s="139">
        <f t="shared" si="198"/>
        <v>25</v>
      </c>
      <c r="AO395" s="205">
        <f>AN395/INDEX(Parameters!$B:$B,MATCH("AfschrijftermijnVVE"&amp;12*$C395,Parameters!$A:$A,0))</f>
        <v>0.52083333333333337</v>
      </c>
      <c r="AP395" s="139">
        <f t="shared" si="199"/>
        <v>47</v>
      </c>
      <c r="AQ395" s="526">
        <f>IF(AP395&lt;&gt;"nvt",INDEX('Tarieven W&amp;O'!$G:$G,$AP395),0)</f>
        <v>48.62</v>
      </c>
      <c r="AR395" s="251">
        <f>IF($S395,INDEX('Tarieven W&amp;O'!$G:$G,MATCH(N395&amp;R395,'Tarieven W&amp;O'!$B:$B,0)),0)</f>
        <v>0</v>
      </c>
      <c r="AS395" s="205">
        <f>-INDEX(Parameters!$B:$B,MATCH(AS$3,Parameters!$A:$A,0))*(AQ395+AR395)</f>
        <v>0</v>
      </c>
      <c r="AT395" s="205">
        <f>INDEX(hulpblad!$E:$E,MATCH(M395&amp;Q395,hulpblad!$B:$B,0))</f>
        <v>2</v>
      </c>
      <c r="AU395" s="150">
        <f t="shared" si="215"/>
        <v>50.62</v>
      </c>
      <c r="AV395" s="150">
        <f t="shared" si="216"/>
        <v>51.140833333333333</v>
      </c>
      <c r="AX395" s="526">
        <f>Parameters!$B$6*AV395</f>
        <v>0.51140833333333335</v>
      </c>
      <c r="AY395" s="150">
        <v>0</v>
      </c>
      <c r="AZ395" s="150"/>
      <c r="BA395" s="150">
        <f t="shared" si="202"/>
        <v>0.51140833333333335</v>
      </c>
      <c r="BB395" s="150"/>
      <c r="BC395" s="522">
        <f t="shared" si="203"/>
        <v>51.652241666666669</v>
      </c>
      <c r="BD395" s="175"/>
      <c r="BE395" s="527">
        <f t="shared" si="217"/>
        <v>969.1810916666667</v>
      </c>
      <c r="BF395" s="181">
        <f t="shared" si="218"/>
        <v>0.94940188571428574</v>
      </c>
      <c r="BG395" s="520" t="b">
        <f t="shared" si="206"/>
        <v>0</v>
      </c>
      <c r="BI395" s="528" t="s">
        <v>2181</v>
      </c>
      <c r="BL395" s="151" t="str">
        <f t="shared" si="220"/>
        <v>EoKMetro - Nationaal</v>
      </c>
      <c r="BM395" s="529">
        <v>0</v>
      </c>
      <c r="BN395" s="180">
        <f>BM395/INDEX(Parameters!$B:$B,MATCH("AfschrijftermijnVVE"&amp;12*$C395,Parameters!$A:$A,0))</f>
        <v>0</v>
      </c>
      <c r="BO395" s="184">
        <f>INDEX('inkoop ULL tbv EVPN'!I:I,MATCH(BL395,'inkoop ULL tbv EVPN'!H:H,0))</f>
        <v>2</v>
      </c>
      <c r="BP395" s="184">
        <f t="shared" si="221"/>
        <v>2</v>
      </c>
      <c r="BR395" s="180">
        <f>Parameters!$B$12*AG395</f>
        <v>102.08333333333334</v>
      </c>
      <c r="BS395" s="180">
        <f>SUM(Distributievergoedingen!$F$12,Distributievergoedingen!$I$12,Distributievergoedingen!$L$12,Distributievergoedingen!$O$12)*AF395+SUM(Distributievergoedingen!$O$12*AA395+Distributievergoedingen!$R$12+Distributievergoedingen!$U$12+Distributievergoedingen!$X$12)/(MAX(36,12*C395))</f>
        <v>112.08333333333333</v>
      </c>
      <c r="BT395" s="150"/>
      <c r="BU395" s="150">
        <f t="shared" si="222"/>
        <v>214.16666666666669</v>
      </c>
      <c r="BW395" s="522">
        <f t="shared" si="223"/>
        <v>216.16666666666669</v>
      </c>
      <c r="BY395" s="527">
        <f t="shared" si="224"/>
        <v>804.66666666666674</v>
      </c>
      <c r="BZ395" s="181">
        <f t="shared" si="225"/>
        <v>0.78824489795918373</v>
      </c>
      <c r="CA395" s="520" t="b">
        <f t="shared" si="226"/>
        <v>0</v>
      </c>
    </row>
    <row r="396" spans="1:79" s="151" customFormat="1">
      <c r="A396" s="151" t="str">
        <f t="shared" si="219"/>
        <v>4EoKEntryNationaal80</v>
      </c>
      <c r="B396" s="520" t="str">
        <f t="shared" si="214"/>
        <v>4EoKEntryNationaal80</v>
      </c>
      <c r="C396" s="179">
        <v>4</v>
      </c>
      <c r="D396" s="179" t="s">
        <v>303</v>
      </c>
      <c r="E396" s="178" t="s">
        <v>45</v>
      </c>
      <c r="F396" s="178" t="s">
        <v>266</v>
      </c>
      <c r="G396" s="185" t="s">
        <v>417</v>
      </c>
      <c r="J396" s="520" t="str">
        <f t="shared" si="193"/>
        <v>EntryNationaal80</v>
      </c>
      <c r="L396" s="204">
        <f>INDEX(Mapping!$H:$H,MATCH(C$3&amp;C396,Mapping!$B:$B,0))</f>
        <v>1</v>
      </c>
      <c r="M396" s="204" t="str">
        <f>INDEX(Mapping!$H:$H,MATCH(D$3&amp;$D396,Mapping!$B:$B,0))</f>
        <v>EoK</v>
      </c>
      <c r="N396" s="204" t="str">
        <f>INDEX(Mapping!$H:$H,MATCH(E$3&amp;E396,Mapping!$B:$B,0))</f>
        <v>Lite</v>
      </c>
      <c r="O396" s="204" t="str">
        <f>INDEX(Mapping!$H:$H,MATCH(F$3&amp;F396,Mapping!$B:$B,0))</f>
        <v>Metro</v>
      </c>
      <c r="P396" s="204">
        <f>INDEX(Mapping!$H:$H,MATCH(G$3&amp;G396,Mapping!$B:$B,0))</f>
        <v>80</v>
      </c>
      <c r="Q396" s="204" t="str">
        <f>INDEX(Mapping!$H:$H,MATCH(Q$3&amp;$F396,Mapping!$B:$B,0))</f>
        <v>Metro - Nationaal</v>
      </c>
      <c r="R396" s="204" t="str">
        <f>INDEX(Mapping!$H:$H,MATCH("ZM VPN Service Level"&amp;E396,Mapping!$B:$B,0))</f>
        <v>Advanced</v>
      </c>
      <c r="S396" s="139" t="b">
        <f>IF($D396="EoK",INDEX(Mapping!$I:$I,MATCH($G$3&amp;$G396,Mapping!B:B,0)),FALSE)</f>
        <v>0</v>
      </c>
      <c r="T396" s="139"/>
      <c r="U396" s="520" t="str">
        <f t="shared" si="194"/>
        <v>LiteMetro80</v>
      </c>
      <c r="W396" s="521">
        <f>MATCH($J396,'Tarieven ZM'!$B:$B,0)</f>
        <v>58</v>
      </c>
      <c r="X396" s="204">
        <f>INDEX('Tarieven ZM'!$H:$H,$W396)</f>
        <v>1000</v>
      </c>
      <c r="Y396" s="198">
        <f>-INDEX(Parameters!$B:$B,MATCH(Y$3&amp;$C396,Parameters!$A:$A,0))*$X396</f>
        <v>0</v>
      </c>
      <c r="Z396" s="198">
        <f>-INDEX(Parameters!$B:$B,MATCH(Z$3&amp;$C396,Parameters!$A:$A,0))*$X396</f>
        <v>0</v>
      </c>
      <c r="AA396" s="139">
        <f t="shared" si="195"/>
        <v>1000</v>
      </c>
      <c r="AB396" s="205">
        <f>AA396/INDEX(Parameters!$B:$B,MATCH("AfschrijftermijnVVE"&amp;12*$C396,Parameters!$A:$A,0))</f>
        <v>20.833333333333332</v>
      </c>
      <c r="AC396" s="204">
        <f>INDEX('Tarieven ZM'!$G:$G,$W396)</f>
        <v>1000</v>
      </c>
      <c r="AD396" s="198">
        <f>-INDEX(Parameters!$B:$B,MATCH(AD$3&amp;$C396,Parameters!$A:$A,0))*$AC396</f>
        <v>0</v>
      </c>
      <c r="AE396" s="198">
        <f>-INDEX(Parameters!$B:$B,MATCH(AE$3,Parameters!$A:$A,0))*$AC396</f>
        <v>0</v>
      </c>
      <c r="AF396" s="139">
        <f t="shared" si="196"/>
        <v>1000</v>
      </c>
      <c r="AG396" s="522">
        <f t="shared" si="197"/>
        <v>1020.8333333333334</v>
      </c>
      <c r="AH396" s="175"/>
      <c r="AI396" s="523">
        <f>MATCH($U396,'Tarieven W&amp;O'!$B:$B,0)</f>
        <v>48</v>
      </c>
      <c r="AJ396" s="204">
        <f>IF(AI396&lt;&gt;"nvt",INDEX('Tarieven W&amp;O'!$H:$H,$AI396),0)</f>
        <v>0</v>
      </c>
      <c r="AK396" s="204">
        <f>IF(AI396&lt;&gt;"nvt",INDEX('Tarieven W&amp;O'!$I:$I,$AI396),0)</f>
        <v>25</v>
      </c>
      <c r="AL396" s="524">
        <f>IF(AI396&lt;&gt;"nvt",-INDEX(Parameters!$B:$B,MATCH(AL$3,Parameters!$A:$A,0))*(AJ396+AK396),0)</f>
        <v>0</v>
      </c>
      <c r="AM396" s="525"/>
      <c r="AN396" s="139">
        <f t="shared" si="198"/>
        <v>25</v>
      </c>
      <c r="AO396" s="205">
        <f>AN396/INDEX(Parameters!$B:$B,MATCH("AfschrijftermijnVVE"&amp;12*$C396,Parameters!$A:$A,0))</f>
        <v>0.52083333333333337</v>
      </c>
      <c r="AP396" s="139">
        <f t="shared" si="199"/>
        <v>48</v>
      </c>
      <c r="AQ396" s="526">
        <f>IF(AP396&lt;&gt;"nvt",INDEX('Tarieven W&amp;O'!$G:$G,$AP396),0)</f>
        <v>63.7</v>
      </c>
      <c r="AR396" s="251">
        <f>IF($S396,INDEX('Tarieven W&amp;O'!$G:$G,MATCH(N396&amp;R396,'Tarieven W&amp;O'!$B:$B,0)),0)</f>
        <v>0</v>
      </c>
      <c r="AS396" s="205">
        <f>-INDEX(Parameters!$B:$B,MATCH(AS$3,Parameters!$A:$A,0))*(AQ396+AR396)</f>
        <v>0</v>
      </c>
      <c r="AT396" s="205">
        <f>INDEX(hulpblad!$E:$E,MATCH(M396&amp;Q396,hulpblad!$B:$B,0))</f>
        <v>2</v>
      </c>
      <c r="AU396" s="150">
        <f t="shared" si="215"/>
        <v>65.7</v>
      </c>
      <c r="AV396" s="150">
        <f t="shared" si="216"/>
        <v>66.220833333333331</v>
      </c>
      <c r="AX396" s="526">
        <f>Parameters!$B$6*AV396</f>
        <v>0.66220833333333329</v>
      </c>
      <c r="AY396" s="150">
        <v>0</v>
      </c>
      <c r="AZ396" s="150"/>
      <c r="BA396" s="150">
        <f t="shared" si="202"/>
        <v>0.66220833333333329</v>
      </c>
      <c r="BB396" s="150"/>
      <c r="BC396" s="522">
        <f t="shared" si="203"/>
        <v>66.883041666666671</v>
      </c>
      <c r="BD396" s="175"/>
      <c r="BE396" s="527">
        <f t="shared" si="217"/>
        <v>953.95029166666666</v>
      </c>
      <c r="BF396" s="181">
        <f t="shared" si="218"/>
        <v>0.93448191836734684</v>
      </c>
      <c r="BG396" s="520" t="b">
        <f t="shared" si="206"/>
        <v>0</v>
      </c>
      <c r="BI396" s="528" t="s">
        <v>2181</v>
      </c>
      <c r="BL396" s="151" t="str">
        <f t="shared" si="220"/>
        <v>EoKMetro - Nationaal</v>
      </c>
      <c r="BM396" s="529">
        <v>0</v>
      </c>
      <c r="BN396" s="180">
        <f>BM396/INDEX(Parameters!$B:$B,MATCH("AfschrijftermijnVVE"&amp;12*$C396,Parameters!$A:$A,0))</f>
        <v>0</v>
      </c>
      <c r="BO396" s="184">
        <f>INDEX('inkoop ULL tbv EVPN'!I:I,MATCH(BL396,'inkoop ULL tbv EVPN'!H:H,0))</f>
        <v>2</v>
      </c>
      <c r="BP396" s="184">
        <f t="shared" si="221"/>
        <v>2</v>
      </c>
      <c r="BR396" s="180">
        <f>Parameters!$B$12*AG396</f>
        <v>102.08333333333334</v>
      </c>
      <c r="BS396" s="180">
        <f>SUM(Distributievergoedingen!$F$12,Distributievergoedingen!$I$12,Distributievergoedingen!$L$12,Distributievergoedingen!$O$12)*AF396+SUM(Distributievergoedingen!$O$12*AA396+Distributievergoedingen!$R$12+Distributievergoedingen!$U$12+Distributievergoedingen!$X$12)/(MAX(36,12*C396))</f>
        <v>112.08333333333333</v>
      </c>
      <c r="BT396" s="150"/>
      <c r="BU396" s="150">
        <f t="shared" si="222"/>
        <v>214.16666666666669</v>
      </c>
      <c r="BW396" s="522">
        <f t="shared" si="223"/>
        <v>216.16666666666669</v>
      </c>
      <c r="BY396" s="527">
        <f t="shared" si="224"/>
        <v>804.66666666666674</v>
      </c>
      <c r="BZ396" s="181">
        <f t="shared" si="225"/>
        <v>0.78824489795918373</v>
      </c>
      <c r="CA396" s="520" t="b">
        <f t="shared" si="226"/>
        <v>0</v>
      </c>
    </row>
    <row r="397" spans="1:79" s="151" customFormat="1">
      <c r="A397" s="151" t="str">
        <f t="shared" si="219"/>
        <v>4EoKEntryNationaal100</v>
      </c>
      <c r="B397" s="520" t="str">
        <f t="shared" si="214"/>
        <v>4EoKEntryNationaal100</v>
      </c>
      <c r="C397" s="179">
        <v>4</v>
      </c>
      <c r="D397" s="179" t="s">
        <v>303</v>
      </c>
      <c r="E397" s="178" t="s">
        <v>45</v>
      </c>
      <c r="F397" s="178" t="s">
        <v>266</v>
      </c>
      <c r="G397" s="185" t="s">
        <v>418</v>
      </c>
      <c r="J397" s="520" t="str">
        <f t="shared" ref="J397:J459" si="227">E397&amp;F397&amp;G397&amp;H397</f>
        <v>EntryNationaal100</v>
      </c>
      <c r="L397" s="204">
        <f>INDEX(Mapping!$H:$H,MATCH(C$3&amp;C397,Mapping!$B:$B,0))</f>
        <v>1</v>
      </c>
      <c r="M397" s="204" t="str">
        <f>INDEX(Mapping!$H:$H,MATCH(D$3&amp;$D397,Mapping!$B:$B,0))</f>
        <v>EoK</v>
      </c>
      <c r="N397" s="204" t="str">
        <f>INDEX(Mapping!$H:$H,MATCH(E$3&amp;E397,Mapping!$B:$B,0))</f>
        <v>Lite</v>
      </c>
      <c r="O397" s="204" t="str">
        <f>INDEX(Mapping!$H:$H,MATCH(F$3&amp;F397,Mapping!$B:$B,0))</f>
        <v>Metro</v>
      </c>
      <c r="P397" s="204">
        <f>INDEX(Mapping!$H:$H,MATCH(G$3&amp;G397,Mapping!$B:$B,0))</f>
        <v>100</v>
      </c>
      <c r="Q397" s="204" t="str">
        <f>INDEX(Mapping!$H:$H,MATCH(Q$3&amp;$F397,Mapping!$B:$B,0))</f>
        <v>Metro - Nationaal</v>
      </c>
      <c r="R397" s="204" t="str">
        <f>INDEX(Mapping!$H:$H,MATCH("ZM VPN Service Level"&amp;E397,Mapping!$B:$B,0))</f>
        <v>Advanced</v>
      </c>
      <c r="S397" s="139" t="b">
        <f>IF($D397="EoK",INDEX(Mapping!$I:$I,MATCH($G$3&amp;$G397,Mapping!B:B,0)),FALSE)</f>
        <v>0</v>
      </c>
      <c r="T397" s="139"/>
      <c r="U397" s="520" t="str">
        <f t="shared" ref="U397:U459" si="228">N397&amp;O397&amp;P397</f>
        <v>LiteMetro100</v>
      </c>
      <c r="W397" s="521">
        <f>MATCH($J397,'Tarieven ZM'!$B:$B,0)</f>
        <v>59</v>
      </c>
      <c r="X397" s="204">
        <f>INDEX('Tarieven ZM'!$H:$H,$W397)</f>
        <v>1000</v>
      </c>
      <c r="Y397" s="198">
        <f>-INDEX(Parameters!$B:$B,MATCH(Y$3&amp;$C397,Parameters!$A:$A,0))*$X397</f>
        <v>0</v>
      </c>
      <c r="Z397" s="198">
        <f>-INDEX(Parameters!$B:$B,MATCH(Z$3&amp;$C397,Parameters!$A:$A,0))*$X397</f>
        <v>0</v>
      </c>
      <c r="AA397" s="139">
        <f t="shared" si="195"/>
        <v>1000</v>
      </c>
      <c r="AB397" s="205">
        <f>AA397/INDEX(Parameters!$B:$B,MATCH("AfschrijftermijnVVE"&amp;12*$C397,Parameters!$A:$A,0))</f>
        <v>20.833333333333332</v>
      </c>
      <c r="AC397" s="204">
        <f>INDEX('Tarieven ZM'!$G:$G,$W397)</f>
        <v>1000</v>
      </c>
      <c r="AD397" s="198">
        <f>-INDEX(Parameters!$B:$B,MATCH(AD$3&amp;$C397,Parameters!$A:$A,0))*$AC397</f>
        <v>0</v>
      </c>
      <c r="AE397" s="198">
        <f>-INDEX(Parameters!$B:$B,MATCH(AE$3,Parameters!$A:$A,0))*$AC397</f>
        <v>0</v>
      </c>
      <c r="AF397" s="139">
        <f t="shared" si="196"/>
        <v>1000</v>
      </c>
      <c r="AG397" s="522">
        <f t="shared" si="197"/>
        <v>1020.8333333333334</v>
      </c>
      <c r="AH397" s="175"/>
      <c r="AI397" s="523">
        <f>MATCH($U397,'Tarieven W&amp;O'!$B:$B,0)</f>
        <v>49</v>
      </c>
      <c r="AJ397" s="204">
        <f>IF(AI397&lt;&gt;"nvt",INDEX('Tarieven W&amp;O'!$H:$H,$AI397),0)</f>
        <v>0</v>
      </c>
      <c r="AK397" s="204">
        <f>IF(AI397&lt;&gt;"nvt",INDEX('Tarieven W&amp;O'!$I:$I,$AI397),0)</f>
        <v>25</v>
      </c>
      <c r="AL397" s="524">
        <f>IF(AI397&lt;&gt;"nvt",-INDEX(Parameters!$B:$B,MATCH(AL$3,Parameters!$A:$A,0))*(AJ397+AK397),0)</f>
        <v>0</v>
      </c>
      <c r="AM397" s="525"/>
      <c r="AN397" s="139">
        <f t="shared" si="198"/>
        <v>25</v>
      </c>
      <c r="AO397" s="205">
        <f>AN397/INDEX(Parameters!$B:$B,MATCH("AfschrijftermijnVVE"&amp;12*$C397,Parameters!$A:$A,0))</f>
        <v>0.52083333333333337</v>
      </c>
      <c r="AP397" s="139">
        <f t="shared" si="199"/>
        <v>49</v>
      </c>
      <c r="AQ397" s="526">
        <f>IF(AP397&lt;&gt;"nvt",INDEX('Tarieven W&amp;O'!$G:$G,$AP397),0)</f>
        <v>71.239999999999995</v>
      </c>
      <c r="AR397" s="251">
        <f>IF($S397,INDEX('Tarieven W&amp;O'!$G:$G,MATCH(N397&amp;R397,'Tarieven W&amp;O'!$B:$B,0)),0)</f>
        <v>0</v>
      </c>
      <c r="AS397" s="205">
        <f>-INDEX(Parameters!$B:$B,MATCH(AS$3,Parameters!$A:$A,0))*(AQ397+AR397)</f>
        <v>0</v>
      </c>
      <c r="AT397" s="205">
        <f>INDEX(hulpblad!$E:$E,MATCH(M397&amp;Q397,hulpblad!$B:$B,0))</f>
        <v>2</v>
      </c>
      <c r="AU397" s="150">
        <f t="shared" si="215"/>
        <v>73.239999999999995</v>
      </c>
      <c r="AV397" s="150">
        <f t="shared" si="216"/>
        <v>73.760833333333323</v>
      </c>
      <c r="AX397" s="526">
        <f>Parameters!$B$6*AV397</f>
        <v>0.7376083333333332</v>
      </c>
      <c r="AY397" s="150">
        <v>0</v>
      </c>
      <c r="AZ397" s="150"/>
      <c r="BA397" s="150">
        <f t="shared" si="202"/>
        <v>0.7376083333333332</v>
      </c>
      <c r="BB397" s="150"/>
      <c r="BC397" s="522">
        <f t="shared" si="203"/>
        <v>74.49844166666665</v>
      </c>
      <c r="BD397" s="175"/>
      <c r="BE397" s="527">
        <f t="shared" si="217"/>
        <v>946.33489166666675</v>
      </c>
      <c r="BF397" s="181">
        <f t="shared" si="218"/>
        <v>0.92702193469387761</v>
      </c>
      <c r="BG397" s="520" t="b">
        <f t="shared" ref="BG397:BG459" si="229">BF397&lt;0</f>
        <v>0</v>
      </c>
      <c r="BI397" s="528" t="s">
        <v>2181</v>
      </c>
      <c r="BL397" s="151" t="str">
        <f t="shared" si="220"/>
        <v>EoKMetro - Nationaal</v>
      </c>
      <c r="BM397" s="529">
        <v>0</v>
      </c>
      <c r="BN397" s="180">
        <f>BM397/INDEX(Parameters!$B:$B,MATCH("AfschrijftermijnVVE"&amp;12*$C397,Parameters!$A:$A,0))</f>
        <v>0</v>
      </c>
      <c r="BO397" s="184">
        <f>INDEX('inkoop ULL tbv EVPN'!I:I,MATCH(BL397,'inkoop ULL tbv EVPN'!H:H,0))</f>
        <v>2</v>
      </c>
      <c r="BP397" s="184">
        <f t="shared" si="221"/>
        <v>2</v>
      </c>
      <c r="BR397" s="180">
        <f>Parameters!$B$12*AG397</f>
        <v>102.08333333333334</v>
      </c>
      <c r="BS397" s="180">
        <f>SUM(Distributievergoedingen!$F$12,Distributievergoedingen!$I$12,Distributievergoedingen!$L$12,Distributievergoedingen!$O$12)*AF397+SUM(Distributievergoedingen!$O$12*AA397+Distributievergoedingen!$R$12+Distributievergoedingen!$U$12+Distributievergoedingen!$X$12)/(MAX(36,12*C397))</f>
        <v>112.08333333333333</v>
      </c>
      <c r="BT397" s="150"/>
      <c r="BU397" s="150">
        <f t="shared" si="222"/>
        <v>214.16666666666669</v>
      </c>
      <c r="BW397" s="522">
        <f t="shared" si="223"/>
        <v>216.16666666666669</v>
      </c>
      <c r="BY397" s="527">
        <f t="shared" si="224"/>
        <v>804.66666666666674</v>
      </c>
      <c r="BZ397" s="181">
        <f t="shared" si="225"/>
        <v>0.78824489795918373</v>
      </c>
      <c r="CA397" s="520" t="b">
        <f t="shared" si="226"/>
        <v>0</v>
      </c>
    </row>
    <row r="398" spans="1:79" s="151" customFormat="1">
      <c r="A398" s="151" t="str">
        <f t="shared" si="219"/>
        <v>4EoKEntryNationaal200</v>
      </c>
      <c r="B398" s="520" t="str">
        <f t="shared" si="214"/>
        <v>4EoKEntryNationaal200</v>
      </c>
      <c r="C398" s="179">
        <v>4</v>
      </c>
      <c r="D398" s="179" t="s">
        <v>303</v>
      </c>
      <c r="E398" s="178" t="s">
        <v>45</v>
      </c>
      <c r="F398" s="178" t="s">
        <v>266</v>
      </c>
      <c r="G398" s="185" t="s">
        <v>419</v>
      </c>
      <c r="J398" s="520" t="str">
        <f t="shared" si="227"/>
        <v>EntryNationaal200</v>
      </c>
      <c r="L398" s="204">
        <f>INDEX(Mapping!$H:$H,MATCH(C$3&amp;C398,Mapping!$B:$B,0))</f>
        <v>1</v>
      </c>
      <c r="M398" s="204" t="str">
        <f>INDEX(Mapping!$H:$H,MATCH(D$3&amp;$D398,Mapping!$B:$B,0))</f>
        <v>EoK</v>
      </c>
      <c r="N398" s="204" t="str">
        <f>INDEX(Mapping!$H:$H,MATCH(E$3&amp;E398,Mapping!$B:$B,0))</f>
        <v>Lite</v>
      </c>
      <c r="O398" s="204" t="str">
        <f>INDEX(Mapping!$H:$H,MATCH(F$3&amp;F398,Mapping!$B:$B,0))</f>
        <v>Metro</v>
      </c>
      <c r="P398" s="204">
        <f>INDEX(Mapping!$H:$H,MATCH(G$3&amp;G398,Mapping!$B:$B,0))</f>
        <v>200</v>
      </c>
      <c r="Q398" s="204" t="str">
        <f>INDEX(Mapping!$H:$H,MATCH(Q$3&amp;$F398,Mapping!$B:$B,0))</f>
        <v>Metro - Nationaal</v>
      </c>
      <c r="R398" s="204" t="str">
        <f>INDEX(Mapping!$H:$H,MATCH("ZM VPN Service Level"&amp;E398,Mapping!$B:$B,0))</f>
        <v>Advanced</v>
      </c>
      <c r="S398" s="139" t="b">
        <f>IF($D398="EoK",INDEX(Mapping!$I:$I,MATCH($G$3&amp;$G398,Mapping!B:B,0)),FALSE)</f>
        <v>0</v>
      </c>
      <c r="T398" s="139"/>
      <c r="U398" s="520" t="str">
        <f t="shared" si="228"/>
        <v>LiteMetro200</v>
      </c>
      <c r="W398" s="521">
        <f>MATCH($J398,'Tarieven ZM'!$B:$B,0)</f>
        <v>60</v>
      </c>
      <c r="X398" s="204">
        <f>INDEX('Tarieven ZM'!$H:$H,$W398)</f>
        <v>1000</v>
      </c>
      <c r="Y398" s="198">
        <f>-INDEX(Parameters!$B:$B,MATCH(Y$3&amp;$C398,Parameters!$A:$A,0))*$X398</f>
        <v>0</v>
      </c>
      <c r="Z398" s="198">
        <f>-INDEX(Parameters!$B:$B,MATCH(Z$3&amp;$C398,Parameters!$A:$A,0))*$X398</f>
        <v>0</v>
      </c>
      <c r="AA398" s="139">
        <f t="shared" si="195"/>
        <v>1000</v>
      </c>
      <c r="AB398" s="205">
        <f>AA398/INDEX(Parameters!$B:$B,MATCH("AfschrijftermijnVVE"&amp;12*$C398,Parameters!$A:$A,0))</f>
        <v>20.833333333333332</v>
      </c>
      <c r="AC398" s="204">
        <f>INDEX('Tarieven ZM'!$G:$G,$W398)</f>
        <v>1000</v>
      </c>
      <c r="AD398" s="198">
        <f>-INDEX(Parameters!$B:$B,MATCH(AD$3&amp;$C398,Parameters!$A:$A,0))*$AC398</f>
        <v>0</v>
      </c>
      <c r="AE398" s="198">
        <f>-INDEX(Parameters!$B:$B,MATCH(AE$3,Parameters!$A:$A,0))*$AC398</f>
        <v>0</v>
      </c>
      <c r="AF398" s="139">
        <f t="shared" si="196"/>
        <v>1000</v>
      </c>
      <c r="AG398" s="522">
        <f t="shared" si="197"/>
        <v>1020.8333333333334</v>
      </c>
      <c r="AH398" s="175"/>
      <c r="AI398" s="523">
        <f>MATCH($U398,'Tarieven W&amp;O'!$B:$B,0)</f>
        <v>50</v>
      </c>
      <c r="AJ398" s="204">
        <f>IF(AI398&lt;&gt;"nvt",INDEX('Tarieven W&amp;O'!$H:$H,$AI398),0)</f>
        <v>0</v>
      </c>
      <c r="AK398" s="204">
        <f>IF(AI398&lt;&gt;"nvt",INDEX('Tarieven W&amp;O'!$I:$I,$AI398),0)</f>
        <v>25</v>
      </c>
      <c r="AL398" s="524">
        <f>IF(AI398&lt;&gt;"nvt",-INDEX(Parameters!$B:$B,MATCH(AL$3,Parameters!$A:$A,0))*(AJ398+AK398),0)</f>
        <v>0</v>
      </c>
      <c r="AM398" s="525"/>
      <c r="AN398" s="139">
        <f t="shared" si="198"/>
        <v>25</v>
      </c>
      <c r="AO398" s="205">
        <f>AN398/INDEX(Parameters!$B:$B,MATCH("AfschrijftermijnVVE"&amp;12*$C398,Parameters!$A:$A,0))</f>
        <v>0.52083333333333337</v>
      </c>
      <c r="AP398" s="139">
        <f t="shared" si="199"/>
        <v>50</v>
      </c>
      <c r="AQ398" s="526">
        <f>IF(AP398&lt;&gt;"nvt",INDEX('Tarieven W&amp;O'!$G:$G,$AP398),0)</f>
        <v>108.93</v>
      </c>
      <c r="AR398" s="251">
        <f>IF($S398,INDEX('Tarieven W&amp;O'!$G:$G,MATCH(N398&amp;R398,'Tarieven W&amp;O'!$B:$B,0)),0)</f>
        <v>0</v>
      </c>
      <c r="AS398" s="205">
        <f>-INDEX(Parameters!$B:$B,MATCH(AS$3,Parameters!$A:$A,0))*(AQ398+AR398)</f>
        <v>0</v>
      </c>
      <c r="AT398" s="205">
        <f>INDEX(hulpblad!$E:$E,MATCH(M398&amp;Q398,hulpblad!$B:$B,0))</f>
        <v>2</v>
      </c>
      <c r="AU398" s="150">
        <f t="shared" si="215"/>
        <v>110.93</v>
      </c>
      <c r="AV398" s="150">
        <f t="shared" si="216"/>
        <v>111.45083333333334</v>
      </c>
      <c r="AX398" s="526">
        <f>Parameters!$B$6*AV398</f>
        <v>1.1145083333333334</v>
      </c>
      <c r="AY398" s="150">
        <v>0</v>
      </c>
      <c r="AZ398" s="150"/>
      <c r="BA398" s="150">
        <f t="shared" si="202"/>
        <v>1.1145083333333334</v>
      </c>
      <c r="BB398" s="150"/>
      <c r="BC398" s="522">
        <f t="shared" si="203"/>
        <v>112.56534166666667</v>
      </c>
      <c r="BD398" s="175"/>
      <c r="BE398" s="527">
        <f t="shared" si="217"/>
        <v>908.26799166666672</v>
      </c>
      <c r="BF398" s="181">
        <f t="shared" si="218"/>
        <v>0.8897319102040816</v>
      </c>
      <c r="BG398" s="520" t="b">
        <f t="shared" si="229"/>
        <v>0</v>
      </c>
      <c r="BI398" s="528" t="s">
        <v>2181</v>
      </c>
      <c r="BL398" s="151" t="str">
        <f t="shared" si="220"/>
        <v>EoKMetro - Nationaal</v>
      </c>
      <c r="BM398" s="529">
        <v>0</v>
      </c>
      <c r="BN398" s="180">
        <f>BM398/INDEX(Parameters!$B:$B,MATCH("AfschrijftermijnVVE"&amp;12*$C398,Parameters!$A:$A,0))</f>
        <v>0</v>
      </c>
      <c r="BO398" s="184">
        <f>INDEX('inkoop ULL tbv EVPN'!I:I,MATCH(BL398,'inkoop ULL tbv EVPN'!H:H,0))</f>
        <v>2</v>
      </c>
      <c r="BP398" s="184">
        <f t="shared" si="221"/>
        <v>2</v>
      </c>
      <c r="BR398" s="180">
        <f>Parameters!$B$12*AG398</f>
        <v>102.08333333333334</v>
      </c>
      <c r="BS398" s="180">
        <f>SUM(Distributievergoedingen!$F$12,Distributievergoedingen!$I$12,Distributievergoedingen!$L$12,Distributievergoedingen!$O$12)*AF398+SUM(Distributievergoedingen!$O$12*AA398+Distributievergoedingen!$R$12+Distributievergoedingen!$U$12+Distributievergoedingen!$X$12)/(MAX(36,12*C398))</f>
        <v>112.08333333333333</v>
      </c>
      <c r="BT398" s="150"/>
      <c r="BU398" s="150">
        <f t="shared" si="222"/>
        <v>214.16666666666669</v>
      </c>
      <c r="BW398" s="522">
        <f t="shared" si="223"/>
        <v>216.16666666666669</v>
      </c>
      <c r="BY398" s="527">
        <f t="shared" si="224"/>
        <v>804.66666666666674</v>
      </c>
      <c r="BZ398" s="181">
        <f t="shared" si="225"/>
        <v>0.78824489795918373</v>
      </c>
      <c r="CA398" s="520" t="b">
        <f t="shared" si="226"/>
        <v>0</v>
      </c>
    </row>
    <row r="399" spans="1:79" s="151" customFormat="1">
      <c r="A399" s="151" t="str">
        <f t="shared" si="219"/>
        <v>4EoKEntryNationaal300</v>
      </c>
      <c r="B399" s="520" t="str">
        <f t="shared" si="214"/>
        <v>4EoKEntryNationaal300</v>
      </c>
      <c r="C399" s="179">
        <v>4</v>
      </c>
      <c r="D399" s="179" t="s">
        <v>303</v>
      </c>
      <c r="E399" s="178" t="s">
        <v>45</v>
      </c>
      <c r="F399" s="178" t="s">
        <v>266</v>
      </c>
      <c r="G399" s="185" t="s">
        <v>420</v>
      </c>
      <c r="J399" s="520" t="str">
        <f t="shared" si="227"/>
        <v>EntryNationaal300</v>
      </c>
      <c r="L399" s="204">
        <f>INDEX(Mapping!$H:$H,MATCH(C$3&amp;C399,Mapping!$B:$B,0))</f>
        <v>1</v>
      </c>
      <c r="M399" s="204" t="str">
        <f>INDEX(Mapping!$H:$H,MATCH(D$3&amp;$D399,Mapping!$B:$B,0))</f>
        <v>EoK</v>
      </c>
      <c r="N399" s="204" t="str">
        <f>INDEX(Mapping!$H:$H,MATCH(E$3&amp;E399,Mapping!$B:$B,0))</f>
        <v>Lite</v>
      </c>
      <c r="O399" s="204" t="str">
        <f>INDEX(Mapping!$H:$H,MATCH(F$3&amp;F399,Mapping!$B:$B,0))</f>
        <v>Metro</v>
      </c>
      <c r="P399" s="204">
        <f>INDEX(Mapping!$H:$H,MATCH(G$3&amp;G399,Mapping!$B:$B,0))</f>
        <v>300</v>
      </c>
      <c r="Q399" s="204" t="str">
        <f>INDEX(Mapping!$H:$H,MATCH(Q$3&amp;$F399,Mapping!$B:$B,0))</f>
        <v>Metro - Nationaal</v>
      </c>
      <c r="R399" s="204" t="str">
        <f>INDEX(Mapping!$H:$H,MATCH("ZM VPN Service Level"&amp;E399,Mapping!$B:$B,0))</f>
        <v>Advanced</v>
      </c>
      <c r="S399" s="139" t="b">
        <f>IF($D399="EoK",INDEX(Mapping!$I:$I,MATCH($G$3&amp;$G399,Mapping!B:B,0)),FALSE)</f>
        <v>0</v>
      </c>
      <c r="T399" s="139"/>
      <c r="U399" s="520" t="str">
        <f t="shared" si="228"/>
        <v>LiteMetro300</v>
      </c>
      <c r="W399" s="521">
        <f>MATCH($J399,'Tarieven ZM'!$B:$B,0)</f>
        <v>61</v>
      </c>
      <c r="X399" s="204">
        <f>INDEX('Tarieven ZM'!$H:$H,$W399)</f>
        <v>1000</v>
      </c>
      <c r="Y399" s="198">
        <f>-INDEX(Parameters!$B:$B,MATCH(Y$3&amp;$C399,Parameters!$A:$A,0))*$X399</f>
        <v>0</v>
      </c>
      <c r="Z399" s="198">
        <f>-INDEX(Parameters!$B:$B,MATCH(Z$3&amp;$C399,Parameters!$A:$A,0))*$X399</f>
        <v>0</v>
      </c>
      <c r="AA399" s="139">
        <f t="shared" si="195"/>
        <v>1000</v>
      </c>
      <c r="AB399" s="205">
        <f>AA399/INDEX(Parameters!$B:$B,MATCH("AfschrijftermijnVVE"&amp;12*$C399,Parameters!$A:$A,0))</f>
        <v>20.833333333333332</v>
      </c>
      <c r="AC399" s="204">
        <f>INDEX('Tarieven ZM'!$G:$G,$W399)</f>
        <v>1000</v>
      </c>
      <c r="AD399" s="198">
        <f>-INDEX(Parameters!$B:$B,MATCH(AD$3&amp;$C399,Parameters!$A:$A,0))*$AC399</f>
        <v>0</v>
      </c>
      <c r="AE399" s="198">
        <f>-INDEX(Parameters!$B:$B,MATCH(AE$3,Parameters!$A:$A,0))*$AC399</f>
        <v>0</v>
      </c>
      <c r="AF399" s="139">
        <f t="shared" si="196"/>
        <v>1000</v>
      </c>
      <c r="AG399" s="522">
        <f t="shared" si="197"/>
        <v>1020.8333333333334</v>
      </c>
      <c r="AH399" s="175"/>
      <c r="AI399" s="523">
        <f>MATCH($U399,'Tarieven W&amp;O'!$B:$B,0)</f>
        <v>51</v>
      </c>
      <c r="AJ399" s="204">
        <f>IF(AI399&lt;&gt;"nvt",INDEX('Tarieven W&amp;O'!$H:$H,$AI399),0)</f>
        <v>0</v>
      </c>
      <c r="AK399" s="204">
        <f>IF(AI399&lt;&gt;"nvt",INDEX('Tarieven W&amp;O'!$I:$I,$AI399),0)</f>
        <v>25</v>
      </c>
      <c r="AL399" s="524">
        <f>IF(AI399&lt;&gt;"nvt",-INDEX(Parameters!$B:$B,MATCH(AL$3,Parameters!$A:$A,0))*(AJ399+AK399),0)</f>
        <v>0</v>
      </c>
      <c r="AM399" s="525"/>
      <c r="AN399" s="139">
        <f t="shared" si="198"/>
        <v>25</v>
      </c>
      <c r="AO399" s="205">
        <f>AN399/INDEX(Parameters!$B:$B,MATCH("AfschrijftermijnVVE"&amp;12*$C399,Parameters!$A:$A,0))</f>
        <v>0.52083333333333337</v>
      </c>
      <c r="AP399" s="139">
        <f t="shared" si="199"/>
        <v>51</v>
      </c>
      <c r="AQ399" s="526">
        <f>IF(AP399&lt;&gt;"nvt",INDEX('Tarieven W&amp;O'!$G:$G,$AP399),0)</f>
        <v>127.77</v>
      </c>
      <c r="AR399" s="251">
        <f>IF($S399,INDEX('Tarieven W&amp;O'!$G:$G,MATCH(N399&amp;R399,'Tarieven W&amp;O'!$B:$B,0)),0)</f>
        <v>0</v>
      </c>
      <c r="AS399" s="205">
        <f>-INDEX(Parameters!$B:$B,MATCH(AS$3,Parameters!$A:$A,0))*(AQ399+AR399)</f>
        <v>0</v>
      </c>
      <c r="AT399" s="205">
        <f>INDEX(hulpblad!$E:$E,MATCH(M399&amp;Q399,hulpblad!$B:$B,0))</f>
        <v>2</v>
      </c>
      <c r="AU399" s="150">
        <f t="shared" si="215"/>
        <v>129.76999999999998</v>
      </c>
      <c r="AV399" s="150">
        <f t="shared" si="216"/>
        <v>130.29083333333332</v>
      </c>
      <c r="AX399" s="526">
        <f>Parameters!$B$6*AV399</f>
        <v>1.3029083333333333</v>
      </c>
      <c r="AY399" s="150">
        <v>0</v>
      </c>
      <c r="AZ399" s="150"/>
      <c r="BA399" s="150">
        <f t="shared" si="202"/>
        <v>1.3029083333333333</v>
      </c>
      <c r="BB399" s="150"/>
      <c r="BC399" s="522">
        <f t="shared" si="203"/>
        <v>131.59374166666666</v>
      </c>
      <c r="BD399" s="175"/>
      <c r="BE399" s="527">
        <f t="shared" si="217"/>
        <v>889.23959166666668</v>
      </c>
      <c r="BF399" s="181">
        <f t="shared" si="218"/>
        <v>0.87109184489795921</v>
      </c>
      <c r="BG399" s="520" t="b">
        <f t="shared" si="229"/>
        <v>0</v>
      </c>
      <c r="BI399" s="528" t="s">
        <v>2181</v>
      </c>
      <c r="BL399" s="151" t="str">
        <f t="shared" si="220"/>
        <v>EoKMetro - Nationaal</v>
      </c>
      <c r="BM399" s="529">
        <v>0</v>
      </c>
      <c r="BN399" s="180">
        <f>BM399/INDEX(Parameters!$B:$B,MATCH("AfschrijftermijnVVE"&amp;12*$C399,Parameters!$A:$A,0))</f>
        <v>0</v>
      </c>
      <c r="BO399" s="184">
        <f>INDEX('inkoop ULL tbv EVPN'!I:I,MATCH(BL399,'inkoop ULL tbv EVPN'!H:H,0))</f>
        <v>2</v>
      </c>
      <c r="BP399" s="184">
        <f t="shared" si="221"/>
        <v>2</v>
      </c>
      <c r="BR399" s="180">
        <f>Parameters!$B$12*AG399</f>
        <v>102.08333333333334</v>
      </c>
      <c r="BS399" s="180">
        <f>SUM(Distributievergoedingen!$F$12,Distributievergoedingen!$I$12,Distributievergoedingen!$L$12,Distributievergoedingen!$O$12)*AF399+SUM(Distributievergoedingen!$O$12*AA399+Distributievergoedingen!$R$12+Distributievergoedingen!$U$12+Distributievergoedingen!$X$12)/(MAX(36,12*C399))</f>
        <v>112.08333333333333</v>
      </c>
      <c r="BT399" s="150"/>
      <c r="BU399" s="150">
        <f t="shared" si="222"/>
        <v>214.16666666666669</v>
      </c>
      <c r="BW399" s="522">
        <f t="shared" si="223"/>
        <v>216.16666666666669</v>
      </c>
      <c r="BY399" s="527">
        <f t="shared" si="224"/>
        <v>804.66666666666674</v>
      </c>
      <c r="BZ399" s="181">
        <f t="shared" si="225"/>
        <v>0.78824489795918373</v>
      </c>
      <c r="CA399" s="520" t="b">
        <f t="shared" si="226"/>
        <v>0</v>
      </c>
    </row>
    <row r="400" spans="1:79" s="151" customFormat="1">
      <c r="A400" s="151" t="str">
        <f t="shared" si="219"/>
        <v>4EoKEntryNationaal500</v>
      </c>
      <c r="B400" s="520" t="str">
        <f t="shared" si="214"/>
        <v>4EoKEntryNationaal500</v>
      </c>
      <c r="C400" s="179">
        <v>4</v>
      </c>
      <c r="D400" s="179" t="s">
        <v>303</v>
      </c>
      <c r="E400" s="178" t="s">
        <v>45</v>
      </c>
      <c r="F400" s="178" t="s">
        <v>266</v>
      </c>
      <c r="G400" s="185" t="s">
        <v>421</v>
      </c>
      <c r="J400" s="520" t="str">
        <f t="shared" si="227"/>
        <v>EntryNationaal500</v>
      </c>
      <c r="L400" s="204">
        <f>INDEX(Mapping!$H:$H,MATCH(C$3&amp;C400,Mapping!$B:$B,0))</f>
        <v>1</v>
      </c>
      <c r="M400" s="204" t="str">
        <f>INDEX(Mapping!$H:$H,MATCH(D$3&amp;$D400,Mapping!$B:$B,0))</f>
        <v>EoK</v>
      </c>
      <c r="N400" s="204" t="str">
        <f>INDEX(Mapping!$H:$H,MATCH(E$3&amp;E400,Mapping!$B:$B,0))</f>
        <v>Lite</v>
      </c>
      <c r="O400" s="204" t="str">
        <f>INDEX(Mapping!$H:$H,MATCH(F$3&amp;F400,Mapping!$B:$B,0))</f>
        <v>Metro</v>
      </c>
      <c r="P400" s="204">
        <f>INDEX(Mapping!$H:$H,MATCH(G$3&amp;G400,Mapping!$B:$B,0))</f>
        <v>500</v>
      </c>
      <c r="Q400" s="204" t="str">
        <f>INDEX(Mapping!$H:$H,MATCH(Q$3&amp;$F400,Mapping!$B:$B,0))</f>
        <v>Metro - Nationaal</v>
      </c>
      <c r="R400" s="204" t="str">
        <f>INDEX(Mapping!$H:$H,MATCH("ZM VPN Service Level"&amp;E400,Mapping!$B:$B,0))</f>
        <v>Advanced</v>
      </c>
      <c r="S400" s="139" t="b">
        <f>IF($D400="EoK",INDEX(Mapping!$I:$I,MATCH($G$3&amp;$G400,Mapping!B:B,0)),FALSE)</f>
        <v>0</v>
      </c>
      <c r="T400" s="139"/>
      <c r="U400" s="520" t="str">
        <f t="shared" si="228"/>
        <v>LiteMetro500</v>
      </c>
      <c r="W400" s="521">
        <f>MATCH($J400,'Tarieven ZM'!$B:$B,0)</f>
        <v>62</v>
      </c>
      <c r="X400" s="204">
        <f>INDEX('Tarieven ZM'!$H:$H,$W400)</f>
        <v>1000</v>
      </c>
      <c r="Y400" s="198">
        <f>-INDEX(Parameters!$B:$B,MATCH(Y$3&amp;$C400,Parameters!$A:$A,0))*$X400</f>
        <v>0</v>
      </c>
      <c r="Z400" s="198">
        <f>-INDEX(Parameters!$B:$B,MATCH(Z$3&amp;$C400,Parameters!$A:$A,0))*$X400</f>
        <v>0</v>
      </c>
      <c r="AA400" s="139">
        <f t="shared" si="195"/>
        <v>1000</v>
      </c>
      <c r="AB400" s="205">
        <f>AA400/INDEX(Parameters!$B:$B,MATCH("AfschrijftermijnVVE"&amp;12*$C400,Parameters!$A:$A,0))</f>
        <v>20.833333333333332</v>
      </c>
      <c r="AC400" s="204">
        <f>INDEX('Tarieven ZM'!$G:$G,$W400)</f>
        <v>1000</v>
      </c>
      <c r="AD400" s="198">
        <f>-INDEX(Parameters!$B:$B,MATCH(AD$3&amp;$C400,Parameters!$A:$A,0))*$AC400</f>
        <v>0</v>
      </c>
      <c r="AE400" s="198">
        <f>-INDEX(Parameters!$B:$B,MATCH(AE$3,Parameters!$A:$A,0))*$AC400</f>
        <v>0</v>
      </c>
      <c r="AF400" s="139">
        <f t="shared" si="196"/>
        <v>1000</v>
      </c>
      <c r="AG400" s="522">
        <f t="shared" si="197"/>
        <v>1020.8333333333334</v>
      </c>
      <c r="AH400" s="175"/>
      <c r="AI400" s="523">
        <f>MATCH($U400,'Tarieven W&amp;O'!$B:$B,0)</f>
        <v>52</v>
      </c>
      <c r="AJ400" s="204">
        <f>IF(AI400&lt;&gt;"nvt",INDEX('Tarieven W&amp;O'!$H:$H,$AI400),0)</f>
        <v>0</v>
      </c>
      <c r="AK400" s="204">
        <f>IF(AI400&lt;&gt;"nvt",INDEX('Tarieven W&amp;O'!$I:$I,$AI400),0)</f>
        <v>25</v>
      </c>
      <c r="AL400" s="524">
        <f>IF(AI400&lt;&gt;"nvt",-INDEX(Parameters!$B:$B,MATCH(AL$3,Parameters!$A:$A,0))*(AJ400+AK400),0)</f>
        <v>0</v>
      </c>
      <c r="AM400" s="525"/>
      <c r="AN400" s="139">
        <f t="shared" si="198"/>
        <v>25</v>
      </c>
      <c r="AO400" s="205">
        <f>AN400/INDEX(Parameters!$B:$B,MATCH("AfschrijftermijnVVE"&amp;12*$C400,Parameters!$A:$A,0))</f>
        <v>0.52083333333333337</v>
      </c>
      <c r="AP400" s="139">
        <f t="shared" si="199"/>
        <v>52</v>
      </c>
      <c r="AQ400" s="526">
        <f>IF(AP400&lt;&gt;"nvt",INDEX('Tarieven W&amp;O'!$G:$G,$AP400),0)</f>
        <v>161.69</v>
      </c>
      <c r="AR400" s="251">
        <f>IF($S400,INDEX('Tarieven W&amp;O'!$G:$G,MATCH(N400&amp;R400,'Tarieven W&amp;O'!$B:$B,0)),0)</f>
        <v>0</v>
      </c>
      <c r="AS400" s="205">
        <f>-INDEX(Parameters!$B:$B,MATCH(AS$3,Parameters!$A:$A,0))*(AQ400+AR400)</f>
        <v>0</v>
      </c>
      <c r="AT400" s="205">
        <f>INDEX(hulpblad!$E:$E,MATCH(M400&amp;Q400,hulpblad!$B:$B,0))</f>
        <v>2</v>
      </c>
      <c r="AU400" s="150">
        <f t="shared" si="215"/>
        <v>163.69</v>
      </c>
      <c r="AV400" s="150">
        <f t="shared" si="216"/>
        <v>164.21083333333334</v>
      </c>
      <c r="AX400" s="526">
        <f>Parameters!$B$6*AV400</f>
        <v>1.6421083333333335</v>
      </c>
      <c r="AY400" s="150">
        <v>0</v>
      </c>
      <c r="AZ400" s="150"/>
      <c r="BA400" s="150">
        <f t="shared" si="202"/>
        <v>1.6421083333333335</v>
      </c>
      <c r="BB400" s="150"/>
      <c r="BC400" s="522">
        <f t="shared" si="203"/>
        <v>165.85294166666668</v>
      </c>
      <c r="BD400" s="175"/>
      <c r="BE400" s="527">
        <f t="shared" si="217"/>
        <v>854.98039166666672</v>
      </c>
      <c r="BF400" s="181">
        <f t="shared" si="218"/>
        <v>0.83753181224489803</v>
      </c>
      <c r="BG400" s="520" t="b">
        <f t="shared" si="229"/>
        <v>0</v>
      </c>
      <c r="BI400" s="528" t="s">
        <v>2181</v>
      </c>
      <c r="BL400" s="151" t="str">
        <f t="shared" si="220"/>
        <v>EoKMetro - Nationaal</v>
      </c>
      <c r="BM400" s="529">
        <v>0</v>
      </c>
      <c r="BN400" s="180">
        <f>BM400/INDEX(Parameters!$B:$B,MATCH("AfschrijftermijnVVE"&amp;12*$C400,Parameters!$A:$A,0))</f>
        <v>0</v>
      </c>
      <c r="BO400" s="184">
        <f>INDEX('inkoop ULL tbv EVPN'!I:I,MATCH(BL400,'inkoop ULL tbv EVPN'!H:H,0))</f>
        <v>2</v>
      </c>
      <c r="BP400" s="184">
        <f t="shared" si="221"/>
        <v>2</v>
      </c>
      <c r="BR400" s="180">
        <f>Parameters!$B$12*AG400</f>
        <v>102.08333333333334</v>
      </c>
      <c r="BS400" s="180">
        <f>SUM(Distributievergoedingen!$F$12,Distributievergoedingen!$I$12,Distributievergoedingen!$L$12,Distributievergoedingen!$O$12)*AF400+SUM(Distributievergoedingen!$O$12*AA400+Distributievergoedingen!$R$12+Distributievergoedingen!$U$12+Distributievergoedingen!$X$12)/(MAX(36,12*C400))</f>
        <v>112.08333333333333</v>
      </c>
      <c r="BT400" s="150"/>
      <c r="BU400" s="150">
        <f t="shared" si="222"/>
        <v>214.16666666666669</v>
      </c>
      <c r="BW400" s="522">
        <f t="shared" si="223"/>
        <v>216.16666666666669</v>
      </c>
      <c r="BY400" s="527">
        <f t="shared" si="224"/>
        <v>804.66666666666674</v>
      </c>
      <c r="BZ400" s="181">
        <f t="shared" si="225"/>
        <v>0.78824489795918373</v>
      </c>
      <c r="CA400" s="520" t="b">
        <f t="shared" si="226"/>
        <v>0</v>
      </c>
    </row>
    <row r="401" spans="1:79" s="151" customFormat="1">
      <c r="A401" s="151" t="str">
        <f t="shared" si="219"/>
        <v>4EoKEntryNationaal800</v>
      </c>
      <c r="B401" s="520" t="str">
        <f t="shared" si="214"/>
        <v>4EoKEntryNationaal800</v>
      </c>
      <c r="C401" s="179">
        <v>4</v>
      </c>
      <c r="D401" s="179" t="s">
        <v>303</v>
      </c>
      <c r="E401" s="178" t="s">
        <v>45</v>
      </c>
      <c r="F401" s="178" t="s">
        <v>266</v>
      </c>
      <c r="G401" s="185" t="s">
        <v>422</v>
      </c>
      <c r="J401" s="520" t="str">
        <f t="shared" si="227"/>
        <v>EntryNationaal800</v>
      </c>
      <c r="L401" s="204">
        <f>INDEX(Mapping!$H:$H,MATCH(C$3&amp;C401,Mapping!$B:$B,0))</f>
        <v>1</v>
      </c>
      <c r="M401" s="204" t="str">
        <f>INDEX(Mapping!$H:$H,MATCH(D$3&amp;$D401,Mapping!$B:$B,0))</f>
        <v>EoK</v>
      </c>
      <c r="N401" s="204" t="str">
        <f>INDEX(Mapping!$H:$H,MATCH(E$3&amp;E401,Mapping!$B:$B,0))</f>
        <v>Lite</v>
      </c>
      <c r="O401" s="204" t="str">
        <f>INDEX(Mapping!$H:$H,MATCH(F$3&amp;F401,Mapping!$B:$B,0))</f>
        <v>Metro</v>
      </c>
      <c r="P401" s="204">
        <f>INDEX(Mapping!$H:$H,MATCH(G$3&amp;G401,Mapping!$B:$B,0))</f>
        <v>800</v>
      </c>
      <c r="Q401" s="204" t="str">
        <f>INDEX(Mapping!$H:$H,MATCH(Q$3&amp;$F401,Mapping!$B:$B,0))</f>
        <v>Metro - Nationaal</v>
      </c>
      <c r="R401" s="204" t="str">
        <f>INDEX(Mapping!$H:$H,MATCH("ZM VPN Service Level"&amp;E401,Mapping!$B:$B,0))</f>
        <v>Advanced</v>
      </c>
      <c r="S401" s="139" t="b">
        <f>IF($D401="EoK",INDEX(Mapping!$I:$I,MATCH($G$3&amp;$G401,Mapping!B:B,0)),FALSE)</f>
        <v>0</v>
      </c>
      <c r="T401" s="139"/>
      <c r="U401" s="520" t="str">
        <f t="shared" si="228"/>
        <v>LiteMetro800</v>
      </c>
      <c r="W401" s="521">
        <f>MATCH($J401,'Tarieven ZM'!$B:$B,0)</f>
        <v>63</v>
      </c>
      <c r="X401" s="204">
        <f>INDEX('Tarieven ZM'!$H:$H,$W401)</f>
        <v>1000</v>
      </c>
      <c r="Y401" s="198">
        <f>-INDEX(Parameters!$B:$B,MATCH(Y$3&amp;$C401,Parameters!$A:$A,0))*$X401</f>
        <v>0</v>
      </c>
      <c r="Z401" s="198">
        <f>-INDEX(Parameters!$B:$B,MATCH(Z$3&amp;$C401,Parameters!$A:$A,0))*$X401</f>
        <v>0</v>
      </c>
      <c r="AA401" s="139">
        <f t="shared" ref="AA401:AA459" si="230">SUM(X401:Z401)</f>
        <v>1000</v>
      </c>
      <c r="AB401" s="205">
        <f>AA401/INDEX(Parameters!$B:$B,MATCH("AfschrijftermijnVVE"&amp;12*$C401,Parameters!$A:$A,0))</f>
        <v>20.833333333333332</v>
      </c>
      <c r="AC401" s="204">
        <f>INDEX('Tarieven ZM'!$G:$G,$W401)</f>
        <v>1000</v>
      </c>
      <c r="AD401" s="198">
        <f>-INDEX(Parameters!$B:$B,MATCH(AD$3&amp;$C401,Parameters!$A:$A,0))*$AC401</f>
        <v>0</v>
      </c>
      <c r="AE401" s="198">
        <f>-INDEX(Parameters!$B:$B,MATCH(AE$3,Parameters!$A:$A,0))*$AC401</f>
        <v>0</v>
      </c>
      <c r="AF401" s="139">
        <f t="shared" ref="AF401:AF459" si="231">SUM(AC401:AE401)</f>
        <v>1000</v>
      </c>
      <c r="AG401" s="522">
        <f t="shared" ref="AG401:AG459" si="232">SUM(AB401,AF401)</f>
        <v>1020.8333333333334</v>
      </c>
      <c r="AH401" s="175"/>
      <c r="AI401" s="523">
        <f>MATCH($U401,'Tarieven W&amp;O'!$B:$B,0)</f>
        <v>53</v>
      </c>
      <c r="AJ401" s="204">
        <f>IF(AI401&lt;&gt;"nvt",INDEX('Tarieven W&amp;O'!$H:$H,$AI401),0)</f>
        <v>0</v>
      </c>
      <c r="AK401" s="204">
        <f>IF(AI401&lt;&gt;"nvt",INDEX('Tarieven W&amp;O'!$I:$I,$AI401),0)</f>
        <v>25</v>
      </c>
      <c r="AL401" s="524">
        <f>IF(AI401&lt;&gt;"nvt",-INDEX(Parameters!$B:$B,MATCH(AL$3,Parameters!$A:$A,0))*(AJ401+AK401),0)</f>
        <v>0</v>
      </c>
      <c r="AM401" s="525"/>
      <c r="AN401" s="139">
        <f t="shared" ref="AN401:AN459" si="233">SUM(AJ401:AM401)</f>
        <v>25</v>
      </c>
      <c r="AO401" s="205">
        <f>AN401/INDEX(Parameters!$B:$B,MATCH("AfschrijftermijnVVE"&amp;12*$C401,Parameters!$A:$A,0))</f>
        <v>0.52083333333333337</v>
      </c>
      <c r="AP401" s="139">
        <f t="shared" ref="AP401:AP459" si="234">AI401</f>
        <v>53</v>
      </c>
      <c r="AQ401" s="526">
        <f>IF(AP401&lt;&gt;"nvt",INDEX('Tarieven W&amp;O'!$G:$G,$AP401),0)</f>
        <v>184.31</v>
      </c>
      <c r="AR401" s="251">
        <f>IF($S401,INDEX('Tarieven W&amp;O'!$G:$G,MATCH(N401&amp;R401,'Tarieven W&amp;O'!$B:$B,0)),0)</f>
        <v>0</v>
      </c>
      <c r="AS401" s="205">
        <f>-INDEX(Parameters!$B:$B,MATCH(AS$3,Parameters!$A:$A,0))*(AQ401+AR401)</f>
        <v>0</v>
      </c>
      <c r="AT401" s="205">
        <f>INDEX(hulpblad!$E:$E,MATCH(M401&amp;Q401,hulpblad!$B:$B,0))</f>
        <v>2</v>
      </c>
      <c r="AU401" s="150">
        <f t="shared" si="215"/>
        <v>186.31</v>
      </c>
      <c r="AV401" s="150">
        <f t="shared" si="216"/>
        <v>186.83083333333335</v>
      </c>
      <c r="AX401" s="526">
        <f>Parameters!$B$6*AV401</f>
        <v>1.8683083333333335</v>
      </c>
      <c r="AY401" s="150">
        <v>0</v>
      </c>
      <c r="AZ401" s="150"/>
      <c r="BA401" s="150">
        <f t="shared" ref="BA401:BA459" si="235">SUM(AX401:AZ401)</f>
        <v>1.8683083333333335</v>
      </c>
      <c r="BB401" s="150"/>
      <c r="BC401" s="522">
        <f t="shared" ref="BC401:BC459" si="236">SUM(AV401,BA401)</f>
        <v>188.69914166666669</v>
      </c>
      <c r="BD401" s="175"/>
      <c r="BE401" s="527">
        <f t="shared" si="217"/>
        <v>832.13419166666665</v>
      </c>
      <c r="BF401" s="181">
        <f t="shared" si="218"/>
        <v>0.81515186122448979</v>
      </c>
      <c r="BG401" s="520" t="b">
        <f t="shared" si="229"/>
        <v>0</v>
      </c>
      <c r="BI401" s="528" t="s">
        <v>2181</v>
      </c>
      <c r="BL401" s="151" t="str">
        <f t="shared" si="220"/>
        <v>EoKMetro - Nationaal</v>
      </c>
      <c r="BM401" s="529">
        <v>0</v>
      </c>
      <c r="BN401" s="180">
        <f>BM401/INDEX(Parameters!$B:$B,MATCH("AfschrijftermijnVVE"&amp;12*$C401,Parameters!$A:$A,0))</f>
        <v>0</v>
      </c>
      <c r="BO401" s="184">
        <f>INDEX('inkoop ULL tbv EVPN'!I:I,MATCH(BL401,'inkoop ULL tbv EVPN'!H:H,0))</f>
        <v>2</v>
      </c>
      <c r="BP401" s="184">
        <f t="shared" si="221"/>
        <v>2</v>
      </c>
      <c r="BR401" s="180">
        <f>Parameters!$B$12*AG401</f>
        <v>102.08333333333334</v>
      </c>
      <c r="BS401" s="180">
        <f>SUM(Distributievergoedingen!$F$12,Distributievergoedingen!$I$12,Distributievergoedingen!$L$12,Distributievergoedingen!$O$12)*AF401+SUM(Distributievergoedingen!$O$12*AA401+Distributievergoedingen!$R$12+Distributievergoedingen!$U$12+Distributievergoedingen!$X$12)/(MAX(36,12*C401))</f>
        <v>112.08333333333333</v>
      </c>
      <c r="BT401" s="150"/>
      <c r="BU401" s="150">
        <f t="shared" si="222"/>
        <v>214.16666666666669</v>
      </c>
      <c r="BW401" s="522">
        <f t="shared" si="223"/>
        <v>216.16666666666669</v>
      </c>
      <c r="BY401" s="527">
        <f t="shared" si="224"/>
        <v>804.66666666666674</v>
      </c>
      <c r="BZ401" s="181">
        <f t="shared" si="225"/>
        <v>0.78824489795918373</v>
      </c>
      <c r="CA401" s="520" t="b">
        <f t="shared" si="226"/>
        <v>0</v>
      </c>
    </row>
    <row r="402" spans="1:79" s="151" customFormat="1">
      <c r="A402" s="151" t="str">
        <f t="shared" si="219"/>
        <v>4EoKEntryNationaal1000</v>
      </c>
      <c r="B402" s="520" t="str">
        <f t="shared" si="214"/>
        <v>4EoKEntryNationaal1000</v>
      </c>
      <c r="C402" s="179">
        <v>4</v>
      </c>
      <c r="D402" s="179" t="s">
        <v>303</v>
      </c>
      <c r="E402" s="178" t="s">
        <v>45</v>
      </c>
      <c r="F402" s="178" t="s">
        <v>266</v>
      </c>
      <c r="G402" s="185" t="s">
        <v>423</v>
      </c>
      <c r="J402" s="520" t="str">
        <f t="shared" si="227"/>
        <v>EntryNationaal1000</v>
      </c>
      <c r="L402" s="204">
        <f>INDEX(Mapping!$H:$H,MATCH(C$3&amp;C402,Mapping!$B:$B,0))</f>
        <v>1</v>
      </c>
      <c r="M402" s="204" t="str">
        <f>INDEX(Mapping!$H:$H,MATCH(D$3&amp;$D402,Mapping!$B:$B,0))</f>
        <v>EoK</v>
      </c>
      <c r="N402" s="204" t="str">
        <f>INDEX(Mapping!$H:$H,MATCH(E$3&amp;E402,Mapping!$B:$B,0))</f>
        <v>Lite</v>
      </c>
      <c r="O402" s="204" t="str">
        <f>INDEX(Mapping!$H:$H,MATCH(F$3&amp;F402,Mapping!$B:$B,0))</f>
        <v>Metro</v>
      </c>
      <c r="P402" s="204">
        <f>INDEX(Mapping!$H:$H,MATCH(G$3&amp;G402,Mapping!$B:$B,0))</f>
        <v>1000</v>
      </c>
      <c r="Q402" s="204" t="str">
        <f>INDEX(Mapping!$H:$H,MATCH(Q$3&amp;$F402,Mapping!$B:$B,0))</f>
        <v>Metro - Nationaal</v>
      </c>
      <c r="R402" s="204" t="str">
        <f>INDEX(Mapping!$H:$H,MATCH("ZM VPN Service Level"&amp;E402,Mapping!$B:$B,0))</f>
        <v>Advanced</v>
      </c>
      <c r="S402" s="139" t="b">
        <f>IF($D402="EoK",INDEX(Mapping!$I:$I,MATCH($G$3&amp;$G402,Mapping!B:B,0)),FALSE)</f>
        <v>0</v>
      </c>
      <c r="T402" s="139"/>
      <c r="U402" s="520" t="str">
        <f t="shared" si="228"/>
        <v>LiteMetro1000</v>
      </c>
      <c r="W402" s="521">
        <f>MATCH($J402,'Tarieven ZM'!$B:$B,0)</f>
        <v>64</v>
      </c>
      <c r="X402" s="204">
        <f>INDEX('Tarieven ZM'!$H:$H,$W402)</f>
        <v>1000</v>
      </c>
      <c r="Y402" s="198">
        <f>-INDEX(Parameters!$B:$B,MATCH(Y$3&amp;$C402,Parameters!$A:$A,0))*$X402</f>
        <v>0</v>
      </c>
      <c r="Z402" s="198">
        <f>-INDEX(Parameters!$B:$B,MATCH(Z$3&amp;$C402,Parameters!$A:$A,0))*$X402</f>
        <v>0</v>
      </c>
      <c r="AA402" s="139">
        <f t="shared" si="230"/>
        <v>1000</v>
      </c>
      <c r="AB402" s="205">
        <f>AA402/INDEX(Parameters!$B:$B,MATCH("AfschrijftermijnVVE"&amp;12*$C402,Parameters!$A:$A,0))</f>
        <v>20.833333333333332</v>
      </c>
      <c r="AC402" s="204">
        <f>INDEX('Tarieven ZM'!$G:$G,$W402)</f>
        <v>1000</v>
      </c>
      <c r="AD402" s="198">
        <f>-INDEX(Parameters!$B:$B,MATCH(AD$3&amp;$C402,Parameters!$A:$A,0))*$AC402</f>
        <v>0</v>
      </c>
      <c r="AE402" s="198">
        <f>-INDEX(Parameters!$B:$B,MATCH(AE$3,Parameters!$A:$A,0))*$AC402</f>
        <v>0</v>
      </c>
      <c r="AF402" s="139">
        <f t="shared" si="231"/>
        <v>1000</v>
      </c>
      <c r="AG402" s="522">
        <f t="shared" si="232"/>
        <v>1020.8333333333334</v>
      </c>
      <c r="AH402" s="175"/>
      <c r="AI402" s="523">
        <f>MATCH($U402,'Tarieven W&amp;O'!$B:$B,0)</f>
        <v>54</v>
      </c>
      <c r="AJ402" s="204">
        <f>IF(AI402&lt;&gt;"nvt",INDEX('Tarieven W&amp;O'!$H:$H,$AI402),0)</f>
        <v>0</v>
      </c>
      <c r="AK402" s="204">
        <f>IF(AI402&lt;&gt;"nvt",INDEX('Tarieven W&amp;O'!$I:$I,$AI402),0)</f>
        <v>25</v>
      </c>
      <c r="AL402" s="524">
        <f>IF(AI402&lt;&gt;"nvt",-INDEX(Parameters!$B:$B,MATCH(AL$3,Parameters!$A:$A,0))*(AJ402+AK402),0)</f>
        <v>0</v>
      </c>
      <c r="AM402" s="525"/>
      <c r="AN402" s="139">
        <f t="shared" si="233"/>
        <v>25</v>
      </c>
      <c r="AO402" s="205">
        <f>AN402/INDEX(Parameters!$B:$B,MATCH("AfschrijftermijnVVE"&amp;12*$C402,Parameters!$A:$A,0))</f>
        <v>0.52083333333333337</v>
      </c>
      <c r="AP402" s="139">
        <f t="shared" si="234"/>
        <v>54</v>
      </c>
      <c r="AQ402" s="526">
        <f>IF(AP402&lt;&gt;"nvt",INDEX('Tarieven W&amp;O'!$G:$G,$AP402),0)</f>
        <v>203.15</v>
      </c>
      <c r="AR402" s="251">
        <f>IF($S402,INDEX('Tarieven W&amp;O'!$G:$G,MATCH(N402&amp;R402,'Tarieven W&amp;O'!$B:$B,0)),0)</f>
        <v>0</v>
      </c>
      <c r="AS402" s="205">
        <f>-INDEX(Parameters!$B:$B,MATCH(AS$3,Parameters!$A:$A,0))*(AQ402+AR402)</f>
        <v>0</v>
      </c>
      <c r="AT402" s="205">
        <f>INDEX(hulpblad!$E:$E,MATCH(M402&amp;Q402,hulpblad!$B:$B,0))</f>
        <v>2</v>
      </c>
      <c r="AU402" s="150">
        <f t="shared" si="215"/>
        <v>205.15</v>
      </c>
      <c r="AV402" s="150">
        <f t="shared" si="216"/>
        <v>205.67083333333335</v>
      </c>
      <c r="AX402" s="526">
        <f>Parameters!$B$6*AV402</f>
        <v>2.0567083333333334</v>
      </c>
      <c r="AY402" s="150">
        <v>0</v>
      </c>
      <c r="AZ402" s="150"/>
      <c r="BA402" s="150">
        <f t="shared" si="235"/>
        <v>2.0567083333333334</v>
      </c>
      <c r="BB402" s="150"/>
      <c r="BC402" s="522">
        <f t="shared" si="236"/>
        <v>207.7275416666667</v>
      </c>
      <c r="BD402" s="175"/>
      <c r="BE402" s="527">
        <f t="shared" si="217"/>
        <v>813.10579166666662</v>
      </c>
      <c r="BF402" s="181">
        <f t="shared" si="218"/>
        <v>0.79651179591836729</v>
      </c>
      <c r="BG402" s="520" t="b">
        <f t="shared" si="229"/>
        <v>0</v>
      </c>
      <c r="BI402" s="528" t="s">
        <v>2181</v>
      </c>
      <c r="BL402" s="151" t="str">
        <f t="shared" si="220"/>
        <v>EoKMetro - Nationaal</v>
      </c>
      <c r="BM402" s="529">
        <v>0</v>
      </c>
      <c r="BN402" s="180">
        <f>BM402/INDEX(Parameters!$B:$B,MATCH("AfschrijftermijnVVE"&amp;12*$C402,Parameters!$A:$A,0))</f>
        <v>0</v>
      </c>
      <c r="BO402" s="184">
        <f>INDEX('inkoop ULL tbv EVPN'!I:I,MATCH(BL402,'inkoop ULL tbv EVPN'!H:H,0))</f>
        <v>2</v>
      </c>
      <c r="BP402" s="184">
        <f t="shared" si="221"/>
        <v>2</v>
      </c>
      <c r="BR402" s="180">
        <f>Parameters!$B$12*AG402</f>
        <v>102.08333333333334</v>
      </c>
      <c r="BS402" s="180">
        <f>SUM(Distributievergoedingen!$F$12,Distributievergoedingen!$I$12,Distributievergoedingen!$L$12,Distributievergoedingen!$O$12)*AF402+SUM(Distributievergoedingen!$O$12*AA402+Distributievergoedingen!$R$12+Distributievergoedingen!$U$12+Distributievergoedingen!$X$12)/(MAX(36,12*C402))</f>
        <v>112.08333333333333</v>
      </c>
      <c r="BT402" s="150"/>
      <c r="BU402" s="150">
        <f t="shared" si="222"/>
        <v>214.16666666666669</v>
      </c>
      <c r="BW402" s="522">
        <f t="shared" si="223"/>
        <v>216.16666666666669</v>
      </c>
      <c r="BY402" s="527">
        <f t="shared" si="224"/>
        <v>804.66666666666674</v>
      </c>
      <c r="BZ402" s="181">
        <f t="shared" si="225"/>
        <v>0.78824489795918373</v>
      </c>
      <c r="CA402" s="520" t="b">
        <f t="shared" si="226"/>
        <v>0</v>
      </c>
    </row>
    <row r="403" spans="1:79" s="151" customFormat="1">
      <c r="A403" s="151" t="str">
        <f t="shared" si="219"/>
        <v>4EoKPremiumCity1</v>
      </c>
      <c r="B403" s="520" t="str">
        <f t="shared" si="214"/>
        <v>4EoKPremiumCity1</v>
      </c>
      <c r="C403" s="179">
        <v>4</v>
      </c>
      <c r="D403" s="179" t="s">
        <v>303</v>
      </c>
      <c r="E403" s="178" t="s">
        <v>267</v>
      </c>
      <c r="F403" s="178" t="s">
        <v>262</v>
      </c>
      <c r="G403" s="185" t="s">
        <v>362</v>
      </c>
      <c r="J403" s="520" t="str">
        <f t="shared" si="227"/>
        <v>PremiumCity1</v>
      </c>
      <c r="L403" s="204">
        <f>INDEX(Mapping!$H:$H,MATCH(C$3&amp;C403,Mapping!$B:$B,0))</f>
        <v>1</v>
      </c>
      <c r="M403" s="204" t="str">
        <f>INDEX(Mapping!$H:$H,MATCH(D$3&amp;$D403,Mapping!$B:$B,0))</f>
        <v>EoK</v>
      </c>
      <c r="N403" s="204" t="str">
        <f>INDEX(Mapping!$H:$H,MATCH(E$3&amp;E403,Mapping!$B:$B,0))</f>
        <v>Premium</v>
      </c>
      <c r="O403" s="204" t="str">
        <f>INDEX(Mapping!$H:$H,MATCH(F$3&amp;F403,Mapping!$B:$B,0))</f>
        <v>Metro</v>
      </c>
      <c r="P403" s="204">
        <f>INDEX(Mapping!$H:$H,MATCH(G$3&amp;G403,Mapping!$B:$B,0))</f>
        <v>1</v>
      </c>
      <c r="Q403" s="204" t="str">
        <f>INDEX(Mapping!$H:$H,MATCH(Q$3&amp;$F403,Mapping!$B:$B,0))</f>
        <v>Metro - Regionaal</v>
      </c>
      <c r="R403" s="204" t="str">
        <f>INDEX(Mapping!$H:$H,MATCH("ZM VPN Service Level"&amp;E403,Mapping!$B:$B,0))</f>
        <v>Advanced</v>
      </c>
      <c r="S403" s="139" t="b">
        <f>IF($D403="EoK",INDEX(Mapping!$I:$I,MATCH($G$3&amp;$G403,Mapping!B:B,0)),FALSE)</f>
        <v>1</v>
      </c>
      <c r="T403" s="139"/>
      <c r="U403" s="520" t="str">
        <f t="shared" si="228"/>
        <v>PremiumMetro1</v>
      </c>
      <c r="W403" s="521">
        <f>MATCH($J403,'Tarieven ZM'!$B:$B,0)</f>
        <v>65</v>
      </c>
      <c r="X403" s="204">
        <f>INDEX('Tarieven ZM'!$H:$H,$W403)</f>
        <v>1000</v>
      </c>
      <c r="Y403" s="198">
        <f>-INDEX(Parameters!$B:$B,MATCH(Y$3&amp;$C403,Parameters!$A:$A,0))*$X403</f>
        <v>0</v>
      </c>
      <c r="Z403" s="198">
        <f>-INDEX(Parameters!$B:$B,MATCH(Z$3&amp;$C403,Parameters!$A:$A,0))*$X403</f>
        <v>0</v>
      </c>
      <c r="AA403" s="139">
        <f t="shared" si="230"/>
        <v>1000</v>
      </c>
      <c r="AB403" s="205">
        <f>AA403/INDEX(Parameters!$B:$B,MATCH("AfschrijftermijnVVE"&amp;12*$C403,Parameters!$A:$A,0))</f>
        <v>20.833333333333332</v>
      </c>
      <c r="AC403" s="204">
        <f>INDEX('Tarieven ZM'!$G:$G,$W403)</f>
        <v>1000</v>
      </c>
      <c r="AD403" s="198">
        <f>-INDEX(Parameters!$B:$B,MATCH(AD$3&amp;$C403,Parameters!$A:$A,0))*$AC403</f>
        <v>0</v>
      </c>
      <c r="AE403" s="198">
        <f>-INDEX(Parameters!$B:$B,MATCH(AE$3,Parameters!$A:$A,0))*$AC403</f>
        <v>0</v>
      </c>
      <c r="AF403" s="139">
        <f t="shared" si="231"/>
        <v>1000</v>
      </c>
      <c r="AG403" s="522">
        <f t="shared" si="232"/>
        <v>1020.8333333333334</v>
      </c>
      <c r="AH403" s="175"/>
      <c r="AI403" s="523">
        <f>MATCH($U403,'Tarieven W&amp;O'!$B:$B,0)</f>
        <v>57</v>
      </c>
      <c r="AJ403" s="204">
        <f>IF(AI403&lt;&gt;"nvt",INDEX('Tarieven W&amp;O'!$H:$H,$AI403),0)</f>
        <v>0</v>
      </c>
      <c r="AK403" s="204">
        <f>IF(AI403&lt;&gt;"nvt",INDEX('Tarieven W&amp;O'!$I:$I,$AI403),0)</f>
        <v>25</v>
      </c>
      <c r="AL403" s="524">
        <f>IF(AI403&lt;&gt;"nvt",-INDEX(Parameters!$B:$B,MATCH(AL$3,Parameters!$A:$A,0))*(AJ403+AK403),0)</f>
        <v>0</v>
      </c>
      <c r="AM403" s="525"/>
      <c r="AN403" s="139">
        <f t="shared" si="233"/>
        <v>25</v>
      </c>
      <c r="AO403" s="205">
        <f>AN403/INDEX(Parameters!$B:$B,MATCH("AfschrijftermijnVVE"&amp;12*$C403,Parameters!$A:$A,0))</f>
        <v>0.52083333333333337</v>
      </c>
      <c r="AP403" s="139">
        <f t="shared" si="234"/>
        <v>57</v>
      </c>
      <c r="AQ403" s="526">
        <f>IF(AP403&lt;&gt;"nvt",INDEX('Tarieven W&amp;O'!$G:$G,$AP403),0)</f>
        <v>14.29</v>
      </c>
      <c r="AR403" s="251">
        <f>IF($S403,INDEX('Tarieven W&amp;O'!$G:$G,MATCH(N403&amp;R403,'Tarieven W&amp;O'!$B:$B,0)),0)</f>
        <v>0</v>
      </c>
      <c r="AS403" s="205">
        <f>-INDEX(Parameters!$B:$B,MATCH(AS$3,Parameters!$A:$A,0))*(AQ403+AR403)</f>
        <v>0</v>
      </c>
      <c r="AT403" s="205">
        <f>INDEX(hulpblad!$E:$E,MATCH(M403&amp;Q403,hulpblad!$B:$B,0))</f>
        <v>1</v>
      </c>
      <c r="AU403" s="150">
        <f t="shared" si="215"/>
        <v>15.29</v>
      </c>
      <c r="AV403" s="150">
        <f t="shared" si="216"/>
        <v>15.810833333333333</v>
      </c>
      <c r="AX403" s="526">
        <f>Parameters!$B$6*AV403</f>
        <v>0.15810833333333332</v>
      </c>
      <c r="AY403" s="150">
        <v>0</v>
      </c>
      <c r="AZ403" s="150"/>
      <c r="BA403" s="150">
        <f t="shared" si="235"/>
        <v>0.15810833333333332</v>
      </c>
      <c r="BB403" s="150"/>
      <c r="BC403" s="522">
        <f t="shared" si="236"/>
        <v>15.968941666666666</v>
      </c>
      <c r="BD403" s="175"/>
      <c r="BE403" s="527">
        <f t="shared" si="217"/>
        <v>1004.8643916666667</v>
      </c>
      <c r="BF403" s="181">
        <f t="shared" si="218"/>
        <v>0.9843569551020408</v>
      </c>
      <c r="BG403" s="520" t="b">
        <f t="shared" si="229"/>
        <v>0</v>
      </c>
      <c r="BI403" s="528" t="s">
        <v>2181</v>
      </c>
      <c r="BL403" s="151" t="str">
        <f t="shared" si="220"/>
        <v>EoKMetro - Regionaal</v>
      </c>
      <c r="BM403" s="529">
        <v>0</v>
      </c>
      <c r="BN403" s="180">
        <f>BM403/INDEX(Parameters!$B:$B,MATCH("AfschrijftermijnVVE"&amp;12*$C403,Parameters!$A:$A,0))</f>
        <v>0</v>
      </c>
      <c r="BO403" s="184">
        <f>INDEX('inkoop ULL tbv EVPN'!I:I,MATCH(BL403,'inkoop ULL tbv EVPN'!H:H,0))</f>
        <v>2</v>
      </c>
      <c r="BP403" s="184">
        <f t="shared" si="221"/>
        <v>2</v>
      </c>
      <c r="BR403" s="180">
        <f>Parameters!$B$12*AG403</f>
        <v>102.08333333333334</v>
      </c>
      <c r="BS403" s="180">
        <f>SUM(Distributievergoedingen!$F$12,Distributievergoedingen!$I$12,Distributievergoedingen!$L$12,Distributievergoedingen!$O$12)*AF403+SUM(Distributievergoedingen!$O$12*AA403+Distributievergoedingen!$R$12+Distributievergoedingen!$U$12+Distributievergoedingen!$X$12)/(MAX(36,12*C403))</f>
        <v>112.08333333333333</v>
      </c>
      <c r="BT403" s="150"/>
      <c r="BU403" s="150">
        <f t="shared" si="222"/>
        <v>214.16666666666669</v>
      </c>
      <c r="BW403" s="522">
        <f t="shared" si="223"/>
        <v>216.16666666666669</v>
      </c>
      <c r="BY403" s="527">
        <f t="shared" si="224"/>
        <v>804.66666666666674</v>
      </c>
      <c r="BZ403" s="181">
        <f t="shared" si="225"/>
        <v>0.78824489795918373</v>
      </c>
      <c r="CA403" s="520" t="b">
        <f t="shared" si="226"/>
        <v>0</v>
      </c>
    </row>
    <row r="404" spans="1:79" s="151" customFormat="1">
      <c r="A404" s="151" t="str">
        <f t="shared" si="219"/>
        <v>4EoKPremiumCity2</v>
      </c>
      <c r="B404" s="520" t="str">
        <f t="shared" si="214"/>
        <v>4EoKPremiumCity2</v>
      </c>
      <c r="C404" s="179">
        <v>4</v>
      </c>
      <c r="D404" s="179" t="s">
        <v>303</v>
      </c>
      <c r="E404" s="178" t="s">
        <v>267</v>
      </c>
      <c r="F404" s="178" t="s">
        <v>262</v>
      </c>
      <c r="G404" s="185" t="s">
        <v>363</v>
      </c>
      <c r="J404" s="520" t="str">
        <f t="shared" si="227"/>
        <v>PremiumCity2</v>
      </c>
      <c r="L404" s="204">
        <f>INDEX(Mapping!$H:$H,MATCH(C$3&amp;C404,Mapping!$B:$B,0))</f>
        <v>1</v>
      </c>
      <c r="M404" s="204" t="str">
        <f>INDEX(Mapping!$H:$H,MATCH(D$3&amp;$D404,Mapping!$B:$B,0))</f>
        <v>EoK</v>
      </c>
      <c r="N404" s="204" t="str">
        <f>INDEX(Mapping!$H:$H,MATCH(E$3&amp;E404,Mapping!$B:$B,0))</f>
        <v>Premium</v>
      </c>
      <c r="O404" s="204" t="str">
        <f>INDEX(Mapping!$H:$H,MATCH(F$3&amp;F404,Mapping!$B:$B,0))</f>
        <v>Metro</v>
      </c>
      <c r="P404" s="204">
        <f>INDEX(Mapping!$H:$H,MATCH(G$3&amp;G404,Mapping!$B:$B,0))</f>
        <v>2</v>
      </c>
      <c r="Q404" s="204" t="str">
        <f>INDEX(Mapping!$H:$H,MATCH(Q$3&amp;$F404,Mapping!$B:$B,0))</f>
        <v>Metro - Regionaal</v>
      </c>
      <c r="R404" s="204" t="str">
        <f>INDEX(Mapping!$H:$H,MATCH("ZM VPN Service Level"&amp;E404,Mapping!$B:$B,0))</f>
        <v>Advanced</v>
      </c>
      <c r="S404" s="139" t="b">
        <f>IF($D404="EoK",INDEX(Mapping!$I:$I,MATCH($G$3&amp;$G404,Mapping!B:B,0)),FALSE)</f>
        <v>1</v>
      </c>
      <c r="T404" s="139"/>
      <c r="U404" s="520" t="str">
        <f t="shared" si="228"/>
        <v>PremiumMetro2</v>
      </c>
      <c r="W404" s="521">
        <f>MATCH($J404,'Tarieven ZM'!$B:$B,0)</f>
        <v>66</v>
      </c>
      <c r="X404" s="204">
        <f>INDEX('Tarieven ZM'!$H:$H,$W404)</f>
        <v>1000</v>
      </c>
      <c r="Y404" s="198">
        <f>-INDEX(Parameters!$B:$B,MATCH(Y$3&amp;$C404,Parameters!$A:$A,0))*$X404</f>
        <v>0</v>
      </c>
      <c r="Z404" s="198">
        <f>-INDEX(Parameters!$B:$B,MATCH(Z$3&amp;$C404,Parameters!$A:$A,0))*$X404</f>
        <v>0</v>
      </c>
      <c r="AA404" s="139">
        <f t="shared" si="230"/>
        <v>1000</v>
      </c>
      <c r="AB404" s="205">
        <f>AA404/INDEX(Parameters!$B:$B,MATCH("AfschrijftermijnVVE"&amp;12*$C404,Parameters!$A:$A,0))</f>
        <v>20.833333333333332</v>
      </c>
      <c r="AC404" s="204">
        <f>INDEX('Tarieven ZM'!$G:$G,$W404)</f>
        <v>1000</v>
      </c>
      <c r="AD404" s="198">
        <f>-INDEX(Parameters!$B:$B,MATCH(AD$3&amp;$C404,Parameters!$A:$A,0))*$AC404</f>
        <v>0</v>
      </c>
      <c r="AE404" s="198">
        <f>-INDEX(Parameters!$B:$B,MATCH(AE$3,Parameters!$A:$A,0))*$AC404</f>
        <v>0</v>
      </c>
      <c r="AF404" s="139">
        <f t="shared" si="231"/>
        <v>1000</v>
      </c>
      <c r="AG404" s="522">
        <f t="shared" si="232"/>
        <v>1020.8333333333334</v>
      </c>
      <c r="AH404" s="175"/>
      <c r="AI404" s="523">
        <f>MATCH($U404,'Tarieven W&amp;O'!$B:$B,0)</f>
        <v>58</v>
      </c>
      <c r="AJ404" s="204">
        <f>IF(AI404&lt;&gt;"nvt",INDEX('Tarieven W&amp;O'!$H:$H,$AI404),0)</f>
        <v>0</v>
      </c>
      <c r="AK404" s="204">
        <f>IF(AI404&lt;&gt;"nvt",INDEX('Tarieven W&amp;O'!$I:$I,$AI404),0)</f>
        <v>25</v>
      </c>
      <c r="AL404" s="524">
        <f>IF(AI404&lt;&gt;"nvt",-INDEX(Parameters!$B:$B,MATCH(AL$3,Parameters!$A:$A,0))*(AJ404+AK404),0)</f>
        <v>0</v>
      </c>
      <c r="AM404" s="525"/>
      <c r="AN404" s="139">
        <f t="shared" si="233"/>
        <v>25</v>
      </c>
      <c r="AO404" s="205">
        <f>AN404/INDEX(Parameters!$B:$B,MATCH("AfschrijftermijnVVE"&amp;12*$C404,Parameters!$A:$A,0))</f>
        <v>0.52083333333333337</v>
      </c>
      <c r="AP404" s="139">
        <f t="shared" si="234"/>
        <v>58</v>
      </c>
      <c r="AQ404" s="526">
        <f>IF(AP404&lt;&gt;"nvt",INDEX('Tarieven W&amp;O'!$G:$G,$AP404),0)</f>
        <v>16.55</v>
      </c>
      <c r="AR404" s="251">
        <f>IF($S404,INDEX('Tarieven W&amp;O'!$G:$G,MATCH(N404&amp;R404,'Tarieven W&amp;O'!$B:$B,0)),0)</f>
        <v>0</v>
      </c>
      <c r="AS404" s="205">
        <f>-INDEX(Parameters!$B:$B,MATCH(AS$3,Parameters!$A:$A,0))*(AQ404+AR404)</f>
        <v>0</v>
      </c>
      <c r="AT404" s="205">
        <f>INDEX(hulpblad!$E:$E,MATCH(M404&amp;Q404,hulpblad!$B:$B,0))</f>
        <v>1</v>
      </c>
      <c r="AU404" s="150">
        <f t="shared" si="215"/>
        <v>17.55</v>
      </c>
      <c r="AV404" s="150">
        <f t="shared" si="216"/>
        <v>18.070833333333333</v>
      </c>
      <c r="AX404" s="526">
        <f>Parameters!$B$6*AV404</f>
        <v>0.18070833333333333</v>
      </c>
      <c r="AY404" s="150">
        <v>0</v>
      </c>
      <c r="AZ404" s="150"/>
      <c r="BA404" s="150">
        <f t="shared" si="235"/>
        <v>0.18070833333333333</v>
      </c>
      <c r="BB404" s="150"/>
      <c r="BC404" s="522">
        <f t="shared" si="236"/>
        <v>18.251541666666665</v>
      </c>
      <c r="BD404" s="175"/>
      <c r="BE404" s="527">
        <f t="shared" si="217"/>
        <v>1002.5817916666667</v>
      </c>
      <c r="BF404" s="181">
        <f t="shared" si="218"/>
        <v>0.98212093877551021</v>
      </c>
      <c r="BG404" s="520" t="b">
        <f t="shared" si="229"/>
        <v>0</v>
      </c>
      <c r="BI404" s="528" t="s">
        <v>2181</v>
      </c>
      <c r="BL404" s="151" t="str">
        <f t="shared" si="220"/>
        <v>EoKMetro - Regionaal</v>
      </c>
      <c r="BM404" s="529">
        <v>0</v>
      </c>
      <c r="BN404" s="180">
        <f>BM404/INDEX(Parameters!$B:$B,MATCH("AfschrijftermijnVVE"&amp;12*$C404,Parameters!$A:$A,0))</f>
        <v>0</v>
      </c>
      <c r="BO404" s="184">
        <f>INDEX('inkoop ULL tbv EVPN'!I:I,MATCH(BL404,'inkoop ULL tbv EVPN'!H:H,0))</f>
        <v>2</v>
      </c>
      <c r="BP404" s="184">
        <f t="shared" si="221"/>
        <v>2</v>
      </c>
      <c r="BR404" s="180">
        <f>Parameters!$B$12*AG404</f>
        <v>102.08333333333334</v>
      </c>
      <c r="BS404" s="180">
        <f>SUM(Distributievergoedingen!$F$12,Distributievergoedingen!$I$12,Distributievergoedingen!$L$12,Distributievergoedingen!$O$12)*AF404+SUM(Distributievergoedingen!$O$12*AA404+Distributievergoedingen!$R$12+Distributievergoedingen!$U$12+Distributievergoedingen!$X$12)/(MAX(36,12*C404))</f>
        <v>112.08333333333333</v>
      </c>
      <c r="BT404" s="150"/>
      <c r="BU404" s="150">
        <f t="shared" si="222"/>
        <v>214.16666666666669</v>
      </c>
      <c r="BW404" s="522">
        <f t="shared" si="223"/>
        <v>216.16666666666669</v>
      </c>
      <c r="BY404" s="527">
        <f t="shared" si="224"/>
        <v>804.66666666666674</v>
      </c>
      <c r="BZ404" s="181">
        <f t="shared" si="225"/>
        <v>0.78824489795918373</v>
      </c>
      <c r="CA404" s="520" t="b">
        <f t="shared" si="226"/>
        <v>0</v>
      </c>
    </row>
    <row r="405" spans="1:79" s="151" customFormat="1">
      <c r="A405" s="151" t="str">
        <f t="shared" si="219"/>
        <v>4EoKPremiumCity3</v>
      </c>
      <c r="B405" s="520" t="str">
        <f t="shared" si="214"/>
        <v>4EoKPremiumCity3</v>
      </c>
      <c r="C405" s="179">
        <v>4</v>
      </c>
      <c r="D405" s="179" t="s">
        <v>303</v>
      </c>
      <c r="E405" s="178" t="s">
        <v>267</v>
      </c>
      <c r="F405" s="178" t="s">
        <v>262</v>
      </c>
      <c r="G405" s="185" t="s">
        <v>407</v>
      </c>
      <c r="J405" s="520" t="str">
        <f t="shared" si="227"/>
        <v>PremiumCity3</v>
      </c>
      <c r="L405" s="204">
        <f>INDEX(Mapping!$H:$H,MATCH(C$3&amp;C405,Mapping!$B:$B,0))</f>
        <v>1</v>
      </c>
      <c r="M405" s="204" t="str">
        <f>INDEX(Mapping!$H:$H,MATCH(D$3&amp;$D405,Mapping!$B:$B,0))</f>
        <v>EoK</v>
      </c>
      <c r="N405" s="204" t="str">
        <f>INDEX(Mapping!$H:$H,MATCH(E$3&amp;E405,Mapping!$B:$B,0))</f>
        <v>Premium</v>
      </c>
      <c r="O405" s="204" t="str">
        <f>INDEX(Mapping!$H:$H,MATCH(F$3&amp;F405,Mapping!$B:$B,0))</f>
        <v>Metro</v>
      </c>
      <c r="P405" s="204">
        <f>INDEX(Mapping!$H:$H,MATCH(G$3&amp;G405,Mapping!$B:$B,0))</f>
        <v>3</v>
      </c>
      <c r="Q405" s="204" t="str">
        <f>INDEX(Mapping!$H:$H,MATCH(Q$3&amp;$F405,Mapping!$B:$B,0))</f>
        <v>Metro - Regionaal</v>
      </c>
      <c r="R405" s="204" t="str">
        <f>INDEX(Mapping!$H:$H,MATCH("ZM VPN Service Level"&amp;E405,Mapping!$B:$B,0))</f>
        <v>Advanced</v>
      </c>
      <c r="S405" s="139" t="b">
        <f>IF($D405="EoK",INDEX(Mapping!$I:$I,MATCH($G$3&amp;$G405,Mapping!B:B,0)),FALSE)</f>
        <v>0</v>
      </c>
      <c r="T405" s="139"/>
      <c r="U405" s="520" t="str">
        <f t="shared" si="228"/>
        <v>PremiumMetro3</v>
      </c>
      <c r="W405" s="521">
        <f>MATCH($J405,'Tarieven ZM'!$B:$B,0)</f>
        <v>67</v>
      </c>
      <c r="X405" s="204">
        <f>INDEX('Tarieven ZM'!$H:$H,$W405)</f>
        <v>1000</v>
      </c>
      <c r="Y405" s="198">
        <f>-INDEX(Parameters!$B:$B,MATCH(Y$3&amp;$C405,Parameters!$A:$A,0))*$X405</f>
        <v>0</v>
      </c>
      <c r="Z405" s="198">
        <f>-INDEX(Parameters!$B:$B,MATCH(Z$3&amp;$C405,Parameters!$A:$A,0))*$X405</f>
        <v>0</v>
      </c>
      <c r="AA405" s="139">
        <f t="shared" si="230"/>
        <v>1000</v>
      </c>
      <c r="AB405" s="205">
        <f>AA405/INDEX(Parameters!$B:$B,MATCH("AfschrijftermijnVVE"&amp;12*$C405,Parameters!$A:$A,0))</f>
        <v>20.833333333333332</v>
      </c>
      <c r="AC405" s="204">
        <f>INDEX('Tarieven ZM'!$G:$G,$W405)</f>
        <v>1000</v>
      </c>
      <c r="AD405" s="198">
        <f>-INDEX(Parameters!$B:$B,MATCH(AD$3&amp;$C405,Parameters!$A:$A,0))*$AC405</f>
        <v>0</v>
      </c>
      <c r="AE405" s="198">
        <f>-INDEX(Parameters!$B:$B,MATCH(AE$3,Parameters!$A:$A,0))*$AC405</f>
        <v>0</v>
      </c>
      <c r="AF405" s="139">
        <f t="shared" si="231"/>
        <v>1000</v>
      </c>
      <c r="AG405" s="522">
        <f t="shared" si="232"/>
        <v>1020.8333333333334</v>
      </c>
      <c r="AH405" s="175"/>
      <c r="AI405" s="523">
        <f>MATCH($U405,'Tarieven W&amp;O'!$B:$B,0)</f>
        <v>59</v>
      </c>
      <c r="AJ405" s="204">
        <f>IF(AI405&lt;&gt;"nvt",INDEX('Tarieven W&amp;O'!$H:$H,$AI405),0)</f>
        <v>0</v>
      </c>
      <c r="AK405" s="204">
        <f>IF(AI405&lt;&gt;"nvt",INDEX('Tarieven W&amp;O'!$I:$I,$AI405),0)</f>
        <v>25</v>
      </c>
      <c r="AL405" s="524">
        <f>IF(AI405&lt;&gt;"nvt",-INDEX(Parameters!$B:$B,MATCH(AL$3,Parameters!$A:$A,0))*(AJ405+AK405),0)</f>
        <v>0</v>
      </c>
      <c r="AM405" s="525"/>
      <c r="AN405" s="139">
        <f t="shared" si="233"/>
        <v>25</v>
      </c>
      <c r="AO405" s="205">
        <f>AN405/INDEX(Parameters!$B:$B,MATCH("AfschrijftermijnVVE"&amp;12*$C405,Parameters!$A:$A,0))</f>
        <v>0.52083333333333337</v>
      </c>
      <c r="AP405" s="139">
        <f t="shared" si="234"/>
        <v>59</v>
      </c>
      <c r="AQ405" s="526">
        <f>IF(AP405&lt;&gt;"nvt",INDEX('Tarieven W&amp;O'!$G:$G,$AP405),0)</f>
        <v>27.86</v>
      </c>
      <c r="AR405" s="251">
        <f>IF($S405,INDEX('Tarieven W&amp;O'!$G:$G,MATCH(N405&amp;R405,'Tarieven W&amp;O'!$B:$B,0)),0)</f>
        <v>0</v>
      </c>
      <c r="AS405" s="205">
        <f>-INDEX(Parameters!$B:$B,MATCH(AS$3,Parameters!$A:$A,0))*(AQ405+AR405)</f>
        <v>0</v>
      </c>
      <c r="AT405" s="205">
        <f>INDEX(hulpblad!$E:$E,MATCH(M405&amp;Q405,hulpblad!$B:$B,0))</f>
        <v>1</v>
      </c>
      <c r="AU405" s="150">
        <f t="shared" si="215"/>
        <v>28.86</v>
      </c>
      <c r="AV405" s="150">
        <f t="shared" si="216"/>
        <v>29.380833333333332</v>
      </c>
      <c r="AX405" s="526">
        <f>Parameters!$B$6*AV405</f>
        <v>0.29380833333333334</v>
      </c>
      <c r="AY405" s="150">
        <v>0</v>
      </c>
      <c r="AZ405" s="150"/>
      <c r="BA405" s="150">
        <f t="shared" si="235"/>
        <v>0.29380833333333334</v>
      </c>
      <c r="BB405" s="150"/>
      <c r="BC405" s="522">
        <f t="shared" si="236"/>
        <v>29.674641666666666</v>
      </c>
      <c r="BD405" s="175"/>
      <c r="BE405" s="527">
        <f t="shared" si="217"/>
        <v>991.15869166666675</v>
      </c>
      <c r="BF405" s="181">
        <f t="shared" si="218"/>
        <v>0.97093096326530615</v>
      </c>
      <c r="BG405" s="520" t="b">
        <f t="shared" si="229"/>
        <v>0</v>
      </c>
      <c r="BI405" s="528" t="s">
        <v>2181</v>
      </c>
      <c r="BL405" s="151" t="str">
        <f t="shared" si="220"/>
        <v>EoKMetro - Regionaal</v>
      </c>
      <c r="BM405" s="529">
        <v>0</v>
      </c>
      <c r="BN405" s="180">
        <f>BM405/INDEX(Parameters!$B:$B,MATCH("AfschrijftermijnVVE"&amp;12*$C405,Parameters!$A:$A,0))</f>
        <v>0</v>
      </c>
      <c r="BO405" s="184">
        <f>INDEX('inkoop ULL tbv EVPN'!I:I,MATCH(BL405,'inkoop ULL tbv EVPN'!H:H,0))</f>
        <v>2</v>
      </c>
      <c r="BP405" s="184">
        <f t="shared" si="221"/>
        <v>2</v>
      </c>
      <c r="BR405" s="180">
        <f>Parameters!$B$12*AG405</f>
        <v>102.08333333333334</v>
      </c>
      <c r="BS405" s="180">
        <f>SUM(Distributievergoedingen!$F$12,Distributievergoedingen!$I$12,Distributievergoedingen!$L$12,Distributievergoedingen!$O$12)*AF405+SUM(Distributievergoedingen!$O$12*AA405+Distributievergoedingen!$R$12+Distributievergoedingen!$U$12+Distributievergoedingen!$X$12)/(MAX(36,12*C405))</f>
        <v>112.08333333333333</v>
      </c>
      <c r="BT405" s="150"/>
      <c r="BU405" s="150">
        <f t="shared" si="222"/>
        <v>214.16666666666669</v>
      </c>
      <c r="BW405" s="522">
        <f t="shared" si="223"/>
        <v>216.16666666666669</v>
      </c>
      <c r="BY405" s="527">
        <f t="shared" si="224"/>
        <v>804.66666666666674</v>
      </c>
      <c r="BZ405" s="181">
        <f t="shared" si="225"/>
        <v>0.78824489795918373</v>
      </c>
      <c r="CA405" s="520" t="b">
        <f t="shared" si="226"/>
        <v>0</v>
      </c>
    </row>
    <row r="406" spans="1:79" s="151" customFormat="1">
      <c r="A406" s="151" t="str">
        <f t="shared" si="219"/>
        <v>4EoKPremiumCity4</v>
      </c>
      <c r="B406" s="520" t="str">
        <f t="shared" si="214"/>
        <v>4EoKPremiumCity4</v>
      </c>
      <c r="C406" s="179">
        <v>4</v>
      </c>
      <c r="D406" s="179" t="s">
        <v>303</v>
      </c>
      <c r="E406" s="178" t="s">
        <v>267</v>
      </c>
      <c r="F406" s="178" t="s">
        <v>262</v>
      </c>
      <c r="G406" s="185" t="s">
        <v>408</v>
      </c>
      <c r="J406" s="520" t="str">
        <f t="shared" si="227"/>
        <v>PremiumCity4</v>
      </c>
      <c r="L406" s="204">
        <f>INDEX(Mapping!$H:$H,MATCH(C$3&amp;C406,Mapping!$B:$B,0))</f>
        <v>1</v>
      </c>
      <c r="M406" s="204" t="str">
        <f>INDEX(Mapping!$H:$H,MATCH(D$3&amp;$D406,Mapping!$B:$B,0))</f>
        <v>EoK</v>
      </c>
      <c r="N406" s="204" t="str">
        <f>INDEX(Mapping!$H:$H,MATCH(E$3&amp;E406,Mapping!$B:$B,0))</f>
        <v>Premium</v>
      </c>
      <c r="O406" s="204" t="str">
        <f>INDEX(Mapping!$H:$H,MATCH(F$3&amp;F406,Mapping!$B:$B,0))</f>
        <v>Metro</v>
      </c>
      <c r="P406" s="204">
        <f>INDEX(Mapping!$H:$H,MATCH(G$3&amp;G406,Mapping!$B:$B,0))</f>
        <v>4</v>
      </c>
      <c r="Q406" s="204" t="str">
        <f>INDEX(Mapping!$H:$H,MATCH(Q$3&amp;$F406,Mapping!$B:$B,0))</f>
        <v>Metro - Regionaal</v>
      </c>
      <c r="R406" s="204" t="str">
        <f>INDEX(Mapping!$H:$H,MATCH("ZM VPN Service Level"&amp;E406,Mapping!$B:$B,0))</f>
        <v>Advanced</v>
      </c>
      <c r="S406" s="139" t="b">
        <f>IF($D406="EoK",INDEX(Mapping!$I:$I,MATCH($G$3&amp;$G406,Mapping!B:B,0)),FALSE)</f>
        <v>0</v>
      </c>
      <c r="T406" s="139"/>
      <c r="U406" s="520" t="str">
        <f t="shared" si="228"/>
        <v>PremiumMetro4</v>
      </c>
      <c r="W406" s="521">
        <f>MATCH($J406,'Tarieven ZM'!$B:$B,0)</f>
        <v>68</v>
      </c>
      <c r="X406" s="204">
        <f>INDEX('Tarieven ZM'!$H:$H,$W406)</f>
        <v>1000</v>
      </c>
      <c r="Y406" s="198">
        <f>-INDEX(Parameters!$B:$B,MATCH(Y$3&amp;$C406,Parameters!$A:$A,0))*$X406</f>
        <v>0</v>
      </c>
      <c r="Z406" s="198">
        <f>-INDEX(Parameters!$B:$B,MATCH(Z$3&amp;$C406,Parameters!$A:$A,0))*$X406</f>
        <v>0</v>
      </c>
      <c r="AA406" s="139">
        <f t="shared" si="230"/>
        <v>1000</v>
      </c>
      <c r="AB406" s="205">
        <f>AA406/INDEX(Parameters!$B:$B,MATCH("AfschrijftermijnVVE"&amp;12*$C406,Parameters!$A:$A,0))</f>
        <v>20.833333333333332</v>
      </c>
      <c r="AC406" s="204">
        <f>INDEX('Tarieven ZM'!$G:$G,$W406)</f>
        <v>1000</v>
      </c>
      <c r="AD406" s="198">
        <f>-INDEX(Parameters!$B:$B,MATCH(AD$3&amp;$C406,Parameters!$A:$A,0))*$AC406</f>
        <v>0</v>
      </c>
      <c r="AE406" s="198">
        <f>-INDEX(Parameters!$B:$B,MATCH(AE$3,Parameters!$A:$A,0))*$AC406</f>
        <v>0</v>
      </c>
      <c r="AF406" s="139">
        <f t="shared" si="231"/>
        <v>1000</v>
      </c>
      <c r="AG406" s="522">
        <f t="shared" si="232"/>
        <v>1020.8333333333334</v>
      </c>
      <c r="AH406" s="175"/>
      <c r="AI406" s="523">
        <f>MATCH($U406,'Tarieven W&amp;O'!$B:$B,0)</f>
        <v>60</v>
      </c>
      <c r="AJ406" s="204">
        <f>IF(AI406&lt;&gt;"nvt",INDEX('Tarieven W&amp;O'!$H:$H,$AI406),0)</f>
        <v>0</v>
      </c>
      <c r="AK406" s="204">
        <f>IF(AI406&lt;&gt;"nvt",INDEX('Tarieven W&amp;O'!$I:$I,$AI406),0)</f>
        <v>25</v>
      </c>
      <c r="AL406" s="524">
        <f>IF(AI406&lt;&gt;"nvt",-INDEX(Parameters!$B:$B,MATCH(AL$3,Parameters!$A:$A,0))*(AJ406+AK406),0)</f>
        <v>0</v>
      </c>
      <c r="AM406" s="525"/>
      <c r="AN406" s="139">
        <f t="shared" si="233"/>
        <v>25</v>
      </c>
      <c r="AO406" s="205">
        <f>AN406/INDEX(Parameters!$B:$B,MATCH("AfschrijftermijnVVE"&amp;12*$C406,Parameters!$A:$A,0))</f>
        <v>0.52083333333333337</v>
      </c>
      <c r="AP406" s="139">
        <f t="shared" si="234"/>
        <v>60</v>
      </c>
      <c r="AQ406" s="526">
        <f>IF(AP406&lt;&gt;"nvt",INDEX('Tarieven W&amp;O'!$G:$G,$AP406),0)</f>
        <v>42.94</v>
      </c>
      <c r="AR406" s="251">
        <f>IF($S406,INDEX('Tarieven W&amp;O'!$G:$G,MATCH(N406&amp;R406,'Tarieven W&amp;O'!$B:$B,0)),0)</f>
        <v>0</v>
      </c>
      <c r="AS406" s="205">
        <f>-INDEX(Parameters!$B:$B,MATCH(AS$3,Parameters!$A:$A,0))*(AQ406+AR406)</f>
        <v>0</v>
      </c>
      <c r="AT406" s="205">
        <f>INDEX(hulpblad!$E:$E,MATCH(M406&amp;Q406,hulpblad!$B:$B,0))</f>
        <v>1</v>
      </c>
      <c r="AU406" s="150">
        <f t="shared" si="215"/>
        <v>43.94</v>
      </c>
      <c r="AV406" s="150">
        <f t="shared" si="216"/>
        <v>44.460833333333333</v>
      </c>
      <c r="AX406" s="526">
        <f>Parameters!$B$6*AV406</f>
        <v>0.44460833333333333</v>
      </c>
      <c r="AY406" s="150">
        <v>0</v>
      </c>
      <c r="AZ406" s="150"/>
      <c r="BA406" s="150">
        <f t="shared" si="235"/>
        <v>0.44460833333333333</v>
      </c>
      <c r="BB406" s="150"/>
      <c r="BC406" s="522">
        <f t="shared" si="236"/>
        <v>44.905441666666668</v>
      </c>
      <c r="BD406" s="175"/>
      <c r="BE406" s="527">
        <f t="shared" si="217"/>
        <v>975.92789166666671</v>
      </c>
      <c r="BF406" s="181">
        <f t="shared" si="218"/>
        <v>0.95601099591836736</v>
      </c>
      <c r="BG406" s="520" t="b">
        <f t="shared" si="229"/>
        <v>0</v>
      </c>
      <c r="BI406" s="528" t="s">
        <v>2181</v>
      </c>
      <c r="BL406" s="151" t="str">
        <f t="shared" si="220"/>
        <v>EoKMetro - Regionaal</v>
      </c>
      <c r="BM406" s="529">
        <v>0</v>
      </c>
      <c r="BN406" s="180">
        <f>BM406/INDEX(Parameters!$B:$B,MATCH("AfschrijftermijnVVE"&amp;12*$C406,Parameters!$A:$A,0))</f>
        <v>0</v>
      </c>
      <c r="BO406" s="184">
        <f>INDEX('inkoop ULL tbv EVPN'!I:I,MATCH(BL406,'inkoop ULL tbv EVPN'!H:H,0))</f>
        <v>2</v>
      </c>
      <c r="BP406" s="184">
        <f t="shared" si="221"/>
        <v>2</v>
      </c>
      <c r="BR406" s="180">
        <f>Parameters!$B$12*AG406</f>
        <v>102.08333333333334</v>
      </c>
      <c r="BS406" s="180">
        <f>SUM(Distributievergoedingen!$F$12,Distributievergoedingen!$I$12,Distributievergoedingen!$L$12,Distributievergoedingen!$O$12)*AF406+SUM(Distributievergoedingen!$O$12*AA406+Distributievergoedingen!$R$12+Distributievergoedingen!$U$12+Distributievergoedingen!$X$12)/(MAX(36,12*C406))</f>
        <v>112.08333333333333</v>
      </c>
      <c r="BT406" s="150"/>
      <c r="BU406" s="150">
        <f t="shared" si="222"/>
        <v>214.16666666666669</v>
      </c>
      <c r="BW406" s="522">
        <f t="shared" si="223"/>
        <v>216.16666666666669</v>
      </c>
      <c r="BY406" s="527">
        <f t="shared" si="224"/>
        <v>804.66666666666674</v>
      </c>
      <c r="BZ406" s="181">
        <f t="shared" si="225"/>
        <v>0.78824489795918373</v>
      </c>
      <c r="CA406" s="520" t="b">
        <f t="shared" si="226"/>
        <v>0</v>
      </c>
    </row>
    <row r="407" spans="1:79" s="151" customFormat="1">
      <c r="A407" s="151" t="str">
        <f t="shared" si="219"/>
        <v>4EoKPremiumCity5</v>
      </c>
      <c r="B407" s="520" t="str">
        <f t="shared" si="214"/>
        <v>4EoKPremiumCity5</v>
      </c>
      <c r="C407" s="179">
        <v>4</v>
      </c>
      <c r="D407" s="179" t="s">
        <v>303</v>
      </c>
      <c r="E407" s="178" t="s">
        <v>267</v>
      </c>
      <c r="F407" s="178" t="s">
        <v>262</v>
      </c>
      <c r="G407" s="185" t="s">
        <v>409</v>
      </c>
      <c r="J407" s="520" t="str">
        <f t="shared" si="227"/>
        <v>PremiumCity5</v>
      </c>
      <c r="L407" s="204">
        <f>INDEX(Mapping!$H:$H,MATCH(C$3&amp;C407,Mapping!$B:$B,0))</f>
        <v>1</v>
      </c>
      <c r="M407" s="204" t="str">
        <f>INDEX(Mapping!$H:$H,MATCH(D$3&amp;$D407,Mapping!$B:$B,0))</f>
        <v>EoK</v>
      </c>
      <c r="N407" s="204" t="str">
        <f>INDEX(Mapping!$H:$H,MATCH(E$3&amp;E407,Mapping!$B:$B,0))</f>
        <v>Premium</v>
      </c>
      <c r="O407" s="204" t="str">
        <f>INDEX(Mapping!$H:$H,MATCH(F$3&amp;F407,Mapping!$B:$B,0))</f>
        <v>Metro</v>
      </c>
      <c r="P407" s="204">
        <f>INDEX(Mapping!$H:$H,MATCH(G$3&amp;G407,Mapping!$B:$B,0))</f>
        <v>5</v>
      </c>
      <c r="Q407" s="204" t="str">
        <f>INDEX(Mapping!$H:$H,MATCH(Q$3&amp;$F407,Mapping!$B:$B,0))</f>
        <v>Metro - Regionaal</v>
      </c>
      <c r="R407" s="204" t="str">
        <f>INDEX(Mapping!$H:$H,MATCH("ZM VPN Service Level"&amp;E407,Mapping!$B:$B,0))</f>
        <v>Advanced</v>
      </c>
      <c r="S407" s="139" t="b">
        <f>IF($D407="EoK",INDEX(Mapping!$I:$I,MATCH($G$3&amp;$G407,Mapping!B:B,0)),FALSE)</f>
        <v>0</v>
      </c>
      <c r="T407" s="139"/>
      <c r="U407" s="520" t="str">
        <f t="shared" si="228"/>
        <v>PremiumMetro5</v>
      </c>
      <c r="W407" s="521">
        <f>MATCH($J407,'Tarieven ZM'!$B:$B,0)</f>
        <v>69</v>
      </c>
      <c r="X407" s="204">
        <f>INDEX('Tarieven ZM'!$H:$H,$W407)</f>
        <v>1000</v>
      </c>
      <c r="Y407" s="198">
        <f>-INDEX(Parameters!$B:$B,MATCH(Y$3&amp;$C407,Parameters!$A:$A,0))*$X407</f>
        <v>0</v>
      </c>
      <c r="Z407" s="198">
        <f>-INDEX(Parameters!$B:$B,MATCH(Z$3&amp;$C407,Parameters!$A:$A,0))*$X407</f>
        <v>0</v>
      </c>
      <c r="AA407" s="139">
        <f t="shared" si="230"/>
        <v>1000</v>
      </c>
      <c r="AB407" s="205">
        <f>AA407/INDEX(Parameters!$B:$B,MATCH("AfschrijftermijnVVE"&amp;12*$C407,Parameters!$A:$A,0))</f>
        <v>20.833333333333332</v>
      </c>
      <c r="AC407" s="204">
        <f>INDEX('Tarieven ZM'!$G:$G,$W407)</f>
        <v>1000</v>
      </c>
      <c r="AD407" s="198">
        <f>-INDEX(Parameters!$B:$B,MATCH(AD$3&amp;$C407,Parameters!$A:$A,0))*$AC407</f>
        <v>0</v>
      </c>
      <c r="AE407" s="198">
        <f>-INDEX(Parameters!$B:$B,MATCH(AE$3,Parameters!$A:$A,0))*$AC407</f>
        <v>0</v>
      </c>
      <c r="AF407" s="139">
        <f t="shared" si="231"/>
        <v>1000</v>
      </c>
      <c r="AG407" s="522">
        <f t="shared" si="232"/>
        <v>1020.8333333333334</v>
      </c>
      <c r="AH407" s="175"/>
      <c r="AI407" s="523">
        <f>MATCH($U407,'Tarieven W&amp;O'!$B:$B,0)</f>
        <v>61</v>
      </c>
      <c r="AJ407" s="204">
        <f>IF(AI407&lt;&gt;"nvt",INDEX('Tarieven W&amp;O'!$H:$H,$AI407),0)</f>
        <v>0</v>
      </c>
      <c r="AK407" s="204">
        <f>IF(AI407&lt;&gt;"nvt",INDEX('Tarieven W&amp;O'!$I:$I,$AI407),0)</f>
        <v>25</v>
      </c>
      <c r="AL407" s="524">
        <f>IF(AI407&lt;&gt;"nvt",-INDEX(Parameters!$B:$B,MATCH(AL$3,Parameters!$A:$A,0))*(AJ407+AK407),0)</f>
        <v>0</v>
      </c>
      <c r="AM407" s="525"/>
      <c r="AN407" s="139">
        <f t="shared" si="233"/>
        <v>25</v>
      </c>
      <c r="AO407" s="205">
        <f>AN407/INDEX(Parameters!$B:$B,MATCH("AfschrijftermijnVVE"&amp;12*$C407,Parameters!$A:$A,0))</f>
        <v>0.52083333333333337</v>
      </c>
      <c r="AP407" s="139">
        <f t="shared" si="234"/>
        <v>61</v>
      </c>
      <c r="AQ407" s="526">
        <f>IF(AP407&lt;&gt;"nvt",INDEX('Tarieven W&amp;O'!$G:$G,$AP407),0)</f>
        <v>46.71</v>
      </c>
      <c r="AR407" s="251">
        <f>IF($S407,INDEX('Tarieven W&amp;O'!$G:$G,MATCH(N407&amp;R407,'Tarieven W&amp;O'!$B:$B,0)),0)</f>
        <v>0</v>
      </c>
      <c r="AS407" s="205">
        <f>-INDEX(Parameters!$B:$B,MATCH(AS$3,Parameters!$A:$A,0))*(AQ407+AR407)</f>
        <v>0</v>
      </c>
      <c r="AT407" s="205">
        <f>INDEX(hulpblad!$E:$E,MATCH(M407&amp;Q407,hulpblad!$B:$B,0))</f>
        <v>1</v>
      </c>
      <c r="AU407" s="150">
        <f t="shared" si="215"/>
        <v>47.71</v>
      </c>
      <c r="AV407" s="150">
        <f t="shared" si="216"/>
        <v>48.230833333333337</v>
      </c>
      <c r="AX407" s="526">
        <f>Parameters!$B$6*AV407</f>
        <v>0.48230833333333339</v>
      </c>
      <c r="AY407" s="150">
        <v>0</v>
      </c>
      <c r="AZ407" s="150"/>
      <c r="BA407" s="150">
        <f t="shared" si="235"/>
        <v>0.48230833333333339</v>
      </c>
      <c r="BB407" s="150"/>
      <c r="BC407" s="522">
        <f t="shared" si="236"/>
        <v>48.713141666666672</v>
      </c>
      <c r="BD407" s="175"/>
      <c r="BE407" s="527">
        <f t="shared" si="217"/>
        <v>972.12019166666664</v>
      </c>
      <c r="BF407" s="181">
        <f t="shared" si="218"/>
        <v>0.95228100408163263</v>
      </c>
      <c r="BG407" s="520" t="b">
        <f t="shared" si="229"/>
        <v>0</v>
      </c>
      <c r="BI407" s="528" t="s">
        <v>2181</v>
      </c>
      <c r="BL407" s="151" t="str">
        <f t="shared" si="220"/>
        <v>EoKMetro - Regionaal</v>
      </c>
      <c r="BM407" s="529">
        <v>0</v>
      </c>
      <c r="BN407" s="180">
        <f>BM407/INDEX(Parameters!$B:$B,MATCH("AfschrijftermijnVVE"&amp;12*$C407,Parameters!$A:$A,0))</f>
        <v>0</v>
      </c>
      <c r="BO407" s="184">
        <f>INDEX('inkoop ULL tbv EVPN'!I:I,MATCH(BL407,'inkoop ULL tbv EVPN'!H:H,0))</f>
        <v>2</v>
      </c>
      <c r="BP407" s="184">
        <f t="shared" si="221"/>
        <v>2</v>
      </c>
      <c r="BR407" s="180">
        <f>Parameters!$B$12*AG407</f>
        <v>102.08333333333334</v>
      </c>
      <c r="BS407" s="180">
        <f>SUM(Distributievergoedingen!$F$12,Distributievergoedingen!$I$12,Distributievergoedingen!$L$12,Distributievergoedingen!$O$12)*AF407+SUM(Distributievergoedingen!$O$12*AA407+Distributievergoedingen!$R$12+Distributievergoedingen!$U$12+Distributievergoedingen!$X$12)/(MAX(36,12*C407))</f>
        <v>112.08333333333333</v>
      </c>
      <c r="BT407" s="150"/>
      <c r="BU407" s="150">
        <f t="shared" si="222"/>
        <v>214.16666666666669</v>
      </c>
      <c r="BW407" s="522">
        <f t="shared" si="223"/>
        <v>216.16666666666669</v>
      </c>
      <c r="BY407" s="527">
        <f t="shared" si="224"/>
        <v>804.66666666666674</v>
      </c>
      <c r="BZ407" s="181">
        <f t="shared" si="225"/>
        <v>0.78824489795918373</v>
      </c>
      <c r="CA407" s="520" t="b">
        <f t="shared" si="226"/>
        <v>0</v>
      </c>
    </row>
    <row r="408" spans="1:79" s="151" customFormat="1">
      <c r="A408" s="151" t="str">
        <f t="shared" si="219"/>
        <v>4EoKPremiumCity6</v>
      </c>
      <c r="B408" s="520" t="str">
        <f t="shared" si="214"/>
        <v>4EoKPremiumCity6</v>
      </c>
      <c r="C408" s="179">
        <v>4</v>
      </c>
      <c r="D408" s="179" t="s">
        <v>303</v>
      </c>
      <c r="E408" s="178" t="s">
        <v>267</v>
      </c>
      <c r="F408" s="178" t="s">
        <v>262</v>
      </c>
      <c r="G408" s="185" t="s">
        <v>410</v>
      </c>
      <c r="J408" s="520" t="str">
        <f t="shared" si="227"/>
        <v>PremiumCity6</v>
      </c>
      <c r="L408" s="204">
        <f>INDEX(Mapping!$H:$H,MATCH(C$3&amp;C408,Mapping!$B:$B,0))</f>
        <v>1</v>
      </c>
      <c r="M408" s="204" t="str">
        <f>INDEX(Mapping!$H:$H,MATCH(D$3&amp;$D408,Mapping!$B:$B,0))</f>
        <v>EoK</v>
      </c>
      <c r="N408" s="204" t="str">
        <f>INDEX(Mapping!$H:$H,MATCH(E$3&amp;E408,Mapping!$B:$B,0))</f>
        <v>Premium</v>
      </c>
      <c r="O408" s="204" t="str">
        <f>INDEX(Mapping!$H:$H,MATCH(F$3&amp;F408,Mapping!$B:$B,0))</f>
        <v>Metro</v>
      </c>
      <c r="P408" s="204">
        <f>INDEX(Mapping!$H:$H,MATCH(G$3&amp;G408,Mapping!$B:$B,0))</f>
        <v>6</v>
      </c>
      <c r="Q408" s="204" t="str">
        <f>INDEX(Mapping!$H:$H,MATCH(Q$3&amp;$F408,Mapping!$B:$B,0))</f>
        <v>Metro - Regionaal</v>
      </c>
      <c r="R408" s="204" t="str">
        <f>INDEX(Mapping!$H:$H,MATCH("ZM VPN Service Level"&amp;E408,Mapping!$B:$B,0))</f>
        <v>Advanced</v>
      </c>
      <c r="S408" s="139" t="b">
        <f>IF($D408="EoK",INDEX(Mapping!$I:$I,MATCH($G$3&amp;$G408,Mapping!B:B,0)),FALSE)</f>
        <v>0</v>
      </c>
      <c r="T408" s="139"/>
      <c r="U408" s="520" t="str">
        <f t="shared" si="228"/>
        <v>PremiumMetro6</v>
      </c>
      <c r="W408" s="521">
        <f>MATCH($J408,'Tarieven ZM'!$B:$B,0)</f>
        <v>70</v>
      </c>
      <c r="X408" s="204">
        <f>INDEX('Tarieven ZM'!$H:$H,$W408)</f>
        <v>1000</v>
      </c>
      <c r="Y408" s="198">
        <f>-INDEX(Parameters!$B:$B,MATCH(Y$3&amp;$C408,Parameters!$A:$A,0))*$X408</f>
        <v>0</v>
      </c>
      <c r="Z408" s="198">
        <f>-INDEX(Parameters!$B:$B,MATCH(Z$3&amp;$C408,Parameters!$A:$A,0))*$X408</f>
        <v>0</v>
      </c>
      <c r="AA408" s="139">
        <f t="shared" si="230"/>
        <v>1000</v>
      </c>
      <c r="AB408" s="205">
        <f>AA408/INDEX(Parameters!$B:$B,MATCH("AfschrijftermijnVVE"&amp;12*$C408,Parameters!$A:$A,0))</f>
        <v>20.833333333333332</v>
      </c>
      <c r="AC408" s="204">
        <f>INDEX('Tarieven ZM'!$G:$G,$W408)</f>
        <v>1000</v>
      </c>
      <c r="AD408" s="198">
        <f>-INDEX(Parameters!$B:$B,MATCH(AD$3&amp;$C408,Parameters!$A:$A,0))*$AC408</f>
        <v>0</v>
      </c>
      <c r="AE408" s="198">
        <f>-INDEX(Parameters!$B:$B,MATCH(AE$3,Parameters!$A:$A,0))*$AC408</f>
        <v>0</v>
      </c>
      <c r="AF408" s="139">
        <f t="shared" si="231"/>
        <v>1000</v>
      </c>
      <c r="AG408" s="522">
        <f t="shared" si="232"/>
        <v>1020.8333333333334</v>
      </c>
      <c r="AH408" s="175"/>
      <c r="AI408" s="523">
        <f>MATCH($U408,'Tarieven W&amp;O'!$B:$B,0)</f>
        <v>62</v>
      </c>
      <c r="AJ408" s="204">
        <f>IF(AI408&lt;&gt;"nvt",INDEX('Tarieven W&amp;O'!$H:$H,$AI408),0)</f>
        <v>0</v>
      </c>
      <c r="AK408" s="204">
        <f>IF(AI408&lt;&gt;"nvt",INDEX('Tarieven W&amp;O'!$I:$I,$AI408),0)</f>
        <v>25</v>
      </c>
      <c r="AL408" s="524">
        <f>IF(AI408&lt;&gt;"nvt",-INDEX(Parameters!$B:$B,MATCH(AL$3,Parameters!$A:$A,0))*(AJ408+AK408),0)</f>
        <v>0</v>
      </c>
      <c r="AM408" s="525"/>
      <c r="AN408" s="139">
        <f t="shared" si="233"/>
        <v>25</v>
      </c>
      <c r="AO408" s="205">
        <f>AN408/INDEX(Parameters!$B:$B,MATCH("AfschrijftermijnVVE"&amp;12*$C408,Parameters!$A:$A,0))</f>
        <v>0.52083333333333337</v>
      </c>
      <c r="AP408" s="139">
        <f t="shared" si="234"/>
        <v>62</v>
      </c>
      <c r="AQ408" s="526">
        <f>IF(AP408&lt;&gt;"nvt",INDEX('Tarieven W&amp;O'!$G:$G,$AP408),0)</f>
        <v>50.48</v>
      </c>
      <c r="AR408" s="251">
        <f>IF($S408,INDEX('Tarieven W&amp;O'!$G:$G,MATCH(N408&amp;R408,'Tarieven W&amp;O'!$B:$B,0)),0)</f>
        <v>0</v>
      </c>
      <c r="AS408" s="205">
        <f>-INDEX(Parameters!$B:$B,MATCH(AS$3,Parameters!$A:$A,0))*(AQ408+AR408)</f>
        <v>0</v>
      </c>
      <c r="AT408" s="205">
        <f>INDEX(hulpblad!$E:$E,MATCH(M408&amp;Q408,hulpblad!$B:$B,0))</f>
        <v>1</v>
      </c>
      <c r="AU408" s="150">
        <f t="shared" si="215"/>
        <v>51.48</v>
      </c>
      <c r="AV408" s="150">
        <f t="shared" si="216"/>
        <v>52.000833333333333</v>
      </c>
      <c r="AX408" s="526">
        <f>Parameters!$B$6*AV408</f>
        <v>0.52000833333333329</v>
      </c>
      <c r="AY408" s="150">
        <v>0</v>
      </c>
      <c r="AZ408" s="150"/>
      <c r="BA408" s="150">
        <f t="shared" si="235"/>
        <v>0.52000833333333329</v>
      </c>
      <c r="BB408" s="150"/>
      <c r="BC408" s="522">
        <f t="shared" si="236"/>
        <v>52.520841666666669</v>
      </c>
      <c r="BD408" s="175"/>
      <c r="BE408" s="527">
        <f t="shared" si="217"/>
        <v>968.31249166666669</v>
      </c>
      <c r="BF408" s="181">
        <f t="shared" si="218"/>
        <v>0.94855101224489791</v>
      </c>
      <c r="BG408" s="520" t="b">
        <f t="shared" si="229"/>
        <v>0</v>
      </c>
      <c r="BI408" s="528" t="s">
        <v>2181</v>
      </c>
      <c r="BL408" s="151" t="str">
        <f t="shared" si="220"/>
        <v>EoKMetro - Regionaal</v>
      </c>
      <c r="BM408" s="529">
        <v>0</v>
      </c>
      <c r="BN408" s="180">
        <f>BM408/INDEX(Parameters!$B:$B,MATCH("AfschrijftermijnVVE"&amp;12*$C408,Parameters!$A:$A,0))</f>
        <v>0</v>
      </c>
      <c r="BO408" s="184">
        <f>INDEX('inkoop ULL tbv EVPN'!I:I,MATCH(BL408,'inkoop ULL tbv EVPN'!H:H,0))</f>
        <v>2</v>
      </c>
      <c r="BP408" s="184">
        <f t="shared" si="221"/>
        <v>2</v>
      </c>
      <c r="BR408" s="180">
        <f>Parameters!$B$12*AG408</f>
        <v>102.08333333333334</v>
      </c>
      <c r="BS408" s="180">
        <f>SUM(Distributievergoedingen!$F$12,Distributievergoedingen!$I$12,Distributievergoedingen!$L$12,Distributievergoedingen!$O$12)*AF408+SUM(Distributievergoedingen!$O$12*AA408+Distributievergoedingen!$R$12+Distributievergoedingen!$U$12+Distributievergoedingen!$X$12)/(MAX(36,12*C408))</f>
        <v>112.08333333333333</v>
      </c>
      <c r="BT408" s="150"/>
      <c r="BU408" s="150">
        <f t="shared" si="222"/>
        <v>214.16666666666669</v>
      </c>
      <c r="BW408" s="522">
        <f t="shared" si="223"/>
        <v>216.16666666666669</v>
      </c>
      <c r="BY408" s="527">
        <f t="shared" si="224"/>
        <v>804.66666666666674</v>
      </c>
      <c r="BZ408" s="181">
        <f t="shared" si="225"/>
        <v>0.78824489795918373</v>
      </c>
      <c r="CA408" s="520" t="b">
        <f t="shared" si="226"/>
        <v>0</v>
      </c>
    </row>
    <row r="409" spans="1:79" s="151" customFormat="1">
      <c r="A409" s="151" t="str">
        <f t="shared" si="219"/>
        <v>4EoKPremiumCity8</v>
      </c>
      <c r="B409" s="520" t="str">
        <f t="shared" si="214"/>
        <v>4EoKPremiumCity8</v>
      </c>
      <c r="C409" s="179">
        <v>4</v>
      </c>
      <c r="D409" s="179" t="s">
        <v>303</v>
      </c>
      <c r="E409" s="178" t="s">
        <v>267</v>
      </c>
      <c r="F409" s="178" t="s">
        <v>262</v>
      </c>
      <c r="G409" s="185" t="s">
        <v>411</v>
      </c>
      <c r="J409" s="520" t="str">
        <f t="shared" si="227"/>
        <v>PremiumCity8</v>
      </c>
      <c r="L409" s="204">
        <f>INDEX(Mapping!$H:$H,MATCH(C$3&amp;C409,Mapping!$B:$B,0))</f>
        <v>1</v>
      </c>
      <c r="M409" s="204" t="str">
        <f>INDEX(Mapping!$H:$H,MATCH(D$3&amp;$D409,Mapping!$B:$B,0))</f>
        <v>EoK</v>
      </c>
      <c r="N409" s="204" t="str">
        <f>INDEX(Mapping!$H:$H,MATCH(E$3&amp;E409,Mapping!$B:$B,0))</f>
        <v>Premium</v>
      </c>
      <c r="O409" s="204" t="str">
        <f>INDEX(Mapping!$H:$H,MATCH(F$3&amp;F409,Mapping!$B:$B,0))</f>
        <v>Metro</v>
      </c>
      <c r="P409" s="204">
        <f>INDEX(Mapping!$H:$H,MATCH(G$3&amp;G409,Mapping!$B:$B,0))</f>
        <v>8</v>
      </c>
      <c r="Q409" s="204" t="str">
        <f>INDEX(Mapping!$H:$H,MATCH(Q$3&amp;$F409,Mapping!$B:$B,0))</f>
        <v>Metro - Regionaal</v>
      </c>
      <c r="R409" s="204" t="str">
        <f>INDEX(Mapping!$H:$H,MATCH("ZM VPN Service Level"&amp;E409,Mapping!$B:$B,0))</f>
        <v>Advanced</v>
      </c>
      <c r="S409" s="139" t="b">
        <f>IF($D409="EoK",INDEX(Mapping!$I:$I,MATCH($G$3&amp;$G409,Mapping!B:B,0)),FALSE)</f>
        <v>0</v>
      </c>
      <c r="T409" s="139"/>
      <c r="U409" s="520" t="str">
        <f t="shared" si="228"/>
        <v>PremiumMetro8</v>
      </c>
      <c r="W409" s="521">
        <f>MATCH($J409,'Tarieven ZM'!$B:$B,0)</f>
        <v>71</v>
      </c>
      <c r="X409" s="204">
        <f>INDEX('Tarieven ZM'!$H:$H,$W409)</f>
        <v>1000</v>
      </c>
      <c r="Y409" s="198">
        <f>-INDEX(Parameters!$B:$B,MATCH(Y$3&amp;$C409,Parameters!$A:$A,0))*$X409</f>
        <v>0</v>
      </c>
      <c r="Z409" s="198">
        <f>-INDEX(Parameters!$B:$B,MATCH(Z$3&amp;$C409,Parameters!$A:$A,0))*$X409</f>
        <v>0</v>
      </c>
      <c r="AA409" s="139">
        <f t="shared" si="230"/>
        <v>1000</v>
      </c>
      <c r="AB409" s="205">
        <f>AA409/INDEX(Parameters!$B:$B,MATCH("AfschrijftermijnVVE"&amp;12*$C409,Parameters!$A:$A,0))</f>
        <v>20.833333333333332</v>
      </c>
      <c r="AC409" s="204">
        <f>INDEX('Tarieven ZM'!$G:$G,$W409)</f>
        <v>1000</v>
      </c>
      <c r="AD409" s="198">
        <f>-INDEX(Parameters!$B:$B,MATCH(AD$3&amp;$C409,Parameters!$A:$A,0))*$AC409</f>
        <v>0</v>
      </c>
      <c r="AE409" s="198">
        <f>-INDEX(Parameters!$B:$B,MATCH(AE$3,Parameters!$A:$A,0))*$AC409</f>
        <v>0</v>
      </c>
      <c r="AF409" s="139">
        <f t="shared" si="231"/>
        <v>1000</v>
      </c>
      <c r="AG409" s="522">
        <f t="shared" si="232"/>
        <v>1020.8333333333334</v>
      </c>
      <c r="AH409" s="175"/>
      <c r="AI409" s="523">
        <f>MATCH($U409,'Tarieven W&amp;O'!$B:$B,0)</f>
        <v>63</v>
      </c>
      <c r="AJ409" s="204">
        <f>IF(AI409&lt;&gt;"nvt",INDEX('Tarieven W&amp;O'!$H:$H,$AI409),0)</f>
        <v>0</v>
      </c>
      <c r="AK409" s="204">
        <f>IF(AI409&lt;&gt;"nvt",INDEX('Tarieven W&amp;O'!$I:$I,$AI409),0)</f>
        <v>25</v>
      </c>
      <c r="AL409" s="524">
        <f>IF(AI409&lt;&gt;"nvt",-INDEX(Parameters!$B:$B,MATCH(AL$3,Parameters!$A:$A,0))*(AJ409+AK409),0)</f>
        <v>0</v>
      </c>
      <c r="AM409" s="525"/>
      <c r="AN409" s="139">
        <f t="shared" si="233"/>
        <v>25</v>
      </c>
      <c r="AO409" s="205">
        <f>AN409/INDEX(Parameters!$B:$B,MATCH("AfschrijftermijnVVE"&amp;12*$C409,Parameters!$A:$A,0))</f>
        <v>0.52083333333333337</v>
      </c>
      <c r="AP409" s="139">
        <f t="shared" si="234"/>
        <v>63</v>
      </c>
      <c r="AQ409" s="526">
        <f>IF(AP409&lt;&gt;"nvt",INDEX('Tarieven W&amp;O'!$G:$G,$AP409),0)</f>
        <v>54.24</v>
      </c>
      <c r="AR409" s="251">
        <f>IF($S409,INDEX('Tarieven W&amp;O'!$G:$G,MATCH(N409&amp;R409,'Tarieven W&amp;O'!$B:$B,0)),0)</f>
        <v>0</v>
      </c>
      <c r="AS409" s="205">
        <f>-INDEX(Parameters!$B:$B,MATCH(AS$3,Parameters!$A:$A,0))*(AQ409+AR409)</f>
        <v>0</v>
      </c>
      <c r="AT409" s="205">
        <f>INDEX(hulpblad!$E:$E,MATCH(M409&amp;Q409,hulpblad!$B:$B,0))</f>
        <v>1</v>
      </c>
      <c r="AU409" s="150">
        <f t="shared" si="215"/>
        <v>55.24</v>
      </c>
      <c r="AV409" s="150">
        <f t="shared" si="216"/>
        <v>55.760833333333338</v>
      </c>
      <c r="AX409" s="526">
        <f>Parameters!$B$6*AV409</f>
        <v>0.55760833333333337</v>
      </c>
      <c r="AY409" s="150">
        <v>0</v>
      </c>
      <c r="AZ409" s="150"/>
      <c r="BA409" s="150">
        <f t="shared" si="235"/>
        <v>0.55760833333333337</v>
      </c>
      <c r="BB409" s="150"/>
      <c r="BC409" s="522">
        <f t="shared" si="236"/>
        <v>56.318441666666672</v>
      </c>
      <c r="BD409" s="175"/>
      <c r="BE409" s="527">
        <f t="shared" si="217"/>
        <v>964.5148916666667</v>
      </c>
      <c r="BF409" s="181">
        <f t="shared" si="218"/>
        <v>0.94483091428571431</v>
      </c>
      <c r="BG409" s="520" t="b">
        <f t="shared" si="229"/>
        <v>0</v>
      </c>
      <c r="BI409" s="528" t="s">
        <v>2181</v>
      </c>
      <c r="BL409" s="151" t="str">
        <f t="shared" si="220"/>
        <v>EoKMetro - Regionaal</v>
      </c>
      <c r="BM409" s="529">
        <v>0</v>
      </c>
      <c r="BN409" s="180">
        <f>BM409/INDEX(Parameters!$B:$B,MATCH("AfschrijftermijnVVE"&amp;12*$C409,Parameters!$A:$A,0))</f>
        <v>0</v>
      </c>
      <c r="BO409" s="184">
        <f>INDEX('inkoop ULL tbv EVPN'!I:I,MATCH(BL409,'inkoop ULL tbv EVPN'!H:H,0))</f>
        <v>2</v>
      </c>
      <c r="BP409" s="184">
        <f t="shared" si="221"/>
        <v>2</v>
      </c>
      <c r="BR409" s="180">
        <f>Parameters!$B$12*AG409</f>
        <v>102.08333333333334</v>
      </c>
      <c r="BS409" s="180">
        <f>SUM(Distributievergoedingen!$F$12,Distributievergoedingen!$I$12,Distributievergoedingen!$L$12,Distributievergoedingen!$O$12)*AF409+SUM(Distributievergoedingen!$O$12*AA409+Distributievergoedingen!$R$12+Distributievergoedingen!$U$12+Distributievergoedingen!$X$12)/(MAX(36,12*C409))</f>
        <v>112.08333333333333</v>
      </c>
      <c r="BT409" s="150"/>
      <c r="BU409" s="150">
        <f t="shared" si="222"/>
        <v>214.16666666666669</v>
      </c>
      <c r="BW409" s="522">
        <f t="shared" si="223"/>
        <v>216.16666666666669</v>
      </c>
      <c r="BY409" s="527">
        <f t="shared" si="224"/>
        <v>804.66666666666674</v>
      </c>
      <c r="BZ409" s="181">
        <f t="shared" si="225"/>
        <v>0.78824489795918373</v>
      </c>
      <c r="CA409" s="520" t="b">
        <f t="shared" si="226"/>
        <v>0</v>
      </c>
    </row>
    <row r="410" spans="1:79" s="151" customFormat="1">
      <c r="A410" s="151" t="str">
        <f t="shared" si="219"/>
        <v>4EoKPremiumCity10</v>
      </c>
      <c r="B410" s="520" t="str">
        <f t="shared" si="214"/>
        <v>4EoKPremiumCity10</v>
      </c>
      <c r="C410" s="179">
        <v>4</v>
      </c>
      <c r="D410" s="179" t="s">
        <v>303</v>
      </c>
      <c r="E410" s="178" t="s">
        <v>267</v>
      </c>
      <c r="F410" s="178" t="s">
        <v>262</v>
      </c>
      <c r="G410" s="185" t="s">
        <v>412</v>
      </c>
      <c r="J410" s="520" t="str">
        <f t="shared" si="227"/>
        <v>PremiumCity10</v>
      </c>
      <c r="L410" s="204">
        <f>INDEX(Mapping!$H:$H,MATCH(C$3&amp;C410,Mapping!$B:$B,0))</f>
        <v>1</v>
      </c>
      <c r="M410" s="204" t="str">
        <f>INDEX(Mapping!$H:$H,MATCH(D$3&amp;$D410,Mapping!$B:$B,0))</f>
        <v>EoK</v>
      </c>
      <c r="N410" s="204" t="str">
        <f>INDEX(Mapping!$H:$H,MATCH(E$3&amp;E410,Mapping!$B:$B,0))</f>
        <v>Premium</v>
      </c>
      <c r="O410" s="204" t="str">
        <f>INDEX(Mapping!$H:$H,MATCH(F$3&amp;F410,Mapping!$B:$B,0))</f>
        <v>Metro</v>
      </c>
      <c r="P410" s="204">
        <f>INDEX(Mapping!$H:$H,MATCH(G$3&amp;G410,Mapping!$B:$B,0))</f>
        <v>10</v>
      </c>
      <c r="Q410" s="204" t="str">
        <f>INDEX(Mapping!$H:$H,MATCH(Q$3&amp;$F410,Mapping!$B:$B,0))</f>
        <v>Metro - Regionaal</v>
      </c>
      <c r="R410" s="204" t="str">
        <f>INDEX(Mapping!$H:$H,MATCH("ZM VPN Service Level"&amp;E410,Mapping!$B:$B,0))</f>
        <v>Advanced</v>
      </c>
      <c r="S410" s="139" t="b">
        <f>IF($D410="EoK",INDEX(Mapping!$I:$I,MATCH($G$3&amp;$G410,Mapping!B:B,0)),FALSE)</f>
        <v>0</v>
      </c>
      <c r="T410" s="139"/>
      <c r="U410" s="520" t="str">
        <f t="shared" si="228"/>
        <v>PremiumMetro10</v>
      </c>
      <c r="W410" s="521">
        <f>MATCH($J410,'Tarieven ZM'!$B:$B,0)</f>
        <v>72</v>
      </c>
      <c r="X410" s="204">
        <f>INDEX('Tarieven ZM'!$H:$H,$W410)</f>
        <v>1000</v>
      </c>
      <c r="Y410" s="198">
        <f>-INDEX(Parameters!$B:$B,MATCH(Y$3&amp;$C410,Parameters!$A:$A,0))*$X410</f>
        <v>0</v>
      </c>
      <c r="Z410" s="198">
        <f>-INDEX(Parameters!$B:$B,MATCH(Z$3&amp;$C410,Parameters!$A:$A,0))*$X410</f>
        <v>0</v>
      </c>
      <c r="AA410" s="139">
        <f t="shared" si="230"/>
        <v>1000</v>
      </c>
      <c r="AB410" s="205">
        <f>AA410/INDEX(Parameters!$B:$B,MATCH("AfschrijftermijnVVE"&amp;12*$C410,Parameters!$A:$A,0))</f>
        <v>20.833333333333332</v>
      </c>
      <c r="AC410" s="204">
        <f>INDEX('Tarieven ZM'!$G:$G,$W410)</f>
        <v>1000</v>
      </c>
      <c r="AD410" s="198">
        <f>-INDEX(Parameters!$B:$B,MATCH(AD$3&amp;$C410,Parameters!$A:$A,0))*$AC410</f>
        <v>0</v>
      </c>
      <c r="AE410" s="198">
        <f>-INDEX(Parameters!$B:$B,MATCH(AE$3,Parameters!$A:$A,0))*$AC410</f>
        <v>0</v>
      </c>
      <c r="AF410" s="139">
        <f t="shared" si="231"/>
        <v>1000</v>
      </c>
      <c r="AG410" s="522">
        <f t="shared" si="232"/>
        <v>1020.8333333333334</v>
      </c>
      <c r="AH410" s="175"/>
      <c r="AI410" s="523">
        <f>MATCH($U410,'Tarieven W&amp;O'!$B:$B,0)</f>
        <v>64</v>
      </c>
      <c r="AJ410" s="204">
        <f>IF(AI410&lt;&gt;"nvt",INDEX('Tarieven W&amp;O'!$H:$H,$AI410),0)</f>
        <v>0</v>
      </c>
      <c r="AK410" s="204">
        <f>IF(AI410&lt;&gt;"nvt",INDEX('Tarieven W&amp;O'!$I:$I,$AI410),0)</f>
        <v>25</v>
      </c>
      <c r="AL410" s="524">
        <f>IF(AI410&lt;&gt;"nvt",-INDEX(Parameters!$B:$B,MATCH(AL$3,Parameters!$A:$A,0))*(AJ410+AK410),0)</f>
        <v>0</v>
      </c>
      <c r="AM410" s="525"/>
      <c r="AN410" s="139">
        <f t="shared" si="233"/>
        <v>25</v>
      </c>
      <c r="AO410" s="205">
        <f>AN410/INDEX(Parameters!$B:$B,MATCH("AfschrijftermijnVVE"&amp;12*$C410,Parameters!$A:$A,0))</f>
        <v>0.52083333333333337</v>
      </c>
      <c r="AP410" s="139">
        <f t="shared" si="234"/>
        <v>64</v>
      </c>
      <c r="AQ410" s="526">
        <f>IF(AP410&lt;&gt;"nvt",INDEX('Tarieven W&amp;O'!$G:$G,$AP410),0)</f>
        <v>58.01</v>
      </c>
      <c r="AR410" s="251">
        <f>IF($S410,INDEX('Tarieven W&amp;O'!$G:$G,MATCH(N410&amp;R410,'Tarieven W&amp;O'!$B:$B,0)),0)</f>
        <v>0</v>
      </c>
      <c r="AS410" s="205">
        <f>-INDEX(Parameters!$B:$B,MATCH(AS$3,Parameters!$A:$A,0))*(AQ410+AR410)</f>
        <v>0</v>
      </c>
      <c r="AT410" s="205">
        <f>INDEX(hulpblad!$E:$E,MATCH(M410&amp;Q410,hulpblad!$B:$B,0))</f>
        <v>1</v>
      </c>
      <c r="AU410" s="150">
        <f t="shared" si="215"/>
        <v>59.01</v>
      </c>
      <c r="AV410" s="150">
        <f t="shared" si="216"/>
        <v>59.530833333333334</v>
      </c>
      <c r="AX410" s="526">
        <f>Parameters!$B$6*AV410</f>
        <v>0.59530833333333333</v>
      </c>
      <c r="AY410" s="150">
        <v>0</v>
      </c>
      <c r="AZ410" s="150"/>
      <c r="BA410" s="150">
        <f t="shared" si="235"/>
        <v>0.59530833333333333</v>
      </c>
      <c r="BB410" s="150"/>
      <c r="BC410" s="522">
        <f t="shared" si="236"/>
        <v>60.126141666666669</v>
      </c>
      <c r="BD410" s="175"/>
      <c r="BE410" s="527">
        <f t="shared" si="217"/>
        <v>960.70719166666674</v>
      </c>
      <c r="BF410" s="181">
        <f t="shared" si="218"/>
        <v>0.94110092244897958</v>
      </c>
      <c r="BG410" s="520" t="b">
        <f t="shared" si="229"/>
        <v>0</v>
      </c>
      <c r="BI410" s="528" t="s">
        <v>2181</v>
      </c>
      <c r="BL410" s="151" t="str">
        <f t="shared" si="220"/>
        <v>EoKMetro - Regionaal</v>
      </c>
      <c r="BM410" s="529">
        <v>0</v>
      </c>
      <c r="BN410" s="180">
        <f>BM410/INDEX(Parameters!$B:$B,MATCH("AfschrijftermijnVVE"&amp;12*$C410,Parameters!$A:$A,0))</f>
        <v>0</v>
      </c>
      <c r="BO410" s="184">
        <f>INDEX('inkoop ULL tbv EVPN'!I:I,MATCH(BL410,'inkoop ULL tbv EVPN'!H:H,0))</f>
        <v>2</v>
      </c>
      <c r="BP410" s="184">
        <f t="shared" si="221"/>
        <v>2</v>
      </c>
      <c r="BR410" s="180">
        <f>Parameters!$B$12*AG410</f>
        <v>102.08333333333334</v>
      </c>
      <c r="BS410" s="180">
        <f>SUM(Distributievergoedingen!$F$12,Distributievergoedingen!$I$12,Distributievergoedingen!$L$12,Distributievergoedingen!$O$12)*AF410+SUM(Distributievergoedingen!$O$12*AA410+Distributievergoedingen!$R$12+Distributievergoedingen!$U$12+Distributievergoedingen!$X$12)/(MAX(36,12*C410))</f>
        <v>112.08333333333333</v>
      </c>
      <c r="BT410" s="150"/>
      <c r="BU410" s="150">
        <f t="shared" si="222"/>
        <v>214.16666666666669</v>
      </c>
      <c r="BW410" s="522">
        <f t="shared" si="223"/>
        <v>216.16666666666669</v>
      </c>
      <c r="BY410" s="527">
        <f t="shared" si="224"/>
        <v>804.66666666666674</v>
      </c>
      <c r="BZ410" s="181">
        <f t="shared" si="225"/>
        <v>0.78824489795918373</v>
      </c>
      <c r="CA410" s="520" t="b">
        <f t="shared" si="226"/>
        <v>0</v>
      </c>
    </row>
    <row r="411" spans="1:79" s="151" customFormat="1">
      <c r="A411" s="151" t="str">
        <f t="shared" si="219"/>
        <v>4EoKPremiumCity15</v>
      </c>
      <c r="B411" s="520" t="str">
        <f t="shared" si="214"/>
        <v>4EoKPremiumCity15</v>
      </c>
      <c r="C411" s="179">
        <v>4</v>
      </c>
      <c r="D411" s="179" t="s">
        <v>303</v>
      </c>
      <c r="E411" s="178" t="s">
        <v>267</v>
      </c>
      <c r="F411" s="178" t="s">
        <v>262</v>
      </c>
      <c r="G411" s="185" t="s">
        <v>413</v>
      </c>
      <c r="J411" s="520" t="str">
        <f t="shared" si="227"/>
        <v>PremiumCity15</v>
      </c>
      <c r="L411" s="204">
        <f>INDEX(Mapping!$H:$H,MATCH(C$3&amp;C411,Mapping!$B:$B,0))</f>
        <v>1</v>
      </c>
      <c r="M411" s="204" t="str">
        <f>INDEX(Mapping!$H:$H,MATCH(D$3&amp;$D411,Mapping!$B:$B,0))</f>
        <v>EoK</v>
      </c>
      <c r="N411" s="204" t="str">
        <f>INDEX(Mapping!$H:$H,MATCH(E$3&amp;E411,Mapping!$B:$B,0))</f>
        <v>Premium</v>
      </c>
      <c r="O411" s="204" t="str">
        <f>INDEX(Mapping!$H:$H,MATCH(F$3&amp;F411,Mapping!$B:$B,0))</f>
        <v>Metro</v>
      </c>
      <c r="P411" s="204">
        <f>INDEX(Mapping!$H:$H,MATCH(G$3&amp;G411,Mapping!$B:$B,0))</f>
        <v>15</v>
      </c>
      <c r="Q411" s="204" t="str">
        <f>INDEX(Mapping!$H:$H,MATCH(Q$3&amp;$F411,Mapping!$B:$B,0))</f>
        <v>Metro - Regionaal</v>
      </c>
      <c r="R411" s="204" t="str">
        <f>INDEX(Mapping!$H:$H,MATCH("ZM VPN Service Level"&amp;E411,Mapping!$B:$B,0))</f>
        <v>Advanced</v>
      </c>
      <c r="S411" s="139" t="b">
        <f>IF($D411="EoK",INDEX(Mapping!$I:$I,MATCH($G$3&amp;$G411,Mapping!B:B,0)),FALSE)</f>
        <v>0</v>
      </c>
      <c r="T411" s="139"/>
      <c r="U411" s="520" t="str">
        <f t="shared" si="228"/>
        <v>PremiumMetro15</v>
      </c>
      <c r="W411" s="521">
        <f>MATCH($J411,'Tarieven ZM'!$B:$B,0)</f>
        <v>73</v>
      </c>
      <c r="X411" s="204">
        <f>INDEX('Tarieven ZM'!$H:$H,$W411)</f>
        <v>1000</v>
      </c>
      <c r="Y411" s="198">
        <f>-INDEX(Parameters!$B:$B,MATCH(Y$3&amp;$C411,Parameters!$A:$A,0))*$X411</f>
        <v>0</v>
      </c>
      <c r="Z411" s="198">
        <f>-INDEX(Parameters!$B:$B,MATCH(Z$3&amp;$C411,Parameters!$A:$A,0))*$X411</f>
        <v>0</v>
      </c>
      <c r="AA411" s="139">
        <f t="shared" si="230"/>
        <v>1000</v>
      </c>
      <c r="AB411" s="205">
        <f>AA411/INDEX(Parameters!$B:$B,MATCH("AfschrijftermijnVVE"&amp;12*$C411,Parameters!$A:$A,0))</f>
        <v>20.833333333333332</v>
      </c>
      <c r="AC411" s="204">
        <f>INDEX('Tarieven ZM'!$G:$G,$W411)</f>
        <v>1000</v>
      </c>
      <c r="AD411" s="198">
        <f>-INDEX(Parameters!$B:$B,MATCH(AD$3&amp;$C411,Parameters!$A:$A,0))*$AC411</f>
        <v>0</v>
      </c>
      <c r="AE411" s="198">
        <f>-INDEX(Parameters!$B:$B,MATCH(AE$3,Parameters!$A:$A,0))*$AC411</f>
        <v>0</v>
      </c>
      <c r="AF411" s="139">
        <f t="shared" si="231"/>
        <v>1000</v>
      </c>
      <c r="AG411" s="522">
        <f t="shared" si="232"/>
        <v>1020.8333333333334</v>
      </c>
      <c r="AH411" s="175"/>
      <c r="AI411" s="523">
        <f>MATCH($U411,'Tarieven W&amp;O'!$B:$B,0)</f>
        <v>65</v>
      </c>
      <c r="AJ411" s="204">
        <f>IF(AI411&lt;&gt;"nvt",INDEX('Tarieven W&amp;O'!$H:$H,$AI411),0)</f>
        <v>0</v>
      </c>
      <c r="AK411" s="204">
        <f>IF(AI411&lt;&gt;"nvt",INDEX('Tarieven W&amp;O'!$I:$I,$AI411),0)</f>
        <v>25</v>
      </c>
      <c r="AL411" s="524">
        <f>IF(AI411&lt;&gt;"nvt",-INDEX(Parameters!$B:$B,MATCH(AL$3,Parameters!$A:$A,0))*(AJ411+AK411),0)</f>
        <v>0</v>
      </c>
      <c r="AM411" s="525"/>
      <c r="AN411" s="139">
        <f t="shared" si="233"/>
        <v>25</v>
      </c>
      <c r="AO411" s="205">
        <f>AN411/INDEX(Parameters!$B:$B,MATCH("AfschrijftermijnVVE"&amp;12*$C411,Parameters!$A:$A,0))</f>
        <v>0.52083333333333337</v>
      </c>
      <c r="AP411" s="139">
        <f t="shared" si="234"/>
        <v>65</v>
      </c>
      <c r="AQ411" s="526">
        <f>IF(AP411&lt;&gt;"nvt",INDEX('Tarieven W&amp;O'!$G:$G,$AP411),0)</f>
        <v>80.63</v>
      </c>
      <c r="AR411" s="251">
        <f>IF($S411,INDEX('Tarieven W&amp;O'!$G:$G,MATCH(N411&amp;R411,'Tarieven W&amp;O'!$B:$B,0)),0)</f>
        <v>0</v>
      </c>
      <c r="AS411" s="205">
        <f>-INDEX(Parameters!$B:$B,MATCH(AS$3,Parameters!$A:$A,0))*(AQ411+AR411)</f>
        <v>0</v>
      </c>
      <c r="AT411" s="205">
        <f>INDEX(hulpblad!$E:$E,MATCH(M411&amp;Q411,hulpblad!$B:$B,0))</f>
        <v>1</v>
      </c>
      <c r="AU411" s="150">
        <f t="shared" si="215"/>
        <v>81.63</v>
      </c>
      <c r="AV411" s="150">
        <f t="shared" si="216"/>
        <v>82.150833333333324</v>
      </c>
      <c r="AX411" s="526">
        <f>Parameters!$B$6*AV411</f>
        <v>0.82150833333333328</v>
      </c>
      <c r="AY411" s="150">
        <v>0</v>
      </c>
      <c r="AZ411" s="150"/>
      <c r="BA411" s="150">
        <f t="shared" si="235"/>
        <v>0.82150833333333328</v>
      </c>
      <c r="BB411" s="150"/>
      <c r="BC411" s="522">
        <f t="shared" si="236"/>
        <v>82.972341666666651</v>
      </c>
      <c r="BD411" s="175"/>
      <c r="BE411" s="527">
        <f t="shared" si="217"/>
        <v>937.86099166666668</v>
      </c>
      <c r="BF411" s="181">
        <f t="shared" si="218"/>
        <v>0.91872097142857145</v>
      </c>
      <c r="BG411" s="520" t="b">
        <f t="shared" si="229"/>
        <v>0</v>
      </c>
      <c r="BI411" s="528" t="s">
        <v>2181</v>
      </c>
      <c r="BL411" s="151" t="str">
        <f t="shared" si="220"/>
        <v>EoKMetro - Regionaal</v>
      </c>
      <c r="BM411" s="529">
        <v>0</v>
      </c>
      <c r="BN411" s="180">
        <f>BM411/INDEX(Parameters!$B:$B,MATCH("AfschrijftermijnVVE"&amp;12*$C411,Parameters!$A:$A,0))</f>
        <v>0</v>
      </c>
      <c r="BO411" s="184">
        <f>INDEX('inkoop ULL tbv EVPN'!I:I,MATCH(BL411,'inkoop ULL tbv EVPN'!H:H,0))</f>
        <v>2</v>
      </c>
      <c r="BP411" s="184">
        <f t="shared" si="221"/>
        <v>2</v>
      </c>
      <c r="BR411" s="180">
        <f>Parameters!$B$12*AG411</f>
        <v>102.08333333333334</v>
      </c>
      <c r="BS411" s="180">
        <f>SUM(Distributievergoedingen!$F$12,Distributievergoedingen!$I$12,Distributievergoedingen!$L$12,Distributievergoedingen!$O$12)*AF411+SUM(Distributievergoedingen!$O$12*AA411+Distributievergoedingen!$R$12+Distributievergoedingen!$U$12+Distributievergoedingen!$X$12)/(MAX(36,12*C411))</f>
        <v>112.08333333333333</v>
      </c>
      <c r="BT411" s="150"/>
      <c r="BU411" s="150">
        <f t="shared" si="222"/>
        <v>214.16666666666669</v>
      </c>
      <c r="BW411" s="522">
        <f t="shared" si="223"/>
        <v>216.16666666666669</v>
      </c>
      <c r="BY411" s="527">
        <f t="shared" si="224"/>
        <v>804.66666666666674</v>
      </c>
      <c r="BZ411" s="181">
        <f t="shared" si="225"/>
        <v>0.78824489795918373</v>
      </c>
      <c r="CA411" s="520" t="b">
        <f t="shared" si="226"/>
        <v>0</v>
      </c>
    </row>
    <row r="412" spans="1:79" s="151" customFormat="1">
      <c r="A412" s="151" t="str">
        <f t="shared" si="219"/>
        <v>4EoKPremiumCity20</v>
      </c>
      <c r="B412" s="520" t="str">
        <f t="shared" ref="B412:B459" si="237">A412</f>
        <v>4EoKPremiumCity20</v>
      </c>
      <c r="C412" s="179">
        <v>4</v>
      </c>
      <c r="D412" s="179" t="s">
        <v>303</v>
      </c>
      <c r="E412" s="178" t="s">
        <v>267</v>
      </c>
      <c r="F412" s="178" t="s">
        <v>262</v>
      </c>
      <c r="G412" s="185" t="s">
        <v>414</v>
      </c>
      <c r="J412" s="520" t="str">
        <f t="shared" si="227"/>
        <v>PremiumCity20</v>
      </c>
      <c r="L412" s="204">
        <f>INDEX(Mapping!$H:$H,MATCH(C$3&amp;C412,Mapping!$B:$B,0))</f>
        <v>1</v>
      </c>
      <c r="M412" s="204" t="str">
        <f>INDEX(Mapping!$H:$H,MATCH(D$3&amp;$D412,Mapping!$B:$B,0))</f>
        <v>EoK</v>
      </c>
      <c r="N412" s="204" t="str">
        <f>INDEX(Mapping!$H:$H,MATCH(E$3&amp;E412,Mapping!$B:$B,0))</f>
        <v>Premium</v>
      </c>
      <c r="O412" s="204" t="str">
        <f>INDEX(Mapping!$H:$H,MATCH(F$3&amp;F412,Mapping!$B:$B,0))</f>
        <v>Metro</v>
      </c>
      <c r="P412" s="204">
        <f>INDEX(Mapping!$H:$H,MATCH(G$3&amp;G412,Mapping!$B:$B,0))</f>
        <v>20</v>
      </c>
      <c r="Q412" s="204" t="str">
        <f>INDEX(Mapping!$H:$H,MATCH(Q$3&amp;$F412,Mapping!$B:$B,0))</f>
        <v>Metro - Regionaal</v>
      </c>
      <c r="R412" s="204" t="str">
        <f>INDEX(Mapping!$H:$H,MATCH("ZM VPN Service Level"&amp;E412,Mapping!$B:$B,0))</f>
        <v>Advanced</v>
      </c>
      <c r="S412" s="139" t="b">
        <f>IF($D412="EoK",INDEX(Mapping!$I:$I,MATCH($G$3&amp;$G412,Mapping!B:B,0)),FALSE)</f>
        <v>0</v>
      </c>
      <c r="T412" s="139"/>
      <c r="U412" s="520" t="str">
        <f t="shared" si="228"/>
        <v>PremiumMetro20</v>
      </c>
      <c r="W412" s="521">
        <f>MATCH($J412,'Tarieven ZM'!$B:$B,0)</f>
        <v>74</v>
      </c>
      <c r="X412" s="204">
        <f>INDEX('Tarieven ZM'!$H:$H,$W412)</f>
        <v>1000</v>
      </c>
      <c r="Y412" s="198">
        <f>-INDEX(Parameters!$B:$B,MATCH(Y$3&amp;$C412,Parameters!$A:$A,0))*$X412</f>
        <v>0</v>
      </c>
      <c r="Z412" s="198">
        <f>-INDEX(Parameters!$B:$B,MATCH(Z$3&amp;$C412,Parameters!$A:$A,0))*$X412</f>
        <v>0</v>
      </c>
      <c r="AA412" s="139">
        <f t="shared" si="230"/>
        <v>1000</v>
      </c>
      <c r="AB412" s="205">
        <f>AA412/INDEX(Parameters!$B:$B,MATCH("AfschrijftermijnVVE"&amp;12*$C412,Parameters!$A:$A,0))</f>
        <v>20.833333333333332</v>
      </c>
      <c r="AC412" s="204">
        <f>INDEX('Tarieven ZM'!$G:$G,$W412)</f>
        <v>1000</v>
      </c>
      <c r="AD412" s="198">
        <f>-INDEX(Parameters!$B:$B,MATCH(AD$3&amp;$C412,Parameters!$A:$A,0))*$AC412</f>
        <v>0</v>
      </c>
      <c r="AE412" s="198">
        <f>-INDEX(Parameters!$B:$B,MATCH(AE$3,Parameters!$A:$A,0))*$AC412</f>
        <v>0</v>
      </c>
      <c r="AF412" s="139">
        <f t="shared" si="231"/>
        <v>1000</v>
      </c>
      <c r="AG412" s="522">
        <f t="shared" si="232"/>
        <v>1020.8333333333334</v>
      </c>
      <c r="AH412" s="175"/>
      <c r="AI412" s="523">
        <f>MATCH($U412,'Tarieven W&amp;O'!$B:$B,0)</f>
        <v>66</v>
      </c>
      <c r="AJ412" s="204">
        <f>IF(AI412&lt;&gt;"nvt",INDEX('Tarieven W&amp;O'!$H:$H,$AI412),0)</f>
        <v>0</v>
      </c>
      <c r="AK412" s="204">
        <f>IF(AI412&lt;&gt;"nvt",INDEX('Tarieven W&amp;O'!$I:$I,$AI412),0)</f>
        <v>25</v>
      </c>
      <c r="AL412" s="524">
        <f>IF(AI412&lt;&gt;"nvt",-INDEX(Parameters!$B:$B,MATCH(AL$3,Parameters!$A:$A,0))*(AJ412+AK412),0)</f>
        <v>0</v>
      </c>
      <c r="AM412" s="525"/>
      <c r="AN412" s="139">
        <f t="shared" si="233"/>
        <v>25</v>
      </c>
      <c r="AO412" s="205">
        <f>AN412/INDEX(Parameters!$B:$B,MATCH("AfschrijftermijnVVE"&amp;12*$C412,Parameters!$A:$A,0))</f>
        <v>0.52083333333333337</v>
      </c>
      <c r="AP412" s="139">
        <f t="shared" si="234"/>
        <v>66</v>
      </c>
      <c r="AQ412" s="526">
        <f>IF(AP412&lt;&gt;"nvt",INDEX('Tarieven W&amp;O'!$G:$G,$AP412),0)</f>
        <v>88.17</v>
      </c>
      <c r="AR412" s="251">
        <f>IF($S412,INDEX('Tarieven W&amp;O'!$G:$G,MATCH(N412&amp;R412,'Tarieven W&amp;O'!$B:$B,0)),0)</f>
        <v>0</v>
      </c>
      <c r="AS412" s="205">
        <f>-INDEX(Parameters!$B:$B,MATCH(AS$3,Parameters!$A:$A,0))*(AQ412+AR412)</f>
        <v>0</v>
      </c>
      <c r="AT412" s="205">
        <f>INDEX(hulpblad!$E:$E,MATCH(M412&amp;Q412,hulpblad!$B:$B,0))</f>
        <v>1</v>
      </c>
      <c r="AU412" s="150">
        <f t="shared" si="215"/>
        <v>89.17</v>
      </c>
      <c r="AV412" s="150">
        <f t="shared" si="216"/>
        <v>89.69083333333333</v>
      </c>
      <c r="AX412" s="526">
        <f>Parameters!$B$6*AV412</f>
        <v>0.89690833333333331</v>
      </c>
      <c r="AY412" s="150">
        <v>0</v>
      </c>
      <c r="AZ412" s="150"/>
      <c r="BA412" s="150">
        <f t="shared" si="235"/>
        <v>0.89690833333333331</v>
      </c>
      <c r="BB412" s="150"/>
      <c r="BC412" s="522">
        <f t="shared" si="236"/>
        <v>90.587741666666659</v>
      </c>
      <c r="BD412" s="175"/>
      <c r="BE412" s="527">
        <f t="shared" si="217"/>
        <v>930.24559166666677</v>
      </c>
      <c r="BF412" s="181">
        <f t="shared" si="218"/>
        <v>0.91126098775510211</v>
      </c>
      <c r="BG412" s="520" t="b">
        <f t="shared" si="229"/>
        <v>0</v>
      </c>
      <c r="BI412" s="528" t="s">
        <v>2181</v>
      </c>
      <c r="BL412" s="151" t="str">
        <f t="shared" si="220"/>
        <v>EoKMetro - Regionaal</v>
      </c>
      <c r="BM412" s="529">
        <v>0</v>
      </c>
      <c r="BN412" s="180">
        <f>BM412/INDEX(Parameters!$B:$B,MATCH("AfschrijftermijnVVE"&amp;12*$C412,Parameters!$A:$A,0))</f>
        <v>0</v>
      </c>
      <c r="BO412" s="184">
        <f>INDEX('inkoop ULL tbv EVPN'!I:I,MATCH(BL412,'inkoop ULL tbv EVPN'!H:H,0))</f>
        <v>2</v>
      </c>
      <c r="BP412" s="184">
        <f t="shared" si="221"/>
        <v>2</v>
      </c>
      <c r="BR412" s="180">
        <f>Parameters!$B$12*AG412</f>
        <v>102.08333333333334</v>
      </c>
      <c r="BS412" s="180">
        <f>SUM(Distributievergoedingen!$F$12,Distributievergoedingen!$I$12,Distributievergoedingen!$L$12,Distributievergoedingen!$O$12)*AF412+SUM(Distributievergoedingen!$O$12*AA412+Distributievergoedingen!$R$12+Distributievergoedingen!$U$12+Distributievergoedingen!$X$12)/(MAX(36,12*C412))</f>
        <v>112.08333333333333</v>
      </c>
      <c r="BT412" s="150"/>
      <c r="BU412" s="150">
        <f t="shared" si="222"/>
        <v>214.16666666666669</v>
      </c>
      <c r="BW412" s="522">
        <f t="shared" si="223"/>
        <v>216.16666666666669</v>
      </c>
      <c r="BY412" s="527">
        <f t="shared" si="224"/>
        <v>804.66666666666674</v>
      </c>
      <c r="BZ412" s="181">
        <f t="shared" si="225"/>
        <v>0.78824489795918373</v>
      </c>
      <c r="CA412" s="520" t="b">
        <f t="shared" si="226"/>
        <v>0</v>
      </c>
    </row>
    <row r="413" spans="1:79" s="151" customFormat="1">
      <c r="A413" s="151" t="str">
        <f t="shared" si="219"/>
        <v>4EoKPremiumCity30</v>
      </c>
      <c r="B413" s="520" t="str">
        <f t="shared" si="237"/>
        <v>4EoKPremiumCity30</v>
      </c>
      <c r="C413" s="179">
        <v>4</v>
      </c>
      <c r="D413" s="179" t="s">
        <v>303</v>
      </c>
      <c r="E413" s="178" t="s">
        <v>267</v>
      </c>
      <c r="F413" s="178" t="s">
        <v>262</v>
      </c>
      <c r="G413" s="185" t="s">
        <v>415</v>
      </c>
      <c r="J413" s="520" t="str">
        <f t="shared" si="227"/>
        <v>PremiumCity30</v>
      </c>
      <c r="L413" s="204">
        <f>INDEX(Mapping!$H:$H,MATCH(C$3&amp;C413,Mapping!$B:$B,0))</f>
        <v>1</v>
      </c>
      <c r="M413" s="204" t="str">
        <f>INDEX(Mapping!$H:$H,MATCH(D$3&amp;$D413,Mapping!$B:$B,0))</f>
        <v>EoK</v>
      </c>
      <c r="N413" s="204" t="str">
        <f>INDEX(Mapping!$H:$H,MATCH(E$3&amp;E413,Mapping!$B:$B,0))</f>
        <v>Premium</v>
      </c>
      <c r="O413" s="204" t="str">
        <f>INDEX(Mapping!$H:$H,MATCH(F$3&amp;F413,Mapping!$B:$B,0))</f>
        <v>Metro</v>
      </c>
      <c r="P413" s="204">
        <f>INDEX(Mapping!$H:$H,MATCH(G$3&amp;G413,Mapping!$B:$B,0))</f>
        <v>30</v>
      </c>
      <c r="Q413" s="204" t="str">
        <f>INDEX(Mapping!$H:$H,MATCH(Q$3&amp;$F413,Mapping!$B:$B,0))</f>
        <v>Metro - Regionaal</v>
      </c>
      <c r="R413" s="204" t="str">
        <f>INDEX(Mapping!$H:$H,MATCH("ZM VPN Service Level"&amp;E413,Mapping!$B:$B,0))</f>
        <v>Advanced</v>
      </c>
      <c r="S413" s="139" t="b">
        <f>IF($D413="EoK",INDEX(Mapping!$I:$I,MATCH($G$3&amp;$G413,Mapping!B:B,0)),FALSE)</f>
        <v>0</v>
      </c>
      <c r="T413" s="139"/>
      <c r="U413" s="520" t="str">
        <f t="shared" si="228"/>
        <v>PremiumMetro30</v>
      </c>
      <c r="W413" s="521">
        <f>MATCH($J413,'Tarieven ZM'!$B:$B,0)</f>
        <v>75</v>
      </c>
      <c r="X413" s="204">
        <f>INDEX('Tarieven ZM'!$H:$H,$W413)</f>
        <v>1000</v>
      </c>
      <c r="Y413" s="198">
        <f>-INDEX(Parameters!$B:$B,MATCH(Y$3&amp;$C413,Parameters!$A:$A,0))*$X413</f>
        <v>0</v>
      </c>
      <c r="Z413" s="198">
        <f>-INDEX(Parameters!$B:$B,MATCH(Z$3&amp;$C413,Parameters!$A:$A,0))*$X413</f>
        <v>0</v>
      </c>
      <c r="AA413" s="139">
        <f t="shared" si="230"/>
        <v>1000</v>
      </c>
      <c r="AB413" s="205">
        <f>AA413/INDEX(Parameters!$B:$B,MATCH("AfschrijftermijnVVE"&amp;12*$C413,Parameters!$A:$A,0))</f>
        <v>20.833333333333332</v>
      </c>
      <c r="AC413" s="204">
        <f>INDEX('Tarieven ZM'!$G:$G,$W413)</f>
        <v>1000</v>
      </c>
      <c r="AD413" s="198">
        <f>-INDEX(Parameters!$B:$B,MATCH(AD$3&amp;$C413,Parameters!$A:$A,0))*$AC413</f>
        <v>0</v>
      </c>
      <c r="AE413" s="198">
        <f>-INDEX(Parameters!$B:$B,MATCH(AE$3,Parameters!$A:$A,0))*$AC413</f>
        <v>0</v>
      </c>
      <c r="AF413" s="139">
        <f t="shared" si="231"/>
        <v>1000</v>
      </c>
      <c r="AG413" s="522">
        <f t="shared" si="232"/>
        <v>1020.8333333333334</v>
      </c>
      <c r="AH413" s="175"/>
      <c r="AI413" s="523">
        <f>MATCH($U413,'Tarieven W&amp;O'!$B:$B,0)</f>
        <v>67</v>
      </c>
      <c r="AJ413" s="204">
        <f>IF(AI413&lt;&gt;"nvt",INDEX('Tarieven W&amp;O'!$H:$H,$AI413),0)</f>
        <v>0</v>
      </c>
      <c r="AK413" s="204">
        <f>IF(AI413&lt;&gt;"nvt",INDEX('Tarieven W&amp;O'!$I:$I,$AI413),0)</f>
        <v>25</v>
      </c>
      <c r="AL413" s="524">
        <f>IF(AI413&lt;&gt;"nvt",-INDEX(Parameters!$B:$B,MATCH(AL$3,Parameters!$A:$A,0))*(AJ413+AK413),0)</f>
        <v>0</v>
      </c>
      <c r="AM413" s="525"/>
      <c r="AN413" s="139">
        <f t="shared" si="233"/>
        <v>25</v>
      </c>
      <c r="AO413" s="205">
        <f>AN413/INDEX(Parameters!$B:$B,MATCH("AfschrijftermijnVVE"&amp;12*$C413,Parameters!$A:$A,0))</f>
        <v>0.52083333333333337</v>
      </c>
      <c r="AP413" s="139">
        <f t="shared" si="234"/>
        <v>67</v>
      </c>
      <c r="AQ413" s="526">
        <f>IF(AP413&lt;&gt;"nvt",INDEX('Tarieven W&amp;O'!$G:$G,$AP413),0)</f>
        <v>110.78</v>
      </c>
      <c r="AR413" s="251">
        <f>IF($S413,INDEX('Tarieven W&amp;O'!$G:$G,MATCH(N413&amp;R413,'Tarieven W&amp;O'!$B:$B,0)),0)</f>
        <v>0</v>
      </c>
      <c r="AS413" s="205">
        <f>-INDEX(Parameters!$B:$B,MATCH(AS$3,Parameters!$A:$A,0))*(AQ413+AR413)</f>
        <v>0</v>
      </c>
      <c r="AT413" s="205">
        <f>INDEX(hulpblad!$E:$E,MATCH(M413&amp;Q413,hulpblad!$B:$B,0))</f>
        <v>1</v>
      </c>
      <c r="AU413" s="150">
        <f t="shared" si="215"/>
        <v>111.78</v>
      </c>
      <c r="AV413" s="150">
        <f t="shared" si="216"/>
        <v>112.30083333333333</v>
      </c>
      <c r="AX413" s="526">
        <f>Parameters!$B$6*AV413</f>
        <v>1.1230083333333334</v>
      </c>
      <c r="AY413" s="150">
        <v>0</v>
      </c>
      <c r="AZ413" s="150"/>
      <c r="BA413" s="150">
        <f t="shared" si="235"/>
        <v>1.1230083333333334</v>
      </c>
      <c r="BB413" s="150"/>
      <c r="BC413" s="522">
        <f t="shared" si="236"/>
        <v>113.42384166666666</v>
      </c>
      <c r="BD413" s="175"/>
      <c r="BE413" s="527">
        <f t="shared" si="217"/>
        <v>907.40949166666667</v>
      </c>
      <c r="BF413" s="181">
        <f t="shared" si="218"/>
        <v>0.88889093061224489</v>
      </c>
      <c r="BG413" s="520" t="b">
        <f t="shared" si="229"/>
        <v>0</v>
      </c>
      <c r="BI413" s="528" t="s">
        <v>2181</v>
      </c>
      <c r="BL413" s="151" t="str">
        <f t="shared" si="220"/>
        <v>EoKMetro - Regionaal</v>
      </c>
      <c r="BM413" s="529">
        <v>0</v>
      </c>
      <c r="BN413" s="180">
        <f>BM413/INDEX(Parameters!$B:$B,MATCH("AfschrijftermijnVVE"&amp;12*$C413,Parameters!$A:$A,0))</f>
        <v>0</v>
      </c>
      <c r="BO413" s="184">
        <f>INDEX('inkoop ULL tbv EVPN'!I:I,MATCH(BL413,'inkoop ULL tbv EVPN'!H:H,0))</f>
        <v>2</v>
      </c>
      <c r="BP413" s="184">
        <f t="shared" si="221"/>
        <v>2</v>
      </c>
      <c r="BR413" s="180">
        <f>Parameters!$B$12*AG413</f>
        <v>102.08333333333334</v>
      </c>
      <c r="BS413" s="180">
        <f>SUM(Distributievergoedingen!$F$12,Distributievergoedingen!$I$12,Distributievergoedingen!$L$12,Distributievergoedingen!$O$12)*AF413+SUM(Distributievergoedingen!$O$12*AA413+Distributievergoedingen!$R$12+Distributievergoedingen!$U$12+Distributievergoedingen!$X$12)/(MAX(36,12*C413))</f>
        <v>112.08333333333333</v>
      </c>
      <c r="BT413" s="150"/>
      <c r="BU413" s="150">
        <f t="shared" si="222"/>
        <v>214.16666666666669</v>
      </c>
      <c r="BW413" s="522">
        <f t="shared" si="223"/>
        <v>216.16666666666669</v>
      </c>
      <c r="BY413" s="527">
        <f t="shared" si="224"/>
        <v>804.66666666666674</v>
      </c>
      <c r="BZ413" s="181">
        <f t="shared" si="225"/>
        <v>0.78824489795918373</v>
      </c>
      <c r="CA413" s="520" t="b">
        <f t="shared" si="226"/>
        <v>0</v>
      </c>
    </row>
    <row r="414" spans="1:79" s="151" customFormat="1">
      <c r="A414" s="151" t="str">
        <f t="shared" si="219"/>
        <v>4EoKPremiumCity50</v>
      </c>
      <c r="B414" s="520" t="str">
        <f t="shared" si="237"/>
        <v>4EoKPremiumCity50</v>
      </c>
      <c r="C414" s="179">
        <v>4</v>
      </c>
      <c r="D414" s="179" t="s">
        <v>303</v>
      </c>
      <c r="E414" s="178" t="s">
        <v>267</v>
      </c>
      <c r="F414" s="178" t="s">
        <v>262</v>
      </c>
      <c r="G414" s="185" t="s">
        <v>416</v>
      </c>
      <c r="J414" s="520" t="str">
        <f t="shared" si="227"/>
        <v>PremiumCity50</v>
      </c>
      <c r="L414" s="204">
        <f>INDEX(Mapping!$H:$H,MATCH(C$3&amp;C414,Mapping!$B:$B,0))</f>
        <v>1</v>
      </c>
      <c r="M414" s="204" t="str">
        <f>INDEX(Mapping!$H:$H,MATCH(D$3&amp;$D414,Mapping!$B:$B,0))</f>
        <v>EoK</v>
      </c>
      <c r="N414" s="204" t="str">
        <f>INDEX(Mapping!$H:$H,MATCH(E$3&amp;E414,Mapping!$B:$B,0))</f>
        <v>Premium</v>
      </c>
      <c r="O414" s="204" t="str">
        <f>INDEX(Mapping!$H:$H,MATCH(F$3&amp;F414,Mapping!$B:$B,0))</f>
        <v>Metro</v>
      </c>
      <c r="P414" s="204">
        <f>INDEX(Mapping!$H:$H,MATCH(G$3&amp;G414,Mapping!$B:$B,0))</f>
        <v>50</v>
      </c>
      <c r="Q414" s="204" t="str">
        <f>INDEX(Mapping!$H:$H,MATCH(Q$3&amp;$F414,Mapping!$B:$B,0))</f>
        <v>Metro - Regionaal</v>
      </c>
      <c r="R414" s="204" t="str">
        <f>INDEX(Mapping!$H:$H,MATCH("ZM VPN Service Level"&amp;E414,Mapping!$B:$B,0))</f>
        <v>Advanced</v>
      </c>
      <c r="S414" s="139" t="b">
        <f>IF($D414="EoK",INDEX(Mapping!$I:$I,MATCH($G$3&amp;$G414,Mapping!B:B,0)),FALSE)</f>
        <v>0</v>
      </c>
      <c r="T414" s="139"/>
      <c r="U414" s="520" t="str">
        <f t="shared" si="228"/>
        <v>PremiumMetro50</v>
      </c>
      <c r="W414" s="521">
        <f>MATCH($J414,'Tarieven ZM'!$B:$B,0)</f>
        <v>76</v>
      </c>
      <c r="X414" s="204">
        <f>INDEX('Tarieven ZM'!$H:$H,$W414)</f>
        <v>1000</v>
      </c>
      <c r="Y414" s="198">
        <f>-INDEX(Parameters!$B:$B,MATCH(Y$3&amp;$C414,Parameters!$A:$A,0))*$X414</f>
        <v>0</v>
      </c>
      <c r="Z414" s="198">
        <f>-INDEX(Parameters!$B:$B,MATCH(Z$3&amp;$C414,Parameters!$A:$A,0))*$X414</f>
        <v>0</v>
      </c>
      <c r="AA414" s="139">
        <f t="shared" si="230"/>
        <v>1000</v>
      </c>
      <c r="AB414" s="205">
        <f>AA414/INDEX(Parameters!$B:$B,MATCH("AfschrijftermijnVVE"&amp;12*$C414,Parameters!$A:$A,0))</f>
        <v>20.833333333333332</v>
      </c>
      <c r="AC414" s="204">
        <f>INDEX('Tarieven ZM'!$G:$G,$W414)</f>
        <v>1000</v>
      </c>
      <c r="AD414" s="198">
        <f>-INDEX(Parameters!$B:$B,MATCH(AD$3&amp;$C414,Parameters!$A:$A,0))*$AC414</f>
        <v>0</v>
      </c>
      <c r="AE414" s="198">
        <f>-INDEX(Parameters!$B:$B,MATCH(AE$3,Parameters!$A:$A,0))*$AC414</f>
        <v>0</v>
      </c>
      <c r="AF414" s="139">
        <f t="shared" si="231"/>
        <v>1000</v>
      </c>
      <c r="AG414" s="522">
        <f t="shared" si="232"/>
        <v>1020.8333333333334</v>
      </c>
      <c r="AH414" s="175"/>
      <c r="AI414" s="523">
        <f>MATCH($U414,'Tarieven W&amp;O'!$B:$B,0)</f>
        <v>68</v>
      </c>
      <c r="AJ414" s="204">
        <f>IF(AI414&lt;&gt;"nvt",INDEX('Tarieven W&amp;O'!$H:$H,$AI414),0)</f>
        <v>0</v>
      </c>
      <c r="AK414" s="204">
        <f>IF(AI414&lt;&gt;"nvt",INDEX('Tarieven W&amp;O'!$I:$I,$AI414),0)</f>
        <v>25</v>
      </c>
      <c r="AL414" s="524">
        <f>IF(AI414&lt;&gt;"nvt",-INDEX(Parameters!$B:$B,MATCH(AL$3,Parameters!$A:$A,0))*(AJ414+AK414),0)</f>
        <v>0</v>
      </c>
      <c r="AM414" s="525"/>
      <c r="AN414" s="139">
        <f t="shared" si="233"/>
        <v>25</v>
      </c>
      <c r="AO414" s="205">
        <f>AN414/INDEX(Parameters!$B:$B,MATCH("AfschrijftermijnVVE"&amp;12*$C414,Parameters!$A:$A,0))</f>
        <v>0.52083333333333337</v>
      </c>
      <c r="AP414" s="139">
        <f t="shared" si="234"/>
        <v>68</v>
      </c>
      <c r="AQ414" s="526">
        <f>IF(AP414&lt;&gt;"nvt",INDEX('Tarieven W&amp;O'!$G:$G,$AP414),0)</f>
        <v>133.4</v>
      </c>
      <c r="AR414" s="251">
        <f>IF($S414,INDEX('Tarieven W&amp;O'!$G:$G,MATCH(N414&amp;R414,'Tarieven W&amp;O'!$B:$B,0)),0)</f>
        <v>0</v>
      </c>
      <c r="AS414" s="205">
        <f>-INDEX(Parameters!$B:$B,MATCH(AS$3,Parameters!$A:$A,0))*(AQ414+AR414)</f>
        <v>0</v>
      </c>
      <c r="AT414" s="205">
        <f>INDEX(hulpblad!$E:$E,MATCH(M414&amp;Q414,hulpblad!$B:$B,0))</f>
        <v>1</v>
      </c>
      <c r="AU414" s="150">
        <f t="shared" si="215"/>
        <v>134.4</v>
      </c>
      <c r="AV414" s="150">
        <f t="shared" si="216"/>
        <v>134.92083333333335</v>
      </c>
      <c r="AX414" s="526">
        <f>Parameters!$B$6*AV414</f>
        <v>1.3492083333333336</v>
      </c>
      <c r="AY414" s="150">
        <v>0</v>
      </c>
      <c r="AZ414" s="150"/>
      <c r="BA414" s="150">
        <f t="shared" si="235"/>
        <v>1.3492083333333336</v>
      </c>
      <c r="BB414" s="150"/>
      <c r="BC414" s="522">
        <f t="shared" si="236"/>
        <v>136.27004166666669</v>
      </c>
      <c r="BD414" s="175"/>
      <c r="BE414" s="527">
        <f t="shared" si="217"/>
        <v>884.56329166666671</v>
      </c>
      <c r="BF414" s="181">
        <f t="shared" si="218"/>
        <v>0.86651097959183676</v>
      </c>
      <c r="BG414" s="520" t="b">
        <f t="shared" si="229"/>
        <v>0</v>
      </c>
      <c r="BI414" s="528" t="s">
        <v>2181</v>
      </c>
      <c r="BL414" s="151" t="str">
        <f t="shared" si="220"/>
        <v>EoKMetro - Regionaal</v>
      </c>
      <c r="BM414" s="529">
        <v>0</v>
      </c>
      <c r="BN414" s="180">
        <f>BM414/INDEX(Parameters!$B:$B,MATCH("AfschrijftermijnVVE"&amp;12*$C414,Parameters!$A:$A,0))</f>
        <v>0</v>
      </c>
      <c r="BO414" s="184">
        <f>INDEX('inkoop ULL tbv EVPN'!I:I,MATCH(BL414,'inkoop ULL tbv EVPN'!H:H,0))</f>
        <v>2</v>
      </c>
      <c r="BP414" s="184">
        <f t="shared" si="221"/>
        <v>2</v>
      </c>
      <c r="BR414" s="180">
        <f>Parameters!$B$12*AG414</f>
        <v>102.08333333333334</v>
      </c>
      <c r="BS414" s="180">
        <f>SUM(Distributievergoedingen!$F$12,Distributievergoedingen!$I$12,Distributievergoedingen!$L$12,Distributievergoedingen!$O$12)*AF414+SUM(Distributievergoedingen!$O$12*AA414+Distributievergoedingen!$R$12+Distributievergoedingen!$U$12+Distributievergoedingen!$X$12)/(MAX(36,12*C414))</f>
        <v>112.08333333333333</v>
      </c>
      <c r="BT414" s="150"/>
      <c r="BU414" s="150">
        <f t="shared" si="222"/>
        <v>214.16666666666669</v>
      </c>
      <c r="BW414" s="522">
        <f t="shared" si="223"/>
        <v>216.16666666666669</v>
      </c>
      <c r="BY414" s="527">
        <f t="shared" si="224"/>
        <v>804.66666666666674</v>
      </c>
      <c r="BZ414" s="181">
        <f t="shared" si="225"/>
        <v>0.78824489795918373</v>
      </c>
      <c r="CA414" s="520" t="b">
        <f t="shared" si="226"/>
        <v>0</v>
      </c>
    </row>
    <row r="415" spans="1:79" s="151" customFormat="1">
      <c r="A415" s="151" t="str">
        <f t="shared" si="219"/>
        <v>4EoKPremiumCity80</v>
      </c>
      <c r="B415" s="520" t="str">
        <f t="shared" si="237"/>
        <v>4EoKPremiumCity80</v>
      </c>
      <c r="C415" s="179">
        <v>4</v>
      </c>
      <c r="D415" s="179" t="s">
        <v>303</v>
      </c>
      <c r="E415" s="178" t="s">
        <v>267</v>
      </c>
      <c r="F415" s="178" t="s">
        <v>262</v>
      </c>
      <c r="G415" s="185" t="s">
        <v>417</v>
      </c>
      <c r="J415" s="520" t="str">
        <f t="shared" si="227"/>
        <v>PremiumCity80</v>
      </c>
      <c r="L415" s="204">
        <f>INDEX(Mapping!$H:$H,MATCH(C$3&amp;C415,Mapping!$B:$B,0))</f>
        <v>1</v>
      </c>
      <c r="M415" s="204" t="str">
        <f>INDEX(Mapping!$H:$H,MATCH(D$3&amp;$D415,Mapping!$B:$B,0))</f>
        <v>EoK</v>
      </c>
      <c r="N415" s="204" t="str">
        <f>INDEX(Mapping!$H:$H,MATCH(E$3&amp;E415,Mapping!$B:$B,0))</f>
        <v>Premium</v>
      </c>
      <c r="O415" s="204" t="str">
        <f>INDEX(Mapping!$H:$H,MATCH(F$3&amp;F415,Mapping!$B:$B,0))</f>
        <v>Metro</v>
      </c>
      <c r="P415" s="204">
        <f>INDEX(Mapping!$H:$H,MATCH(G$3&amp;G415,Mapping!$B:$B,0))</f>
        <v>80</v>
      </c>
      <c r="Q415" s="204" t="str">
        <f>INDEX(Mapping!$H:$H,MATCH(Q$3&amp;$F415,Mapping!$B:$B,0))</f>
        <v>Metro - Regionaal</v>
      </c>
      <c r="R415" s="204" t="str">
        <f>INDEX(Mapping!$H:$H,MATCH("ZM VPN Service Level"&amp;E415,Mapping!$B:$B,0))</f>
        <v>Advanced</v>
      </c>
      <c r="S415" s="139" t="b">
        <f>IF($D415="EoK",INDEX(Mapping!$I:$I,MATCH($G$3&amp;$G415,Mapping!B:B,0)),FALSE)</f>
        <v>0</v>
      </c>
      <c r="T415" s="139"/>
      <c r="U415" s="520" t="str">
        <f t="shared" si="228"/>
        <v>PremiumMetro80</v>
      </c>
      <c r="W415" s="521">
        <f>MATCH($J415,'Tarieven ZM'!$B:$B,0)</f>
        <v>77</v>
      </c>
      <c r="X415" s="204">
        <f>INDEX('Tarieven ZM'!$H:$H,$W415)</f>
        <v>1000</v>
      </c>
      <c r="Y415" s="198">
        <f>-INDEX(Parameters!$B:$B,MATCH(Y$3&amp;$C415,Parameters!$A:$A,0))*$X415</f>
        <v>0</v>
      </c>
      <c r="Z415" s="198">
        <f>-INDEX(Parameters!$B:$B,MATCH(Z$3&amp;$C415,Parameters!$A:$A,0))*$X415</f>
        <v>0</v>
      </c>
      <c r="AA415" s="139">
        <f t="shared" si="230"/>
        <v>1000</v>
      </c>
      <c r="AB415" s="205">
        <f>AA415/INDEX(Parameters!$B:$B,MATCH("AfschrijftermijnVVE"&amp;12*$C415,Parameters!$A:$A,0))</f>
        <v>20.833333333333332</v>
      </c>
      <c r="AC415" s="204">
        <f>INDEX('Tarieven ZM'!$G:$G,$W415)</f>
        <v>1000</v>
      </c>
      <c r="AD415" s="198">
        <f>-INDEX(Parameters!$B:$B,MATCH(AD$3&amp;$C415,Parameters!$A:$A,0))*$AC415</f>
        <v>0</v>
      </c>
      <c r="AE415" s="198">
        <f>-INDEX(Parameters!$B:$B,MATCH(AE$3,Parameters!$A:$A,0))*$AC415</f>
        <v>0</v>
      </c>
      <c r="AF415" s="139">
        <f t="shared" si="231"/>
        <v>1000</v>
      </c>
      <c r="AG415" s="522">
        <f t="shared" si="232"/>
        <v>1020.8333333333334</v>
      </c>
      <c r="AH415" s="175"/>
      <c r="AI415" s="523">
        <f>MATCH($U415,'Tarieven W&amp;O'!$B:$B,0)</f>
        <v>69</v>
      </c>
      <c r="AJ415" s="204">
        <f>IF(AI415&lt;&gt;"nvt",INDEX('Tarieven W&amp;O'!$H:$H,$AI415),0)</f>
        <v>0</v>
      </c>
      <c r="AK415" s="204">
        <f>IF(AI415&lt;&gt;"nvt",INDEX('Tarieven W&amp;O'!$I:$I,$AI415),0)</f>
        <v>25</v>
      </c>
      <c r="AL415" s="524">
        <f>IF(AI415&lt;&gt;"nvt",-INDEX(Parameters!$B:$B,MATCH(AL$3,Parameters!$A:$A,0))*(AJ415+AK415),0)</f>
        <v>0</v>
      </c>
      <c r="AM415" s="525"/>
      <c r="AN415" s="139">
        <f t="shared" si="233"/>
        <v>25</v>
      </c>
      <c r="AO415" s="205">
        <f>AN415/INDEX(Parameters!$B:$B,MATCH("AfschrijftermijnVVE"&amp;12*$C415,Parameters!$A:$A,0))</f>
        <v>0.52083333333333337</v>
      </c>
      <c r="AP415" s="139">
        <f t="shared" si="234"/>
        <v>69</v>
      </c>
      <c r="AQ415" s="526">
        <f>IF(AP415&lt;&gt;"nvt",INDEX('Tarieven W&amp;O'!$G:$G,$AP415),0)</f>
        <v>159.78</v>
      </c>
      <c r="AR415" s="251">
        <f>IF($S415,INDEX('Tarieven W&amp;O'!$G:$G,MATCH(N415&amp;R415,'Tarieven W&amp;O'!$B:$B,0)),0)</f>
        <v>0</v>
      </c>
      <c r="AS415" s="205">
        <f>-INDEX(Parameters!$B:$B,MATCH(AS$3,Parameters!$A:$A,0))*(AQ415+AR415)</f>
        <v>0</v>
      </c>
      <c r="AT415" s="205">
        <f>INDEX(hulpblad!$E:$E,MATCH(M415&amp;Q415,hulpblad!$B:$B,0))</f>
        <v>1</v>
      </c>
      <c r="AU415" s="150">
        <f t="shared" si="215"/>
        <v>160.78</v>
      </c>
      <c r="AV415" s="150">
        <f t="shared" si="216"/>
        <v>161.30083333333334</v>
      </c>
      <c r="AX415" s="526">
        <f>Parameters!$B$6*AV415</f>
        <v>1.6130083333333334</v>
      </c>
      <c r="AY415" s="150">
        <v>0</v>
      </c>
      <c r="AZ415" s="150"/>
      <c r="BA415" s="150">
        <f t="shared" si="235"/>
        <v>1.6130083333333334</v>
      </c>
      <c r="BB415" s="150"/>
      <c r="BC415" s="522">
        <f t="shared" si="236"/>
        <v>162.91384166666668</v>
      </c>
      <c r="BD415" s="175"/>
      <c r="BE415" s="527">
        <f t="shared" si="217"/>
        <v>857.91949166666666</v>
      </c>
      <c r="BF415" s="181">
        <f t="shared" si="218"/>
        <v>0.84041093061224481</v>
      </c>
      <c r="BG415" s="520" t="b">
        <f t="shared" si="229"/>
        <v>0</v>
      </c>
      <c r="BI415" s="528" t="s">
        <v>2181</v>
      </c>
      <c r="BL415" s="151" t="str">
        <f t="shared" si="220"/>
        <v>EoKMetro - Regionaal</v>
      </c>
      <c r="BM415" s="529">
        <v>0</v>
      </c>
      <c r="BN415" s="180">
        <f>BM415/INDEX(Parameters!$B:$B,MATCH("AfschrijftermijnVVE"&amp;12*$C415,Parameters!$A:$A,0))</f>
        <v>0</v>
      </c>
      <c r="BO415" s="184">
        <f>INDEX('inkoop ULL tbv EVPN'!I:I,MATCH(BL415,'inkoop ULL tbv EVPN'!H:H,0))</f>
        <v>2</v>
      </c>
      <c r="BP415" s="184">
        <f t="shared" si="221"/>
        <v>2</v>
      </c>
      <c r="BR415" s="180">
        <f>Parameters!$B$12*AG415</f>
        <v>102.08333333333334</v>
      </c>
      <c r="BS415" s="180">
        <f>SUM(Distributievergoedingen!$F$12,Distributievergoedingen!$I$12,Distributievergoedingen!$L$12,Distributievergoedingen!$O$12)*AF415+SUM(Distributievergoedingen!$O$12*AA415+Distributievergoedingen!$R$12+Distributievergoedingen!$U$12+Distributievergoedingen!$X$12)/(MAX(36,12*C415))</f>
        <v>112.08333333333333</v>
      </c>
      <c r="BT415" s="150"/>
      <c r="BU415" s="150">
        <f t="shared" si="222"/>
        <v>214.16666666666669</v>
      </c>
      <c r="BW415" s="522">
        <f t="shared" si="223"/>
        <v>216.16666666666669</v>
      </c>
      <c r="BY415" s="527">
        <f t="shared" si="224"/>
        <v>804.66666666666674</v>
      </c>
      <c r="BZ415" s="181">
        <f t="shared" si="225"/>
        <v>0.78824489795918373</v>
      </c>
      <c r="CA415" s="520" t="b">
        <f t="shared" si="226"/>
        <v>0</v>
      </c>
    </row>
    <row r="416" spans="1:79" s="151" customFormat="1">
      <c r="A416" s="151" t="str">
        <f t="shared" si="219"/>
        <v>4EoKPremiumCity100</v>
      </c>
      <c r="B416" s="520" t="str">
        <f t="shared" si="237"/>
        <v>4EoKPremiumCity100</v>
      </c>
      <c r="C416" s="179">
        <v>4</v>
      </c>
      <c r="D416" s="179" t="s">
        <v>303</v>
      </c>
      <c r="E416" s="178" t="s">
        <v>267</v>
      </c>
      <c r="F416" s="178" t="s">
        <v>262</v>
      </c>
      <c r="G416" s="185" t="s">
        <v>418</v>
      </c>
      <c r="J416" s="520" t="str">
        <f t="shared" si="227"/>
        <v>PremiumCity100</v>
      </c>
      <c r="L416" s="204">
        <f>INDEX(Mapping!$H:$H,MATCH(C$3&amp;C416,Mapping!$B:$B,0))</f>
        <v>1</v>
      </c>
      <c r="M416" s="204" t="str">
        <f>INDEX(Mapping!$H:$H,MATCH(D$3&amp;$D416,Mapping!$B:$B,0))</f>
        <v>EoK</v>
      </c>
      <c r="N416" s="204" t="str">
        <f>INDEX(Mapping!$H:$H,MATCH(E$3&amp;E416,Mapping!$B:$B,0))</f>
        <v>Premium</v>
      </c>
      <c r="O416" s="204" t="str">
        <f>INDEX(Mapping!$H:$H,MATCH(F$3&amp;F416,Mapping!$B:$B,0))</f>
        <v>Metro</v>
      </c>
      <c r="P416" s="204">
        <f>INDEX(Mapping!$H:$H,MATCH(G$3&amp;G416,Mapping!$B:$B,0))</f>
        <v>100</v>
      </c>
      <c r="Q416" s="204" t="str">
        <f>INDEX(Mapping!$H:$H,MATCH(Q$3&amp;$F416,Mapping!$B:$B,0))</f>
        <v>Metro - Regionaal</v>
      </c>
      <c r="R416" s="204" t="str">
        <f>INDEX(Mapping!$H:$H,MATCH("ZM VPN Service Level"&amp;E416,Mapping!$B:$B,0))</f>
        <v>Advanced</v>
      </c>
      <c r="S416" s="139" t="b">
        <f>IF($D416="EoK",INDEX(Mapping!$I:$I,MATCH($G$3&amp;$G416,Mapping!B:B,0)),FALSE)</f>
        <v>0</v>
      </c>
      <c r="T416" s="139"/>
      <c r="U416" s="520" t="str">
        <f t="shared" si="228"/>
        <v>PremiumMetro100</v>
      </c>
      <c r="W416" s="521">
        <f>MATCH($J416,'Tarieven ZM'!$B:$B,0)</f>
        <v>78</v>
      </c>
      <c r="X416" s="204">
        <f>INDEX('Tarieven ZM'!$H:$H,$W416)</f>
        <v>1000</v>
      </c>
      <c r="Y416" s="198">
        <f>-INDEX(Parameters!$B:$B,MATCH(Y$3&amp;$C416,Parameters!$A:$A,0))*$X416</f>
        <v>0</v>
      </c>
      <c r="Z416" s="198">
        <f>-INDEX(Parameters!$B:$B,MATCH(Z$3&amp;$C416,Parameters!$A:$A,0))*$X416</f>
        <v>0</v>
      </c>
      <c r="AA416" s="139">
        <f t="shared" si="230"/>
        <v>1000</v>
      </c>
      <c r="AB416" s="205">
        <f>AA416/INDEX(Parameters!$B:$B,MATCH("AfschrijftermijnVVE"&amp;12*$C416,Parameters!$A:$A,0))</f>
        <v>20.833333333333332</v>
      </c>
      <c r="AC416" s="204">
        <f>INDEX('Tarieven ZM'!$G:$G,$W416)</f>
        <v>1000</v>
      </c>
      <c r="AD416" s="198">
        <f>-INDEX(Parameters!$B:$B,MATCH(AD$3&amp;$C416,Parameters!$A:$A,0))*$AC416</f>
        <v>0</v>
      </c>
      <c r="AE416" s="198">
        <f>-INDEX(Parameters!$B:$B,MATCH(AE$3,Parameters!$A:$A,0))*$AC416</f>
        <v>0</v>
      </c>
      <c r="AF416" s="139">
        <f t="shared" si="231"/>
        <v>1000</v>
      </c>
      <c r="AG416" s="522">
        <f t="shared" si="232"/>
        <v>1020.8333333333334</v>
      </c>
      <c r="AH416" s="175"/>
      <c r="AI416" s="523">
        <f>MATCH($U416,'Tarieven W&amp;O'!$B:$B,0)</f>
        <v>70</v>
      </c>
      <c r="AJ416" s="204">
        <f>IF(AI416&lt;&gt;"nvt",INDEX('Tarieven W&amp;O'!$H:$H,$AI416),0)</f>
        <v>0</v>
      </c>
      <c r="AK416" s="204">
        <f>IF(AI416&lt;&gt;"nvt",INDEX('Tarieven W&amp;O'!$I:$I,$AI416),0)</f>
        <v>25</v>
      </c>
      <c r="AL416" s="524">
        <f>IF(AI416&lt;&gt;"nvt",-INDEX(Parameters!$B:$B,MATCH(AL$3,Parameters!$A:$A,0))*(AJ416+AK416),0)</f>
        <v>0</v>
      </c>
      <c r="AM416" s="525"/>
      <c r="AN416" s="139">
        <f t="shared" si="233"/>
        <v>25</v>
      </c>
      <c r="AO416" s="205">
        <f>AN416/INDEX(Parameters!$B:$B,MATCH("AfschrijftermijnVVE"&amp;12*$C416,Parameters!$A:$A,0))</f>
        <v>0.52083333333333337</v>
      </c>
      <c r="AP416" s="139">
        <f t="shared" si="234"/>
        <v>70</v>
      </c>
      <c r="AQ416" s="526">
        <f>IF(AP416&lt;&gt;"nvt",INDEX('Tarieven W&amp;O'!$G:$G,$AP416),0)</f>
        <v>178.63</v>
      </c>
      <c r="AR416" s="251">
        <f>IF($S416,INDEX('Tarieven W&amp;O'!$G:$G,MATCH(N416&amp;R416,'Tarieven W&amp;O'!$B:$B,0)),0)</f>
        <v>0</v>
      </c>
      <c r="AS416" s="205">
        <f>-INDEX(Parameters!$B:$B,MATCH(AS$3,Parameters!$A:$A,0))*(AQ416+AR416)</f>
        <v>0</v>
      </c>
      <c r="AT416" s="205">
        <f>INDEX(hulpblad!$E:$E,MATCH(M416&amp;Q416,hulpblad!$B:$B,0))</f>
        <v>1</v>
      </c>
      <c r="AU416" s="150">
        <f t="shared" si="215"/>
        <v>179.63</v>
      </c>
      <c r="AV416" s="150">
        <f t="shared" si="216"/>
        <v>180.15083333333334</v>
      </c>
      <c r="AX416" s="526">
        <f>Parameters!$B$6*AV416</f>
        <v>1.8015083333333335</v>
      </c>
      <c r="AY416" s="150">
        <v>0</v>
      </c>
      <c r="AZ416" s="150"/>
      <c r="BA416" s="150">
        <f t="shared" si="235"/>
        <v>1.8015083333333335</v>
      </c>
      <c r="BB416" s="150"/>
      <c r="BC416" s="522">
        <f t="shared" si="236"/>
        <v>181.95234166666668</v>
      </c>
      <c r="BD416" s="175"/>
      <c r="BE416" s="527">
        <f t="shared" si="217"/>
        <v>838.88099166666666</v>
      </c>
      <c r="BF416" s="181">
        <f t="shared" si="218"/>
        <v>0.82176097142857141</v>
      </c>
      <c r="BG416" s="520" t="b">
        <f t="shared" si="229"/>
        <v>0</v>
      </c>
      <c r="BI416" s="528" t="s">
        <v>2181</v>
      </c>
      <c r="BL416" s="151" t="str">
        <f t="shared" si="220"/>
        <v>EoKMetro - Regionaal</v>
      </c>
      <c r="BM416" s="529">
        <v>0</v>
      </c>
      <c r="BN416" s="180">
        <f>BM416/INDEX(Parameters!$B:$B,MATCH("AfschrijftermijnVVE"&amp;12*$C416,Parameters!$A:$A,0))</f>
        <v>0</v>
      </c>
      <c r="BO416" s="184">
        <f>INDEX('inkoop ULL tbv EVPN'!I:I,MATCH(BL416,'inkoop ULL tbv EVPN'!H:H,0))</f>
        <v>2</v>
      </c>
      <c r="BP416" s="184">
        <f t="shared" si="221"/>
        <v>2</v>
      </c>
      <c r="BR416" s="180">
        <f>Parameters!$B$12*AG416</f>
        <v>102.08333333333334</v>
      </c>
      <c r="BS416" s="180">
        <f>SUM(Distributievergoedingen!$F$12,Distributievergoedingen!$I$12,Distributievergoedingen!$L$12,Distributievergoedingen!$O$12)*AF416+SUM(Distributievergoedingen!$O$12*AA416+Distributievergoedingen!$R$12+Distributievergoedingen!$U$12+Distributievergoedingen!$X$12)/(MAX(36,12*C416))</f>
        <v>112.08333333333333</v>
      </c>
      <c r="BT416" s="150"/>
      <c r="BU416" s="150">
        <f t="shared" si="222"/>
        <v>214.16666666666669</v>
      </c>
      <c r="BW416" s="522">
        <f t="shared" si="223"/>
        <v>216.16666666666669</v>
      </c>
      <c r="BY416" s="527">
        <f t="shared" si="224"/>
        <v>804.66666666666674</v>
      </c>
      <c r="BZ416" s="181">
        <f t="shared" si="225"/>
        <v>0.78824489795918373</v>
      </c>
      <c r="CA416" s="520" t="b">
        <f t="shared" si="226"/>
        <v>0</v>
      </c>
    </row>
    <row r="417" spans="1:79" s="151" customFormat="1">
      <c r="A417" s="151" t="str">
        <f t="shared" si="219"/>
        <v>4EoKPremiumCity200</v>
      </c>
      <c r="B417" s="520" t="str">
        <f t="shared" si="237"/>
        <v>4EoKPremiumCity200</v>
      </c>
      <c r="C417" s="179">
        <v>4</v>
      </c>
      <c r="D417" s="179" t="s">
        <v>303</v>
      </c>
      <c r="E417" s="178" t="s">
        <v>267</v>
      </c>
      <c r="F417" s="178" t="s">
        <v>262</v>
      </c>
      <c r="G417" s="185" t="s">
        <v>419</v>
      </c>
      <c r="J417" s="520" t="str">
        <f t="shared" si="227"/>
        <v>PremiumCity200</v>
      </c>
      <c r="L417" s="204">
        <f>INDEX(Mapping!$H:$H,MATCH(C$3&amp;C417,Mapping!$B:$B,0))</f>
        <v>1</v>
      </c>
      <c r="M417" s="204" t="str">
        <f>INDEX(Mapping!$H:$H,MATCH(D$3&amp;$D417,Mapping!$B:$B,0))</f>
        <v>EoK</v>
      </c>
      <c r="N417" s="204" t="str">
        <f>INDEX(Mapping!$H:$H,MATCH(E$3&amp;E417,Mapping!$B:$B,0))</f>
        <v>Premium</v>
      </c>
      <c r="O417" s="204" t="str">
        <f>INDEX(Mapping!$H:$H,MATCH(F$3&amp;F417,Mapping!$B:$B,0))</f>
        <v>Metro</v>
      </c>
      <c r="P417" s="204">
        <f>INDEX(Mapping!$H:$H,MATCH(G$3&amp;G417,Mapping!$B:$B,0))</f>
        <v>200</v>
      </c>
      <c r="Q417" s="204" t="str">
        <f>INDEX(Mapping!$H:$H,MATCH(Q$3&amp;$F417,Mapping!$B:$B,0))</f>
        <v>Metro - Regionaal</v>
      </c>
      <c r="R417" s="204" t="str">
        <f>INDEX(Mapping!$H:$H,MATCH("ZM VPN Service Level"&amp;E417,Mapping!$B:$B,0))</f>
        <v>Advanced</v>
      </c>
      <c r="S417" s="139" t="b">
        <f>IF($D417="EoK",INDEX(Mapping!$I:$I,MATCH($G$3&amp;$G417,Mapping!B:B,0)),FALSE)</f>
        <v>0</v>
      </c>
      <c r="T417" s="139"/>
      <c r="U417" s="520" t="str">
        <f t="shared" si="228"/>
        <v>PremiumMetro200</v>
      </c>
      <c r="W417" s="521">
        <f>MATCH($J417,'Tarieven ZM'!$B:$B,0)</f>
        <v>79</v>
      </c>
      <c r="X417" s="204">
        <f>INDEX('Tarieven ZM'!$H:$H,$W417)</f>
        <v>1000</v>
      </c>
      <c r="Y417" s="198">
        <f>-INDEX(Parameters!$B:$B,MATCH(Y$3&amp;$C417,Parameters!$A:$A,0))*$X417</f>
        <v>0</v>
      </c>
      <c r="Z417" s="198">
        <f>-INDEX(Parameters!$B:$B,MATCH(Z$3&amp;$C417,Parameters!$A:$A,0))*$X417</f>
        <v>0</v>
      </c>
      <c r="AA417" s="139">
        <f t="shared" si="230"/>
        <v>1000</v>
      </c>
      <c r="AB417" s="205">
        <f>AA417/INDEX(Parameters!$B:$B,MATCH("AfschrijftermijnVVE"&amp;12*$C417,Parameters!$A:$A,0))</f>
        <v>20.833333333333332</v>
      </c>
      <c r="AC417" s="204">
        <f>INDEX('Tarieven ZM'!$G:$G,$W417)</f>
        <v>1000</v>
      </c>
      <c r="AD417" s="198">
        <f>-INDEX(Parameters!$B:$B,MATCH(AD$3&amp;$C417,Parameters!$A:$A,0))*$AC417</f>
        <v>0</v>
      </c>
      <c r="AE417" s="198">
        <f>-INDEX(Parameters!$B:$B,MATCH(AE$3,Parameters!$A:$A,0))*$AC417</f>
        <v>0</v>
      </c>
      <c r="AF417" s="139">
        <f t="shared" si="231"/>
        <v>1000</v>
      </c>
      <c r="AG417" s="522">
        <f t="shared" si="232"/>
        <v>1020.8333333333334</v>
      </c>
      <c r="AH417" s="175"/>
      <c r="AI417" s="523">
        <f>MATCH($U417,'Tarieven W&amp;O'!$B:$B,0)</f>
        <v>71</v>
      </c>
      <c r="AJ417" s="204">
        <f>IF(AI417&lt;&gt;"nvt",INDEX('Tarieven W&amp;O'!$H:$H,$AI417),0)</f>
        <v>0</v>
      </c>
      <c r="AK417" s="204">
        <f>IF(AI417&lt;&gt;"nvt",INDEX('Tarieven W&amp;O'!$I:$I,$AI417),0)</f>
        <v>25</v>
      </c>
      <c r="AL417" s="524">
        <f>IF(AI417&lt;&gt;"nvt",-INDEX(Parameters!$B:$B,MATCH(AL$3,Parameters!$A:$A,0))*(AJ417+AK417),0)</f>
        <v>0</v>
      </c>
      <c r="AM417" s="525"/>
      <c r="AN417" s="139">
        <f t="shared" si="233"/>
        <v>25</v>
      </c>
      <c r="AO417" s="205">
        <f>AN417/INDEX(Parameters!$B:$B,MATCH("AfschrijftermijnVVE"&amp;12*$C417,Parameters!$A:$A,0))</f>
        <v>0.52083333333333337</v>
      </c>
      <c r="AP417" s="139">
        <f t="shared" si="234"/>
        <v>71</v>
      </c>
      <c r="AQ417" s="526">
        <f>IF(AP417&lt;&gt;"nvt",INDEX('Tarieven W&amp;O'!$G:$G,$AP417),0)</f>
        <v>216.32</v>
      </c>
      <c r="AR417" s="251">
        <f>IF($S417,INDEX('Tarieven W&amp;O'!$G:$G,MATCH(N417&amp;R417,'Tarieven W&amp;O'!$B:$B,0)),0)</f>
        <v>0</v>
      </c>
      <c r="AS417" s="205">
        <f>-INDEX(Parameters!$B:$B,MATCH(AS$3,Parameters!$A:$A,0))*(AQ417+AR417)</f>
        <v>0</v>
      </c>
      <c r="AT417" s="205">
        <f>INDEX(hulpblad!$E:$E,MATCH(M417&amp;Q417,hulpblad!$B:$B,0))</f>
        <v>1</v>
      </c>
      <c r="AU417" s="150">
        <f t="shared" si="215"/>
        <v>217.32</v>
      </c>
      <c r="AV417" s="150">
        <f t="shared" si="216"/>
        <v>217.84083333333334</v>
      </c>
      <c r="AX417" s="526">
        <f>Parameters!$B$6*AV417</f>
        <v>2.1784083333333335</v>
      </c>
      <c r="AY417" s="150">
        <v>0</v>
      </c>
      <c r="AZ417" s="150"/>
      <c r="BA417" s="150">
        <f t="shared" si="235"/>
        <v>2.1784083333333335</v>
      </c>
      <c r="BB417" s="150"/>
      <c r="BC417" s="522">
        <f t="shared" si="236"/>
        <v>220.01924166666666</v>
      </c>
      <c r="BD417" s="175"/>
      <c r="BE417" s="527">
        <f t="shared" si="217"/>
        <v>800.81409166666674</v>
      </c>
      <c r="BF417" s="181">
        <f t="shared" si="218"/>
        <v>0.7844709469387755</v>
      </c>
      <c r="BG417" s="520" t="b">
        <f t="shared" si="229"/>
        <v>0</v>
      </c>
      <c r="BI417" s="528" t="s">
        <v>2181</v>
      </c>
      <c r="BL417" s="151" t="str">
        <f t="shared" si="220"/>
        <v>EoKMetro - Regionaal</v>
      </c>
      <c r="BM417" s="529">
        <v>0</v>
      </c>
      <c r="BN417" s="180">
        <f>BM417/INDEX(Parameters!$B:$B,MATCH("AfschrijftermijnVVE"&amp;12*$C417,Parameters!$A:$A,0))</f>
        <v>0</v>
      </c>
      <c r="BO417" s="184">
        <f>INDEX('inkoop ULL tbv EVPN'!I:I,MATCH(BL417,'inkoop ULL tbv EVPN'!H:H,0))</f>
        <v>2</v>
      </c>
      <c r="BP417" s="184">
        <f t="shared" si="221"/>
        <v>2</v>
      </c>
      <c r="BR417" s="180">
        <f>Parameters!$B$12*AG417</f>
        <v>102.08333333333334</v>
      </c>
      <c r="BS417" s="180">
        <f>SUM(Distributievergoedingen!$F$12,Distributievergoedingen!$I$12,Distributievergoedingen!$L$12,Distributievergoedingen!$O$12)*AF417+SUM(Distributievergoedingen!$O$12*AA417+Distributievergoedingen!$R$12+Distributievergoedingen!$U$12+Distributievergoedingen!$X$12)/(MAX(36,12*C417))</f>
        <v>112.08333333333333</v>
      </c>
      <c r="BT417" s="150"/>
      <c r="BU417" s="150">
        <f t="shared" si="222"/>
        <v>214.16666666666669</v>
      </c>
      <c r="BW417" s="522">
        <f t="shared" si="223"/>
        <v>216.16666666666669</v>
      </c>
      <c r="BY417" s="527">
        <f t="shared" si="224"/>
        <v>804.66666666666674</v>
      </c>
      <c r="BZ417" s="181">
        <f t="shared" si="225"/>
        <v>0.78824489795918373</v>
      </c>
      <c r="CA417" s="520" t="b">
        <f t="shared" si="226"/>
        <v>0</v>
      </c>
    </row>
    <row r="418" spans="1:79" s="151" customFormat="1">
      <c r="A418" s="151" t="str">
        <f t="shared" si="219"/>
        <v>4EoKPremiumCity300</v>
      </c>
      <c r="B418" s="520" t="str">
        <f t="shared" si="237"/>
        <v>4EoKPremiumCity300</v>
      </c>
      <c r="C418" s="179">
        <v>4</v>
      </c>
      <c r="D418" s="179" t="s">
        <v>303</v>
      </c>
      <c r="E418" s="178" t="s">
        <v>267</v>
      </c>
      <c r="F418" s="178" t="s">
        <v>262</v>
      </c>
      <c r="G418" s="185" t="s">
        <v>420</v>
      </c>
      <c r="J418" s="520" t="str">
        <f t="shared" si="227"/>
        <v>PremiumCity300</v>
      </c>
      <c r="L418" s="204">
        <f>INDEX(Mapping!$H:$H,MATCH(C$3&amp;C418,Mapping!$B:$B,0))</f>
        <v>1</v>
      </c>
      <c r="M418" s="204" t="str">
        <f>INDEX(Mapping!$H:$H,MATCH(D$3&amp;$D418,Mapping!$B:$B,0))</f>
        <v>EoK</v>
      </c>
      <c r="N418" s="204" t="str">
        <f>INDEX(Mapping!$H:$H,MATCH(E$3&amp;E418,Mapping!$B:$B,0))</f>
        <v>Premium</v>
      </c>
      <c r="O418" s="204" t="str">
        <f>INDEX(Mapping!$H:$H,MATCH(F$3&amp;F418,Mapping!$B:$B,0))</f>
        <v>Metro</v>
      </c>
      <c r="P418" s="204">
        <f>INDEX(Mapping!$H:$H,MATCH(G$3&amp;G418,Mapping!$B:$B,0))</f>
        <v>300</v>
      </c>
      <c r="Q418" s="204" t="str">
        <f>INDEX(Mapping!$H:$H,MATCH(Q$3&amp;$F418,Mapping!$B:$B,0))</f>
        <v>Metro - Regionaal</v>
      </c>
      <c r="R418" s="204" t="str">
        <f>INDEX(Mapping!$H:$H,MATCH("ZM VPN Service Level"&amp;E418,Mapping!$B:$B,0))</f>
        <v>Advanced</v>
      </c>
      <c r="S418" s="139" t="b">
        <f>IF($D418="EoK",INDEX(Mapping!$I:$I,MATCH($G$3&amp;$G418,Mapping!B:B,0)),FALSE)</f>
        <v>0</v>
      </c>
      <c r="T418" s="139"/>
      <c r="U418" s="520" t="str">
        <f t="shared" si="228"/>
        <v>PremiumMetro300</v>
      </c>
      <c r="W418" s="521">
        <f>MATCH($J418,'Tarieven ZM'!$B:$B,0)</f>
        <v>80</v>
      </c>
      <c r="X418" s="204">
        <f>INDEX('Tarieven ZM'!$H:$H,$W418)</f>
        <v>1000</v>
      </c>
      <c r="Y418" s="198">
        <f>-INDEX(Parameters!$B:$B,MATCH(Y$3&amp;$C418,Parameters!$A:$A,0))*$X418</f>
        <v>0</v>
      </c>
      <c r="Z418" s="198">
        <f>-INDEX(Parameters!$B:$B,MATCH(Z$3&amp;$C418,Parameters!$A:$A,0))*$X418</f>
        <v>0</v>
      </c>
      <c r="AA418" s="139">
        <f t="shared" si="230"/>
        <v>1000</v>
      </c>
      <c r="AB418" s="205">
        <f>AA418/INDEX(Parameters!$B:$B,MATCH("AfschrijftermijnVVE"&amp;12*$C418,Parameters!$A:$A,0))</f>
        <v>20.833333333333332</v>
      </c>
      <c r="AC418" s="204">
        <f>INDEX('Tarieven ZM'!$G:$G,$W418)</f>
        <v>1000</v>
      </c>
      <c r="AD418" s="198">
        <f>-INDEX(Parameters!$B:$B,MATCH(AD$3&amp;$C418,Parameters!$A:$A,0))*$AC418</f>
        <v>0</v>
      </c>
      <c r="AE418" s="198">
        <f>-INDEX(Parameters!$B:$B,MATCH(AE$3,Parameters!$A:$A,0))*$AC418</f>
        <v>0</v>
      </c>
      <c r="AF418" s="139">
        <f t="shared" si="231"/>
        <v>1000</v>
      </c>
      <c r="AG418" s="522">
        <f t="shared" si="232"/>
        <v>1020.8333333333334</v>
      </c>
      <c r="AH418" s="175"/>
      <c r="AI418" s="523">
        <f>MATCH($U418,'Tarieven W&amp;O'!$B:$B,0)</f>
        <v>72</v>
      </c>
      <c r="AJ418" s="204">
        <f>IF(AI418&lt;&gt;"nvt",INDEX('Tarieven W&amp;O'!$H:$H,$AI418),0)</f>
        <v>0</v>
      </c>
      <c r="AK418" s="204">
        <f>IF(AI418&lt;&gt;"nvt",INDEX('Tarieven W&amp;O'!$I:$I,$AI418),0)</f>
        <v>25</v>
      </c>
      <c r="AL418" s="524">
        <f>IF(AI418&lt;&gt;"nvt",-INDEX(Parameters!$B:$B,MATCH(AL$3,Parameters!$A:$A,0))*(AJ418+AK418),0)</f>
        <v>0</v>
      </c>
      <c r="AM418" s="525"/>
      <c r="AN418" s="139">
        <f t="shared" si="233"/>
        <v>25</v>
      </c>
      <c r="AO418" s="205">
        <f>AN418/INDEX(Parameters!$B:$B,MATCH("AfschrijftermijnVVE"&amp;12*$C418,Parameters!$A:$A,0))</f>
        <v>0.52083333333333337</v>
      </c>
      <c r="AP418" s="139">
        <f t="shared" si="234"/>
        <v>72</v>
      </c>
      <c r="AQ418" s="526">
        <f>IF(AP418&lt;&gt;"nvt",INDEX('Tarieven W&amp;O'!$G:$G,$AP418),0)</f>
        <v>254.01</v>
      </c>
      <c r="AR418" s="251">
        <f>IF($S418,INDEX('Tarieven W&amp;O'!$G:$G,MATCH(N418&amp;R418,'Tarieven W&amp;O'!$B:$B,0)),0)</f>
        <v>0</v>
      </c>
      <c r="AS418" s="205">
        <f>-INDEX(Parameters!$B:$B,MATCH(AS$3,Parameters!$A:$A,0))*(AQ418+AR418)</f>
        <v>0</v>
      </c>
      <c r="AT418" s="205">
        <f>INDEX(hulpblad!$E:$E,MATCH(M418&amp;Q418,hulpblad!$B:$B,0))</f>
        <v>1</v>
      </c>
      <c r="AU418" s="150">
        <f t="shared" si="215"/>
        <v>255.01</v>
      </c>
      <c r="AV418" s="150">
        <f t="shared" si="216"/>
        <v>255.53083333333333</v>
      </c>
      <c r="AX418" s="526">
        <f>Parameters!$B$6*AV418</f>
        <v>2.5553083333333335</v>
      </c>
      <c r="AY418" s="150">
        <v>0</v>
      </c>
      <c r="AZ418" s="150"/>
      <c r="BA418" s="150">
        <f t="shared" si="235"/>
        <v>2.5553083333333335</v>
      </c>
      <c r="BB418" s="150"/>
      <c r="BC418" s="522">
        <f t="shared" si="236"/>
        <v>258.08614166666666</v>
      </c>
      <c r="BD418" s="175"/>
      <c r="BE418" s="527">
        <f t="shared" si="217"/>
        <v>762.74719166666671</v>
      </c>
      <c r="BF418" s="181">
        <f t="shared" si="218"/>
        <v>0.7471809224489796</v>
      </c>
      <c r="BG418" s="520" t="b">
        <f t="shared" si="229"/>
        <v>0</v>
      </c>
      <c r="BI418" s="528" t="s">
        <v>2181</v>
      </c>
      <c r="BL418" s="151" t="str">
        <f t="shared" si="220"/>
        <v>EoKMetro - Regionaal</v>
      </c>
      <c r="BM418" s="529">
        <v>0</v>
      </c>
      <c r="BN418" s="180">
        <f>BM418/INDEX(Parameters!$B:$B,MATCH("AfschrijftermijnVVE"&amp;12*$C418,Parameters!$A:$A,0))</f>
        <v>0</v>
      </c>
      <c r="BO418" s="184">
        <f>INDEX('inkoop ULL tbv EVPN'!I:I,MATCH(BL418,'inkoop ULL tbv EVPN'!H:H,0))</f>
        <v>2</v>
      </c>
      <c r="BP418" s="184">
        <f t="shared" si="221"/>
        <v>2</v>
      </c>
      <c r="BR418" s="180">
        <f>Parameters!$B$12*AG418</f>
        <v>102.08333333333334</v>
      </c>
      <c r="BS418" s="180">
        <f>SUM(Distributievergoedingen!$F$12,Distributievergoedingen!$I$12,Distributievergoedingen!$L$12,Distributievergoedingen!$O$12)*AF418+SUM(Distributievergoedingen!$O$12*AA418+Distributievergoedingen!$R$12+Distributievergoedingen!$U$12+Distributievergoedingen!$X$12)/(MAX(36,12*C418))</f>
        <v>112.08333333333333</v>
      </c>
      <c r="BT418" s="150"/>
      <c r="BU418" s="150">
        <f t="shared" si="222"/>
        <v>214.16666666666669</v>
      </c>
      <c r="BW418" s="522">
        <f t="shared" si="223"/>
        <v>216.16666666666669</v>
      </c>
      <c r="BY418" s="527">
        <f t="shared" si="224"/>
        <v>804.66666666666674</v>
      </c>
      <c r="BZ418" s="181">
        <f t="shared" si="225"/>
        <v>0.78824489795918373</v>
      </c>
      <c r="CA418" s="520" t="b">
        <f t="shared" si="226"/>
        <v>0</v>
      </c>
    </row>
    <row r="419" spans="1:79" s="151" customFormat="1">
      <c r="A419" s="151" t="str">
        <f t="shared" si="219"/>
        <v>4EoKPremiumCity500</v>
      </c>
      <c r="B419" s="520" t="str">
        <f t="shared" si="237"/>
        <v>4EoKPremiumCity500</v>
      </c>
      <c r="C419" s="179">
        <v>4</v>
      </c>
      <c r="D419" s="179" t="s">
        <v>303</v>
      </c>
      <c r="E419" s="178" t="s">
        <v>267</v>
      </c>
      <c r="F419" s="178" t="s">
        <v>262</v>
      </c>
      <c r="G419" s="185" t="s">
        <v>421</v>
      </c>
      <c r="J419" s="520" t="str">
        <f t="shared" si="227"/>
        <v>PremiumCity500</v>
      </c>
      <c r="L419" s="204">
        <f>INDEX(Mapping!$H:$H,MATCH(C$3&amp;C419,Mapping!$B:$B,0))</f>
        <v>1</v>
      </c>
      <c r="M419" s="204" t="str">
        <f>INDEX(Mapping!$H:$H,MATCH(D$3&amp;$D419,Mapping!$B:$B,0))</f>
        <v>EoK</v>
      </c>
      <c r="N419" s="204" t="str">
        <f>INDEX(Mapping!$H:$H,MATCH(E$3&amp;E419,Mapping!$B:$B,0))</f>
        <v>Premium</v>
      </c>
      <c r="O419" s="204" t="str">
        <f>INDEX(Mapping!$H:$H,MATCH(F$3&amp;F419,Mapping!$B:$B,0))</f>
        <v>Metro</v>
      </c>
      <c r="P419" s="204">
        <f>INDEX(Mapping!$H:$H,MATCH(G$3&amp;G419,Mapping!$B:$B,0))</f>
        <v>500</v>
      </c>
      <c r="Q419" s="204" t="str">
        <f>INDEX(Mapping!$H:$H,MATCH(Q$3&amp;$F419,Mapping!$B:$B,0))</f>
        <v>Metro - Regionaal</v>
      </c>
      <c r="R419" s="204" t="str">
        <f>INDEX(Mapping!$H:$H,MATCH("ZM VPN Service Level"&amp;E419,Mapping!$B:$B,0))</f>
        <v>Advanced</v>
      </c>
      <c r="S419" s="139" t="b">
        <f>IF($D419="EoK",INDEX(Mapping!$I:$I,MATCH($G$3&amp;$G419,Mapping!B:B,0)),FALSE)</f>
        <v>0</v>
      </c>
      <c r="T419" s="139"/>
      <c r="U419" s="520" t="str">
        <f t="shared" si="228"/>
        <v>PremiumMetro500</v>
      </c>
      <c r="W419" s="521">
        <f>MATCH($J419,'Tarieven ZM'!$B:$B,0)</f>
        <v>81</v>
      </c>
      <c r="X419" s="204">
        <f>INDEX('Tarieven ZM'!$H:$H,$W419)</f>
        <v>1000</v>
      </c>
      <c r="Y419" s="198">
        <f>-INDEX(Parameters!$B:$B,MATCH(Y$3&amp;$C419,Parameters!$A:$A,0))*$X419</f>
        <v>0</v>
      </c>
      <c r="Z419" s="198">
        <f>-INDEX(Parameters!$B:$B,MATCH(Z$3&amp;$C419,Parameters!$A:$A,0))*$X419</f>
        <v>0</v>
      </c>
      <c r="AA419" s="139">
        <f t="shared" si="230"/>
        <v>1000</v>
      </c>
      <c r="AB419" s="205">
        <f>AA419/INDEX(Parameters!$B:$B,MATCH("AfschrijftermijnVVE"&amp;12*$C419,Parameters!$A:$A,0))</f>
        <v>20.833333333333332</v>
      </c>
      <c r="AC419" s="204">
        <f>INDEX('Tarieven ZM'!$G:$G,$W419)</f>
        <v>1000</v>
      </c>
      <c r="AD419" s="198">
        <f>-INDEX(Parameters!$B:$B,MATCH(AD$3&amp;$C419,Parameters!$A:$A,0))*$AC419</f>
        <v>0</v>
      </c>
      <c r="AE419" s="198">
        <f>-INDEX(Parameters!$B:$B,MATCH(AE$3,Parameters!$A:$A,0))*$AC419</f>
        <v>0</v>
      </c>
      <c r="AF419" s="139">
        <f t="shared" si="231"/>
        <v>1000</v>
      </c>
      <c r="AG419" s="522">
        <f t="shared" si="232"/>
        <v>1020.8333333333334</v>
      </c>
      <c r="AH419" s="175"/>
      <c r="AI419" s="523">
        <f>MATCH($U419,'Tarieven W&amp;O'!$B:$B,0)</f>
        <v>73</v>
      </c>
      <c r="AJ419" s="204">
        <f>IF(AI419&lt;&gt;"nvt",INDEX('Tarieven W&amp;O'!$H:$H,$AI419),0)</f>
        <v>0</v>
      </c>
      <c r="AK419" s="204">
        <f>IF(AI419&lt;&gt;"nvt",INDEX('Tarieven W&amp;O'!$I:$I,$AI419),0)</f>
        <v>25</v>
      </c>
      <c r="AL419" s="524">
        <f>IF(AI419&lt;&gt;"nvt",-INDEX(Parameters!$B:$B,MATCH(AL$3,Parameters!$A:$A,0))*(AJ419+AK419),0)</f>
        <v>0</v>
      </c>
      <c r="AM419" s="525"/>
      <c r="AN419" s="139">
        <f t="shared" si="233"/>
        <v>25</v>
      </c>
      <c r="AO419" s="205">
        <f>AN419/INDEX(Parameters!$B:$B,MATCH("AfschrijftermijnVVE"&amp;12*$C419,Parameters!$A:$A,0))</f>
        <v>0.52083333333333337</v>
      </c>
      <c r="AP419" s="139">
        <f t="shared" si="234"/>
        <v>73</v>
      </c>
      <c r="AQ419" s="526">
        <f>IF(AP419&lt;&gt;"nvt",INDEX('Tarieven W&amp;O'!$G:$G,$AP419),0)</f>
        <v>310.54000000000002</v>
      </c>
      <c r="AR419" s="251">
        <f>IF($S419,INDEX('Tarieven W&amp;O'!$G:$G,MATCH(N419&amp;R419,'Tarieven W&amp;O'!$B:$B,0)),0)</f>
        <v>0</v>
      </c>
      <c r="AS419" s="205">
        <f>-INDEX(Parameters!$B:$B,MATCH(AS$3,Parameters!$A:$A,0))*(AQ419+AR419)</f>
        <v>0</v>
      </c>
      <c r="AT419" s="205">
        <f>INDEX(hulpblad!$E:$E,MATCH(M419&amp;Q419,hulpblad!$B:$B,0))</f>
        <v>1</v>
      </c>
      <c r="AU419" s="150">
        <f t="shared" si="215"/>
        <v>311.54000000000002</v>
      </c>
      <c r="AV419" s="150">
        <f t="shared" si="216"/>
        <v>312.06083333333333</v>
      </c>
      <c r="AX419" s="526">
        <f>Parameters!$B$6*AV419</f>
        <v>3.1206083333333332</v>
      </c>
      <c r="AY419" s="150">
        <v>0</v>
      </c>
      <c r="AZ419" s="150"/>
      <c r="BA419" s="150">
        <f t="shared" si="235"/>
        <v>3.1206083333333332</v>
      </c>
      <c r="BB419" s="150"/>
      <c r="BC419" s="522">
        <f t="shared" si="236"/>
        <v>315.18144166666667</v>
      </c>
      <c r="BD419" s="175"/>
      <c r="BE419" s="527">
        <f t="shared" si="217"/>
        <v>705.65189166666664</v>
      </c>
      <c r="BF419" s="181">
        <f t="shared" si="218"/>
        <v>0.6912508326530612</v>
      </c>
      <c r="BG419" s="520" t="b">
        <f t="shared" si="229"/>
        <v>0</v>
      </c>
      <c r="BI419" s="528" t="s">
        <v>2181</v>
      </c>
      <c r="BL419" s="151" t="str">
        <f t="shared" si="220"/>
        <v>EoKMetro - Regionaal</v>
      </c>
      <c r="BM419" s="529">
        <v>0</v>
      </c>
      <c r="BN419" s="180">
        <f>BM419/INDEX(Parameters!$B:$B,MATCH("AfschrijftermijnVVE"&amp;12*$C419,Parameters!$A:$A,0))</f>
        <v>0</v>
      </c>
      <c r="BO419" s="184">
        <f>INDEX('inkoop ULL tbv EVPN'!I:I,MATCH(BL419,'inkoop ULL tbv EVPN'!H:H,0))</f>
        <v>2</v>
      </c>
      <c r="BP419" s="184">
        <f t="shared" si="221"/>
        <v>2</v>
      </c>
      <c r="BR419" s="180">
        <f>Parameters!$B$12*AG419</f>
        <v>102.08333333333334</v>
      </c>
      <c r="BS419" s="180">
        <f>SUM(Distributievergoedingen!$F$12,Distributievergoedingen!$I$12,Distributievergoedingen!$L$12,Distributievergoedingen!$O$12)*AF419+SUM(Distributievergoedingen!$O$12*AA419+Distributievergoedingen!$R$12+Distributievergoedingen!$U$12+Distributievergoedingen!$X$12)/(MAX(36,12*C419))</f>
        <v>112.08333333333333</v>
      </c>
      <c r="BT419" s="150"/>
      <c r="BU419" s="150">
        <f t="shared" si="222"/>
        <v>214.16666666666669</v>
      </c>
      <c r="BW419" s="522">
        <f t="shared" si="223"/>
        <v>216.16666666666669</v>
      </c>
      <c r="BY419" s="527">
        <f t="shared" si="224"/>
        <v>804.66666666666674</v>
      </c>
      <c r="BZ419" s="181">
        <f t="shared" si="225"/>
        <v>0.78824489795918373</v>
      </c>
      <c r="CA419" s="520" t="b">
        <f t="shared" si="226"/>
        <v>0</v>
      </c>
    </row>
    <row r="420" spans="1:79" s="151" customFormat="1">
      <c r="A420" s="151" t="str">
        <f t="shared" si="219"/>
        <v>4EoKPremiumCity800</v>
      </c>
      <c r="B420" s="520" t="str">
        <f t="shared" si="237"/>
        <v>4EoKPremiumCity800</v>
      </c>
      <c r="C420" s="179">
        <v>4</v>
      </c>
      <c r="D420" s="179" t="s">
        <v>303</v>
      </c>
      <c r="E420" s="178" t="s">
        <v>267</v>
      </c>
      <c r="F420" s="178" t="s">
        <v>262</v>
      </c>
      <c r="G420" s="185" t="s">
        <v>422</v>
      </c>
      <c r="J420" s="520" t="str">
        <f t="shared" si="227"/>
        <v>PremiumCity800</v>
      </c>
      <c r="L420" s="204">
        <f>INDEX(Mapping!$H:$H,MATCH(C$3&amp;C420,Mapping!$B:$B,0))</f>
        <v>1</v>
      </c>
      <c r="M420" s="204" t="str">
        <f>INDEX(Mapping!$H:$H,MATCH(D$3&amp;$D420,Mapping!$B:$B,0))</f>
        <v>EoK</v>
      </c>
      <c r="N420" s="204" t="str">
        <f>INDEX(Mapping!$H:$H,MATCH(E$3&amp;E420,Mapping!$B:$B,0))</f>
        <v>Premium</v>
      </c>
      <c r="O420" s="204" t="str">
        <f>INDEX(Mapping!$H:$H,MATCH(F$3&amp;F420,Mapping!$B:$B,0))</f>
        <v>Metro</v>
      </c>
      <c r="P420" s="204">
        <f>INDEX(Mapping!$H:$H,MATCH(G$3&amp;G420,Mapping!$B:$B,0))</f>
        <v>800</v>
      </c>
      <c r="Q420" s="204" t="str">
        <f>INDEX(Mapping!$H:$H,MATCH(Q$3&amp;$F420,Mapping!$B:$B,0))</f>
        <v>Metro - Regionaal</v>
      </c>
      <c r="R420" s="204" t="str">
        <f>INDEX(Mapping!$H:$H,MATCH("ZM VPN Service Level"&amp;E420,Mapping!$B:$B,0))</f>
        <v>Advanced</v>
      </c>
      <c r="S420" s="139" t="b">
        <f>IF($D420="EoK",INDEX(Mapping!$I:$I,MATCH($G$3&amp;$G420,Mapping!B:B,0)),FALSE)</f>
        <v>0</v>
      </c>
      <c r="T420" s="139"/>
      <c r="U420" s="520" t="str">
        <f t="shared" si="228"/>
        <v>PremiumMetro800</v>
      </c>
      <c r="W420" s="521">
        <f>MATCH($J420,'Tarieven ZM'!$B:$B,0)</f>
        <v>82</v>
      </c>
      <c r="X420" s="204">
        <f>INDEX('Tarieven ZM'!$H:$H,$W420)</f>
        <v>1000</v>
      </c>
      <c r="Y420" s="198">
        <f>-INDEX(Parameters!$B:$B,MATCH(Y$3&amp;$C420,Parameters!$A:$A,0))*$X420</f>
        <v>0</v>
      </c>
      <c r="Z420" s="198">
        <f>-INDEX(Parameters!$B:$B,MATCH(Z$3&amp;$C420,Parameters!$A:$A,0))*$X420</f>
        <v>0</v>
      </c>
      <c r="AA420" s="139">
        <f t="shared" si="230"/>
        <v>1000</v>
      </c>
      <c r="AB420" s="205">
        <f>AA420/INDEX(Parameters!$B:$B,MATCH("AfschrijftermijnVVE"&amp;12*$C420,Parameters!$A:$A,0))</f>
        <v>20.833333333333332</v>
      </c>
      <c r="AC420" s="204">
        <f>INDEX('Tarieven ZM'!$G:$G,$W420)</f>
        <v>1000</v>
      </c>
      <c r="AD420" s="198">
        <f>-INDEX(Parameters!$B:$B,MATCH(AD$3&amp;$C420,Parameters!$A:$A,0))*$AC420</f>
        <v>0</v>
      </c>
      <c r="AE420" s="198">
        <f>-INDEX(Parameters!$B:$B,MATCH(AE$3,Parameters!$A:$A,0))*$AC420</f>
        <v>0</v>
      </c>
      <c r="AF420" s="139">
        <f t="shared" si="231"/>
        <v>1000</v>
      </c>
      <c r="AG420" s="522">
        <f t="shared" si="232"/>
        <v>1020.8333333333334</v>
      </c>
      <c r="AH420" s="175"/>
      <c r="AI420" s="523">
        <f>MATCH($U420,'Tarieven W&amp;O'!$B:$B,0)</f>
        <v>74</v>
      </c>
      <c r="AJ420" s="204">
        <f>IF(AI420&lt;&gt;"nvt",INDEX('Tarieven W&amp;O'!$H:$H,$AI420),0)</f>
        <v>0</v>
      </c>
      <c r="AK420" s="204">
        <f>IF(AI420&lt;&gt;"nvt",INDEX('Tarieven W&amp;O'!$I:$I,$AI420),0)</f>
        <v>25</v>
      </c>
      <c r="AL420" s="524">
        <f>IF(AI420&lt;&gt;"nvt",-INDEX(Parameters!$B:$B,MATCH(AL$3,Parameters!$A:$A,0))*(AJ420+AK420),0)</f>
        <v>0</v>
      </c>
      <c r="AM420" s="525"/>
      <c r="AN420" s="139">
        <f t="shared" si="233"/>
        <v>25</v>
      </c>
      <c r="AO420" s="205">
        <f>AN420/INDEX(Parameters!$B:$B,MATCH("AfschrijftermijnVVE"&amp;12*$C420,Parameters!$A:$A,0))</f>
        <v>0.52083333333333337</v>
      </c>
      <c r="AP420" s="139">
        <f t="shared" si="234"/>
        <v>74</v>
      </c>
      <c r="AQ420" s="526">
        <f>IF(AP420&lt;&gt;"nvt",INDEX('Tarieven W&amp;O'!$G:$G,$AP420),0)</f>
        <v>348.23</v>
      </c>
      <c r="AR420" s="251">
        <f>IF($S420,INDEX('Tarieven W&amp;O'!$G:$G,MATCH(N420&amp;R420,'Tarieven W&amp;O'!$B:$B,0)),0)</f>
        <v>0</v>
      </c>
      <c r="AS420" s="205">
        <f>-INDEX(Parameters!$B:$B,MATCH(AS$3,Parameters!$A:$A,0))*(AQ420+AR420)</f>
        <v>0</v>
      </c>
      <c r="AT420" s="205">
        <f>INDEX(hulpblad!$E:$E,MATCH(M420&amp;Q420,hulpblad!$B:$B,0))</f>
        <v>1</v>
      </c>
      <c r="AU420" s="150">
        <f t="shared" si="215"/>
        <v>349.23</v>
      </c>
      <c r="AV420" s="150">
        <f t="shared" si="216"/>
        <v>349.75083333333333</v>
      </c>
      <c r="AX420" s="526">
        <f>Parameters!$B$6*AV420</f>
        <v>3.4975083333333332</v>
      </c>
      <c r="AY420" s="150">
        <v>0</v>
      </c>
      <c r="AZ420" s="150"/>
      <c r="BA420" s="150">
        <f t="shared" si="235"/>
        <v>3.4975083333333332</v>
      </c>
      <c r="BB420" s="150"/>
      <c r="BC420" s="522">
        <f t="shared" si="236"/>
        <v>353.24834166666665</v>
      </c>
      <c r="BD420" s="175"/>
      <c r="BE420" s="527">
        <f t="shared" si="217"/>
        <v>667.58499166666672</v>
      </c>
      <c r="BF420" s="181">
        <f t="shared" si="218"/>
        <v>0.65396080816326529</v>
      </c>
      <c r="BG420" s="520" t="b">
        <f t="shared" si="229"/>
        <v>0</v>
      </c>
      <c r="BI420" s="528" t="s">
        <v>2181</v>
      </c>
      <c r="BL420" s="151" t="str">
        <f t="shared" si="220"/>
        <v>EoKMetro - Regionaal</v>
      </c>
      <c r="BM420" s="529">
        <v>0</v>
      </c>
      <c r="BN420" s="180">
        <f>BM420/INDEX(Parameters!$B:$B,MATCH("AfschrijftermijnVVE"&amp;12*$C420,Parameters!$A:$A,0))</f>
        <v>0</v>
      </c>
      <c r="BO420" s="184">
        <f>INDEX('inkoop ULL tbv EVPN'!I:I,MATCH(BL420,'inkoop ULL tbv EVPN'!H:H,0))</f>
        <v>2</v>
      </c>
      <c r="BP420" s="184">
        <f t="shared" si="221"/>
        <v>2</v>
      </c>
      <c r="BR420" s="180">
        <f>Parameters!$B$12*AG420</f>
        <v>102.08333333333334</v>
      </c>
      <c r="BS420" s="180">
        <f>SUM(Distributievergoedingen!$F$12,Distributievergoedingen!$I$12,Distributievergoedingen!$L$12,Distributievergoedingen!$O$12)*AF420+SUM(Distributievergoedingen!$O$12*AA420+Distributievergoedingen!$R$12+Distributievergoedingen!$U$12+Distributievergoedingen!$X$12)/(MAX(36,12*C420))</f>
        <v>112.08333333333333</v>
      </c>
      <c r="BT420" s="150"/>
      <c r="BU420" s="150">
        <f t="shared" si="222"/>
        <v>214.16666666666669</v>
      </c>
      <c r="BW420" s="522">
        <f t="shared" si="223"/>
        <v>216.16666666666669</v>
      </c>
      <c r="BY420" s="527">
        <f t="shared" si="224"/>
        <v>804.66666666666674</v>
      </c>
      <c r="BZ420" s="181">
        <f t="shared" si="225"/>
        <v>0.78824489795918373</v>
      </c>
      <c r="CA420" s="520" t="b">
        <f t="shared" si="226"/>
        <v>0</v>
      </c>
    </row>
    <row r="421" spans="1:79" s="151" customFormat="1">
      <c r="A421" s="151" t="str">
        <f t="shared" si="219"/>
        <v>4EoKPremiumCity1000</v>
      </c>
      <c r="B421" s="520" t="str">
        <f t="shared" si="237"/>
        <v>4EoKPremiumCity1000</v>
      </c>
      <c r="C421" s="179">
        <v>4</v>
      </c>
      <c r="D421" s="179" t="s">
        <v>303</v>
      </c>
      <c r="E421" s="178" t="s">
        <v>267</v>
      </c>
      <c r="F421" s="178" t="s">
        <v>262</v>
      </c>
      <c r="G421" s="185" t="s">
        <v>423</v>
      </c>
      <c r="J421" s="520" t="str">
        <f t="shared" si="227"/>
        <v>PremiumCity1000</v>
      </c>
      <c r="L421" s="204">
        <f>INDEX(Mapping!$H:$H,MATCH(C$3&amp;C421,Mapping!$B:$B,0))</f>
        <v>1</v>
      </c>
      <c r="M421" s="204" t="str">
        <f>INDEX(Mapping!$H:$H,MATCH(D$3&amp;$D421,Mapping!$B:$B,0))</f>
        <v>EoK</v>
      </c>
      <c r="N421" s="204" t="str">
        <f>INDEX(Mapping!$H:$H,MATCH(E$3&amp;E421,Mapping!$B:$B,0))</f>
        <v>Premium</v>
      </c>
      <c r="O421" s="204" t="str">
        <f>INDEX(Mapping!$H:$H,MATCH(F$3&amp;F421,Mapping!$B:$B,0))</f>
        <v>Metro</v>
      </c>
      <c r="P421" s="204">
        <f>INDEX(Mapping!$H:$H,MATCH(G$3&amp;G421,Mapping!$B:$B,0))</f>
        <v>1000</v>
      </c>
      <c r="Q421" s="204" t="str">
        <f>INDEX(Mapping!$H:$H,MATCH(Q$3&amp;$F421,Mapping!$B:$B,0))</f>
        <v>Metro - Regionaal</v>
      </c>
      <c r="R421" s="204" t="str">
        <f>INDEX(Mapping!$H:$H,MATCH("ZM VPN Service Level"&amp;E421,Mapping!$B:$B,0))</f>
        <v>Advanced</v>
      </c>
      <c r="S421" s="139" t="b">
        <f>IF($D421="EoK",INDEX(Mapping!$I:$I,MATCH($G$3&amp;$G421,Mapping!B:B,0)),FALSE)</f>
        <v>0</v>
      </c>
      <c r="T421" s="139"/>
      <c r="U421" s="520" t="str">
        <f t="shared" si="228"/>
        <v>PremiumMetro1000</v>
      </c>
      <c r="W421" s="521">
        <f>MATCH($J421,'Tarieven ZM'!$B:$B,0)</f>
        <v>83</v>
      </c>
      <c r="X421" s="204">
        <f>INDEX('Tarieven ZM'!$H:$H,$W421)</f>
        <v>1000</v>
      </c>
      <c r="Y421" s="198">
        <f>-INDEX(Parameters!$B:$B,MATCH(Y$3&amp;$C421,Parameters!$A:$A,0))*$X421</f>
        <v>0</v>
      </c>
      <c r="Z421" s="198">
        <f>-INDEX(Parameters!$B:$B,MATCH(Z$3&amp;$C421,Parameters!$A:$A,0))*$X421</f>
        <v>0</v>
      </c>
      <c r="AA421" s="139">
        <f t="shared" si="230"/>
        <v>1000</v>
      </c>
      <c r="AB421" s="205">
        <f>AA421/INDEX(Parameters!$B:$B,MATCH("AfschrijftermijnVVE"&amp;12*$C421,Parameters!$A:$A,0))</f>
        <v>20.833333333333332</v>
      </c>
      <c r="AC421" s="204">
        <f>INDEX('Tarieven ZM'!$G:$G,$W421)</f>
        <v>1000</v>
      </c>
      <c r="AD421" s="198">
        <f>-INDEX(Parameters!$B:$B,MATCH(AD$3&amp;$C421,Parameters!$A:$A,0))*$AC421</f>
        <v>0</v>
      </c>
      <c r="AE421" s="198">
        <f>-INDEX(Parameters!$B:$B,MATCH(AE$3,Parameters!$A:$A,0))*$AC421</f>
        <v>0</v>
      </c>
      <c r="AF421" s="139">
        <f t="shared" si="231"/>
        <v>1000</v>
      </c>
      <c r="AG421" s="522">
        <f t="shared" si="232"/>
        <v>1020.8333333333334</v>
      </c>
      <c r="AH421" s="175"/>
      <c r="AI421" s="523">
        <f>MATCH($U421,'Tarieven W&amp;O'!$B:$B,0)</f>
        <v>75</v>
      </c>
      <c r="AJ421" s="204">
        <f>IF(AI421&lt;&gt;"nvt",INDEX('Tarieven W&amp;O'!$H:$H,$AI421),0)</f>
        <v>0</v>
      </c>
      <c r="AK421" s="204">
        <f>IF(AI421&lt;&gt;"nvt",INDEX('Tarieven W&amp;O'!$I:$I,$AI421),0)</f>
        <v>25</v>
      </c>
      <c r="AL421" s="524">
        <f>IF(AI421&lt;&gt;"nvt",-INDEX(Parameters!$B:$B,MATCH(AL$3,Parameters!$A:$A,0))*(AJ421+AK421),0)</f>
        <v>0</v>
      </c>
      <c r="AM421" s="525"/>
      <c r="AN421" s="139">
        <f t="shared" si="233"/>
        <v>25</v>
      </c>
      <c r="AO421" s="205">
        <f>AN421/INDEX(Parameters!$B:$B,MATCH("AfschrijftermijnVVE"&amp;12*$C421,Parameters!$A:$A,0))</f>
        <v>0.52083333333333337</v>
      </c>
      <c r="AP421" s="139">
        <f t="shared" si="234"/>
        <v>75</v>
      </c>
      <c r="AQ421" s="526">
        <f>IF(AP421&lt;&gt;"nvt",INDEX('Tarieven W&amp;O'!$G:$G,$AP421),0)</f>
        <v>385.93</v>
      </c>
      <c r="AR421" s="251">
        <f>IF($S421,INDEX('Tarieven W&amp;O'!$G:$G,MATCH(N421&amp;R421,'Tarieven W&amp;O'!$B:$B,0)),0)</f>
        <v>0</v>
      </c>
      <c r="AS421" s="205">
        <f>-INDEX(Parameters!$B:$B,MATCH(AS$3,Parameters!$A:$A,0))*(AQ421+AR421)</f>
        <v>0</v>
      </c>
      <c r="AT421" s="205">
        <f>INDEX(hulpblad!$E:$E,MATCH(M421&amp;Q421,hulpblad!$B:$B,0))</f>
        <v>1</v>
      </c>
      <c r="AU421" s="150">
        <f t="shared" si="215"/>
        <v>386.93</v>
      </c>
      <c r="AV421" s="150">
        <f t="shared" si="216"/>
        <v>387.45083333333332</v>
      </c>
      <c r="AX421" s="526">
        <f>Parameters!$B$6*AV421</f>
        <v>3.8745083333333334</v>
      </c>
      <c r="AY421" s="150">
        <v>0</v>
      </c>
      <c r="AZ421" s="150"/>
      <c r="BA421" s="150">
        <f t="shared" si="235"/>
        <v>3.8745083333333334</v>
      </c>
      <c r="BB421" s="150"/>
      <c r="BC421" s="522">
        <f t="shared" si="236"/>
        <v>391.32534166666665</v>
      </c>
      <c r="BD421" s="175"/>
      <c r="BE421" s="527">
        <f t="shared" si="217"/>
        <v>629.50799166666673</v>
      </c>
      <c r="BF421" s="181">
        <f t="shared" si="218"/>
        <v>0.61666088979591838</v>
      </c>
      <c r="BG421" s="520" t="b">
        <f t="shared" si="229"/>
        <v>0</v>
      </c>
      <c r="BI421" s="528" t="s">
        <v>2181</v>
      </c>
      <c r="BL421" s="151" t="str">
        <f t="shared" si="220"/>
        <v>EoKMetro - Regionaal</v>
      </c>
      <c r="BM421" s="529">
        <v>0</v>
      </c>
      <c r="BN421" s="180">
        <f>BM421/INDEX(Parameters!$B:$B,MATCH("AfschrijftermijnVVE"&amp;12*$C421,Parameters!$A:$A,0))</f>
        <v>0</v>
      </c>
      <c r="BO421" s="184">
        <f>INDEX('inkoop ULL tbv EVPN'!I:I,MATCH(BL421,'inkoop ULL tbv EVPN'!H:H,0))</f>
        <v>2</v>
      </c>
      <c r="BP421" s="184">
        <f t="shared" si="221"/>
        <v>2</v>
      </c>
      <c r="BR421" s="180">
        <f>Parameters!$B$12*AG421</f>
        <v>102.08333333333334</v>
      </c>
      <c r="BS421" s="180">
        <f>SUM(Distributievergoedingen!$F$12,Distributievergoedingen!$I$12,Distributievergoedingen!$L$12,Distributievergoedingen!$O$12)*AF421+SUM(Distributievergoedingen!$O$12*AA421+Distributievergoedingen!$R$12+Distributievergoedingen!$U$12+Distributievergoedingen!$X$12)/(MAX(36,12*C421))</f>
        <v>112.08333333333333</v>
      </c>
      <c r="BT421" s="150"/>
      <c r="BU421" s="150">
        <f t="shared" si="222"/>
        <v>214.16666666666669</v>
      </c>
      <c r="BW421" s="522">
        <f t="shared" si="223"/>
        <v>216.16666666666669</v>
      </c>
      <c r="BY421" s="527">
        <f t="shared" si="224"/>
        <v>804.66666666666674</v>
      </c>
      <c r="BZ421" s="181">
        <f t="shared" si="225"/>
        <v>0.78824489795918373</v>
      </c>
      <c r="CA421" s="520" t="b">
        <f t="shared" si="226"/>
        <v>0</v>
      </c>
    </row>
    <row r="422" spans="1:79" s="151" customFormat="1">
      <c r="A422" s="151" t="str">
        <f t="shared" si="219"/>
        <v>4EoKPremiumRegionaal1</v>
      </c>
      <c r="B422" s="520" t="str">
        <f t="shared" si="237"/>
        <v>4EoKPremiumRegionaal1</v>
      </c>
      <c r="C422" s="179">
        <v>4</v>
      </c>
      <c r="D422" s="179" t="s">
        <v>303</v>
      </c>
      <c r="E422" s="178" t="s">
        <v>267</v>
      </c>
      <c r="F422" s="178" t="s">
        <v>265</v>
      </c>
      <c r="G422" s="185" t="s">
        <v>362</v>
      </c>
      <c r="J422" s="520" t="str">
        <f t="shared" si="227"/>
        <v>PremiumRegionaal1</v>
      </c>
      <c r="L422" s="204">
        <f>INDEX(Mapping!$H:$H,MATCH(C$3&amp;C422,Mapping!$B:$B,0))</f>
        <v>1</v>
      </c>
      <c r="M422" s="204" t="str">
        <f>INDEX(Mapping!$H:$H,MATCH(D$3&amp;$D422,Mapping!$B:$B,0))</f>
        <v>EoK</v>
      </c>
      <c r="N422" s="204" t="str">
        <f>INDEX(Mapping!$H:$H,MATCH(E$3&amp;E422,Mapping!$B:$B,0))</f>
        <v>Premium</v>
      </c>
      <c r="O422" s="204" t="str">
        <f>INDEX(Mapping!$H:$H,MATCH(F$3&amp;F422,Mapping!$B:$B,0))</f>
        <v>Metro</v>
      </c>
      <c r="P422" s="204">
        <f>INDEX(Mapping!$H:$H,MATCH(G$3&amp;G422,Mapping!$B:$B,0))</f>
        <v>1</v>
      </c>
      <c r="Q422" s="204" t="str">
        <f>INDEX(Mapping!$H:$H,MATCH(Q$3&amp;$F422,Mapping!$B:$B,0))</f>
        <v>Metro - Nationaal</v>
      </c>
      <c r="R422" s="204" t="str">
        <f>INDEX(Mapping!$H:$H,MATCH("ZM VPN Service Level"&amp;E422,Mapping!$B:$B,0))</f>
        <v>Advanced</v>
      </c>
      <c r="S422" s="139" t="b">
        <f>IF($D422="EoK",INDEX(Mapping!$I:$I,MATCH($G$3&amp;$G422,Mapping!B:B,0)),FALSE)</f>
        <v>1</v>
      </c>
      <c r="T422" s="139"/>
      <c r="U422" s="520" t="str">
        <f t="shared" si="228"/>
        <v>PremiumMetro1</v>
      </c>
      <c r="W422" s="521">
        <f>MATCH($J422,'Tarieven ZM'!$B:$B,0)</f>
        <v>84</v>
      </c>
      <c r="X422" s="204">
        <f>INDEX('Tarieven ZM'!$H:$H,$W422)</f>
        <v>1000</v>
      </c>
      <c r="Y422" s="198">
        <f>-INDEX(Parameters!$B:$B,MATCH(Y$3&amp;$C422,Parameters!$A:$A,0))*$X422</f>
        <v>0</v>
      </c>
      <c r="Z422" s="198">
        <f>-INDEX(Parameters!$B:$B,MATCH(Z$3&amp;$C422,Parameters!$A:$A,0))*$X422</f>
        <v>0</v>
      </c>
      <c r="AA422" s="139">
        <f t="shared" si="230"/>
        <v>1000</v>
      </c>
      <c r="AB422" s="205">
        <f>AA422/INDEX(Parameters!$B:$B,MATCH("AfschrijftermijnVVE"&amp;12*$C422,Parameters!$A:$A,0))</f>
        <v>20.833333333333332</v>
      </c>
      <c r="AC422" s="204">
        <f>INDEX('Tarieven ZM'!$G:$G,$W422)</f>
        <v>1000</v>
      </c>
      <c r="AD422" s="198">
        <f>-INDEX(Parameters!$B:$B,MATCH(AD$3&amp;$C422,Parameters!$A:$A,0))*$AC422</f>
        <v>0</v>
      </c>
      <c r="AE422" s="198">
        <f>-INDEX(Parameters!$B:$B,MATCH(AE$3,Parameters!$A:$A,0))*$AC422</f>
        <v>0</v>
      </c>
      <c r="AF422" s="139">
        <f t="shared" si="231"/>
        <v>1000</v>
      </c>
      <c r="AG422" s="522">
        <f t="shared" si="232"/>
        <v>1020.8333333333334</v>
      </c>
      <c r="AH422" s="175"/>
      <c r="AI422" s="523">
        <f>MATCH($U422,'Tarieven W&amp;O'!$B:$B,0)</f>
        <v>57</v>
      </c>
      <c r="AJ422" s="204">
        <f>IF(AI422&lt;&gt;"nvt",INDEX('Tarieven W&amp;O'!$H:$H,$AI422),0)</f>
        <v>0</v>
      </c>
      <c r="AK422" s="204">
        <f>IF(AI422&lt;&gt;"nvt",INDEX('Tarieven W&amp;O'!$I:$I,$AI422),0)</f>
        <v>25</v>
      </c>
      <c r="AL422" s="524">
        <f>IF(AI422&lt;&gt;"nvt",-INDEX(Parameters!$B:$B,MATCH(AL$3,Parameters!$A:$A,0))*(AJ422+AK422),0)</f>
        <v>0</v>
      </c>
      <c r="AM422" s="525"/>
      <c r="AN422" s="139">
        <f t="shared" si="233"/>
        <v>25</v>
      </c>
      <c r="AO422" s="205">
        <f>AN422/INDEX(Parameters!$B:$B,MATCH("AfschrijftermijnVVE"&amp;12*$C422,Parameters!$A:$A,0))</f>
        <v>0.52083333333333337</v>
      </c>
      <c r="AP422" s="139">
        <f t="shared" si="234"/>
        <v>57</v>
      </c>
      <c r="AQ422" s="526">
        <f>IF(AP422&lt;&gt;"nvt",INDEX('Tarieven W&amp;O'!$G:$G,$AP422),0)</f>
        <v>14.29</v>
      </c>
      <c r="AR422" s="251">
        <f>IF($S422,INDEX('Tarieven W&amp;O'!$G:$G,MATCH(N422&amp;R422,'Tarieven W&amp;O'!$B:$B,0)),0)</f>
        <v>0</v>
      </c>
      <c r="AS422" s="205">
        <f>-INDEX(Parameters!$B:$B,MATCH(AS$3,Parameters!$A:$A,0))*(AQ422+AR422)</f>
        <v>0</v>
      </c>
      <c r="AT422" s="205">
        <f>INDEX(hulpblad!$E:$E,MATCH(M422&amp;Q422,hulpblad!$B:$B,0))</f>
        <v>2</v>
      </c>
      <c r="AU422" s="150">
        <f t="shared" ref="AU422:AU459" si="238">SUM(AQ422:AT422)</f>
        <v>16.29</v>
      </c>
      <c r="AV422" s="150">
        <f t="shared" ref="AV422:AV459" si="239">SUM(AO422,AU422)</f>
        <v>16.810833333333331</v>
      </c>
      <c r="AX422" s="526">
        <f>Parameters!$B$6*AV422</f>
        <v>0.1681083333333333</v>
      </c>
      <c r="AY422" s="150">
        <v>0</v>
      </c>
      <c r="AZ422" s="150"/>
      <c r="BA422" s="150">
        <f t="shared" si="235"/>
        <v>0.1681083333333333</v>
      </c>
      <c r="BB422" s="150"/>
      <c r="BC422" s="522">
        <f t="shared" si="236"/>
        <v>16.978941666666664</v>
      </c>
      <c r="BD422" s="175"/>
      <c r="BE422" s="527">
        <f t="shared" ref="BE422:BE459" si="240">AG422-BC422</f>
        <v>1003.8543916666667</v>
      </c>
      <c r="BF422" s="181">
        <f t="shared" ref="BF422:BF459" si="241">IF(AG422=0,-999%,BE422/AG422)</f>
        <v>0.98336756734693886</v>
      </c>
      <c r="BG422" s="520" t="b">
        <f t="shared" si="229"/>
        <v>0</v>
      </c>
      <c r="BI422" s="528" t="s">
        <v>2181</v>
      </c>
      <c r="BL422" s="151" t="str">
        <f t="shared" si="220"/>
        <v>EoKMetro - Nationaal</v>
      </c>
      <c r="BM422" s="529">
        <v>0</v>
      </c>
      <c r="BN422" s="180">
        <f>BM422/INDEX(Parameters!$B:$B,MATCH("AfschrijftermijnVVE"&amp;12*$C422,Parameters!$A:$A,0))</f>
        <v>0</v>
      </c>
      <c r="BO422" s="184">
        <f>INDEX('inkoop ULL tbv EVPN'!I:I,MATCH(BL422,'inkoop ULL tbv EVPN'!H:H,0))</f>
        <v>2</v>
      </c>
      <c r="BP422" s="184">
        <f t="shared" si="221"/>
        <v>2</v>
      </c>
      <c r="BR422" s="180">
        <f>Parameters!$B$12*AG422</f>
        <v>102.08333333333334</v>
      </c>
      <c r="BS422" s="180">
        <f>SUM(Distributievergoedingen!$F$12,Distributievergoedingen!$I$12,Distributievergoedingen!$L$12,Distributievergoedingen!$O$12)*AF422+SUM(Distributievergoedingen!$O$12*AA422+Distributievergoedingen!$R$12+Distributievergoedingen!$U$12+Distributievergoedingen!$X$12)/(MAX(36,12*C422))</f>
        <v>112.08333333333333</v>
      </c>
      <c r="BT422" s="150"/>
      <c r="BU422" s="150">
        <f t="shared" si="222"/>
        <v>214.16666666666669</v>
      </c>
      <c r="BW422" s="522">
        <f t="shared" si="223"/>
        <v>216.16666666666669</v>
      </c>
      <c r="BY422" s="527">
        <f t="shared" si="224"/>
        <v>804.66666666666674</v>
      </c>
      <c r="BZ422" s="181">
        <f t="shared" si="225"/>
        <v>0.78824489795918373</v>
      </c>
      <c r="CA422" s="520" t="b">
        <f t="shared" si="226"/>
        <v>0</v>
      </c>
    </row>
    <row r="423" spans="1:79" s="151" customFormat="1">
      <c r="A423" s="151" t="str">
        <f t="shared" ref="A423:A459" si="242">C423&amp;D423&amp;E423&amp;F423&amp;G423&amp;H423</f>
        <v>4EoKPremiumRegionaal2</v>
      </c>
      <c r="B423" s="520" t="str">
        <f t="shared" si="237"/>
        <v>4EoKPremiumRegionaal2</v>
      </c>
      <c r="C423" s="179">
        <v>4</v>
      </c>
      <c r="D423" s="179" t="s">
        <v>303</v>
      </c>
      <c r="E423" s="178" t="s">
        <v>267</v>
      </c>
      <c r="F423" s="178" t="s">
        <v>265</v>
      </c>
      <c r="G423" s="185" t="s">
        <v>363</v>
      </c>
      <c r="J423" s="520" t="str">
        <f t="shared" si="227"/>
        <v>PremiumRegionaal2</v>
      </c>
      <c r="L423" s="204">
        <f>INDEX(Mapping!$H:$H,MATCH(C$3&amp;C423,Mapping!$B:$B,0))</f>
        <v>1</v>
      </c>
      <c r="M423" s="204" t="str">
        <f>INDEX(Mapping!$H:$H,MATCH(D$3&amp;$D423,Mapping!$B:$B,0))</f>
        <v>EoK</v>
      </c>
      <c r="N423" s="204" t="str">
        <f>INDEX(Mapping!$H:$H,MATCH(E$3&amp;E423,Mapping!$B:$B,0))</f>
        <v>Premium</v>
      </c>
      <c r="O423" s="204" t="str">
        <f>INDEX(Mapping!$H:$H,MATCH(F$3&amp;F423,Mapping!$B:$B,0))</f>
        <v>Metro</v>
      </c>
      <c r="P423" s="204">
        <f>INDEX(Mapping!$H:$H,MATCH(G$3&amp;G423,Mapping!$B:$B,0))</f>
        <v>2</v>
      </c>
      <c r="Q423" s="204" t="str">
        <f>INDEX(Mapping!$H:$H,MATCH(Q$3&amp;$F423,Mapping!$B:$B,0))</f>
        <v>Metro - Nationaal</v>
      </c>
      <c r="R423" s="204" t="str">
        <f>INDEX(Mapping!$H:$H,MATCH("ZM VPN Service Level"&amp;E423,Mapping!$B:$B,0))</f>
        <v>Advanced</v>
      </c>
      <c r="S423" s="139" t="b">
        <f>IF($D423="EoK",INDEX(Mapping!$I:$I,MATCH($G$3&amp;$G423,Mapping!B:B,0)),FALSE)</f>
        <v>1</v>
      </c>
      <c r="T423" s="139"/>
      <c r="U423" s="520" t="str">
        <f t="shared" si="228"/>
        <v>PremiumMetro2</v>
      </c>
      <c r="W423" s="521">
        <f>MATCH($J423,'Tarieven ZM'!$B:$B,0)</f>
        <v>85</v>
      </c>
      <c r="X423" s="204">
        <f>INDEX('Tarieven ZM'!$H:$H,$W423)</f>
        <v>1000</v>
      </c>
      <c r="Y423" s="198">
        <f>-INDEX(Parameters!$B:$B,MATCH(Y$3&amp;$C423,Parameters!$A:$A,0))*$X423</f>
        <v>0</v>
      </c>
      <c r="Z423" s="198">
        <f>-INDEX(Parameters!$B:$B,MATCH(Z$3&amp;$C423,Parameters!$A:$A,0))*$X423</f>
        <v>0</v>
      </c>
      <c r="AA423" s="139">
        <f t="shared" si="230"/>
        <v>1000</v>
      </c>
      <c r="AB423" s="205">
        <f>AA423/INDEX(Parameters!$B:$B,MATCH("AfschrijftermijnVVE"&amp;12*$C423,Parameters!$A:$A,0))</f>
        <v>20.833333333333332</v>
      </c>
      <c r="AC423" s="204">
        <f>INDEX('Tarieven ZM'!$G:$G,$W423)</f>
        <v>1000</v>
      </c>
      <c r="AD423" s="198">
        <f>-INDEX(Parameters!$B:$B,MATCH(AD$3&amp;$C423,Parameters!$A:$A,0))*$AC423</f>
        <v>0</v>
      </c>
      <c r="AE423" s="198">
        <f>-INDEX(Parameters!$B:$B,MATCH(AE$3,Parameters!$A:$A,0))*$AC423</f>
        <v>0</v>
      </c>
      <c r="AF423" s="139">
        <f t="shared" si="231"/>
        <v>1000</v>
      </c>
      <c r="AG423" s="522">
        <f t="shared" si="232"/>
        <v>1020.8333333333334</v>
      </c>
      <c r="AH423" s="175"/>
      <c r="AI423" s="523">
        <f>MATCH($U423,'Tarieven W&amp;O'!$B:$B,0)</f>
        <v>58</v>
      </c>
      <c r="AJ423" s="204">
        <f>IF(AI423&lt;&gt;"nvt",INDEX('Tarieven W&amp;O'!$H:$H,$AI423),0)</f>
        <v>0</v>
      </c>
      <c r="AK423" s="204">
        <f>IF(AI423&lt;&gt;"nvt",INDEX('Tarieven W&amp;O'!$I:$I,$AI423),0)</f>
        <v>25</v>
      </c>
      <c r="AL423" s="524">
        <f>IF(AI423&lt;&gt;"nvt",-INDEX(Parameters!$B:$B,MATCH(AL$3,Parameters!$A:$A,0))*(AJ423+AK423),0)</f>
        <v>0</v>
      </c>
      <c r="AM423" s="525"/>
      <c r="AN423" s="139">
        <f t="shared" si="233"/>
        <v>25</v>
      </c>
      <c r="AO423" s="205">
        <f>AN423/INDEX(Parameters!$B:$B,MATCH("AfschrijftermijnVVE"&amp;12*$C423,Parameters!$A:$A,0))</f>
        <v>0.52083333333333337</v>
      </c>
      <c r="AP423" s="139">
        <f t="shared" si="234"/>
        <v>58</v>
      </c>
      <c r="AQ423" s="526">
        <f>IF(AP423&lt;&gt;"nvt",INDEX('Tarieven W&amp;O'!$G:$G,$AP423),0)</f>
        <v>16.55</v>
      </c>
      <c r="AR423" s="251">
        <f>IF($S423,INDEX('Tarieven W&amp;O'!$G:$G,MATCH(N423&amp;R423,'Tarieven W&amp;O'!$B:$B,0)),0)</f>
        <v>0</v>
      </c>
      <c r="AS423" s="205">
        <f>-INDEX(Parameters!$B:$B,MATCH(AS$3,Parameters!$A:$A,0))*(AQ423+AR423)</f>
        <v>0</v>
      </c>
      <c r="AT423" s="205">
        <f>INDEX(hulpblad!$E:$E,MATCH(M423&amp;Q423,hulpblad!$B:$B,0))</f>
        <v>2</v>
      </c>
      <c r="AU423" s="150">
        <f t="shared" si="238"/>
        <v>18.55</v>
      </c>
      <c r="AV423" s="150">
        <f t="shared" si="239"/>
        <v>19.070833333333333</v>
      </c>
      <c r="AX423" s="526">
        <f>Parameters!$B$6*AV423</f>
        <v>0.19070833333333334</v>
      </c>
      <c r="AY423" s="150">
        <v>0</v>
      </c>
      <c r="AZ423" s="150"/>
      <c r="BA423" s="150">
        <f t="shared" si="235"/>
        <v>0.19070833333333334</v>
      </c>
      <c r="BB423" s="150"/>
      <c r="BC423" s="522">
        <f t="shared" si="236"/>
        <v>19.261541666666666</v>
      </c>
      <c r="BD423" s="175"/>
      <c r="BE423" s="527">
        <f t="shared" si="240"/>
        <v>1001.5717916666667</v>
      </c>
      <c r="BF423" s="181">
        <f t="shared" si="241"/>
        <v>0.98113155102040817</v>
      </c>
      <c r="BG423" s="520" t="b">
        <f t="shared" si="229"/>
        <v>0</v>
      </c>
      <c r="BI423" s="528" t="s">
        <v>2181</v>
      </c>
      <c r="BL423" s="151" t="str">
        <f t="shared" ref="BL423:BL459" si="243">M423&amp;Q423</f>
        <v>EoKMetro - Nationaal</v>
      </c>
      <c r="BM423" s="529">
        <v>0</v>
      </c>
      <c r="BN423" s="180">
        <f>BM423/INDEX(Parameters!$B:$B,MATCH("AfschrijftermijnVVE"&amp;12*$C423,Parameters!$A:$A,0))</f>
        <v>0</v>
      </c>
      <c r="BO423" s="184">
        <f>INDEX('inkoop ULL tbv EVPN'!I:I,MATCH(BL423,'inkoop ULL tbv EVPN'!H:H,0))</f>
        <v>2</v>
      </c>
      <c r="BP423" s="184">
        <f t="shared" ref="BP423:BP459" si="244">BN423+BO423</f>
        <v>2</v>
      </c>
      <c r="BR423" s="180">
        <f>Parameters!$B$12*AG423</f>
        <v>102.08333333333334</v>
      </c>
      <c r="BS423" s="180">
        <f>SUM(Distributievergoedingen!$F$12,Distributievergoedingen!$I$12,Distributievergoedingen!$L$12,Distributievergoedingen!$O$12)*AF423+SUM(Distributievergoedingen!$O$12*AA423+Distributievergoedingen!$R$12+Distributievergoedingen!$U$12+Distributievergoedingen!$X$12)/(MAX(36,12*C423))</f>
        <v>112.08333333333333</v>
      </c>
      <c r="BT423" s="150"/>
      <c r="BU423" s="150">
        <f t="shared" ref="BU423:BU459" si="245">SUM(BR423:BT423)</f>
        <v>214.16666666666669</v>
      </c>
      <c r="BW423" s="522">
        <f t="shared" ref="BW423:BW459" si="246">SUM(BP423,BU423)</f>
        <v>216.16666666666669</v>
      </c>
      <c r="BY423" s="527">
        <f t="shared" ref="BY423:BY459" si="247">AG423-BW423</f>
        <v>804.66666666666674</v>
      </c>
      <c r="BZ423" s="181">
        <f t="shared" ref="BZ423:BZ459" si="248">IF(AG423=0,-999%,BY423/AG423)</f>
        <v>0.78824489795918373</v>
      </c>
      <c r="CA423" s="520" t="b">
        <f t="shared" ref="CA423:CA459" si="249">BZ423&lt;0</f>
        <v>0</v>
      </c>
    </row>
    <row r="424" spans="1:79" s="151" customFormat="1">
      <c r="A424" s="151" t="str">
        <f t="shared" si="242"/>
        <v>4EoKPremiumRegionaal3</v>
      </c>
      <c r="B424" s="520" t="str">
        <f t="shared" si="237"/>
        <v>4EoKPremiumRegionaal3</v>
      </c>
      <c r="C424" s="179">
        <v>4</v>
      </c>
      <c r="D424" s="179" t="s">
        <v>303</v>
      </c>
      <c r="E424" s="178" t="s">
        <v>267</v>
      </c>
      <c r="F424" s="178" t="s">
        <v>265</v>
      </c>
      <c r="G424" s="185" t="s">
        <v>407</v>
      </c>
      <c r="J424" s="520" t="str">
        <f t="shared" si="227"/>
        <v>PremiumRegionaal3</v>
      </c>
      <c r="L424" s="204">
        <f>INDEX(Mapping!$H:$H,MATCH(C$3&amp;C424,Mapping!$B:$B,0))</f>
        <v>1</v>
      </c>
      <c r="M424" s="204" t="str">
        <f>INDEX(Mapping!$H:$H,MATCH(D$3&amp;$D424,Mapping!$B:$B,0))</f>
        <v>EoK</v>
      </c>
      <c r="N424" s="204" t="str">
        <f>INDEX(Mapping!$H:$H,MATCH(E$3&amp;E424,Mapping!$B:$B,0))</f>
        <v>Premium</v>
      </c>
      <c r="O424" s="204" t="str">
        <f>INDEX(Mapping!$H:$H,MATCH(F$3&amp;F424,Mapping!$B:$B,0))</f>
        <v>Metro</v>
      </c>
      <c r="P424" s="204">
        <f>INDEX(Mapping!$H:$H,MATCH(G$3&amp;G424,Mapping!$B:$B,0))</f>
        <v>3</v>
      </c>
      <c r="Q424" s="204" t="str">
        <f>INDEX(Mapping!$H:$H,MATCH(Q$3&amp;$F424,Mapping!$B:$B,0))</f>
        <v>Metro - Nationaal</v>
      </c>
      <c r="R424" s="204" t="str">
        <f>INDEX(Mapping!$H:$H,MATCH("ZM VPN Service Level"&amp;E424,Mapping!$B:$B,0))</f>
        <v>Advanced</v>
      </c>
      <c r="S424" s="139" t="b">
        <f>IF($D424="EoK",INDEX(Mapping!$I:$I,MATCH($G$3&amp;$G424,Mapping!B:B,0)),FALSE)</f>
        <v>0</v>
      </c>
      <c r="T424" s="139"/>
      <c r="U424" s="520" t="str">
        <f t="shared" si="228"/>
        <v>PremiumMetro3</v>
      </c>
      <c r="W424" s="521">
        <f>MATCH($J424,'Tarieven ZM'!$B:$B,0)</f>
        <v>86</v>
      </c>
      <c r="X424" s="204">
        <f>INDEX('Tarieven ZM'!$H:$H,$W424)</f>
        <v>1000</v>
      </c>
      <c r="Y424" s="198">
        <f>-INDEX(Parameters!$B:$B,MATCH(Y$3&amp;$C424,Parameters!$A:$A,0))*$X424</f>
        <v>0</v>
      </c>
      <c r="Z424" s="198">
        <f>-INDEX(Parameters!$B:$B,MATCH(Z$3&amp;$C424,Parameters!$A:$A,0))*$X424</f>
        <v>0</v>
      </c>
      <c r="AA424" s="139">
        <f t="shared" si="230"/>
        <v>1000</v>
      </c>
      <c r="AB424" s="205">
        <f>AA424/INDEX(Parameters!$B:$B,MATCH("AfschrijftermijnVVE"&amp;12*$C424,Parameters!$A:$A,0))</f>
        <v>20.833333333333332</v>
      </c>
      <c r="AC424" s="204">
        <f>INDEX('Tarieven ZM'!$G:$G,$W424)</f>
        <v>1000</v>
      </c>
      <c r="AD424" s="198">
        <f>-INDEX(Parameters!$B:$B,MATCH(AD$3&amp;$C424,Parameters!$A:$A,0))*$AC424</f>
        <v>0</v>
      </c>
      <c r="AE424" s="198">
        <f>-INDEX(Parameters!$B:$B,MATCH(AE$3,Parameters!$A:$A,0))*$AC424</f>
        <v>0</v>
      </c>
      <c r="AF424" s="139">
        <f t="shared" si="231"/>
        <v>1000</v>
      </c>
      <c r="AG424" s="522">
        <f t="shared" si="232"/>
        <v>1020.8333333333334</v>
      </c>
      <c r="AH424" s="175"/>
      <c r="AI424" s="523">
        <f>MATCH($U424,'Tarieven W&amp;O'!$B:$B,0)</f>
        <v>59</v>
      </c>
      <c r="AJ424" s="204">
        <f>IF(AI424&lt;&gt;"nvt",INDEX('Tarieven W&amp;O'!$H:$H,$AI424),0)</f>
        <v>0</v>
      </c>
      <c r="AK424" s="204">
        <f>IF(AI424&lt;&gt;"nvt",INDEX('Tarieven W&amp;O'!$I:$I,$AI424),0)</f>
        <v>25</v>
      </c>
      <c r="AL424" s="524">
        <f>IF(AI424&lt;&gt;"nvt",-INDEX(Parameters!$B:$B,MATCH(AL$3,Parameters!$A:$A,0))*(AJ424+AK424),0)</f>
        <v>0</v>
      </c>
      <c r="AM424" s="525"/>
      <c r="AN424" s="139">
        <f t="shared" si="233"/>
        <v>25</v>
      </c>
      <c r="AO424" s="205">
        <f>AN424/INDEX(Parameters!$B:$B,MATCH("AfschrijftermijnVVE"&amp;12*$C424,Parameters!$A:$A,0))</f>
        <v>0.52083333333333337</v>
      </c>
      <c r="AP424" s="139">
        <f t="shared" si="234"/>
        <v>59</v>
      </c>
      <c r="AQ424" s="526">
        <f>IF(AP424&lt;&gt;"nvt",INDEX('Tarieven W&amp;O'!$G:$G,$AP424),0)</f>
        <v>27.86</v>
      </c>
      <c r="AR424" s="251">
        <f>IF($S424,INDEX('Tarieven W&amp;O'!$G:$G,MATCH(N424&amp;R424,'Tarieven W&amp;O'!$B:$B,0)),0)</f>
        <v>0</v>
      </c>
      <c r="AS424" s="205">
        <f>-INDEX(Parameters!$B:$B,MATCH(AS$3,Parameters!$A:$A,0))*(AQ424+AR424)</f>
        <v>0</v>
      </c>
      <c r="AT424" s="205">
        <f>INDEX(hulpblad!$E:$E,MATCH(M424&amp;Q424,hulpblad!$B:$B,0))</f>
        <v>2</v>
      </c>
      <c r="AU424" s="150">
        <f t="shared" si="238"/>
        <v>29.86</v>
      </c>
      <c r="AV424" s="150">
        <f t="shared" si="239"/>
        <v>30.380833333333332</v>
      </c>
      <c r="AX424" s="526">
        <f>Parameters!$B$6*AV424</f>
        <v>0.30380833333333335</v>
      </c>
      <c r="AY424" s="150">
        <v>0</v>
      </c>
      <c r="AZ424" s="150"/>
      <c r="BA424" s="150">
        <f t="shared" si="235"/>
        <v>0.30380833333333335</v>
      </c>
      <c r="BB424" s="150"/>
      <c r="BC424" s="522">
        <f t="shared" si="236"/>
        <v>30.684641666666664</v>
      </c>
      <c r="BD424" s="175"/>
      <c r="BE424" s="527">
        <f t="shared" si="240"/>
        <v>990.14869166666676</v>
      </c>
      <c r="BF424" s="181">
        <f t="shared" si="241"/>
        <v>0.9699415755102041</v>
      </c>
      <c r="BG424" s="520" t="b">
        <f t="shared" si="229"/>
        <v>0</v>
      </c>
      <c r="BI424" s="528" t="s">
        <v>2181</v>
      </c>
      <c r="BL424" s="151" t="str">
        <f t="shared" si="243"/>
        <v>EoKMetro - Nationaal</v>
      </c>
      <c r="BM424" s="529">
        <v>0</v>
      </c>
      <c r="BN424" s="180">
        <f>BM424/INDEX(Parameters!$B:$B,MATCH("AfschrijftermijnVVE"&amp;12*$C424,Parameters!$A:$A,0))</f>
        <v>0</v>
      </c>
      <c r="BO424" s="184">
        <f>INDEX('inkoop ULL tbv EVPN'!I:I,MATCH(BL424,'inkoop ULL tbv EVPN'!H:H,0))</f>
        <v>2</v>
      </c>
      <c r="BP424" s="184">
        <f t="shared" si="244"/>
        <v>2</v>
      </c>
      <c r="BR424" s="180">
        <f>Parameters!$B$12*AG424</f>
        <v>102.08333333333334</v>
      </c>
      <c r="BS424" s="180">
        <f>SUM(Distributievergoedingen!$F$12,Distributievergoedingen!$I$12,Distributievergoedingen!$L$12,Distributievergoedingen!$O$12)*AF424+SUM(Distributievergoedingen!$O$12*AA424+Distributievergoedingen!$R$12+Distributievergoedingen!$U$12+Distributievergoedingen!$X$12)/(MAX(36,12*C424))</f>
        <v>112.08333333333333</v>
      </c>
      <c r="BT424" s="150"/>
      <c r="BU424" s="150">
        <f t="shared" si="245"/>
        <v>214.16666666666669</v>
      </c>
      <c r="BW424" s="522">
        <f t="shared" si="246"/>
        <v>216.16666666666669</v>
      </c>
      <c r="BY424" s="527">
        <f t="shared" si="247"/>
        <v>804.66666666666674</v>
      </c>
      <c r="BZ424" s="181">
        <f t="shared" si="248"/>
        <v>0.78824489795918373</v>
      </c>
      <c r="CA424" s="520" t="b">
        <f t="shared" si="249"/>
        <v>0</v>
      </c>
    </row>
    <row r="425" spans="1:79" s="151" customFormat="1">
      <c r="A425" s="151" t="str">
        <f t="shared" si="242"/>
        <v>4EoKPremiumRegionaal4</v>
      </c>
      <c r="B425" s="520" t="str">
        <f t="shared" si="237"/>
        <v>4EoKPremiumRegionaal4</v>
      </c>
      <c r="C425" s="179">
        <v>4</v>
      </c>
      <c r="D425" s="179" t="s">
        <v>303</v>
      </c>
      <c r="E425" s="178" t="s">
        <v>267</v>
      </c>
      <c r="F425" s="178" t="s">
        <v>265</v>
      </c>
      <c r="G425" s="185" t="s">
        <v>408</v>
      </c>
      <c r="J425" s="520" t="str">
        <f t="shared" si="227"/>
        <v>PremiumRegionaal4</v>
      </c>
      <c r="L425" s="204">
        <f>INDEX(Mapping!$H:$H,MATCH(C$3&amp;C425,Mapping!$B:$B,0))</f>
        <v>1</v>
      </c>
      <c r="M425" s="204" t="str">
        <f>INDEX(Mapping!$H:$H,MATCH(D$3&amp;$D425,Mapping!$B:$B,0))</f>
        <v>EoK</v>
      </c>
      <c r="N425" s="204" t="str">
        <f>INDEX(Mapping!$H:$H,MATCH(E$3&amp;E425,Mapping!$B:$B,0))</f>
        <v>Premium</v>
      </c>
      <c r="O425" s="204" t="str">
        <f>INDEX(Mapping!$H:$H,MATCH(F$3&amp;F425,Mapping!$B:$B,0))</f>
        <v>Metro</v>
      </c>
      <c r="P425" s="204">
        <f>INDEX(Mapping!$H:$H,MATCH(G$3&amp;G425,Mapping!$B:$B,0))</f>
        <v>4</v>
      </c>
      <c r="Q425" s="204" t="str">
        <f>INDEX(Mapping!$H:$H,MATCH(Q$3&amp;$F425,Mapping!$B:$B,0))</f>
        <v>Metro - Nationaal</v>
      </c>
      <c r="R425" s="204" t="str">
        <f>INDEX(Mapping!$H:$H,MATCH("ZM VPN Service Level"&amp;E425,Mapping!$B:$B,0))</f>
        <v>Advanced</v>
      </c>
      <c r="S425" s="139" t="b">
        <f>IF($D425="EoK",INDEX(Mapping!$I:$I,MATCH($G$3&amp;$G425,Mapping!B:B,0)),FALSE)</f>
        <v>0</v>
      </c>
      <c r="T425" s="139"/>
      <c r="U425" s="520" t="str">
        <f t="shared" si="228"/>
        <v>PremiumMetro4</v>
      </c>
      <c r="W425" s="521">
        <f>MATCH($J425,'Tarieven ZM'!$B:$B,0)</f>
        <v>87</v>
      </c>
      <c r="X425" s="204">
        <f>INDEX('Tarieven ZM'!$H:$H,$W425)</f>
        <v>1000</v>
      </c>
      <c r="Y425" s="198">
        <f>-INDEX(Parameters!$B:$B,MATCH(Y$3&amp;$C425,Parameters!$A:$A,0))*$X425</f>
        <v>0</v>
      </c>
      <c r="Z425" s="198">
        <f>-INDEX(Parameters!$B:$B,MATCH(Z$3&amp;$C425,Parameters!$A:$A,0))*$X425</f>
        <v>0</v>
      </c>
      <c r="AA425" s="139">
        <f t="shared" si="230"/>
        <v>1000</v>
      </c>
      <c r="AB425" s="205">
        <f>AA425/INDEX(Parameters!$B:$B,MATCH("AfschrijftermijnVVE"&amp;12*$C425,Parameters!$A:$A,0))</f>
        <v>20.833333333333332</v>
      </c>
      <c r="AC425" s="204">
        <f>INDEX('Tarieven ZM'!$G:$G,$W425)</f>
        <v>1000</v>
      </c>
      <c r="AD425" s="198">
        <f>-INDEX(Parameters!$B:$B,MATCH(AD$3&amp;$C425,Parameters!$A:$A,0))*$AC425</f>
        <v>0</v>
      </c>
      <c r="AE425" s="198">
        <f>-INDEX(Parameters!$B:$B,MATCH(AE$3,Parameters!$A:$A,0))*$AC425</f>
        <v>0</v>
      </c>
      <c r="AF425" s="139">
        <f t="shared" si="231"/>
        <v>1000</v>
      </c>
      <c r="AG425" s="522">
        <f t="shared" si="232"/>
        <v>1020.8333333333334</v>
      </c>
      <c r="AH425" s="175"/>
      <c r="AI425" s="523">
        <f>MATCH($U425,'Tarieven W&amp;O'!$B:$B,0)</f>
        <v>60</v>
      </c>
      <c r="AJ425" s="204">
        <f>IF(AI425&lt;&gt;"nvt",INDEX('Tarieven W&amp;O'!$H:$H,$AI425),0)</f>
        <v>0</v>
      </c>
      <c r="AK425" s="204">
        <f>IF(AI425&lt;&gt;"nvt",INDEX('Tarieven W&amp;O'!$I:$I,$AI425),0)</f>
        <v>25</v>
      </c>
      <c r="AL425" s="524">
        <f>IF(AI425&lt;&gt;"nvt",-INDEX(Parameters!$B:$B,MATCH(AL$3,Parameters!$A:$A,0))*(AJ425+AK425),0)</f>
        <v>0</v>
      </c>
      <c r="AM425" s="525"/>
      <c r="AN425" s="139">
        <f t="shared" si="233"/>
        <v>25</v>
      </c>
      <c r="AO425" s="205">
        <f>AN425/INDEX(Parameters!$B:$B,MATCH("AfschrijftermijnVVE"&amp;12*$C425,Parameters!$A:$A,0))</f>
        <v>0.52083333333333337</v>
      </c>
      <c r="AP425" s="139">
        <f t="shared" si="234"/>
        <v>60</v>
      </c>
      <c r="AQ425" s="526">
        <f>IF(AP425&lt;&gt;"nvt",INDEX('Tarieven W&amp;O'!$G:$G,$AP425),0)</f>
        <v>42.94</v>
      </c>
      <c r="AR425" s="251">
        <f>IF($S425,INDEX('Tarieven W&amp;O'!$G:$G,MATCH(N425&amp;R425,'Tarieven W&amp;O'!$B:$B,0)),0)</f>
        <v>0</v>
      </c>
      <c r="AS425" s="205">
        <f>-INDEX(Parameters!$B:$B,MATCH(AS$3,Parameters!$A:$A,0))*(AQ425+AR425)</f>
        <v>0</v>
      </c>
      <c r="AT425" s="205">
        <f>INDEX(hulpblad!$E:$E,MATCH(M425&amp;Q425,hulpblad!$B:$B,0))</f>
        <v>2</v>
      </c>
      <c r="AU425" s="150">
        <f t="shared" si="238"/>
        <v>44.94</v>
      </c>
      <c r="AV425" s="150">
        <f t="shared" si="239"/>
        <v>45.460833333333333</v>
      </c>
      <c r="AX425" s="526">
        <f>Parameters!$B$6*AV425</f>
        <v>0.45460833333333334</v>
      </c>
      <c r="AY425" s="150">
        <v>0</v>
      </c>
      <c r="AZ425" s="150"/>
      <c r="BA425" s="150">
        <f t="shared" si="235"/>
        <v>0.45460833333333334</v>
      </c>
      <c r="BB425" s="150"/>
      <c r="BC425" s="522">
        <f t="shared" si="236"/>
        <v>45.915441666666666</v>
      </c>
      <c r="BD425" s="175"/>
      <c r="BE425" s="527">
        <f t="shared" si="240"/>
        <v>974.91789166666672</v>
      </c>
      <c r="BF425" s="181">
        <f t="shared" si="241"/>
        <v>0.95502160816326531</v>
      </c>
      <c r="BG425" s="520" t="b">
        <f t="shared" si="229"/>
        <v>0</v>
      </c>
      <c r="BI425" s="528" t="s">
        <v>2181</v>
      </c>
      <c r="BL425" s="151" t="str">
        <f t="shared" si="243"/>
        <v>EoKMetro - Nationaal</v>
      </c>
      <c r="BM425" s="529">
        <v>0</v>
      </c>
      <c r="BN425" s="180">
        <f>BM425/INDEX(Parameters!$B:$B,MATCH("AfschrijftermijnVVE"&amp;12*$C425,Parameters!$A:$A,0))</f>
        <v>0</v>
      </c>
      <c r="BO425" s="184">
        <f>INDEX('inkoop ULL tbv EVPN'!I:I,MATCH(BL425,'inkoop ULL tbv EVPN'!H:H,0))</f>
        <v>2</v>
      </c>
      <c r="BP425" s="184">
        <f t="shared" si="244"/>
        <v>2</v>
      </c>
      <c r="BR425" s="180">
        <f>Parameters!$B$12*AG425</f>
        <v>102.08333333333334</v>
      </c>
      <c r="BS425" s="180">
        <f>SUM(Distributievergoedingen!$F$12,Distributievergoedingen!$I$12,Distributievergoedingen!$L$12,Distributievergoedingen!$O$12)*AF425+SUM(Distributievergoedingen!$O$12*AA425+Distributievergoedingen!$R$12+Distributievergoedingen!$U$12+Distributievergoedingen!$X$12)/(MAX(36,12*C425))</f>
        <v>112.08333333333333</v>
      </c>
      <c r="BT425" s="150"/>
      <c r="BU425" s="150">
        <f t="shared" si="245"/>
        <v>214.16666666666669</v>
      </c>
      <c r="BW425" s="522">
        <f t="shared" si="246"/>
        <v>216.16666666666669</v>
      </c>
      <c r="BY425" s="527">
        <f t="shared" si="247"/>
        <v>804.66666666666674</v>
      </c>
      <c r="BZ425" s="181">
        <f t="shared" si="248"/>
        <v>0.78824489795918373</v>
      </c>
      <c r="CA425" s="520" t="b">
        <f t="shared" si="249"/>
        <v>0</v>
      </c>
    </row>
    <row r="426" spans="1:79" s="151" customFormat="1">
      <c r="A426" s="151" t="str">
        <f t="shared" si="242"/>
        <v>4EoKPremiumRegionaal5</v>
      </c>
      <c r="B426" s="520" t="str">
        <f t="shared" si="237"/>
        <v>4EoKPremiumRegionaal5</v>
      </c>
      <c r="C426" s="179">
        <v>4</v>
      </c>
      <c r="D426" s="179" t="s">
        <v>303</v>
      </c>
      <c r="E426" s="178" t="s">
        <v>267</v>
      </c>
      <c r="F426" s="178" t="s">
        <v>265</v>
      </c>
      <c r="G426" s="185" t="s">
        <v>409</v>
      </c>
      <c r="J426" s="520" t="str">
        <f t="shared" si="227"/>
        <v>PremiumRegionaal5</v>
      </c>
      <c r="L426" s="204">
        <f>INDEX(Mapping!$H:$H,MATCH(C$3&amp;C426,Mapping!$B:$B,0))</f>
        <v>1</v>
      </c>
      <c r="M426" s="204" t="str">
        <f>INDEX(Mapping!$H:$H,MATCH(D$3&amp;$D426,Mapping!$B:$B,0))</f>
        <v>EoK</v>
      </c>
      <c r="N426" s="204" t="str">
        <f>INDEX(Mapping!$H:$H,MATCH(E$3&amp;E426,Mapping!$B:$B,0))</f>
        <v>Premium</v>
      </c>
      <c r="O426" s="204" t="str">
        <f>INDEX(Mapping!$H:$H,MATCH(F$3&amp;F426,Mapping!$B:$B,0))</f>
        <v>Metro</v>
      </c>
      <c r="P426" s="204">
        <f>INDEX(Mapping!$H:$H,MATCH(G$3&amp;G426,Mapping!$B:$B,0))</f>
        <v>5</v>
      </c>
      <c r="Q426" s="204" t="str">
        <f>INDEX(Mapping!$H:$H,MATCH(Q$3&amp;$F426,Mapping!$B:$B,0))</f>
        <v>Metro - Nationaal</v>
      </c>
      <c r="R426" s="204" t="str">
        <f>INDEX(Mapping!$H:$H,MATCH("ZM VPN Service Level"&amp;E426,Mapping!$B:$B,0))</f>
        <v>Advanced</v>
      </c>
      <c r="S426" s="139" t="b">
        <f>IF($D426="EoK",INDEX(Mapping!$I:$I,MATCH($G$3&amp;$G426,Mapping!B:B,0)),FALSE)</f>
        <v>0</v>
      </c>
      <c r="T426" s="139"/>
      <c r="U426" s="520" t="str">
        <f t="shared" si="228"/>
        <v>PremiumMetro5</v>
      </c>
      <c r="W426" s="521">
        <f>MATCH($J426,'Tarieven ZM'!$B:$B,0)</f>
        <v>88</v>
      </c>
      <c r="X426" s="204">
        <f>INDEX('Tarieven ZM'!$H:$H,$W426)</f>
        <v>1000</v>
      </c>
      <c r="Y426" s="198">
        <f>-INDEX(Parameters!$B:$B,MATCH(Y$3&amp;$C426,Parameters!$A:$A,0))*$X426</f>
        <v>0</v>
      </c>
      <c r="Z426" s="198">
        <f>-INDEX(Parameters!$B:$B,MATCH(Z$3&amp;$C426,Parameters!$A:$A,0))*$X426</f>
        <v>0</v>
      </c>
      <c r="AA426" s="139">
        <f t="shared" si="230"/>
        <v>1000</v>
      </c>
      <c r="AB426" s="205">
        <f>AA426/INDEX(Parameters!$B:$B,MATCH("AfschrijftermijnVVE"&amp;12*$C426,Parameters!$A:$A,0))</f>
        <v>20.833333333333332</v>
      </c>
      <c r="AC426" s="204">
        <f>INDEX('Tarieven ZM'!$G:$G,$W426)</f>
        <v>1000</v>
      </c>
      <c r="AD426" s="198">
        <f>-INDEX(Parameters!$B:$B,MATCH(AD$3&amp;$C426,Parameters!$A:$A,0))*$AC426</f>
        <v>0</v>
      </c>
      <c r="AE426" s="198">
        <f>-INDEX(Parameters!$B:$B,MATCH(AE$3,Parameters!$A:$A,0))*$AC426</f>
        <v>0</v>
      </c>
      <c r="AF426" s="139">
        <f t="shared" si="231"/>
        <v>1000</v>
      </c>
      <c r="AG426" s="522">
        <f t="shared" si="232"/>
        <v>1020.8333333333334</v>
      </c>
      <c r="AH426" s="175"/>
      <c r="AI426" s="523">
        <f>MATCH($U426,'Tarieven W&amp;O'!$B:$B,0)</f>
        <v>61</v>
      </c>
      <c r="AJ426" s="204">
        <f>IF(AI426&lt;&gt;"nvt",INDEX('Tarieven W&amp;O'!$H:$H,$AI426),0)</f>
        <v>0</v>
      </c>
      <c r="AK426" s="204">
        <f>IF(AI426&lt;&gt;"nvt",INDEX('Tarieven W&amp;O'!$I:$I,$AI426),0)</f>
        <v>25</v>
      </c>
      <c r="AL426" s="524">
        <f>IF(AI426&lt;&gt;"nvt",-INDEX(Parameters!$B:$B,MATCH(AL$3,Parameters!$A:$A,0))*(AJ426+AK426),0)</f>
        <v>0</v>
      </c>
      <c r="AM426" s="525"/>
      <c r="AN426" s="139">
        <f t="shared" si="233"/>
        <v>25</v>
      </c>
      <c r="AO426" s="205">
        <f>AN426/INDEX(Parameters!$B:$B,MATCH("AfschrijftermijnVVE"&amp;12*$C426,Parameters!$A:$A,0))</f>
        <v>0.52083333333333337</v>
      </c>
      <c r="AP426" s="139">
        <f t="shared" si="234"/>
        <v>61</v>
      </c>
      <c r="AQ426" s="526">
        <f>IF(AP426&lt;&gt;"nvt",INDEX('Tarieven W&amp;O'!$G:$G,$AP426),0)</f>
        <v>46.71</v>
      </c>
      <c r="AR426" s="251">
        <f>IF($S426,INDEX('Tarieven W&amp;O'!$G:$G,MATCH(N426&amp;R426,'Tarieven W&amp;O'!$B:$B,0)),0)</f>
        <v>0</v>
      </c>
      <c r="AS426" s="205">
        <f>-INDEX(Parameters!$B:$B,MATCH(AS$3,Parameters!$A:$A,0))*(AQ426+AR426)</f>
        <v>0</v>
      </c>
      <c r="AT426" s="205">
        <f>INDEX(hulpblad!$E:$E,MATCH(M426&amp;Q426,hulpblad!$B:$B,0))</f>
        <v>2</v>
      </c>
      <c r="AU426" s="150">
        <f t="shared" si="238"/>
        <v>48.71</v>
      </c>
      <c r="AV426" s="150">
        <f t="shared" si="239"/>
        <v>49.230833333333337</v>
      </c>
      <c r="AX426" s="526">
        <f>Parameters!$B$6*AV426</f>
        <v>0.4923083333333334</v>
      </c>
      <c r="AY426" s="150">
        <v>0</v>
      </c>
      <c r="AZ426" s="150"/>
      <c r="BA426" s="150">
        <f t="shared" si="235"/>
        <v>0.4923083333333334</v>
      </c>
      <c r="BB426" s="150"/>
      <c r="BC426" s="522">
        <f t="shared" si="236"/>
        <v>49.72314166666667</v>
      </c>
      <c r="BD426" s="175"/>
      <c r="BE426" s="527">
        <f t="shared" si="240"/>
        <v>971.11019166666665</v>
      </c>
      <c r="BF426" s="181">
        <f t="shared" si="241"/>
        <v>0.95129161632653059</v>
      </c>
      <c r="BG426" s="520" t="b">
        <f t="shared" si="229"/>
        <v>0</v>
      </c>
      <c r="BI426" s="528" t="s">
        <v>2181</v>
      </c>
      <c r="BL426" s="151" t="str">
        <f t="shared" si="243"/>
        <v>EoKMetro - Nationaal</v>
      </c>
      <c r="BM426" s="529">
        <v>0</v>
      </c>
      <c r="BN426" s="180">
        <f>BM426/INDEX(Parameters!$B:$B,MATCH("AfschrijftermijnVVE"&amp;12*$C426,Parameters!$A:$A,0))</f>
        <v>0</v>
      </c>
      <c r="BO426" s="184">
        <f>INDEX('inkoop ULL tbv EVPN'!I:I,MATCH(BL426,'inkoop ULL tbv EVPN'!H:H,0))</f>
        <v>2</v>
      </c>
      <c r="BP426" s="184">
        <f t="shared" si="244"/>
        <v>2</v>
      </c>
      <c r="BR426" s="180">
        <f>Parameters!$B$12*AG426</f>
        <v>102.08333333333334</v>
      </c>
      <c r="BS426" s="180">
        <f>SUM(Distributievergoedingen!$F$12,Distributievergoedingen!$I$12,Distributievergoedingen!$L$12,Distributievergoedingen!$O$12)*AF426+SUM(Distributievergoedingen!$O$12*AA426+Distributievergoedingen!$R$12+Distributievergoedingen!$U$12+Distributievergoedingen!$X$12)/(MAX(36,12*C426))</f>
        <v>112.08333333333333</v>
      </c>
      <c r="BT426" s="150"/>
      <c r="BU426" s="150">
        <f t="shared" si="245"/>
        <v>214.16666666666669</v>
      </c>
      <c r="BW426" s="522">
        <f t="shared" si="246"/>
        <v>216.16666666666669</v>
      </c>
      <c r="BY426" s="527">
        <f t="shared" si="247"/>
        <v>804.66666666666674</v>
      </c>
      <c r="BZ426" s="181">
        <f t="shared" si="248"/>
        <v>0.78824489795918373</v>
      </c>
      <c r="CA426" s="520" t="b">
        <f t="shared" si="249"/>
        <v>0</v>
      </c>
    </row>
    <row r="427" spans="1:79" s="151" customFormat="1">
      <c r="A427" s="151" t="str">
        <f t="shared" si="242"/>
        <v>4EoKPremiumRegionaal6</v>
      </c>
      <c r="B427" s="520" t="str">
        <f t="shared" si="237"/>
        <v>4EoKPremiumRegionaal6</v>
      </c>
      <c r="C427" s="179">
        <v>4</v>
      </c>
      <c r="D427" s="179" t="s">
        <v>303</v>
      </c>
      <c r="E427" s="178" t="s">
        <v>267</v>
      </c>
      <c r="F427" s="178" t="s">
        <v>265</v>
      </c>
      <c r="G427" s="185" t="s">
        <v>410</v>
      </c>
      <c r="J427" s="520" t="str">
        <f t="shared" si="227"/>
        <v>PremiumRegionaal6</v>
      </c>
      <c r="L427" s="204">
        <f>INDEX(Mapping!$H:$H,MATCH(C$3&amp;C427,Mapping!$B:$B,0))</f>
        <v>1</v>
      </c>
      <c r="M427" s="204" t="str">
        <f>INDEX(Mapping!$H:$H,MATCH(D$3&amp;$D427,Mapping!$B:$B,0))</f>
        <v>EoK</v>
      </c>
      <c r="N427" s="204" t="str">
        <f>INDEX(Mapping!$H:$H,MATCH(E$3&amp;E427,Mapping!$B:$B,0))</f>
        <v>Premium</v>
      </c>
      <c r="O427" s="204" t="str">
        <f>INDEX(Mapping!$H:$H,MATCH(F$3&amp;F427,Mapping!$B:$B,0))</f>
        <v>Metro</v>
      </c>
      <c r="P427" s="204">
        <f>INDEX(Mapping!$H:$H,MATCH(G$3&amp;G427,Mapping!$B:$B,0))</f>
        <v>6</v>
      </c>
      <c r="Q427" s="204" t="str">
        <f>INDEX(Mapping!$H:$H,MATCH(Q$3&amp;$F427,Mapping!$B:$B,0))</f>
        <v>Metro - Nationaal</v>
      </c>
      <c r="R427" s="204" t="str">
        <f>INDEX(Mapping!$H:$H,MATCH("ZM VPN Service Level"&amp;E427,Mapping!$B:$B,0))</f>
        <v>Advanced</v>
      </c>
      <c r="S427" s="139" t="b">
        <f>IF($D427="EoK",INDEX(Mapping!$I:$I,MATCH($G$3&amp;$G427,Mapping!B:B,0)),FALSE)</f>
        <v>0</v>
      </c>
      <c r="T427" s="139"/>
      <c r="U427" s="520" t="str">
        <f t="shared" si="228"/>
        <v>PremiumMetro6</v>
      </c>
      <c r="W427" s="521">
        <f>MATCH($J427,'Tarieven ZM'!$B:$B,0)</f>
        <v>89</v>
      </c>
      <c r="X427" s="204">
        <f>INDEX('Tarieven ZM'!$H:$H,$W427)</f>
        <v>1000</v>
      </c>
      <c r="Y427" s="198">
        <f>-INDEX(Parameters!$B:$B,MATCH(Y$3&amp;$C427,Parameters!$A:$A,0))*$X427</f>
        <v>0</v>
      </c>
      <c r="Z427" s="198">
        <f>-INDEX(Parameters!$B:$B,MATCH(Z$3&amp;$C427,Parameters!$A:$A,0))*$X427</f>
        <v>0</v>
      </c>
      <c r="AA427" s="139">
        <f t="shared" si="230"/>
        <v>1000</v>
      </c>
      <c r="AB427" s="205">
        <f>AA427/INDEX(Parameters!$B:$B,MATCH("AfschrijftermijnVVE"&amp;12*$C427,Parameters!$A:$A,0))</f>
        <v>20.833333333333332</v>
      </c>
      <c r="AC427" s="204">
        <f>INDEX('Tarieven ZM'!$G:$G,$W427)</f>
        <v>1000</v>
      </c>
      <c r="AD427" s="198">
        <f>-INDEX(Parameters!$B:$B,MATCH(AD$3&amp;$C427,Parameters!$A:$A,0))*$AC427</f>
        <v>0</v>
      </c>
      <c r="AE427" s="198">
        <f>-INDEX(Parameters!$B:$B,MATCH(AE$3,Parameters!$A:$A,0))*$AC427</f>
        <v>0</v>
      </c>
      <c r="AF427" s="139">
        <f t="shared" si="231"/>
        <v>1000</v>
      </c>
      <c r="AG427" s="522">
        <f t="shared" si="232"/>
        <v>1020.8333333333334</v>
      </c>
      <c r="AH427" s="175"/>
      <c r="AI427" s="523">
        <f>MATCH($U427,'Tarieven W&amp;O'!$B:$B,0)</f>
        <v>62</v>
      </c>
      <c r="AJ427" s="204">
        <f>IF(AI427&lt;&gt;"nvt",INDEX('Tarieven W&amp;O'!$H:$H,$AI427),0)</f>
        <v>0</v>
      </c>
      <c r="AK427" s="204">
        <f>IF(AI427&lt;&gt;"nvt",INDEX('Tarieven W&amp;O'!$I:$I,$AI427),0)</f>
        <v>25</v>
      </c>
      <c r="AL427" s="524">
        <f>IF(AI427&lt;&gt;"nvt",-INDEX(Parameters!$B:$B,MATCH(AL$3,Parameters!$A:$A,0))*(AJ427+AK427),0)</f>
        <v>0</v>
      </c>
      <c r="AM427" s="525"/>
      <c r="AN427" s="139">
        <f t="shared" si="233"/>
        <v>25</v>
      </c>
      <c r="AO427" s="205">
        <f>AN427/INDEX(Parameters!$B:$B,MATCH("AfschrijftermijnVVE"&amp;12*$C427,Parameters!$A:$A,0))</f>
        <v>0.52083333333333337</v>
      </c>
      <c r="AP427" s="139">
        <f t="shared" si="234"/>
        <v>62</v>
      </c>
      <c r="AQ427" s="526">
        <f>IF(AP427&lt;&gt;"nvt",INDEX('Tarieven W&amp;O'!$G:$G,$AP427),0)</f>
        <v>50.48</v>
      </c>
      <c r="AR427" s="251">
        <f>IF($S427,INDEX('Tarieven W&amp;O'!$G:$G,MATCH(N427&amp;R427,'Tarieven W&amp;O'!$B:$B,0)),0)</f>
        <v>0</v>
      </c>
      <c r="AS427" s="205">
        <f>-INDEX(Parameters!$B:$B,MATCH(AS$3,Parameters!$A:$A,0))*(AQ427+AR427)</f>
        <v>0</v>
      </c>
      <c r="AT427" s="205">
        <f>INDEX(hulpblad!$E:$E,MATCH(M427&amp;Q427,hulpblad!$B:$B,0))</f>
        <v>2</v>
      </c>
      <c r="AU427" s="150">
        <f t="shared" si="238"/>
        <v>52.48</v>
      </c>
      <c r="AV427" s="150">
        <f t="shared" si="239"/>
        <v>53.000833333333333</v>
      </c>
      <c r="AX427" s="526">
        <f>Parameters!$B$6*AV427</f>
        <v>0.5300083333333333</v>
      </c>
      <c r="AY427" s="150">
        <v>0</v>
      </c>
      <c r="AZ427" s="150"/>
      <c r="BA427" s="150">
        <f t="shared" si="235"/>
        <v>0.5300083333333333</v>
      </c>
      <c r="BB427" s="150"/>
      <c r="BC427" s="522">
        <f t="shared" si="236"/>
        <v>53.530841666666667</v>
      </c>
      <c r="BD427" s="175"/>
      <c r="BE427" s="527">
        <f t="shared" si="240"/>
        <v>967.3024916666667</v>
      </c>
      <c r="BF427" s="181">
        <f t="shared" si="241"/>
        <v>0.94756162448979586</v>
      </c>
      <c r="BG427" s="520" t="b">
        <f t="shared" si="229"/>
        <v>0</v>
      </c>
      <c r="BI427" s="528" t="s">
        <v>2181</v>
      </c>
      <c r="BL427" s="151" t="str">
        <f t="shared" si="243"/>
        <v>EoKMetro - Nationaal</v>
      </c>
      <c r="BM427" s="529">
        <v>0</v>
      </c>
      <c r="BN427" s="180">
        <f>BM427/INDEX(Parameters!$B:$B,MATCH("AfschrijftermijnVVE"&amp;12*$C427,Parameters!$A:$A,0))</f>
        <v>0</v>
      </c>
      <c r="BO427" s="184">
        <f>INDEX('inkoop ULL tbv EVPN'!I:I,MATCH(BL427,'inkoop ULL tbv EVPN'!H:H,0))</f>
        <v>2</v>
      </c>
      <c r="BP427" s="184">
        <f t="shared" si="244"/>
        <v>2</v>
      </c>
      <c r="BR427" s="180">
        <f>Parameters!$B$12*AG427</f>
        <v>102.08333333333334</v>
      </c>
      <c r="BS427" s="180">
        <f>SUM(Distributievergoedingen!$F$12,Distributievergoedingen!$I$12,Distributievergoedingen!$L$12,Distributievergoedingen!$O$12)*AF427+SUM(Distributievergoedingen!$O$12*AA427+Distributievergoedingen!$R$12+Distributievergoedingen!$U$12+Distributievergoedingen!$X$12)/(MAX(36,12*C427))</f>
        <v>112.08333333333333</v>
      </c>
      <c r="BT427" s="150"/>
      <c r="BU427" s="150">
        <f t="shared" si="245"/>
        <v>214.16666666666669</v>
      </c>
      <c r="BW427" s="522">
        <f t="shared" si="246"/>
        <v>216.16666666666669</v>
      </c>
      <c r="BY427" s="527">
        <f t="shared" si="247"/>
        <v>804.66666666666674</v>
      </c>
      <c r="BZ427" s="181">
        <f t="shared" si="248"/>
        <v>0.78824489795918373</v>
      </c>
      <c r="CA427" s="520" t="b">
        <f t="shared" si="249"/>
        <v>0</v>
      </c>
    </row>
    <row r="428" spans="1:79" s="151" customFormat="1">
      <c r="A428" s="151" t="str">
        <f t="shared" si="242"/>
        <v>4EoKPremiumRegionaal8</v>
      </c>
      <c r="B428" s="520" t="str">
        <f t="shared" si="237"/>
        <v>4EoKPremiumRegionaal8</v>
      </c>
      <c r="C428" s="179">
        <v>4</v>
      </c>
      <c r="D428" s="179" t="s">
        <v>303</v>
      </c>
      <c r="E428" s="178" t="s">
        <v>267</v>
      </c>
      <c r="F428" s="178" t="s">
        <v>265</v>
      </c>
      <c r="G428" s="185" t="s">
        <v>411</v>
      </c>
      <c r="J428" s="520" t="str">
        <f t="shared" si="227"/>
        <v>PremiumRegionaal8</v>
      </c>
      <c r="L428" s="204">
        <f>INDEX(Mapping!$H:$H,MATCH(C$3&amp;C428,Mapping!$B:$B,0))</f>
        <v>1</v>
      </c>
      <c r="M428" s="204" t="str">
        <f>INDEX(Mapping!$H:$H,MATCH(D$3&amp;$D428,Mapping!$B:$B,0))</f>
        <v>EoK</v>
      </c>
      <c r="N428" s="204" t="str">
        <f>INDEX(Mapping!$H:$H,MATCH(E$3&amp;E428,Mapping!$B:$B,0))</f>
        <v>Premium</v>
      </c>
      <c r="O428" s="204" t="str">
        <f>INDEX(Mapping!$H:$H,MATCH(F$3&amp;F428,Mapping!$B:$B,0))</f>
        <v>Metro</v>
      </c>
      <c r="P428" s="204">
        <f>INDEX(Mapping!$H:$H,MATCH(G$3&amp;G428,Mapping!$B:$B,0))</f>
        <v>8</v>
      </c>
      <c r="Q428" s="204" t="str">
        <f>INDEX(Mapping!$H:$H,MATCH(Q$3&amp;$F428,Mapping!$B:$B,0))</f>
        <v>Metro - Nationaal</v>
      </c>
      <c r="R428" s="204" t="str">
        <f>INDEX(Mapping!$H:$H,MATCH("ZM VPN Service Level"&amp;E428,Mapping!$B:$B,0))</f>
        <v>Advanced</v>
      </c>
      <c r="S428" s="139" t="b">
        <f>IF($D428="EoK",INDEX(Mapping!$I:$I,MATCH($G$3&amp;$G428,Mapping!B:B,0)),FALSE)</f>
        <v>0</v>
      </c>
      <c r="T428" s="139"/>
      <c r="U428" s="520" t="str">
        <f t="shared" si="228"/>
        <v>PremiumMetro8</v>
      </c>
      <c r="W428" s="521">
        <f>MATCH($J428,'Tarieven ZM'!$B:$B,0)</f>
        <v>90</v>
      </c>
      <c r="X428" s="204">
        <f>INDEX('Tarieven ZM'!$H:$H,$W428)</f>
        <v>1000</v>
      </c>
      <c r="Y428" s="198">
        <f>-INDEX(Parameters!$B:$B,MATCH(Y$3&amp;$C428,Parameters!$A:$A,0))*$X428</f>
        <v>0</v>
      </c>
      <c r="Z428" s="198">
        <f>-INDEX(Parameters!$B:$B,MATCH(Z$3&amp;$C428,Parameters!$A:$A,0))*$X428</f>
        <v>0</v>
      </c>
      <c r="AA428" s="139">
        <f t="shared" si="230"/>
        <v>1000</v>
      </c>
      <c r="AB428" s="205">
        <f>AA428/INDEX(Parameters!$B:$B,MATCH("AfschrijftermijnVVE"&amp;12*$C428,Parameters!$A:$A,0))</f>
        <v>20.833333333333332</v>
      </c>
      <c r="AC428" s="204">
        <f>INDEX('Tarieven ZM'!$G:$G,$W428)</f>
        <v>1000</v>
      </c>
      <c r="AD428" s="198">
        <f>-INDEX(Parameters!$B:$B,MATCH(AD$3&amp;$C428,Parameters!$A:$A,0))*$AC428</f>
        <v>0</v>
      </c>
      <c r="AE428" s="198">
        <f>-INDEX(Parameters!$B:$B,MATCH(AE$3,Parameters!$A:$A,0))*$AC428</f>
        <v>0</v>
      </c>
      <c r="AF428" s="139">
        <f t="shared" si="231"/>
        <v>1000</v>
      </c>
      <c r="AG428" s="522">
        <f t="shared" si="232"/>
        <v>1020.8333333333334</v>
      </c>
      <c r="AH428" s="175"/>
      <c r="AI428" s="523">
        <f>MATCH($U428,'Tarieven W&amp;O'!$B:$B,0)</f>
        <v>63</v>
      </c>
      <c r="AJ428" s="204">
        <f>IF(AI428&lt;&gt;"nvt",INDEX('Tarieven W&amp;O'!$H:$H,$AI428),0)</f>
        <v>0</v>
      </c>
      <c r="AK428" s="204">
        <f>IF(AI428&lt;&gt;"nvt",INDEX('Tarieven W&amp;O'!$I:$I,$AI428),0)</f>
        <v>25</v>
      </c>
      <c r="AL428" s="524">
        <f>IF(AI428&lt;&gt;"nvt",-INDEX(Parameters!$B:$B,MATCH(AL$3,Parameters!$A:$A,0))*(AJ428+AK428),0)</f>
        <v>0</v>
      </c>
      <c r="AM428" s="525"/>
      <c r="AN428" s="139">
        <f t="shared" si="233"/>
        <v>25</v>
      </c>
      <c r="AO428" s="205">
        <f>AN428/INDEX(Parameters!$B:$B,MATCH("AfschrijftermijnVVE"&amp;12*$C428,Parameters!$A:$A,0))</f>
        <v>0.52083333333333337</v>
      </c>
      <c r="AP428" s="139">
        <f t="shared" si="234"/>
        <v>63</v>
      </c>
      <c r="AQ428" s="526">
        <f>IF(AP428&lt;&gt;"nvt",INDEX('Tarieven W&amp;O'!$G:$G,$AP428),0)</f>
        <v>54.24</v>
      </c>
      <c r="AR428" s="251">
        <f>IF($S428,INDEX('Tarieven W&amp;O'!$G:$G,MATCH(N428&amp;R428,'Tarieven W&amp;O'!$B:$B,0)),0)</f>
        <v>0</v>
      </c>
      <c r="AS428" s="205">
        <f>-INDEX(Parameters!$B:$B,MATCH(AS$3,Parameters!$A:$A,0))*(AQ428+AR428)</f>
        <v>0</v>
      </c>
      <c r="AT428" s="205">
        <f>INDEX(hulpblad!$E:$E,MATCH(M428&amp;Q428,hulpblad!$B:$B,0))</f>
        <v>2</v>
      </c>
      <c r="AU428" s="150">
        <f t="shared" si="238"/>
        <v>56.24</v>
      </c>
      <c r="AV428" s="150">
        <f t="shared" si="239"/>
        <v>56.760833333333338</v>
      </c>
      <c r="AX428" s="526">
        <f>Parameters!$B$6*AV428</f>
        <v>0.56760833333333338</v>
      </c>
      <c r="AY428" s="150">
        <v>0</v>
      </c>
      <c r="AZ428" s="150"/>
      <c r="BA428" s="150">
        <f t="shared" si="235"/>
        <v>0.56760833333333338</v>
      </c>
      <c r="BB428" s="150"/>
      <c r="BC428" s="522">
        <f t="shared" si="236"/>
        <v>57.32844166666667</v>
      </c>
      <c r="BD428" s="175"/>
      <c r="BE428" s="527">
        <f t="shared" si="240"/>
        <v>963.50489166666671</v>
      </c>
      <c r="BF428" s="181">
        <f t="shared" si="241"/>
        <v>0.94384152653061226</v>
      </c>
      <c r="BG428" s="520" t="b">
        <f t="shared" si="229"/>
        <v>0</v>
      </c>
      <c r="BI428" s="528" t="s">
        <v>2181</v>
      </c>
      <c r="BL428" s="151" t="str">
        <f t="shared" si="243"/>
        <v>EoKMetro - Nationaal</v>
      </c>
      <c r="BM428" s="529">
        <v>0</v>
      </c>
      <c r="BN428" s="180">
        <f>BM428/INDEX(Parameters!$B:$B,MATCH("AfschrijftermijnVVE"&amp;12*$C428,Parameters!$A:$A,0))</f>
        <v>0</v>
      </c>
      <c r="BO428" s="184">
        <f>INDEX('inkoop ULL tbv EVPN'!I:I,MATCH(BL428,'inkoop ULL tbv EVPN'!H:H,0))</f>
        <v>2</v>
      </c>
      <c r="BP428" s="184">
        <f t="shared" si="244"/>
        <v>2</v>
      </c>
      <c r="BR428" s="180">
        <f>Parameters!$B$12*AG428</f>
        <v>102.08333333333334</v>
      </c>
      <c r="BS428" s="180">
        <f>SUM(Distributievergoedingen!$F$12,Distributievergoedingen!$I$12,Distributievergoedingen!$L$12,Distributievergoedingen!$O$12)*AF428+SUM(Distributievergoedingen!$O$12*AA428+Distributievergoedingen!$R$12+Distributievergoedingen!$U$12+Distributievergoedingen!$X$12)/(MAX(36,12*C428))</f>
        <v>112.08333333333333</v>
      </c>
      <c r="BT428" s="150"/>
      <c r="BU428" s="150">
        <f t="shared" si="245"/>
        <v>214.16666666666669</v>
      </c>
      <c r="BW428" s="522">
        <f t="shared" si="246"/>
        <v>216.16666666666669</v>
      </c>
      <c r="BY428" s="527">
        <f t="shared" si="247"/>
        <v>804.66666666666674</v>
      </c>
      <c r="BZ428" s="181">
        <f t="shared" si="248"/>
        <v>0.78824489795918373</v>
      </c>
      <c r="CA428" s="520" t="b">
        <f t="shared" si="249"/>
        <v>0</v>
      </c>
    </row>
    <row r="429" spans="1:79" s="151" customFormat="1">
      <c r="A429" s="151" t="str">
        <f t="shared" si="242"/>
        <v>4EoKPremiumRegionaal10</v>
      </c>
      <c r="B429" s="520" t="str">
        <f t="shared" si="237"/>
        <v>4EoKPremiumRegionaal10</v>
      </c>
      <c r="C429" s="179">
        <v>4</v>
      </c>
      <c r="D429" s="179" t="s">
        <v>303</v>
      </c>
      <c r="E429" s="178" t="s">
        <v>267</v>
      </c>
      <c r="F429" s="178" t="s">
        <v>265</v>
      </c>
      <c r="G429" s="185" t="s">
        <v>412</v>
      </c>
      <c r="J429" s="520" t="str">
        <f t="shared" si="227"/>
        <v>PremiumRegionaal10</v>
      </c>
      <c r="L429" s="204">
        <f>INDEX(Mapping!$H:$H,MATCH(C$3&amp;C429,Mapping!$B:$B,0))</f>
        <v>1</v>
      </c>
      <c r="M429" s="204" t="str">
        <f>INDEX(Mapping!$H:$H,MATCH(D$3&amp;$D429,Mapping!$B:$B,0))</f>
        <v>EoK</v>
      </c>
      <c r="N429" s="204" t="str">
        <f>INDEX(Mapping!$H:$H,MATCH(E$3&amp;E429,Mapping!$B:$B,0))</f>
        <v>Premium</v>
      </c>
      <c r="O429" s="204" t="str">
        <f>INDEX(Mapping!$H:$H,MATCH(F$3&amp;F429,Mapping!$B:$B,0))</f>
        <v>Metro</v>
      </c>
      <c r="P429" s="204">
        <f>INDEX(Mapping!$H:$H,MATCH(G$3&amp;G429,Mapping!$B:$B,0))</f>
        <v>10</v>
      </c>
      <c r="Q429" s="204" t="str">
        <f>INDEX(Mapping!$H:$H,MATCH(Q$3&amp;$F429,Mapping!$B:$B,0))</f>
        <v>Metro - Nationaal</v>
      </c>
      <c r="R429" s="204" t="str">
        <f>INDEX(Mapping!$H:$H,MATCH("ZM VPN Service Level"&amp;E429,Mapping!$B:$B,0))</f>
        <v>Advanced</v>
      </c>
      <c r="S429" s="139" t="b">
        <f>IF($D429="EoK",INDEX(Mapping!$I:$I,MATCH($G$3&amp;$G429,Mapping!B:B,0)),FALSE)</f>
        <v>0</v>
      </c>
      <c r="T429" s="139"/>
      <c r="U429" s="520" t="str">
        <f t="shared" si="228"/>
        <v>PremiumMetro10</v>
      </c>
      <c r="W429" s="521">
        <f>MATCH($J429,'Tarieven ZM'!$B:$B,0)</f>
        <v>91</v>
      </c>
      <c r="X429" s="204">
        <f>INDEX('Tarieven ZM'!$H:$H,$W429)</f>
        <v>1000</v>
      </c>
      <c r="Y429" s="198">
        <f>-INDEX(Parameters!$B:$B,MATCH(Y$3&amp;$C429,Parameters!$A:$A,0))*$X429</f>
        <v>0</v>
      </c>
      <c r="Z429" s="198">
        <f>-INDEX(Parameters!$B:$B,MATCH(Z$3&amp;$C429,Parameters!$A:$A,0))*$X429</f>
        <v>0</v>
      </c>
      <c r="AA429" s="139">
        <f t="shared" si="230"/>
        <v>1000</v>
      </c>
      <c r="AB429" s="205">
        <f>AA429/INDEX(Parameters!$B:$B,MATCH("AfschrijftermijnVVE"&amp;12*$C429,Parameters!$A:$A,0))</f>
        <v>20.833333333333332</v>
      </c>
      <c r="AC429" s="204">
        <f>INDEX('Tarieven ZM'!$G:$G,$W429)</f>
        <v>1000</v>
      </c>
      <c r="AD429" s="198">
        <f>-INDEX(Parameters!$B:$B,MATCH(AD$3&amp;$C429,Parameters!$A:$A,0))*$AC429</f>
        <v>0</v>
      </c>
      <c r="AE429" s="198">
        <f>-INDEX(Parameters!$B:$B,MATCH(AE$3,Parameters!$A:$A,0))*$AC429</f>
        <v>0</v>
      </c>
      <c r="AF429" s="139">
        <f t="shared" si="231"/>
        <v>1000</v>
      </c>
      <c r="AG429" s="522">
        <f t="shared" si="232"/>
        <v>1020.8333333333334</v>
      </c>
      <c r="AH429" s="175"/>
      <c r="AI429" s="523">
        <f>MATCH($U429,'Tarieven W&amp;O'!$B:$B,0)</f>
        <v>64</v>
      </c>
      <c r="AJ429" s="204">
        <f>IF(AI429&lt;&gt;"nvt",INDEX('Tarieven W&amp;O'!$H:$H,$AI429),0)</f>
        <v>0</v>
      </c>
      <c r="AK429" s="204">
        <f>IF(AI429&lt;&gt;"nvt",INDEX('Tarieven W&amp;O'!$I:$I,$AI429),0)</f>
        <v>25</v>
      </c>
      <c r="AL429" s="524">
        <f>IF(AI429&lt;&gt;"nvt",-INDEX(Parameters!$B:$B,MATCH(AL$3,Parameters!$A:$A,0))*(AJ429+AK429),0)</f>
        <v>0</v>
      </c>
      <c r="AM429" s="525"/>
      <c r="AN429" s="139">
        <f t="shared" si="233"/>
        <v>25</v>
      </c>
      <c r="AO429" s="205">
        <f>AN429/INDEX(Parameters!$B:$B,MATCH("AfschrijftermijnVVE"&amp;12*$C429,Parameters!$A:$A,0))</f>
        <v>0.52083333333333337</v>
      </c>
      <c r="AP429" s="139">
        <f t="shared" si="234"/>
        <v>64</v>
      </c>
      <c r="AQ429" s="526">
        <f>IF(AP429&lt;&gt;"nvt",INDEX('Tarieven W&amp;O'!$G:$G,$AP429),0)</f>
        <v>58.01</v>
      </c>
      <c r="AR429" s="251">
        <f>IF($S429,INDEX('Tarieven W&amp;O'!$G:$G,MATCH(N429&amp;R429,'Tarieven W&amp;O'!$B:$B,0)),0)</f>
        <v>0</v>
      </c>
      <c r="AS429" s="205">
        <f>-INDEX(Parameters!$B:$B,MATCH(AS$3,Parameters!$A:$A,0))*(AQ429+AR429)</f>
        <v>0</v>
      </c>
      <c r="AT429" s="205">
        <f>INDEX(hulpblad!$E:$E,MATCH(M429&amp;Q429,hulpblad!$B:$B,0))</f>
        <v>2</v>
      </c>
      <c r="AU429" s="150">
        <f t="shared" si="238"/>
        <v>60.01</v>
      </c>
      <c r="AV429" s="150">
        <f t="shared" si="239"/>
        <v>60.530833333333334</v>
      </c>
      <c r="AX429" s="526">
        <f>Parameters!$B$6*AV429</f>
        <v>0.60530833333333334</v>
      </c>
      <c r="AY429" s="150">
        <v>0</v>
      </c>
      <c r="AZ429" s="150"/>
      <c r="BA429" s="150">
        <f t="shared" si="235"/>
        <v>0.60530833333333334</v>
      </c>
      <c r="BB429" s="150"/>
      <c r="BC429" s="522">
        <f t="shared" si="236"/>
        <v>61.136141666666667</v>
      </c>
      <c r="BD429" s="175"/>
      <c r="BE429" s="527">
        <f t="shared" si="240"/>
        <v>959.69719166666675</v>
      </c>
      <c r="BF429" s="181">
        <f t="shared" si="241"/>
        <v>0.94011153469387765</v>
      </c>
      <c r="BG429" s="520" t="b">
        <f t="shared" si="229"/>
        <v>0</v>
      </c>
      <c r="BI429" s="528" t="s">
        <v>2181</v>
      </c>
      <c r="BL429" s="151" t="str">
        <f t="shared" si="243"/>
        <v>EoKMetro - Nationaal</v>
      </c>
      <c r="BM429" s="529">
        <v>0</v>
      </c>
      <c r="BN429" s="180">
        <f>BM429/INDEX(Parameters!$B:$B,MATCH("AfschrijftermijnVVE"&amp;12*$C429,Parameters!$A:$A,0))</f>
        <v>0</v>
      </c>
      <c r="BO429" s="184">
        <f>INDEX('inkoop ULL tbv EVPN'!I:I,MATCH(BL429,'inkoop ULL tbv EVPN'!H:H,0))</f>
        <v>2</v>
      </c>
      <c r="BP429" s="184">
        <f t="shared" si="244"/>
        <v>2</v>
      </c>
      <c r="BR429" s="180">
        <f>Parameters!$B$12*AG429</f>
        <v>102.08333333333334</v>
      </c>
      <c r="BS429" s="180">
        <f>SUM(Distributievergoedingen!$F$12,Distributievergoedingen!$I$12,Distributievergoedingen!$L$12,Distributievergoedingen!$O$12)*AF429+SUM(Distributievergoedingen!$O$12*AA429+Distributievergoedingen!$R$12+Distributievergoedingen!$U$12+Distributievergoedingen!$X$12)/(MAX(36,12*C429))</f>
        <v>112.08333333333333</v>
      </c>
      <c r="BT429" s="150"/>
      <c r="BU429" s="150">
        <f t="shared" si="245"/>
        <v>214.16666666666669</v>
      </c>
      <c r="BW429" s="522">
        <f t="shared" si="246"/>
        <v>216.16666666666669</v>
      </c>
      <c r="BY429" s="527">
        <f t="shared" si="247"/>
        <v>804.66666666666674</v>
      </c>
      <c r="BZ429" s="181">
        <f t="shared" si="248"/>
        <v>0.78824489795918373</v>
      </c>
      <c r="CA429" s="520" t="b">
        <f t="shared" si="249"/>
        <v>0</v>
      </c>
    </row>
    <row r="430" spans="1:79" s="151" customFormat="1">
      <c r="A430" s="151" t="str">
        <f t="shared" si="242"/>
        <v>4EoKPremiumRegionaal15</v>
      </c>
      <c r="B430" s="520" t="str">
        <f t="shared" si="237"/>
        <v>4EoKPremiumRegionaal15</v>
      </c>
      <c r="C430" s="179">
        <v>4</v>
      </c>
      <c r="D430" s="179" t="s">
        <v>303</v>
      </c>
      <c r="E430" s="178" t="s">
        <v>267</v>
      </c>
      <c r="F430" s="178" t="s">
        <v>265</v>
      </c>
      <c r="G430" s="185" t="s">
        <v>413</v>
      </c>
      <c r="J430" s="520" t="str">
        <f t="shared" si="227"/>
        <v>PremiumRegionaal15</v>
      </c>
      <c r="L430" s="204">
        <f>INDEX(Mapping!$H:$H,MATCH(C$3&amp;C430,Mapping!$B:$B,0))</f>
        <v>1</v>
      </c>
      <c r="M430" s="204" t="str">
        <f>INDEX(Mapping!$H:$H,MATCH(D$3&amp;$D430,Mapping!$B:$B,0))</f>
        <v>EoK</v>
      </c>
      <c r="N430" s="204" t="str">
        <f>INDEX(Mapping!$H:$H,MATCH(E$3&amp;E430,Mapping!$B:$B,0))</f>
        <v>Premium</v>
      </c>
      <c r="O430" s="204" t="str">
        <f>INDEX(Mapping!$H:$H,MATCH(F$3&amp;F430,Mapping!$B:$B,0))</f>
        <v>Metro</v>
      </c>
      <c r="P430" s="204">
        <f>INDEX(Mapping!$H:$H,MATCH(G$3&amp;G430,Mapping!$B:$B,0))</f>
        <v>15</v>
      </c>
      <c r="Q430" s="204" t="str">
        <f>INDEX(Mapping!$H:$H,MATCH(Q$3&amp;$F430,Mapping!$B:$B,0))</f>
        <v>Metro - Nationaal</v>
      </c>
      <c r="R430" s="204" t="str">
        <f>INDEX(Mapping!$H:$H,MATCH("ZM VPN Service Level"&amp;E430,Mapping!$B:$B,0))</f>
        <v>Advanced</v>
      </c>
      <c r="S430" s="139" t="b">
        <f>IF($D430="EoK",INDEX(Mapping!$I:$I,MATCH($G$3&amp;$G430,Mapping!B:B,0)),FALSE)</f>
        <v>0</v>
      </c>
      <c r="T430" s="139"/>
      <c r="U430" s="520" t="str">
        <f t="shared" si="228"/>
        <v>PremiumMetro15</v>
      </c>
      <c r="W430" s="521">
        <f>MATCH($J430,'Tarieven ZM'!$B:$B,0)</f>
        <v>92</v>
      </c>
      <c r="X430" s="204">
        <f>INDEX('Tarieven ZM'!$H:$H,$W430)</f>
        <v>1000</v>
      </c>
      <c r="Y430" s="198">
        <f>-INDEX(Parameters!$B:$B,MATCH(Y$3&amp;$C430,Parameters!$A:$A,0))*$X430</f>
        <v>0</v>
      </c>
      <c r="Z430" s="198">
        <f>-INDEX(Parameters!$B:$B,MATCH(Z$3&amp;$C430,Parameters!$A:$A,0))*$X430</f>
        <v>0</v>
      </c>
      <c r="AA430" s="139">
        <f t="shared" si="230"/>
        <v>1000</v>
      </c>
      <c r="AB430" s="205">
        <f>AA430/INDEX(Parameters!$B:$B,MATCH("AfschrijftermijnVVE"&amp;12*$C430,Parameters!$A:$A,0))</f>
        <v>20.833333333333332</v>
      </c>
      <c r="AC430" s="204">
        <f>INDEX('Tarieven ZM'!$G:$G,$W430)</f>
        <v>1000</v>
      </c>
      <c r="AD430" s="198">
        <f>-INDEX(Parameters!$B:$B,MATCH(AD$3&amp;$C430,Parameters!$A:$A,0))*$AC430</f>
        <v>0</v>
      </c>
      <c r="AE430" s="198">
        <f>-INDEX(Parameters!$B:$B,MATCH(AE$3,Parameters!$A:$A,0))*$AC430</f>
        <v>0</v>
      </c>
      <c r="AF430" s="139">
        <f t="shared" si="231"/>
        <v>1000</v>
      </c>
      <c r="AG430" s="522">
        <f t="shared" si="232"/>
        <v>1020.8333333333334</v>
      </c>
      <c r="AH430" s="175"/>
      <c r="AI430" s="523">
        <f>MATCH($U430,'Tarieven W&amp;O'!$B:$B,0)</f>
        <v>65</v>
      </c>
      <c r="AJ430" s="204">
        <f>IF(AI430&lt;&gt;"nvt",INDEX('Tarieven W&amp;O'!$H:$H,$AI430),0)</f>
        <v>0</v>
      </c>
      <c r="AK430" s="204">
        <f>IF(AI430&lt;&gt;"nvt",INDEX('Tarieven W&amp;O'!$I:$I,$AI430),0)</f>
        <v>25</v>
      </c>
      <c r="AL430" s="524">
        <f>IF(AI430&lt;&gt;"nvt",-INDEX(Parameters!$B:$B,MATCH(AL$3,Parameters!$A:$A,0))*(AJ430+AK430),0)</f>
        <v>0</v>
      </c>
      <c r="AM430" s="525"/>
      <c r="AN430" s="139">
        <f t="shared" si="233"/>
        <v>25</v>
      </c>
      <c r="AO430" s="205">
        <f>AN430/INDEX(Parameters!$B:$B,MATCH("AfschrijftermijnVVE"&amp;12*$C430,Parameters!$A:$A,0))</f>
        <v>0.52083333333333337</v>
      </c>
      <c r="AP430" s="139">
        <f t="shared" si="234"/>
        <v>65</v>
      </c>
      <c r="AQ430" s="526">
        <f>IF(AP430&lt;&gt;"nvt",INDEX('Tarieven W&amp;O'!$G:$G,$AP430),0)</f>
        <v>80.63</v>
      </c>
      <c r="AR430" s="251">
        <f>IF($S430,INDEX('Tarieven W&amp;O'!$G:$G,MATCH(N430&amp;R430,'Tarieven W&amp;O'!$B:$B,0)),0)</f>
        <v>0</v>
      </c>
      <c r="AS430" s="205">
        <f>-INDEX(Parameters!$B:$B,MATCH(AS$3,Parameters!$A:$A,0))*(AQ430+AR430)</f>
        <v>0</v>
      </c>
      <c r="AT430" s="205">
        <f>INDEX(hulpblad!$E:$E,MATCH(M430&amp;Q430,hulpblad!$B:$B,0))</f>
        <v>2</v>
      </c>
      <c r="AU430" s="150">
        <f t="shared" si="238"/>
        <v>82.63</v>
      </c>
      <c r="AV430" s="150">
        <f t="shared" si="239"/>
        <v>83.150833333333324</v>
      </c>
      <c r="AX430" s="526">
        <f>Parameters!$B$6*AV430</f>
        <v>0.83150833333333329</v>
      </c>
      <c r="AY430" s="150">
        <v>0</v>
      </c>
      <c r="AZ430" s="150"/>
      <c r="BA430" s="150">
        <f t="shared" si="235"/>
        <v>0.83150833333333329</v>
      </c>
      <c r="BB430" s="150"/>
      <c r="BC430" s="522">
        <f t="shared" si="236"/>
        <v>83.982341666666656</v>
      </c>
      <c r="BD430" s="175"/>
      <c r="BE430" s="527">
        <f t="shared" si="240"/>
        <v>936.85099166666669</v>
      </c>
      <c r="BF430" s="181">
        <f t="shared" si="241"/>
        <v>0.91773158367346941</v>
      </c>
      <c r="BG430" s="520" t="b">
        <f t="shared" si="229"/>
        <v>0</v>
      </c>
      <c r="BI430" s="528" t="s">
        <v>2181</v>
      </c>
      <c r="BL430" s="151" t="str">
        <f t="shared" si="243"/>
        <v>EoKMetro - Nationaal</v>
      </c>
      <c r="BM430" s="529">
        <v>0</v>
      </c>
      <c r="BN430" s="180">
        <f>BM430/INDEX(Parameters!$B:$B,MATCH("AfschrijftermijnVVE"&amp;12*$C430,Parameters!$A:$A,0))</f>
        <v>0</v>
      </c>
      <c r="BO430" s="184">
        <f>INDEX('inkoop ULL tbv EVPN'!I:I,MATCH(BL430,'inkoop ULL tbv EVPN'!H:H,0))</f>
        <v>2</v>
      </c>
      <c r="BP430" s="184">
        <f t="shared" si="244"/>
        <v>2</v>
      </c>
      <c r="BR430" s="180">
        <f>Parameters!$B$12*AG430</f>
        <v>102.08333333333334</v>
      </c>
      <c r="BS430" s="180">
        <f>SUM(Distributievergoedingen!$F$12,Distributievergoedingen!$I$12,Distributievergoedingen!$L$12,Distributievergoedingen!$O$12)*AF430+SUM(Distributievergoedingen!$O$12*AA430+Distributievergoedingen!$R$12+Distributievergoedingen!$U$12+Distributievergoedingen!$X$12)/(MAX(36,12*C430))</f>
        <v>112.08333333333333</v>
      </c>
      <c r="BT430" s="150"/>
      <c r="BU430" s="150">
        <f t="shared" si="245"/>
        <v>214.16666666666669</v>
      </c>
      <c r="BW430" s="522">
        <f t="shared" si="246"/>
        <v>216.16666666666669</v>
      </c>
      <c r="BY430" s="527">
        <f t="shared" si="247"/>
        <v>804.66666666666674</v>
      </c>
      <c r="BZ430" s="181">
        <f t="shared" si="248"/>
        <v>0.78824489795918373</v>
      </c>
      <c r="CA430" s="520" t="b">
        <f t="shared" si="249"/>
        <v>0</v>
      </c>
    </row>
    <row r="431" spans="1:79" s="151" customFormat="1">
      <c r="A431" s="151" t="str">
        <f t="shared" si="242"/>
        <v>4EoKPremiumRegionaal20</v>
      </c>
      <c r="B431" s="520" t="str">
        <f t="shared" si="237"/>
        <v>4EoKPremiumRegionaal20</v>
      </c>
      <c r="C431" s="179">
        <v>4</v>
      </c>
      <c r="D431" s="179" t="s">
        <v>303</v>
      </c>
      <c r="E431" s="178" t="s">
        <v>267</v>
      </c>
      <c r="F431" s="178" t="s">
        <v>265</v>
      </c>
      <c r="G431" s="185" t="s">
        <v>414</v>
      </c>
      <c r="J431" s="520" t="str">
        <f t="shared" si="227"/>
        <v>PremiumRegionaal20</v>
      </c>
      <c r="L431" s="204">
        <f>INDEX(Mapping!$H:$H,MATCH(C$3&amp;C431,Mapping!$B:$B,0))</f>
        <v>1</v>
      </c>
      <c r="M431" s="204" t="str">
        <f>INDEX(Mapping!$H:$H,MATCH(D$3&amp;$D431,Mapping!$B:$B,0))</f>
        <v>EoK</v>
      </c>
      <c r="N431" s="204" t="str">
        <f>INDEX(Mapping!$H:$H,MATCH(E$3&amp;E431,Mapping!$B:$B,0))</f>
        <v>Premium</v>
      </c>
      <c r="O431" s="204" t="str">
        <f>INDEX(Mapping!$H:$H,MATCH(F$3&amp;F431,Mapping!$B:$B,0))</f>
        <v>Metro</v>
      </c>
      <c r="P431" s="204">
        <f>INDEX(Mapping!$H:$H,MATCH(G$3&amp;G431,Mapping!$B:$B,0))</f>
        <v>20</v>
      </c>
      <c r="Q431" s="204" t="str">
        <f>INDEX(Mapping!$H:$H,MATCH(Q$3&amp;$F431,Mapping!$B:$B,0))</f>
        <v>Metro - Nationaal</v>
      </c>
      <c r="R431" s="204" t="str">
        <f>INDEX(Mapping!$H:$H,MATCH("ZM VPN Service Level"&amp;E431,Mapping!$B:$B,0))</f>
        <v>Advanced</v>
      </c>
      <c r="S431" s="139" t="b">
        <f>IF($D431="EoK",INDEX(Mapping!$I:$I,MATCH($G$3&amp;$G431,Mapping!B:B,0)),FALSE)</f>
        <v>0</v>
      </c>
      <c r="T431" s="139"/>
      <c r="U431" s="520" t="str">
        <f t="shared" si="228"/>
        <v>PremiumMetro20</v>
      </c>
      <c r="W431" s="521">
        <f>MATCH($J431,'Tarieven ZM'!$B:$B,0)</f>
        <v>93</v>
      </c>
      <c r="X431" s="204">
        <f>INDEX('Tarieven ZM'!$H:$H,$W431)</f>
        <v>1000</v>
      </c>
      <c r="Y431" s="198">
        <f>-INDEX(Parameters!$B:$B,MATCH(Y$3&amp;$C431,Parameters!$A:$A,0))*$X431</f>
        <v>0</v>
      </c>
      <c r="Z431" s="198">
        <f>-INDEX(Parameters!$B:$B,MATCH(Z$3&amp;$C431,Parameters!$A:$A,0))*$X431</f>
        <v>0</v>
      </c>
      <c r="AA431" s="139">
        <f t="shared" si="230"/>
        <v>1000</v>
      </c>
      <c r="AB431" s="205">
        <f>AA431/INDEX(Parameters!$B:$B,MATCH("AfschrijftermijnVVE"&amp;12*$C431,Parameters!$A:$A,0))</f>
        <v>20.833333333333332</v>
      </c>
      <c r="AC431" s="204">
        <f>INDEX('Tarieven ZM'!$G:$G,$W431)</f>
        <v>1000</v>
      </c>
      <c r="AD431" s="198">
        <f>-INDEX(Parameters!$B:$B,MATCH(AD$3&amp;$C431,Parameters!$A:$A,0))*$AC431</f>
        <v>0</v>
      </c>
      <c r="AE431" s="198">
        <f>-INDEX(Parameters!$B:$B,MATCH(AE$3,Parameters!$A:$A,0))*$AC431</f>
        <v>0</v>
      </c>
      <c r="AF431" s="139">
        <f t="shared" si="231"/>
        <v>1000</v>
      </c>
      <c r="AG431" s="522">
        <f t="shared" si="232"/>
        <v>1020.8333333333334</v>
      </c>
      <c r="AH431" s="175"/>
      <c r="AI431" s="523">
        <f>MATCH($U431,'Tarieven W&amp;O'!$B:$B,0)</f>
        <v>66</v>
      </c>
      <c r="AJ431" s="204">
        <f>IF(AI431&lt;&gt;"nvt",INDEX('Tarieven W&amp;O'!$H:$H,$AI431),0)</f>
        <v>0</v>
      </c>
      <c r="AK431" s="204">
        <f>IF(AI431&lt;&gt;"nvt",INDEX('Tarieven W&amp;O'!$I:$I,$AI431),0)</f>
        <v>25</v>
      </c>
      <c r="AL431" s="524">
        <f>IF(AI431&lt;&gt;"nvt",-INDEX(Parameters!$B:$B,MATCH(AL$3,Parameters!$A:$A,0))*(AJ431+AK431),0)</f>
        <v>0</v>
      </c>
      <c r="AM431" s="525"/>
      <c r="AN431" s="139">
        <f t="shared" si="233"/>
        <v>25</v>
      </c>
      <c r="AO431" s="205">
        <f>AN431/INDEX(Parameters!$B:$B,MATCH("AfschrijftermijnVVE"&amp;12*$C431,Parameters!$A:$A,0))</f>
        <v>0.52083333333333337</v>
      </c>
      <c r="AP431" s="139">
        <f t="shared" si="234"/>
        <v>66</v>
      </c>
      <c r="AQ431" s="526">
        <f>IF(AP431&lt;&gt;"nvt",INDEX('Tarieven W&amp;O'!$G:$G,$AP431),0)</f>
        <v>88.17</v>
      </c>
      <c r="AR431" s="251">
        <f>IF($S431,INDEX('Tarieven W&amp;O'!$G:$G,MATCH(N431&amp;R431,'Tarieven W&amp;O'!$B:$B,0)),0)</f>
        <v>0</v>
      </c>
      <c r="AS431" s="205">
        <f>-INDEX(Parameters!$B:$B,MATCH(AS$3,Parameters!$A:$A,0))*(AQ431+AR431)</f>
        <v>0</v>
      </c>
      <c r="AT431" s="205">
        <f>INDEX(hulpblad!$E:$E,MATCH(M431&amp;Q431,hulpblad!$B:$B,0))</f>
        <v>2</v>
      </c>
      <c r="AU431" s="150">
        <f t="shared" si="238"/>
        <v>90.17</v>
      </c>
      <c r="AV431" s="150">
        <f t="shared" si="239"/>
        <v>90.69083333333333</v>
      </c>
      <c r="AX431" s="526">
        <f>Parameters!$B$6*AV431</f>
        <v>0.90690833333333332</v>
      </c>
      <c r="AY431" s="150">
        <v>0</v>
      </c>
      <c r="AZ431" s="150"/>
      <c r="BA431" s="150">
        <f t="shared" si="235"/>
        <v>0.90690833333333332</v>
      </c>
      <c r="BB431" s="150"/>
      <c r="BC431" s="522">
        <f t="shared" si="236"/>
        <v>91.597741666666664</v>
      </c>
      <c r="BD431" s="175"/>
      <c r="BE431" s="527">
        <f t="shared" si="240"/>
        <v>929.23559166666666</v>
      </c>
      <c r="BF431" s="181">
        <f t="shared" si="241"/>
        <v>0.91027159999999996</v>
      </c>
      <c r="BG431" s="520" t="b">
        <f t="shared" si="229"/>
        <v>0</v>
      </c>
      <c r="BI431" s="528" t="s">
        <v>2181</v>
      </c>
      <c r="BL431" s="151" t="str">
        <f t="shared" si="243"/>
        <v>EoKMetro - Nationaal</v>
      </c>
      <c r="BM431" s="529">
        <v>0</v>
      </c>
      <c r="BN431" s="180">
        <f>BM431/INDEX(Parameters!$B:$B,MATCH("AfschrijftermijnVVE"&amp;12*$C431,Parameters!$A:$A,0))</f>
        <v>0</v>
      </c>
      <c r="BO431" s="184">
        <f>INDEX('inkoop ULL tbv EVPN'!I:I,MATCH(BL431,'inkoop ULL tbv EVPN'!H:H,0))</f>
        <v>2</v>
      </c>
      <c r="BP431" s="184">
        <f t="shared" si="244"/>
        <v>2</v>
      </c>
      <c r="BR431" s="180">
        <f>Parameters!$B$12*AG431</f>
        <v>102.08333333333334</v>
      </c>
      <c r="BS431" s="180">
        <f>SUM(Distributievergoedingen!$F$12,Distributievergoedingen!$I$12,Distributievergoedingen!$L$12,Distributievergoedingen!$O$12)*AF431+SUM(Distributievergoedingen!$O$12*AA431+Distributievergoedingen!$R$12+Distributievergoedingen!$U$12+Distributievergoedingen!$X$12)/(MAX(36,12*C431))</f>
        <v>112.08333333333333</v>
      </c>
      <c r="BT431" s="150"/>
      <c r="BU431" s="150">
        <f t="shared" si="245"/>
        <v>214.16666666666669</v>
      </c>
      <c r="BW431" s="522">
        <f t="shared" si="246"/>
        <v>216.16666666666669</v>
      </c>
      <c r="BY431" s="527">
        <f t="shared" si="247"/>
        <v>804.66666666666674</v>
      </c>
      <c r="BZ431" s="181">
        <f t="shared" si="248"/>
        <v>0.78824489795918373</v>
      </c>
      <c r="CA431" s="520" t="b">
        <f t="shared" si="249"/>
        <v>0</v>
      </c>
    </row>
    <row r="432" spans="1:79" s="151" customFormat="1">
      <c r="A432" s="151" t="str">
        <f t="shared" si="242"/>
        <v>4EoKPremiumRegionaal30</v>
      </c>
      <c r="B432" s="520" t="str">
        <f t="shared" si="237"/>
        <v>4EoKPremiumRegionaal30</v>
      </c>
      <c r="C432" s="179">
        <v>4</v>
      </c>
      <c r="D432" s="179" t="s">
        <v>303</v>
      </c>
      <c r="E432" s="178" t="s">
        <v>267</v>
      </c>
      <c r="F432" s="178" t="s">
        <v>265</v>
      </c>
      <c r="G432" s="185" t="s">
        <v>415</v>
      </c>
      <c r="J432" s="520" t="str">
        <f t="shared" si="227"/>
        <v>PremiumRegionaal30</v>
      </c>
      <c r="L432" s="204">
        <f>INDEX(Mapping!$H:$H,MATCH(C$3&amp;C432,Mapping!$B:$B,0))</f>
        <v>1</v>
      </c>
      <c r="M432" s="204" t="str">
        <f>INDEX(Mapping!$H:$H,MATCH(D$3&amp;$D432,Mapping!$B:$B,0))</f>
        <v>EoK</v>
      </c>
      <c r="N432" s="204" t="str">
        <f>INDEX(Mapping!$H:$H,MATCH(E$3&amp;E432,Mapping!$B:$B,0))</f>
        <v>Premium</v>
      </c>
      <c r="O432" s="204" t="str">
        <f>INDEX(Mapping!$H:$H,MATCH(F$3&amp;F432,Mapping!$B:$B,0))</f>
        <v>Metro</v>
      </c>
      <c r="P432" s="204">
        <f>INDEX(Mapping!$H:$H,MATCH(G$3&amp;G432,Mapping!$B:$B,0))</f>
        <v>30</v>
      </c>
      <c r="Q432" s="204" t="str">
        <f>INDEX(Mapping!$H:$H,MATCH(Q$3&amp;$F432,Mapping!$B:$B,0))</f>
        <v>Metro - Nationaal</v>
      </c>
      <c r="R432" s="204" t="str">
        <f>INDEX(Mapping!$H:$H,MATCH("ZM VPN Service Level"&amp;E432,Mapping!$B:$B,0))</f>
        <v>Advanced</v>
      </c>
      <c r="S432" s="139" t="b">
        <f>IF($D432="EoK",INDEX(Mapping!$I:$I,MATCH($G$3&amp;$G432,Mapping!B:B,0)),FALSE)</f>
        <v>0</v>
      </c>
      <c r="T432" s="139"/>
      <c r="U432" s="520" t="str">
        <f t="shared" si="228"/>
        <v>PremiumMetro30</v>
      </c>
      <c r="W432" s="521">
        <f>MATCH($J432,'Tarieven ZM'!$B:$B,0)</f>
        <v>94</v>
      </c>
      <c r="X432" s="204">
        <f>INDEX('Tarieven ZM'!$H:$H,$W432)</f>
        <v>1000</v>
      </c>
      <c r="Y432" s="198">
        <f>-INDEX(Parameters!$B:$B,MATCH(Y$3&amp;$C432,Parameters!$A:$A,0))*$X432</f>
        <v>0</v>
      </c>
      <c r="Z432" s="198">
        <f>-INDEX(Parameters!$B:$B,MATCH(Z$3&amp;$C432,Parameters!$A:$A,0))*$X432</f>
        <v>0</v>
      </c>
      <c r="AA432" s="139">
        <f t="shared" si="230"/>
        <v>1000</v>
      </c>
      <c r="AB432" s="205">
        <f>AA432/INDEX(Parameters!$B:$B,MATCH("AfschrijftermijnVVE"&amp;12*$C432,Parameters!$A:$A,0))</f>
        <v>20.833333333333332</v>
      </c>
      <c r="AC432" s="204">
        <f>INDEX('Tarieven ZM'!$G:$G,$W432)</f>
        <v>1000</v>
      </c>
      <c r="AD432" s="198">
        <f>-INDEX(Parameters!$B:$B,MATCH(AD$3&amp;$C432,Parameters!$A:$A,0))*$AC432</f>
        <v>0</v>
      </c>
      <c r="AE432" s="198">
        <f>-INDEX(Parameters!$B:$B,MATCH(AE$3,Parameters!$A:$A,0))*$AC432</f>
        <v>0</v>
      </c>
      <c r="AF432" s="139">
        <f t="shared" si="231"/>
        <v>1000</v>
      </c>
      <c r="AG432" s="522">
        <f t="shared" si="232"/>
        <v>1020.8333333333334</v>
      </c>
      <c r="AH432" s="175"/>
      <c r="AI432" s="523">
        <f>MATCH($U432,'Tarieven W&amp;O'!$B:$B,0)</f>
        <v>67</v>
      </c>
      <c r="AJ432" s="204">
        <f>IF(AI432&lt;&gt;"nvt",INDEX('Tarieven W&amp;O'!$H:$H,$AI432),0)</f>
        <v>0</v>
      </c>
      <c r="AK432" s="204">
        <f>IF(AI432&lt;&gt;"nvt",INDEX('Tarieven W&amp;O'!$I:$I,$AI432),0)</f>
        <v>25</v>
      </c>
      <c r="AL432" s="524">
        <f>IF(AI432&lt;&gt;"nvt",-INDEX(Parameters!$B:$B,MATCH(AL$3,Parameters!$A:$A,0))*(AJ432+AK432),0)</f>
        <v>0</v>
      </c>
      <c r="AM432" s="525"/>
      <c r="AN432" s="139">
        <f t="shared" si="233"/>
        <v>25</v>
      </c>
      <c r="AO432" s="205">
        <f>AN432/INDEX(Parameters!$B:$B,MATCH("AfschrijftermijnVVE"&amp;12*$C432,Parameters!$A:$A,0))</f>
        <v>0.52083333333333337</v>
      </c>
      <c r="AP432" s="139">
        <f t="shared" si="234"/>
        <v>67</v>
      </c>
      <c r="AQ432" s="526">
        <f>IF(AP432&lt;&gt;"nvt",INDEX('Tarieven W&amp;O'!$G:$G,$AP432),0)</f>
        <v>110.78</v>
      </c>
      <c r="AR432" s="251">
        <f>IF($S432,INDEX('Tarieven W&amp;O'!$G:$G,MATCH(N432&amp;R432,'Tarieven W&amp;O'!$B:$B,0)),0)</f>
        <v>0</v>
      </c>
      <c r="AS432" s="205">
        <f>-INDEX(Parameters!$B:$B,MATCH(AS$3,Parameters!$A:$A,0))*(AQ432+AR432)</f>
        <v>0</v>
      </c>
      <c r="AT432" s="205">
        <f>INDEX(hulpblad!$E:$E,MATCH(M432&amp;Q432,hulpblad!$B:$B,0))</f>
        <v>2</v>
      </c>
      <c r="AU432" s="150">
        <f t="shared" si="238"/>
        <v>112.78</v>
      </c>
      <c r="AV432" s="150">
        <f t="shared" si="239"/>
        <v>113.30083333333333</v>
      </c>
      <c r="AX432" s="526">
        <f>Parameters!$B$6*AV432</f>
        <v>1.1330083333333334</v>
      </c>
      <c r="AY432" s="150">
        <v>0</v>
      </c>
      <c r="AZ432" s="150"/>
      <c r="BA432" s="150">
        <f t="shared" si="235"/>
        <v>1.1330083333333334</v>
      </c>
      <c r="BB432" s="150"/>
      <c r="BC432" s="522">
        <f t="shared" si="236"/>
        <v>114.43384166666667</v>
      </c>
      <c r="BD432" s="175"/>
      <c r="BE432" s="527">
        <f t="shared" si="240"/>
        <v>906.39949166666668</v>
      </c>
      <c r="BF432" s="181">
        <f t="shared" si="241"/>
        <v>0.88790154285714284</v>
      </c>
      <c r="BG432" s="520" t="b">
        <f t="shared" si="229"/>
        <v>0</v>
      </c>
      <c r="BI432" s="528" t="s">
        <v>2181</v>
      </c>
      <c r="BL432" s="151" t="str">
        <f t="shared" si="243"/>
        <v>EoKMetro - Nationaal</v>
      </c>
      <c r="BM432" s="529">
        <v>0</v>
      </c>
      <c r="BN432" s="180">
        <f>BM432/INDEX(Parameters!$B:$B,MATCH("AfschrijftermijnVVE"&amp;12*$C432,Parameters!$A:$A,0))</f>
        <v>0</v>
      </c>
      <c r="BO432" s="184">
        <f>INDEX('inkoop ULL tbv EVPN'!I:I,MATCH(BL432,'inkoop ULL tbv EVPN'!H:H,0))</f>
        <v>2</v>
      </c>
      <c r="BP432" s="184">
        <f t="shared" si="244"/>
        <v>2</v>
      </c>
      <c r="BR432" s="180">
        <f>Parameters!$B$12*AG432</f>
        <v>102.08333333333334</v>
      </c>
      <c r="BS432" s="180">
        <f>SUM(Distributievergoedingen!$F$12,Distributievergoedingen!$I$12,Distributievergoedingen!$L$12,Distributievergoedingen!$O$12)*AF432+SUM(Distributievergoedingen!$O$12*AA432+Distributievergoedingen!$R$12+Distributievergoedingen!$U$12+Distributievergoedingen!$X$12)/(MAX(36,12*C432))</f>
        <v>112.08333333333333</v>
      </c>
      <c r="BT432" s="150"/>
      <c r="BU432" s="150">
        <f t="shared" si="245"/>
        <v>214.16666666666669</v>
      </c>
      <c r="BW432" s="522">
        <f t="shared" si="246"/>
        <v>216.16666666666669</v>
      </c>
      <c r="BY432" s="527">
        <f t="shared" si="247"/>
        <v>804.66666666666674</v>
      </c>
      <c r="BZ432" s="181">
        <f t="shared" si="248"/>
        <v>0.78824489795918373</v>
      </c>
      <c r="CA432" s="520" t="b">
        <f t="shared" si="249"/>
        <v>0</v>
      </c>
    </row>
    <row r="433" spans="1:79" s="151" customFormat="1">
      <c r="A433" s="151" t="str">
        <f t="shared" si="242"/>
        <v>4EoKPremiumRegionaal50</v>
      </c>
      <c r="B433" s="520" t="str">
        <f t="shared" si="237"/>
        <v>4EoKPremiumRegionaal50</v>
      </c>
      <c r="C433" s="179">
        <v>4</v>
      </c>
      <c r="D433" s="179" t="s">
        <v>303</v>
      </c>
      <c r="E433" s="178" t="s">
        <v>267</v>
      </c>
      <c r="F433" s="178" t="s">
        <v>265</v>
      </c>
      <c r="G433" s="185" t="s">
        <v>416</v>
      </c>
      <c r="J433" s="520" t="str">
        <f t="shared" si="227"/>
        <v>PremiumRegionaal50</v>
      </c>
      <c r="L433" s="204">
        <f>INDEX(Mapping!$H:$H,MATCH(C$3&amp;C433,Mapping!$B:$B,0))</f>
        <v>1</v>
      </c>
      <c r="M433" s="204" t="str">
        <f>INDEX(Mapping!$H:$H,MATCH(D$3&amp;$D433,Mapping!$B:$B,0))</f>
        <v>EoK</v>
      </c>
      <c r="N433" s="204" t="str">
        <f>INDEX(Mapping!$H:$H,MATCH(E$3&amp;E433,Mapping!$B:$B,0))</f>
        <v>Premium</v>
      </c>
      <c r="O433" s="204" t="str">
        <f>INDEX(Mapping!$H:$H,MATCH(F$3&amp;F433,Mapping!$B:$B,0))</f>
        <v>Metro</v>
      </c>
      <c r="P433" s="204">
        <f>INDEX(Mapping!$H:$H,MATCH(G$3&amp;G433,Mapping!$B:$B,0))</f>
        <v>50</v>
      </c>
      <c r="Q433" s="204" t="str">
        <f>INDEX(Mapping!$H:$H,MATCH(Q$3&amp;$F433,Mapping!$B:$B,0))</f>
        <v>Metro - Nationaal</v>
      </c>
      <c r="R433" s="204" t="str">
        <f>INDEX(Mapping!$H:$H,MATCH("ZM VPN Service Level"&amp;E433,Mapping!$B:$B,0))</f>
        <v>Advanced</v>
      </c>
      <c r="S433" s="139" t="b">
        <f>IF($D433="EoK",INDEX(Mapping!$I:$I,MATCH($G$3&amp;$G433,Mapping!B:B,0)),FALSE)</f>
        <v>0</v>
      </c>
      <c r="T433" s="139"/>
      <c r="U433" s="520" t="str">
        <f t="shared" si="228"/>
        <v>PremiumMetro50</v>
      </c>
      <c r="W433" s="521">
        <f>MATCH($J433,'Tarieven ZM'!$B:$B,0)</f>
        <v>95</v>
      </c>
      <c r="X433" s="204">
        <f>INDEX('Tarieven ZM'!$H:$H,$W433)</f>
        <v>1000</v>
      </c>
      <c r="Y433" s="198">
        <f>-INDEX(Parameters!$B:$B,MATCH(Y$3&amp;$C433,Parameters!$A:$A,0))*$X433</f>
        <v>0</v>
      </c>
      <c r="Z433" s="198">
        <f>-INDEX(Parameters!$B:$B,MATCH(Z$3&amp;$C433,Parameters!$A:$A,0))*$X433</f>
        <v>0</v>
      </c>
      <c r="AA433" s="139">
        <f t="shared" si="230"/>
        <v>1000</v>
      </c>
      <c r="AB433" s="205">
        <f>AA433/INDEX(Parameters!$B:$B,MATCH("AfschrijftermijnVVE"&amp;12*$C433,Parameters!$A:$A,0))</f>
        <v>20.833333333333332</v>
      </c>
      <c r="AC433" s="204">
        <f>INDEX('Tarieven ZM'!$G:$G,$W433)</f>
        <v>1000</v>
      </c>
      <c r="AD433" s="198">
        <f>-INDEX(Parameters!$B:$B,MATCH(AD$3&amp;$C433,Parameters!$A:$A,0))*$AC433</f>
        <v>0</v>
      </c>
      <c r="AE433" s="198">
        <f>-INDEX(Parameters!$B:$B,MATCH(AE$3,Parameters!$A:$A,0))*$AC433</f>
        <v>0</v>
      </c>
      <c r="AF433" s="139">
        <f t="shared" si="231"/>
        <v>1000</v>
      </c>
      <c r="AG433" s="522">
        <f t="shared" si="232"/>
        <v>1020.8333333333334</v>
      </c>
      <c r="AH433" s="175"/>
      <c r="AI433" s="523">
        <f>MATCH($U433,'Tarieven W&amp;O'!$B:$B,0)</f>
        <v>68</v>
      </c>
      <c r="AJ433" s="204">
        <f>IF(AI433&lt;&gt;"nvt",INDEX('Tarieven W&amp;O'!$H:$H,$AI433),0)</f>
        <v>0</v>
      </c>
      <c r="AK433" s="204">
        <f>IF(AI433&lt;&gt;"nvt",INDEX('Tarieven W&amp;O'!$I:$I,$AI433),0)</f>
        <v>25</v>
      </c>
      <c r="AL433" s="524">
        <f>IF(AI433&lt;&gt;"nvt",-INDEX(Parameters!$B:$B,MATCH(AL$3,Parameters!$A:$A,0))*(AJ433+AK433),0)</f>
        <v>0</v>
      </c>
      <c r="AM433" s="525"/>
      <c r="AN433" s="139">
        <f t="shared" si="233"/>
        <v>25</v>
      </c>
      <c r="AO433" s="205">
        <f>AN433/INDEX(Parameters!$B:$B,MATCH("AfschrijftermijnVVE"&amp;12*$C433,Parameters!$A:$A,0))</f>
        <v>0.52083333333333337</v>
      </c>
      <c r="AP433" s="139">
        <f t="shared" si="234"/>
        <v>68</v>
      </c>
      <c r="AQ433" s="526">
        <f>IF(AP433&lt;&gt;"nvt",INDEX('Tarieven W&amp;O'!$G:$G,$AP433),0)</f>
        <v>133.4</v>
      </c>
      <c r="AR433" s="251">
        <f>IF($S433,INDEX('Tarieven W&amp;O'!$G:$G,MATCH(N433&amp;R433,'Tarieven W&amp;O'!$B:$B,0)),0)</f>
        <v>0</v>
      </c>
      <c r="AS433" s="205">
        <f>-INDEX(Parameters!$B:$B,MATCH(AS$3,Parameters!$A:$A,0))*(AQ433+AR433)</f>
        <v>0</v>
      </c>
      <c r="AT433" s="205">
        <f>INDEX(hulpblad!$E:$E,MATCH(M433&amp;Q433,hulpblad!$B:$B,0))</f>
        <v>2</v>
      </c>
      <c r="AU433" s="150">
        <f t="shared" si="238"/>
        <v>135.4</v>
      </c>
      <c r="AV433" s="150">
        <f t="shared" si="239"/>
        <v>135.92083333333335</v>
      </c>
      <c r="AX433" s="526">
        <f>Parameters!$B$6*AV433</f>
        <v>1.3592083333333336</v>
      </c>
      <c r="AY433" s="150">
        <v>0</v>
      </c>
      <c r="AZ433" s="150"/>
      <c r="BA433" s="150">
        <f t="shared" si="235"/>
        <v>1.3592083333333336</v>
      </c>
      <c r="BB433" s="150"/>
      <c r="BC433" s="522">
        <f t="shared" si="236"/>
        <v>137.28004166666668</v>
      </c>
      <c r="BD433" s="175"/>
      <c r="BE433" s="527">
        <f t="shared" si="240"/>
        <v>883.55329166666672</v>
      </c>
      <c r="BF433" s="181">
        <f t="shared" si="241"/>
        <v>0.86552159183673472</v>
      </c>
      <c r="BG433" s="520" t="b">
        <f t="shared" si="229"/>
        <v>0</v>
      </c>
      <c r="BI433" s="528" t="s">
        <v>2181</v>
      </c>
      <c r="BL433" s="151" t="str">
        <f t="shared" si="243"/>
        <v>EoKMetro - Nationaal</v>
      </c>
      <c r="BM433" s="529">
        <v>0</v>
      </c>
      <c r="BN433" s="180">
        <f>BM433/INDEX(Parameters!$B:$B,MATCH("AfschrijftermijnVVE"&amp;12*$C433,Parameters!$A:$A,0))</f>
        <v>0</v>
      </c>
      <c r="BO433" s="184">
        <f>INDEX('inkoop ULL tbv EVPN'!I:I,MATCH(BL433,'inkoop ULL tbv EVPN'!H:H,0))</f>
        <v>2</v>
      </c>
      <c r="BP433" s="184">
        <f t="shared" si="244"/>
        <v>2</v>
      </c>
      <c r="BR433" s="180">
        <f>Parameters!$B$12*AG433</f>
        <v>102.08333333333334</v>
      </c>
      <c r="BS433" s="180">
        <f>SUM(Distributievergoedingen!$F$12,Distributievergoedingen!$I$12,Distributievergoedingen!$L$12,Distributievergoedingen!$O$12)*AF433+SUM(Distributievergoedingen!$O$12*AA433+Distributievergoedingen!$R$12+Distributievergoedingen!$U$12+Distributievergoedingen!$X$12)/(MAX(36,12*C433))</f>
        <v>112.08333333333333</v>
      </c>
      <c r="BT433" s="150"/>
      <c r="BU433" s="150">
        <f t="shared" si="245"/>
        <v>214.16666666666669</v>
      </c>
      <c r="BW433" s="522">
        <f t="shared" si="246"/>
        <v>216.16666666666669</v>
      </c>
      <c r="BY433" s="527">
        <f t="shared" si="247"/>
        <v>804.66666666666674</v>
      </c>
      <c r="BZ433" s="181">
        <f t="shared" si="248"/>
        <v>0.78824489795918373</v>
      </c>
      <c r="CA433" s="520" t="b">
        <f t="shared" si="249"/>
        <v>0</v>
      </c>
    </row>
    <row r="434" spans="1:79" s="151" customFormat="1">
      <c r="A434" s="151" t="str">
        <f t="shared" si="242"/>
        <v>4EoKPremiumRegionaal80</v>
      </c>
      <c r="B434" s="520" t="str">
        <f t="shared" si="237"/>
        <v>4EoKPremiumRegionaal80</v>
      </c>
      <c r="C434" s="179">
        <v>4</v>
      </c>
      <c r="D434" s="179" t="s">
        <v>303</v>
      </c>
      <c r="E434" s="178" t="s">
        <v>267</v>
      </c>
      <c r="F434" s="178" t="s">
        <v>265</v>
      </c>
      <c r="G434" s="185" t="s">
        <v>417</v>
      </c>
      <c r="J434" s="520" t="str">
        <f t="shared" si="227"/>
        <v>PremiumRegionaal80</v>
      </c>
      <c r="L434" s="204">
        <f>INDEX(Mapping!$H:$H,MATCH(C$3&amp;C434,Mapping!$B:$B,0))</f>
        <v>1</v>
      </c>
      <c r="M434" s="204" t="str">
        <f>INDEX(Mapping!$H:$H,MATCH(D$3&amp;$D434,Mapping!$B:$B,0))</f>
        <v>EoK</v>
      </c>
      <c r="N434" s="204" t="str">
        <f>INDEX(Mapping!$H:$H,MATCH(E$3&amp;E434,Mapping!$B:$B,0))</f>
        <v>Premium</v>
      </c>
      <c r="O434" s="204" t="str">
        <f>INDEX(Mapping!$H:$H,MATCH(F$3&amp;F434,Mapping!$B:$B,0))</f>
        <v>Metro</v>
      </c>
      <c r="P434" s="204">
        <f>INDEX(Mapping!$H:$H,MATCH(G$3&amp;G434,Mapping!$B:$B,0))</f>
        <v>80</v>
      </c>
      <c r="Q434" s="204" t="str">
        <f>INDEX(Mapping!$H:$H,MATCH(Q$3&amp;$F434,Mapping!$B:$B,0))</f>
        <v>Metro - Nationaal</v>
      </c>
      <c r="R434" s="204" t="str">
        <f>INDEX(Mapping!$H:$H,MATCH("ZM VPN Service Level"&amp;E434,Mapping!$B:$B,0))</f>
        <v>Advanced</v>
      </c>
      <c r="S434" s="139" t="b">
        <f>IF($D434="EoK",INDEX(Mapping!$I:$I,MATCH($G$3&amp;$G434,Mapping!B:B,0)),FALSE)</f>
        <v>0</v>
      </c>
      <c r="T434" s="139"/>
      <c r="U434" s="520" t="str">
        <f t="shared" si="228"/>
        <v>PremiumMetro80</v>
      </c>
      <c r="W434" s="521">
        <f>MATCH($J434,'Tarieven ZM'!$B:$B,0)</f>
        <v>96</v>
      </c>
      <c r="X434" s="204">
        <f>INDEX('Tarieven ZM'!$H:$H,$W434)</f>
        <v>1000</v>
      </c>
      <c r="Y434" s="198">
        <f>-INDEX(Parameters!$B:$B,MATCH(Y$3&amp;$C434,Parameters!$A:$A,0))*$X434</f>
        <v>0</v>
      </c>
      <c r="Z434" s="198">
        <f>-INDEX(Parameters!$B:$B,MATCH(Z$3&amp;$C434,Parameters!$A:$A,0))*$X434</f>
        <v>0</v>
      </c>
      <c r="AA434" s="139">
        <f t="shared" si="230"/>
        <v>1000</v>
      </c>
      <c r="AB434" s="205">
        <f>AA434/INDEX(Parameters!$B:$B,MATCH("AfschrijftermijnVVE"&amp;12*$C434,Parameters!$A:$A,0))</f>
        <v>20.833333333333332</v>
      </c>
      <c r="AC434" s="204">
        <f>INDEX('Tarieven ZM'!$G:$G,$W434)</f>
        <v>1000</v>
      </c>
      <c r="AD434" s="198">
        <f>-INDEX(Parameters!$B:$B,MATCH(AD$3&amp;$C434,Parameters!$A:$A,0))*$AC434</f>
        <v>0</v>
      </c>
      <c r="AE434" s="198">
        <f>-INDEX(Parameters!$B:$B,MATCH(AE$3,Parameters!$A:$A,0))*$AC434</f>
        <v>0</v>
      </c>
      <c r="AF434" s="139">
        <f t="shared" si="231"/>
        <v>1000</v>
      </c>
      <c r="AG434" s="522">
        <f t="shared" si="232"/>
        <v>1020.8333333333334</v>
      </c>
      <c r="AH434" s="175"/>
      <c r="AI434" s="523">
        <f>MATCH($U434,'Tarieven W&amp;O'!$B:$B,0)</f>
        <v>69</v>
      </c>
      <c r="AJ434" s="204">
        <f>IF(AI434&lt;&gt;"nvt",INDEX('Tarieven W&amp;O'!$H:$H,$AI434),0)</f>
        <v>0</v>
      </c>
      <c r="AK434" s="204">
        <f>IF(AI434&lt;&gt;"nvt",INDEX('Tarieven W&amp;O'!$I:$I,$AI434),0)</f>
        <v>25</v>
      </c>
      <c r="AL434" s="524">
        <f>IF(AI434&lt;&gt;"nvt",-INDEX(Parameters!$B:$B,MATCH(AL$3,Parameters!$A:$A,0))*(AJ434+AK434),0)</f>
        <v>0</v>
      </c>
      <c r="AM434" s="525"/>
      <c r="AN434" s="139">
        <f t="shared" si="233"/>
        <v>25</v>
      </c>
      <c r="AO434" s="205">
        <f>AN434/INDEX(Parameters!$B:$B,MATCH("AfschrijftermijnVVE"&amp;12*$C434,Parameters!$A:$A,0))</f>
        <v>0.52083333333333337</v>
      </c>
      <c r="AP434" s="139">
        <f t="shared" si="234"/>
        <v>69</v>
      </c>
      <c r="AQ434" s="526">
        <f>IF(AP434&lt;&gt;"nvt",INDEX('Tarieven W&amp;O'!$G:$G,$AP434),0)</f>
        <v>159.78</v>
      </c>
      <c r="AR434" s="251">
        <f>IF($S434,INDEX('Tarieven W&amp;O'!$G:$G,MATCH(N434&amp;R434,'Tarieven W&amp;O'!$B:$B,0)),0)</f>
        <v>0</v>
      </c>
      <c r="AS434" s="205">
        <f>-INDEX(Parameters!$B:$B,MATCH(AS$3,Parameters!$A:$A,0))*(AQ434+AR434)</f>
        <v>0</v>
      </c>
      <c r="AT434" s="205">
        <f>INDEX(hulpblad!$E:$E,MATCH(M434&amp;Q434,hulpblad!$B:$B,0))</f>
        <v>2</v>
      </c>
      <c r="AU434" s="150">
        <f t="shared" si="238"/>
        <v>161.78</v>
      </c>
      <c r="AV434" s="150">
        <f t="shared" si="239"/>
        <v>162.30083333333334</v>
      </c>
      <c r="AX434" s="526">
        <f>Parameters!$B$6*AV434</f>
        <v>1.6230083333333334</v>
      </c>
      <c r="AY434" s="150">
        <v>0</v>
      </c>
      <c r="AZ434" s="150"/>
      <c r="BA434" s="150">
        <f t="shared" si="235"/>
        <v>1.6230083333333334</v>
      </c>
      <c r="BB434" s="150"/>
      <c r="BC434" s="522">
        <f t="shared" si="236"/>
        <v>163.92384166666668</v>
      </c>
      <c r="BD434" s="175"/>
      <c r="BE434" s="527">
        <f t="shared" si="240"/>
        <v>856.90949166666667</v>
      </c>
      <c r="BF434" s="181">
        <f t="shared" si="241"/>
        <v>0.83942154285714288</v>
      </c>
      <c r="BG434" s="520" t="b">
        <f t="shared" si="229"/>
        <v>0</v>
      </c>
      <c r="BI434" s="528" t="s">
        <v>2181</v>
      </c>
      <c r="BL434" s="151" t="str">
        <f t="shared" si="243"/>
        <v>EoKMetro - Nationaal</v>
      </c>
      <c r="BM434" s="529">
        <v>0</v>
      </c>
      <c r="BN434" s="180">
        <f>BM434/INDEX(Parameters!$B:$B,MATCH("AfschrijftermijnVVE"&amp;12*$C434,Parameters!$A:$A,0))</f>
        <v>0</v>
      </c>
      <c r="BO434" s="184">
        <f>INDEX('inkoop ULL tbv EVPN'!I:I,MATCH(BL434,'inkoop ULL tbv EVPN'!H:H,0))</f>
        <v>2</v>
      </c>
      <c r="BP434" s="184">
        <f t="shared" si="244"/>
        <v>2</v>
      </c>
      <c r="BR434" s="180">
        <f>Parameters!$B$12*AG434</f>
        <v>102.08333333333334</v>
      </c>
      <c r="BS434" s="180">
        <f>SUM(Distributievergoedingen!$F$12,Distributievergoedingen!$I$12,Distributievergoedingen!$L$12,Distributievergoedingen!$O$12)*AF434+SUM(Distributievergoedingen!$O$12*AA434+Distributievergoedingen!$R$12+Distributievergoedingen!$U$12+Distributievergoedingen!$X$12)/(MAX(36,12*C434))</f>
        <v>112.08333333333333</v>
      </c>
      <c r="BT434" s="150"/>
      <c r="BU434" s="150">
        <f t="shared" si="245"/>
        <v>214.16666666666669</v>
      </c>
      <c r="BW434" s="522">
        <f t="shared" si="246"/>
        <v>216.16666666666669</v>
      </c>
      <c r="BY434" s="527">
        <f t="shared" si="247"/>
        <v>804.66666666666674</v>
      </c>
      <c r="BZ434" s="181">
        <f t="shared" si="248"/>
        <v>0.78824489795918373</v>
      </c>
      <c r="CA434" s="520" t="b">
        <f t="shared" si="249"/>
        <v>0</v>
      </c>
    </row>
    <row r="435" spans="1:79" s="151" customFormat="1">
      <c r="A435" s="151" t="str">
        <f t="shared" si="242"/>
        <v>4EoKPremiumRegionaal100</v>
      </c>
      <c r="B435" s="520" t="str">
        <f t="shared" si="237"/>
        <v>4EoKPremiumRegionaal100</v>
      </c>
      <c r="C435" s="179">
        <v>4</v>
      </c>
      <c r="D435" s="179" t="s">
        <v>303</v>
      </c>
      <c r="E435" s="178" t="s">
        <v>267</v>
      </c>
      <c r="F435" s="178" t="s">
        <v>265</v>
      </c>
      <c r="G435" s="185" t="s">
        <v>418</v>
      </c>
      <c r="J435" s="520" t="str">
        <f t="shared" si="227"/>
        <v>PremiumRegionaal100</v>
      </c>
      <c r="L435" s="204">
        <f>INDEX(Mapping!$H:$H,MATCH(C$3&amp;C435,Mapping!$B:$B,0))</f>
        <v>1</v>
      </c>
      <c r="M435" s="204" t="str">
        <f>INDEX(Mapping!$H:$H,MATCH(D$3&amp;$D435,Mapping!$B:$B,0))</f>
        <v>EoK</v>
      </c>
      <c r="N435" s="204" t="str">
        <f>INDEX(Mapping!$H:$H,MATCH(E$3&amp;E435,Mapping!$B:$B,0))</f>
        <v>Premium</v>
      </c>
      <c r="O435" s="204" t="str">
        <f>INDEX(Mapping!$H:$H,MATCH(F$3&amp;F435,Mapping!$B:$B,0))</f>
        <v>Metro</v>
      </c>
      <c r="P435" s="204">
        <f>INDEX(Mapping!$H:$H,MATCH(G$3&amp;G435,Mapping!$B:$B,0))</f>
        <v>100</v>
      </c>
      <c r="Q435" s="204" t="str">
        <f>INDEX(Mapping!$H:$H,MATCH(Q$3&amp;$F435,Mapping!$B:$B,0))</f>
        <v>Metro - Nationaal</v>
      </c>
      <c r="R435" s="204" t="str">
        <f>INDEX(Mapping!$H:$H,MATCH("ZM VPN Service Level"&amp;E435,Mapping!$B:$B,0))</f>
        <v>Advanced</v>
      </c>
      <c r="S435" s="139" t="b">
        <f>IF($D435="EoK",INDEX(Mapping!$I:$I,MATCH($G$3&amp;$G435,Mapping!B:B,0)),FALSE)</f>
        <v>0</v>
      </c>
      <c r="T435" s="139"/>
      <c r="U435" s="520" t="str">
        <f t="shared" si="228"/>
        <v>PremiumMetro100</v>
      </c>
      <c r="W435" s="521">
        <f>MATCH($J435,'Tarieven ZM'!$B:$B,0)</f>
        <v>97</v>
      </c>
      <c r="X435" s="204">
        <f>INDEX('Tarieven ZM'!$H:$H,$W435)</f>
        <v>1000</v>
      </c>
      <c r="Y435" s="198">
        <f>-INDEX(Parameters!$B:$B,MATCH(Y$3&amp;$C435,Parameters!$A:$A,0))*$X435</f>
        <v>0</v>
      </c>
      <c r="Z435" s="198">
        <f>-INDEX(Parameters!$B:$B,MATCH(Z$3&amp;$C435,Parameters!$A:$A,0))*$X435</f>
        <v>0</v>
      </c>
      <c r="AA435" s="139">
        <f t="shared" si="230"/>
        <v>1000</v>
      </c>
      <c r="AB435" s="205">
        <f>AA435/INDEX(Parameters!$B:$B,MATCH("AfschrijftermijnVVE"&amp;12*$C435,Parameters!$A:$A,0))</f>
        <v>20.833333333333332</v>
      </c>
      <c r="AC435" s="204">
        <f>INDEX('Tarieven ZM'!$G:$G,$W435)</f>
        <v>1000</v>
      </c>
      <c r="AD435" s="198">
        <f>-INDEX(Parameters!$B:$B,MATCH(AD$3&amp;$C435,Parameters!$A:$A,0))*$AC435</f>
        <v>0</v>
      </c>
      <c r="AE435" s="198">
        <f>-INDEX(Parameters!$B:$B,MATCH(AE$3,Parameters!$A:$A,0))*$AC435</f>
        <v>0</v>
      </c>
      <c r="AF435" s="139">
        <f t="shared" si="231"/>
        <v>1000</v>
      </c>
      <c r="AG435" s="522">
        <f t="shared" si="232"/>
        <v>1020.8333333333334</v>
      </c>
      <c r="AH435" s="175"/>
      <c r="AI435" s="523">
        <f>MATCH($U435,'Tarieven W&amp;O'!$B:$B,0)</f>
        <v>70</v>
      </c>
      <c r="AJ435" s="204">
        <f>IF(AI435&lt;&gt;"nvt",INDEX('Tarieven W&amp;O'!$H:$H,$AI435),0)</f>
        <v>0</v>
      </c>
      <c r="AK435" s="204">
        <f>IF(AI435&lt;&gt;"nvt",INDEX('Tarieven W&amp;O'!$I:$I,$AI435),0)</f>
        <v>25</v>
      </c>
      <c r="AL435" s="524">
        <f>IF(AI435&lt;&gt;"nvt",-INDEX(Parameters!$B:$B,MATCH(AL$3,Parameters!$A:$A,0))*(AJ435+AK435),0)</f>
        <v>0</v>
      </c>
      <c r="AM435" s="525"/>
      <c r="AN435" s="139">
        <f t="shared" si="233"/>
        <v>25</v>
      </c>
      <c r="AO435" s="205">
        <f>AN435/INDEX(Parameters!$B:$B,MATCH("AfschrijftermijnVVE"&amp;12*$C435,Parameters!$A:$A,0))</f>
        <v>0.52083333333333337</v>
      </c>
      <c r="AP435" s="139">
        <f t="shared" si="234"/>
        <v>70</v>
      </c>
      <c r="AQ435" s="526">
        <f>IF(AP435&lt;&gt;"nvt",INDEX('Tarieven W&amp;O'!$G:$G,$AP435),0)</f>
        <v>178.63</v>
      </c>
      <c r="AR435" s="251">
        <f>IF($S435,INDEX('Tarieven W&amp;O'!$G:$G,MATCH(N435&amp;R435,'Tarieven W&amp;O'!$B:$B,0)),0)</f>
        <v>0</v>
      </c>
      <c r="AS435" s="205">
        <f>-INDEX(Parameters!$B:$B,MATCH(AS$3,Parameters!$A:$A,0))*(AQ435+AR435)</f>
        <v>0</v>
      </c>
      <c r="AT435" s="205">
        <f>INDEX(hulpblad!$E:$E,MATCH(M435&amp;Q435,hulpblad!$B:$B,0))</f>
        <v>2</v>
      </c>
      <c r="AU435" s="150">
        <f t="shared" si="238"/>
        <v>180.63</v>
      </c>
      <c r="AV435" s="150">
        <f t="shared" si="239"/>
        <v>181.15083333333334</v>
      </c>
      <c r="AX435" s="526">
        <f>Parameters!$B$6*AV435</f>
        <v>1.8115083333333335</v>
      </c>
      <c r="AY435" s="150">
        <v>0</v>
      </c>
      <c r="AZ435" s="150"/>
      <c r="BA435" s="150">
        <f t="shared" si="235"/>
        <v>1.8115083333333335</v>
      </c>
      <c r="BB435" s="150"/>
      <c r="BC435" s="522">
        <f t="shared" si="236"/>
        <v>182.96234166666667</v>
      </c>
      <c r="BD435" s="175"/>
      <c r="BE435" s="527">
        <f t="shared" si="240"/>
        <v>837.87099166666667</v>
      </c>
      <c r="BF435" s="181">
        <f t="shared" si="241"/>
        <v>0.82077158367346936</v>
      </c>
      <c r="BG435" s="520" t="b">
        <f t="shared" si="229"/>
        <v>0</v>
      </c>
      <c r="BI435" s="528" t="s">
        <v>2181</v>
      </c>
      <c r="BL435" s="151" t="str">
        <f t="shared" si="243"/>
        <v>EoKMetro - Nationaal</v>
      </c>
      <c r="BM435" s="529">
        <v>0</v>
      </c>
      <c r="BN435" s="180">
        <f>BM435/INDEX(Parameters!$B:$B,MATCH("AfschrijftermijnVVE"&amp;12*$C435,Parameters!$A:$A,0))</f>
        <v>0</v>
      </c>
      <c r="BO435" s="184">
        <f>INDEX('inkoop ULL tbv EVPN'!I:I,MATCH(BL435,'inkoop ULL tbv EVPN'!H:H,0))</f>
        <v>2</v>
      </c>
      <c r="BP435" s="184">
        <f t="shared" si="244"/>
        <v>2</v>
      </c>
      <c r="BR435" s="180">
        <f>Parameters!$B$12*AG435</f>
        <v>102.08333333333334</v>
      </c>
      <c r="BS435" s="180">
        <f>SUM(Distributievergoedingen!$F$12,Distributievergoedingen!$I$12,Distributievergoedingen!$L$12,Distributievergoedingen!$O$12)*AF435+SUM(Distributievergoedingen!$O$12*AA435+Distributievergoedingen!$R$12+Distributievergoedingen!$U$12+Distributievergoedingen!$X$12)/(MAX(36,12*C435))</f>
        <v>112.08333333333333</v>
      </c>
      <c r="BT435" s="150"/>
      <c r="BU435" s="150">
        <f t="shared" si="245"/>
        <v>214.16666666666669</v>
      </c>
      <c r="BW435" s="522">
        <f t="shared" si="246"/>
        <v>216.16666666666669</v>
      </c>
      <c r="BY435" s="527">
        <f t="shared" si="247"/>
        <v>804.66666666666674</v>
      </c>
      <c r="BZ435" s="181">
        <f t="shared" si="248"/>
        <v>0.78824489795918373</v>
      </c>
      <c r="CA435" s="520" t="b">
        <f t="shared" si="249"/>
        <v>0</v>
      </c>
    </row>
    <row r="436" spans="1:79" s="151" customFormat="1">
      <c r="A436" s="151" t="str">
        <f t="shared" si="242"/>
        <v>4EoKPremiumRegionaal200</v>
      </c>
      <c r="B436" s="520" t="str">
        <f t="shared" si="237"/>
        <v>4EoKPremiumRegionaal200</v>
      </c>
      <c r="C436" s="179">
        <v>4</v>
      </c>
      <c r="D436" s="179" t="s">
        <v>303</v>
      </c>
      <c r="E436" s="178" t="s">
        <v>267</v>
      </c>
      <c r="F436" s="178" t="s">
        <v>265</v>
      </c>
      <c r="G436" s="185" t="s">
        <v>419</v>
      </c>
      <c r="J436" s="520" t="str">
        <f t="shared" si="227"/>
        <v>PremiumRegionaal200</v>
      </c>
      <c r="L436" s="204">
        <f>INDEX(Mapping!$H:$H,MATCH(C$3&amp;C436,Mapping!$B:$B,0))</f>
        <v>1</v>
      </c>
      <c r="M436" s="204" t="str">
        <f>INDEX(Mapping!$H:$H,MATCH(D$3&amp;$D436,Mapping!$B:$B,0))</f>
        <v>EoK</v>
      </c>
      <c r="N436" s="204" t="str">
        <f>INDEX(Mapping!$H:$H,MATCH(E$3&amp;E436,Mapping!$B:$B,0))</f>
        <v>Premium</v>
      </c>
      <c r="O436" s="204" t="str">
        <f>INDEX(Mapping!$H:$H,MATCH(F$3&amp;F436,Mapping!$B:$B,0))</f>
        <v>Metro</v>
      </c>
      <c r="P436" s="204">
        <f>INDEX(Mapping!$H:$H,MATCH(G$3&amp;G436,Mapping!$B:$B,0))</f>
        <v>200</v>
      </c>
      <c r="Q436" s="204" t="str">
        <f>INDEX(Mapping!$H:$H,MATCH(Q$3&amp;$F436,Mapping!$B:$B,0))</f>
        <v>Metro - Nationaal</v>
      </c>
      <c r="R436" s="204" t="str">
        <f>INDEX(Mapping!$H:$H,MATCH("ZM VPN Service Level"&amp;E436,Mapping!$B:$B,0))</f>
        <v>Advanced</v>
      </c>
      <c r="S436" s="139" t="b">
        <f>IF($D436="EoK",INDEX(Mapping!$I:$I,MATCH($G$3&amp;$G436,Mapping!B:B,0)),FALSE)</f>
        <v>0</v>
      </c>
      <c r="T436" s="139"/>
      <c r="U436" s="520" t="str">
        <f t="shared" si="228"/>
        <v>PremiumMetro200</v>
      </c>
      <c r="W436" s="521">
        <f>MATCH($J436,'Tarieven ZM'!$B:$B,0)</f>
        <v>98</v>
      </c>
      <c r="X436" s="204">
        <f>INDEX('Tarieven ZM'!$H:$H,$W436)</f>
        <v>1000</v>
      </c>
      <c r="Y436" s="198">
        <f>-INDEX(Parameters!$B:$B,MATCH(Y$3&amp;$C436,Parameters!$A:$A,0))*$X436</f>
        <v>0</v>
      </c>
      <c r="Z436" s="198">
        <f>-INDEX(Parameters!$B:$B,MATCH(Z$3&amp;$C436,Parameters!$A:$A,0))*$X436</f>
        <v>0</v>
      </c>
      <c r="AA436" s="139">
        <f t="shared" si="230"/>
        <v>1000</v>
      </c>
      <c r="AB436" s="205">
        <f>AA436/INDEX(Parameters!$B:$B,MATCH("AfschrijftermijnVVE"&amp;12*$C436,Parameters!$A:$A,0))</f>
        <v>20.833333333333332</v>
      </c>
      <c r="AC436" s="204">
        <f>INDEX('Tarieven ZM'!$G:$G,$W436)</f>
        <v>1000</v>
      </c>
      <c r="AD436" s="198">
        <f>-INDEX(Parameters!$B:$B,MATCH(AD$3&amp;$C436,Parameters!$A:$A,0))*$AC436</f>
        <v>0</v>
      </c>
      <c r="AE436" s="198">
        <f>-INDEX(Parameters!$B:$B,MATCH(AE$3,Parameters!$A:$A,0))*$AC436</f>
        <v>0</v>
      </c>
      <c r="AF436" s="139">
        <f t="shared" si="231"/>
        <v>1000</v>
      </c>
      <c r="AG436" s="522">
        <f t="shared" si="232"/>
        <v>1020.8333333333334</v>
      </c>
      <c r="AH436" s="175"/>
      <c r="AI436" s="523">
        <f>MATCH($U436,'Tarieven W&amp;O'!$B:$B,0)</f>
        <v>71</v>
      </c>
      <c r="AJ436" s="204">
        <f>IF(AI436&lt;&gt;"nvt",INDEX('Tarieven W&amp;O'!$H:$H,$AI436),0)</f>
        <v>0</v>
      </c>
      <c r="AK436" s="204">
        <f>IF(AI436&lt;&gt;"nvt",INDEX('Tarieven W&amp;O'!$I:$I,$AI436),0)</f>
        <v>25</v>
      </c>
      <c r="AL436" s="524">
        <f>IF(AI436&lt;&gt;"nvt",-INDEX(Parameters!$B:$B,MATCH(AL$3,Parameters!$A:$A,0))*(AJ436+AK436),0)</f>
        <v>0</v>
      </c>
      <c r="AM436" s="525"/>
      <c r="AN436" s="139">
        <f t="shared" si="233"/>
        <v>25</v>
      </c>
      <c r="AO436" s="205">
        <f>AN436/INDEX(Parameters!$B:$B,MATCH("AfschrijftermijnVVE"&amp;12*$C436,Parameters!$A:$A,0))</f>
        <v>0.52083333333333337</v>
      </c>
      <c r="AP436" s="139">
        <f t="shared" si="234"/>
        <v>71</v>
      </c>
      <c r="AQ436" s="526">
        <f>IF(AP436&lt;&gt;"nvt",INDEX('Tarieven W&amp;O'!$G:$G,$AP436),0)</f>
        <v>216.32</v>
      </c>
      <c r="AR436" s="251">
        <f>IF($S436,INDEX('Tarieven W&amp;O'!$G:$G,MATCH(N436&amp;R436,'Tarieven W&amp;O'!$B:$B,0)),0)</f>
        <v>0</v>
      </c>
      <c r="AS436" s="205">
        <f>-INDEX(Parameters!$B:$B,MATCH(AS$3,Parameters!$A:$A,0))*(AQ436+AR436)</f>
        <v>0</v>
      </c>
      <c r="AT436" s="205">
        <f>INDEX(hulpblad!$E:$E,MATCH(M436&amp;Q436,hulpblad!$B:$B,0))</f>
        <v>2</v>
      </c>
      <c r="AU436" s="150">
        <f t="shared" si="238"/>
        <v>218.32</v>
      </c>
      <c r="AV436" s="150">
        <f t="shared" si="239"/>
        <v>218.84083333333334</v>
      </c>
      <c r="AX436" s="526">
        <f>Parameters!$B$6*AV436</f>
        <v>2.1884083333333333</v>
      </c>
      <c r="AY436" s="150">
        <v>0</v>
      </c>
      <c r="AZ436" s="150"/>
      <c r="BA436" s="150">
        <f t="shared" si="235"/>
        <v>2.1884083333333333</v>
      </c>
      <c r="BB436" s="150"/>
      <c r="BC436" s="522">
        <f t="shared" si="236"/>
        <v>221.02924166666668</v>
      </c>
      <c r="BD436" s="175"/>
      <c r="BE436" s="527">
        <f t="shared" si="240"/>
        <v>799.80409166666664</v>
      </c>
      <c r="BF436" s="181">
        <f t="shared" si="241"/>
        <v>0.78348155918367346</v>
      </c>
      <c r="BG436" s="520" t="b">
        <f t="shared" si="229"/>
        <v>0</v>
      </c>
      <c r="BI436" s="528" t="s">
        <v>2181</v>
      </c>
      <c r="BL436" s="151" t="str">
        <f t="shared" si="243"/>
        <v>EoKMetro - Nationaal</v>
      </c>
      <c r="BM436" s="529">
        <v>0</v>
      </c>
      <c r="BN436" s="180">
        <f>BM436/INDEX(Parameters!$B:$B,MATCH("AfschrijftermijnVVE"&amp;12*$C436,Parameters!$A:$A,0))</f>
        <v>0</v>
      </c>
      <c r="BO436" s="184">
        <f>INDEX('inkoop ULL tbv EVPN'!I:I,MATCH(BL436,'inkoop ULL tbv EVPN'!H:H,0))</f>
        <v>2</v>
      </c>
      <c r="BP436" s="184">
        <f t="shared" si="244"/>
        <v>2</v>
      </c>
      <c r="BR436" s="180">
        <f>Parameters!$B$12*AG436</f>
        <v>102.08333333333334</v>
      </c>
      <c r="BS436" s="180">
        <f>SUM(Distributievergoedingen!$F$12,Distributievergoedingen!$I$12,Distributievergoedingen!$L$12,Distributievergoedingen!$O$12)*AF436+SUM(Distributievergoedingen!$O$12*AA436+Distributievergoedingen!$R$12+Distributievergoedingen!$U$12+Distributievergoedingen!$X$12)/(MAX(36,12*C436))</f>
        <v>112.08333333333333</v>
      </c>
      <c r="BT436" s="150"/>
      <c r="BU436" s="150">
        <f t="shared" si="245"/>
        <v>214.16666666666669</v>
      </c>
      <c r="BW436" s="522">
        <f t="shared" si="246"/>
        <v>216.16666666666669</v>
      </c>
      <c r="BY436" s="527">
        <f t="shared" si="247"/>
        <v>804.66666666666674</v>
      </c>
      <c r="BZ436" s="181">
        <f t="shared" si="248"/>
        <v>0.78824489795918373</v>
      </c>
      <c r="CA436" s="520" t="b">
        <f t="shared" si="249"/>
        <v>0</v>
      </c>
    </row>
    <row r="437" spans="1:79" s="151" customFormat="1">
      <c r="A437" s="151" t="str">
        <f t="shared" si="242"/>
        <v>4EoKPremiumRegionaal300</v>
      </c>
      <c r="B437" s="520" t="str">
        <f t="shared" si="237"/>
        <v>4EoKPremiumRegionaal300</v>
      </c>
      <c r="C437" s="179">
        <v>4</v>
      </c>
      <c r="D437" s="179" t="s">
        <v>303</v>
      </c>
      <c r="E437" s="178" t="s">
        <v>267</v>
      </c>
      <c r="F437" s="178" t="s">
        <v>265</v>
      </c>
      <c r="G437" s="185" t="s">
        <v>420</v>
      </c>
      <c r="J437" s="520" t="str">
        <f t="shared" si="227"/>
        <v>PremiumRegionaal300</v>
      </c>
      <c r="L437" s="204">
        <f>INDEX(Mapping!$H:$H,MATCH(C$3&amp;C437,Mapping!$B:$B,0))</f>
        <v>1</v>
      </c>
      <c r="M437" s="204" t="str">
        <f>INDEX(Mapping!$H:$H,MATCH(D$3&amp;$D437,Mapping!$B:$B,0))</f>
        <v>EoK</v>
      </c>
      <c r="N437" s="204" t="str">
        <f>INDEX(Mapping!$H:$H,MATCH(E$3&amp;E437,Mapping!$B:$B,0))</f>
        <v>Premium</v>
      </c>
      <c r="O437" s="204" t="str">
        <f>INDEX(Mapping!$H:$H,MATCH(F$3&amp;F437,Mapping!$B:$B,0))</f>
        <v>Metro</v>
      </c>
      <c r="P437" s="204">
        <f>INDEX(Mapping!$H:$H,MATCH(G$3&amp;G437,Mapping!$B:$B,0))</f>
        <v>300</v>
      </c>
      <c r="Q437" s="204" t="str">
        <f>INDEX(Mapping!$H:$H,MATCH(Q$3&amp;$F437,Mapping!$B:$B,0))</f>
        <v>Metro - Nationaal</v>
      </c>
      <c r="R437" s="204" t="str">
        <f>INDEX(Mapping!$H:$H,MATCH("ZM VPN Service Level"&amp;E437,Mapping!$B:$B,0))</f>
        <v>Advanced</v>
      </c>
      <c r="S437" s="139" t="b">
        <f>IF($D437="EoK",INDEX(Mapping!$I:$I,MATCH($G$3&amp;$G437,Mapping!B:B,0)),FALSE)</f>
        <v>0</v>
      </c>
      <c r="T437" s="139"/>
      <c r="U437" s="520" t="str">
        <f t="shared" si="228"/>
        <v>PremiumMetro300</v>
      </c>
      <c r="W437" s="521">
        <f>MATCH($J437,'Tarieven ZM'!$B:$B,0)</f>
        <v>99</v>
      </c>
      <c r="X437" s="204">
        <f>INDEX('Tarieven ZM'!$H:$H,$W437)</f>
        <v>1000</v>
      </c>
      <c r="Y437" s="198">
        <f>-INDEX(Parameters!$B:$B,MATCH(Y$3&amp;$C437,Parameters!$A:$A,0))*$X437</f>
        <v>0</v>
      </c>
      <c r="Z437" s="198">
        <f>-INDEX(Parameters!$B:$B,MATCH(Z$3&amp;$C437,Parameters!$A:$A,0))*$X437</f>
        <v>0</v>
      </c>
      <c r="AA437" s="139">
        <f t="shared" si="230"/>
        <v>1000</v>
      </c>
      <c r="AB437" s="205">
        <f>AA437/INDEX(Parameters!$B:$B,MATCH("AfschrijftermijnVVE"&amp;12*$C437,Parameters!$A:$A,0))</f>
        <v>20.833333333333332</v>
      </c>
      <c r="AC437" s="204">
        <f>INDEX('Tarieven ZM'!$G:$G,$W437)</f>
        <v>1000</v>
      </c>
      <c r="AD437" s="198">
        <f>-INDEX(Parameters!$B:$B,MATCH(AD$3&amp;$C437,Parameters!$A:$A,0))*$AC437</f>
        <v>0</v>
      </c>
      <c r="AE437" s="198">
        <f>-INDEX(Parameters!$B:$B,MATCH(AE$3,Parameters!$A:$A,0))*$AC437</f>
        <v>0</v>
      </c>
      <c r="AF437" s="139">
        <f t="shared" si="231"/>
        <v>1000</v>
      </c>
      <c r="AG437" s="522">
        <f t="shared" si="232"/>
        <v>1020.8333333333334</v>
      </c>
      <c r="AH437" s="175"/>
      <c r="AI437" s="523">
        <f>MATCH($U437,'Tarieven W&amp;O'!$B:$B,0)</f>
        <v>72</v>
      </c>
      <c r="AJ437" s="204">
        <f>IF(AI437&lt;&gt;"nvt",INDEX('Tarieven W&amp;O'!$H:$H,$AI437),0)</f>
        <v>0</v>
      </c>
      <c r="AK437" s="204">
        <f>IF(AI437&lt;&gt;"nvt",INDEX('Tarieven W&amp;O'!$I:$I,$AI437),0)</f>
        <v>25</v>
      </c>
      <c r="AL437" s="524">
        <f>IF(AI437&lt;&gt;"nvt",-INDEX(Parameters!$B:$B,MATCH(AL$3,Parameters!$A:$A,0))*(AJ437+AK437),0)</f>
        <v>0</v>
      </c>
      <c r="AM437" s="525"/>
      <c r="AN437" s="139">
        <f t="shared" si="233"/>
        <v>25</v>
      </c>
      <c r="AO437" s="205">
        <f>AN437/INDEX(Parameters!$B:$B,MATCH("AfschrijftermijnVVE"&amp;12*$C437,Parameters!$A:$A,0))</f>
        <v>0.52083333333333337</v>
      </c>
      <c r="AP437" s="139">
        <f t="shared" si="234"/>
        <v>72</v>
      </c>
      <c r="AQ437" s="526">
        <f>IF(AP437&lt;&gt;"nvt",INDEX('Tarieven W&amp;O'!$G:$G,$AP437),0)</f>
        <v>254.01</v>
      </c>
      <c r="AR437" s="251">
        <f>IF($S437,INDEX('Tarieven W&amp;O'!$G:$G,MATCH(N437&amp;R437,'Tarieven W&amp;O'!$B:$B,0)),0)</f>
        <v>0</v>
      </c>
      <c r="AS437" s="205">
        <f>-INDEX(Parameters!$B:$B,MATCH(AS$3,Parameters!$A:$A,0))*(AQ437+AR437)</f>
        <v>0</v>
      </c>
      <c r="AT437" s="205">
        <f>INDEX(hulpblad!$E:$E,MATCH(M437&amp;Q437,hulpblad!$B:$B,0))</f>
        <v>2</v>
      </c>
      <c r="AU437" s="150">
        <f t="shared" si="238"/>
        <v>256.01</v>
      </c>
      <c r="AV437" s="150">
        <f t="shared" si="239"/>
        <v>256.53083333333331</v>
      </c>
      <c r="AX437" s="526">
        <f>Parameters!$B$6*AV437</f>
        <v>2.5653083333333333</v>
      </c>
      <c r="AY437" s="150">
        <v>0</v>
      </c>
      <c r="AZ437" s="150"/>
      <c r="BA437" s="150">
        <f t="shared" si="235"/>
        <v>2.5653083333333333</v>
      </c>
      <c r="BB437" s="150"/>
      <c r="BC437" s="522">
        <f t="shared" si="236"/>
        <v>259.09614166666665</v>
      </c>
      <c r="BD437" s="175"/>
      <c r="BE437" s="527">
        <f t="shared" si="240"/>
        <v>761.73719166666672</v>
      </c>
      <c r="BF437" s="181">
        <f t="shared" si="241"/>
        <v>0.74619153469387756</v>
      </c>
      <c r="BG437" s="520" t="b">
        <f t="shared" si="229"/>
        <v>0</v>
      </c>
      <c r="BI437" s="528" t="s">
        <v>2181</v>
      </c>
      <c r="BL437" s="151" t="str">
        <f t="shared" si="243"/>
        <v>EoKMetro - Nationaal</v>
      </c>
      <c r="BM437" s="529">
        <v>0</v>
      </c>
      <c r="BN437" s="180">
        <f>BM437/INDEX(Parameters!$B:$B,MATCH("AfschrijftermijnVVE"&amp;12*$C437,Parameters!$A:$A,0))</f>
        <v>0</v>
      </c>
      <c r="BO437" s="184">
        <f>INDEX('inkoop ULL tbv EVPN'!I:I,MATCH(BL437,'inkoop ULL tbv EVPN'!H:H,0))</f>
        <v>2</v>
      </c>
      <c r="BP437" s="184">
        <f t="shared" si="244"/>
        <v>2</v>
      </c>
      <c r="BR437" s="180">
        <f>Parameters!$B$12*AG437</f>
        <v>102.08333333333334</v>
      </c>
      <c r="BS437" s="180">
        <f>SUM(Distributievergoedingen!$F$12,Distributievergoedingen!$I$12,Distributievergoedingen!$L$12,Distributievergoedingen!$O$12)*AF437+SUM(Distributievergoedingen!$O$12*AA437+Distributievergoedingen!$R$12+Distributievergoedingen!$U$12+Distributievergoedingen!$X$12)/(MAX(36,12*C437))</f>
        <v>112.08333333333333</v>
      </c>
      <c r="BT437" s="150"/>
      <c r="BU437" s="150">
        <f t="shared" si="245"/>
        <v>214.16666666666669</v>
      </c>
      <c r="BW437" s="522">
        <f t="shared" si="246"/>
        <v>216.16666666666669</v>
      </c>
      <c r="BY437" s="527">
        <f t="shared" si="247"/>
        <v>804.66666666666674</v>
      </c>
      <c r="BZ437" s="181">
        <f t="shared" si="248"/>
        <v>0.78824489795918373</v>
      </c>
      <c r="CA437" s="520" t="b">
        <f t="shared" si="249"/>
        <v>0</v>
      </c>
    </row>
    <row r="438" spans="1:79" s="151" customFormat="1">
      <c r="A438" s="151" t="str">
        <f t="shared" si="242"/>
        <v>4EoKPremiumRegionaal500</v>
      </c>
      <c r="B438" s="520" t="str">
        <f t="shared" si="237"/>
        <v>4EoKPremiumRegionaal500</v>
      </c>
      <c r="C438" s="179">
        <v>4</v>
      </c>
      <c r="D438" s="179" t="s">
        <v>303</v>
      </c>
      <c r="E438" s="178" t="s">
        <v>267</v>
      </c>
      <c r="F438" s="178" t="s">
        <v>265</v>
      </c>
      <c r="G438" s="185" t="s">
        <v>421</v>
      </c>
      <c r="J438" s="520" t="str">
        <f t="shared" si="227"/>
        <v>PremiumRegionaal500</v>
      </c>
      <c r="L438" s="204">
        <f>INDEX(Mapping!$H:$H,MATCH(C$3&amp;C438,Mapping!$B:$B,0))</f>
        <v>1</v>
      </c>
      <c r="M438" s="204" t="str">
        <f>INDEX(Mapping!$H:$H,MATCH(D$3&amp;$D438,Mapping!$B:$B,0))</f>
        <v>EoK</v>
      </c>
      <c r="N438" s="204" t="str">
        <f>INDEX(Mapping!$H:$H,MATCH(E$3&amp;E438,Mapping!$B:$B,0))</f>
        <v>Premium</v>
      </c>
      <c r="O438" s="204" t="str">
        <f>INDEX(Mapping!$H:$H,MATCH(F$3&amp;F438,Mapping!$B:$B,0))</f>
        <v>Metro</v>
      </c>
      <c r="P438" s="204">
        <f>INDEX(Mapping!$H:$H,MATCH(G$3&amp;G438,Mapping!$B:$B,0))</f>
        <v>500</v>
      </c>
      <c r="Q438" s="204" t="str">
        <f>INDEX(Mapping!$H:$H,MATCH(Q$3&amp;$F438,Mapping!$B:$B,0))</f>
        <v>Metro - Nationaal</v>
      </c>
      <c r="R438" s="204" t="str">
        <f>INDEX(Mapping!$H:$H,MATCH("ZM VPN Service Level"&amp;E438,Mapping!$B:$B,0))</f>
        <v>Advanced</v>
      </c>
      <c r="S438" s="139" t="b">
        <f>IF($D438="EoK",INDEX(Mapping!$I:$I,MATCH($G$3&amp;$G438,Mapping!B:B,0)),FALSE)</f>
        <v>0</v>
      </c>
      <c r="T438" s="139"/>
      <c r="U438" s="520" t="str">
        <f t="shared" si="228"/>
        <v>PremiumMetro500</v>
      </c>
      <c r="W438" s="521">
        <f>MATCH($J438,'Tarieven ZM'!$B:$B,0)</f>
        <v>100</v>
      </c>
      <c r="X438" s="204">
        <f>INDEX('Tarieven ZM'!$H:$H,$W438)</f>
        <v>1000</v>
      </c>
      <c r="Y438" s="198">
        <f>-INDEX(Parameters!$B:$B,MATCH(Y$3&amp;$C438,Parameters!$A:$A,0))*$X438</f>
        <v>0</v>
      </c>
      <c r="Z438" s="198">
        <f>-INDEX(Parameters!$B:$B,MATCH(Z$3&amp;$C438,Parameters!$A:$A,0))*$X438</f>
        <v>0</v>
      </c>
      <c r="AA438" s="139">
        <f t="shared" si="230"/>
        <v>1000</v>
      </c>
      <c r="AB438" s="205">
        <f>AA438/INDEX(Parameters!$B:$B,MATCH("AfschrijftermijnVVE"&amp;12*$C438,Parameters!$A:$A,0))</f>
        <v>20.833333333333332</v>
      </c>
      <c r="AC438" s="204">
        <f>INDEX('Tarieven ZM'!$G:$G,$W438)</f>
        <v>1000</v>
      </c>
      <c r="AD438" s="198">
        <f>-INDEX(Parameters!$B:$B,MATCH(AD$3&amp;$C438,Parameters!$A:$A,0))*$AC438</f>
        <v>0</v>
      </c>
      <c r="AE438" s="198">
        <f>-INDEX(Parameters!$B:$B,MATCH(AE$3,Parameters!$A:$A,0))*$AC438</f>
        <v>0</v>
      </c>
      <c r="AF438" s="139">
        <f t="shared" si="231"/>
        <v>1000</v>
      </c>
      <c r="AG438" s="522">
        <f t="shared" si="232"/>
        <v>1020.8333333333334</v>
      </c>
      <c r="AH438" s="175"/>
      <c r="AI438" s="523">
        <f>MATCH($U438,'Tarieven W&amp;O'!$B:$B,0)</f>
        <v>73</v>
      </c>
      <c r="AJ438" s="204">
        <f>IF(AI438&lt;&gt;"nvt",INDEX('Tarieven W&amp;O'!$H:$H,$AI438),0)</f>
        <v>0</v>
      </c>
      <c r="AK438" s="204">
        <f>IF(AI438&lt;&gt;"nvt",INDEX('Tarieven W&amp;O'!$I:$I,$AI438),0)</f>
        <v>25</v>
      </c>
      <c r="AL438" s="524">
        <f>IF(AI438&lt;&gt;"nvt",-INDEX(Parameters!$B:$B,MATCH(AL$3,Parameters!$A:$A,0))*(AJ438+AK438),0)</f>
        <v>0</v>
      </c>
      <c r="AM438" s="525"/>
      <c r="AN438" s="139">
        <f t="shared" si="233"/>
        <v>25</v>
      </c>
      <c r="AO438" s="205">
        <f>AN438/INDEX(Parameters!$B:$B,MATCH("AfschrijftermijnVVE"&amp;12*$C438,Parameters!$A:$A,0))</f>
        <v>0.52083333333333337</v>
      </c>
      <c r="AP438" s="139">
        <f t="shared" si="234"/>
        <v>73</v>
      </c>
      <c r="AQ438" s="526">
        <f>IF(AP438&lt;&gt;"nvt",INDEX('Tarieven W&amp;O'!$G:$G,$AP438),0)</f>
        <v>310.54000000000002</v>
      </c>
      <c r="AR438" s="251">
        <f>IF($S438,INDEX('Tarieven W&amp;O'!$G:$G,MATCH(N438&amp;R438,'Tarieven W&amp;O'!$B:$B,0)),0)</f>
        <v>0</v>
      </c>
      <c r="AS438" s="205">
        <f>-INDEX(Parameters!$B:$B,MATCH(AS$3,Parameters!$A:$A,0))*(AQ438+AR438)</f>
        <v>0</v>
      </c>
      <c r="AT438" s="205">
        <f>INDEX(hulpblad!$E:$E,MATCH(M438&amp;Q438,hulpblad!$B:$B,0))</f>
        <v>2</v>
      </c>
      <c r="AU438" s="150">
        <f t="shared" si="238"/>
        <v>312.54000000000002</v>
      </c>
      <c r="AV438" s="150">
        <f t="shared" si="239"/>
        <v>313.06083333333333</v>
      </c>
      <c r="AX438" s="526">
        <f>Parameters!$B$6*AV438</f>
        <v>3.1306083333333334</v>
      </c>
      <c r="AY438" s="150">
        <v>0</v>
      </c>
      <c r="AZ438" s="150"/>
      <c r="BA438" s="150">
        <f t="shared" si="235"/>
        <v>3.1306083333333334</v>
      </c>
      <c r="BB438" s="150"/>
      <c r="BC438" s="522">
        <f t="shared" si="236"/>
        <v>316.19144166666666</v>
      </c>
      <c r="BD438" s="175"/>
      <c r="BE438" s="527">
        <f t="shared" si="240"/>
        <v>704.64189166666665</v>
      </c>
      <c r="BF438" s="181">
        <f t="shared" si="241"/>
        <v>0.69026144489795915</v>
      </c>
      <c r="BG438" s="520" t="b">
        <f t="shared" si="229"/>
        <v>0</v>
      </c>
      <c r="BI438" s="528" t="s">
        <v>2181</v>
      </c>
      <c r="BL438" s="151" t="str">
        <f t="shared" si="243"/>
        <v>EoKMetro - Nationaal</v>
      </c>
      <c r="BM438" s="529">
        <v>0</v>
      </c>
      <c r="BN438" s="180">
        <f>BM438/INDEX(Parameters!$B:$B,MATCH("AfschrijftermijnVVE"&amp;12*$C438,Parameters!$A:$A,0))</f>
        <v>0</v>
      </c>
      <c r="BO438" s="184">
        <f>INDEX('inkoop ULL tbv EVPN'!I:I,MATCH(BL438,'inkoop ULL tbv EVPN'!H:H,0))</f>
        <v>2</v>
      </c>
      <c r="BP438" s="184">
        <f t="shared" si="244"/>
        <v>2</v>
      </c>
      <c r="BR438" s="180">
        <f>Parameters!$B$12*AG438</f>
        <v>102.08333333333334</v>
      </c>
      <c r="BS438" s="180">
        <f>SUM(Distributievergoedingen!$F$12,Distributievergoedingen!$I$12,Distributievergoedingen!$L$12,Distributievergoedingen!$O$12)*AF438+SUM(Distributievergoedingen!$O$12*AA438+Distributievergoedingen!$R$12+Distributievergoedingen!$U$12+Distributievergoedingen!$X$12)/(MAX(36,12*C438))</f>
        <v>112.08333333333333</v>
      </c>
      <c r="BT438" s="150"/>
      <c r="BU438" s="150">
        <f t="shared" si="245"/>
        <v>214.16666666666669</v>
      </c>
      <c r="BW438" s="522">
        <f t="shared" si="246"/>
        <v>216.16666666666669</v>
      </c>
      <c r="BY438" s="527">
        <f t="shared" si="247"/>
        <v>804.66666666666674</v>
      </c>
      <c r="BZ438" s="181">
        <f t="shared" si="248"/>
        <v>0.78824489795918373</v>
      </c>
      <c r="CA438" s="520" t="b">
        <f t="shared" si="249"/>
        <v>0</v>
      </c>
    </row>
    <row r="439" spans="1:79" s="151" customFormat="1">
      <c r="A439" s="151" t="str">
        <f t="shared" si="242"/>
        <v>4EoKPremiumRegionaal800</v>
      </c>
      <c r="B439" s="520" t="str">
        <f t="shared" si="237"/>
        <v>4EoKPremiumRegionaal800</v>
      </c>
      <c r="C439" s="179">
        <v>4</v>
      </c>
      <c r="D439" s="179" t="s">
        <v>303</v>
      </c>
      <c r="E439" s="178" t="s">
        <v>267</v>
      </c>
      <c r="F439" s="178" t="s">
        <v>265</v>
      </c>
      <c r="G439" s="185" t="s">
        <v>422</v>
      </c>
      <c r="J439" s="520" t="str">
        <f t="shared" si="227"/>
        <v>PremiumRegionaal800</v>
      </c>
      <c r="L439" s="204">
        <f>INDEX(Mapping!$H:$H,MATCH(C$3&amp;C439,Mapping!$B:$B,0))</f>
        <v>1</v>
      </c>
      <c r="M439" s="204" t="str">
        <f>INDEX(Mapping!$H:$H,MATCH(D$3&amp;$D439,Mapping!$B:$B,0))</f>
        <v>EoK</v>
      </c>
      <c r="N439" s="204" t="str">
        <f>INDEX(Mapping!$H:$H,MATCH(E$3&amp;E439,Mapping!$B:$B,0))</f>
        <v>Premium</v>
      </c>
      <c r="O439" s="204" t="str">
        <f>INDEX(Mapping!$H:$H,MATCH(F$3&amp;F439,Mapping!$B:$B,0))</f>
        <v>Metro</v>
      </c>
      <c r="P439" s="204">
        <f>INDEX(Mapping!$H:$H,MATCH(G$3&amp;G439,Mapping!$B:$B,0))</f>
        <v>800</v>
      </c>
      <c r="Q439" s="204" t="str">
        <f>INDEX(Mapping!$H:$H,MATCH(Q$3&amp;$F439,Mapping!$B:$B,0))</f>
        <v>Metro - Nationaal</v>
      </c>
      <c r="R439" s="204" t="str">
        <f>INDEX(Mapping!$H:$H,MATCH("ZM VPN Service Level"&amp;E439,Mapping!$B:$B,0))</f>
        <v>Advanced</v>
      </c>
      <c r="S439" s="139" t="b">
        <f>IF($D439="EoK",INDEX(Mapping!$I:$I,MATCH($G$3&amp;$G439,Mapping!B:B,0)),FALSE)</f>
        <v>0</v>
      </c>
      <c r="T439" s="139"/>
      <c r="U439" s="520" t="str">
        <f t="shared" si="228"/>
        <v>PremiumMetro800</v>
      </c>
      <c r="W439" s="521">
        <f>MATCH($J439,'Tarieven ZM'!$B:$B,0)</f>
        <v>101</v>
      </c>
      <c r="X439" s="204">
        <f>INDEX('Tarieven ZM'!$H:$H,$W439)</f>
        <v>1000</v>
      </c>
      <c r="Y439" s="198">
        <f>-INDEX(Parameters!$B:$B,MATCH(Y$3&amp;$C439,Parameters!$A:$A,0))*$X439</f>
        <v>0</v>
      </c>
      <c r="Z439" s="198">
        <f>-INDEX(Parameters!$B:$B,MATCH(Z$3&amp;$C439,Parameters!$A:$A,0))*$X439</f>
        <v>0</v>
      </c>
      <c r="AA439" s="139">
        <f t="shared" si="230"/>
        <v>1000</v>
      </c>
      <c r="AB439" s="205">
        <f>AA439/INDEX(Parameters!$B:$B,MATCH("AfschrijftermijnVVE"&amp;12*$C439,Parameters!$A:$A,0))</f>
        <v>20.833333333333332</v>
      </c>
      <c r="AC439" s="204">
        <f>INDEX('Tarieven ZM'!$G:$G,$W439)</f>
        <v>1000</v>
      </c>
      <c r="AD439" s="198">
        <f>-INDEX(Parameters!$B:$B,MATCH(AD$3&amp;$C439,Parameters!$A:$A,0))*$AC439</f>
        <v>0</v>
      </c>
      <c r="AE439" s="198">
        <f>-INDEX(Parameters!$B:$B,MATCH(AE$3,Parameters!$A:$A,0))*$AC439</f>
        <v>0</v>
      </c>
      <c r="AF439" s="139">
        <f t="shared" si="231"/>
        <v>1000</v>
      </c>
      <c r="AG439" s="522">
        <f t="shared" si="232"/>
        <v>1020.8333333333334</v>
      </c>
      <c r="AH439" s="175"/>
      <c r="AI439" s="523">
        <f>MATCH($U439,'Tarieven W&amp;O'!$B:$B,0)</f>
        <v>74</v>
      </c>
      <c r="AJ439" s="204">
        <f>IF(AI439&lt;&gt;"nvt",INDEX('Tarieven W&amp;O'!$H:$H,$AI439),0)</f>
        <v>0</v>
      </c>
      <c r="AK439" s="204">
        <f>IF(AI439&lt;&gt;"nvt",INDEX('Tarieven W&amp;O'!$I:$I,$AI439),0)</f>
        <v>25</v>
      </c>
      <c r="AL439" s="524">
        <f>IF(AI439&lt;&gt;"nvt",-INDEX(Parameters!$B:$B,MATCH(AL$3,Parameters!$A:$A,0))*(AJ439+AK439),0)</f>
        <v>0</v>
      </c>
      <c r="AM439" s="525"/>
      <c r="AN439" s="139">
        <f t="shared" si="233"/>
        <v>25</v>
      </c>
      <c r="AO439" s="205">
        <f>AN439/INDEX(Parameters!$B:$B,MATCH("AfschrijftermijnVVE"&amp;12*$C439,Parameters!$A:$A,0))</f>
        <v>0.52083333333333337</v>
      </c>
      <c r="AP439" s="139">
        <f t="shared" si="234"/>
        <v>74</v>
      </c>
      <c r="AQ439" s="526">
        <f>IF(AP439&lt;&gt;"nvt",INDEX('Tarieven W&amp;O'!$G:$G,$AP439),0)</f>
        <v>348.23</v>
      </c>
      <c r="AR439" s="251">
        <f>IF($S439,INDEX('Tarieven W&amp;O'!$G:$G,MATCH(N439&amp;R439,'Tarieven W&amp;O'!$B:$B,0)),0)</f>
        <v>0</v>
      </c>
      <c r="AS439" s="205">
        <f>-INDEX(Parameters!$B:$B,MATCH(AS$3,Parameters!$A:$A,0))*(AQ439+AR439)</f>
        <v>0</v>
      </c>
      <c r="AT439" s="205">
        <f>INDEX(hulpblad!$E:$E,MATCH(M439&amp;Q439,hulpblad!$B:$B,0))</f>
        <v>2</v>
      </c>
      <c r="AU439" s="150">
        <f t="shared" si="238"/>
        <v>350.23</v>
      </c>
      <c r="AV439" s="150">
        <f t="shared" si="239"/>
        <v>350.75083333333333</v>
      </c>
      <c r="AX439" s="526">
        <f>Parameters!$B$6*AV439</f>
        <v>3.5075083333333335</v>
      </c>
      <c r="AY439" s="150">
        <v>0</v>
      </c>
      <c r="AZ439" s="150"/>
      <c r="BA439" s="150">
        <f t="shared" si="235"/>
        <v>3.5075083333333335</v>
      </c>
      <c r="BB439" s="150"/>
      <c r="BC439" s="522">
        <f t="shared" si="236"/>
        <v>354.25834166666664</v>
      </c>
      <c r="BD439" s="175"/>
      <c r="BE439" s="527">
        <f t="shared" si="240"/>
        <v>666.57499166666673</v>
      </c>
      <c r="BF439" s="181">
        <f t="shared" si="241"/>
        <v>0.65297142040816336</v>
      </c>
      <c r="BG439" s="520" t="b">
        <f t="shared" si="229"/>
        <v>0</v>
      </c>
      <c r="BI439" s="528" t="s">
        <v>2181</v>
      </c>
      <c r="BL439" s="151" t="str">
        <f t="shared" si="243"/>
        <v>EoKMetro - Nationaal</v>
      </c>
      <c r="BM439" s="529">
        <v>0</v>
      </c>
      <c r="BN439" s="180">
        <f>BM439/INDEX(Parameters!$B:$B,MATCH("AfschrijftermijnVVE"&amp;12*$C439,Parameters!$A:$A,0))</f>
        <v>0</v>
      </c>
      <c r="BO439" s="184">
        <f>INDEX('inkoop ULL tbv EVPN'!I:I,MATCH(BL439,'inkoop ULL tbv EVPN'!H:H,0))</f>
        <v>2</v>
      </c>
      <c r="BP439" s="184">
        <f t="shared" si="244"/>
        <v>2</v>
      </c>
      <c r="BR439" s="180">
        <f>Parameters!$B$12*AG439</f>
        <v>102.08333333333334</v>
      </c>
      <c r="BS439" s="180">
        <f>SUM(Distributievergoedingen!$F$12,Distributievergoedingen!$I$12,Distributievergoedingen!$L$12,Distributievergoedingen!$O$12)*AF439+SUM(Distributievergoedingen!$O$12*AA439+Distributievergoedingen!$R$12+Distributievergoedingen!$U$12+Distributievergoedingen!$X$12)/(MAX(36,12*C439))</f>
        <v>112.08333333333333</v>
      </c>
      <c r="BT439" s="150"/>
      <c r="BU439" s="150">
        <f t="shared" si="245"/>
        <v>214.16666666666669</v>
      </c>
      <c r="BW439" s="522">
        <f t="shared" si="246"/>
        <v>216.16666666666669</v>
      </c>
      <c r="BY439" s="527">
        <f t="shared" si="247"/>
        <v>804.66666666666674</v>
      </c>
      <c r="BZ439" s="181">
        <f t="shared" si="248"/>
        <v>0.78824489795918373</v>
      </c>
      <c r="CA439" s="520" t="b">
        <f t="shared" si="249"/>
        <v>0</v>
      </c>
    </row>
    <row r="440" spans="1:79" s="151" customFormat="1">
      <c r="A440" s="151" t="str">
        <f t="shared" si="242"/>
        <v>4EoKPremiumRegionaal1000</v>
      </c>
      <c r="B440" s="520" t="str">
        <f t="shared" si="237"/>
        <v>4EoKPremiumRegionaal1000</v>
      </c>
      <c r="C440" s="179">
        <v>4</v>
      </c>
      <c r="D440" s="179" t="s">
        <v>303</v>
      </c>
      <c r="E440" s="178" t="s">
        <v>267</v>
      </c>
      <c r="F440" s="178" t="s">
        <v>265</v>
      </c>
      <c r="G440" s="185" t="s">
        <v>423</v>
      </c>
      <c r="J440" s="520" t="str">
        <f t="shared" si="227"/>
        <v>PremiumRegionaal1000</v>
      </c>
      <c r="L440" s="204">
        <f>INDEX(Mapping!$H:$H,MATCH(C$3&amp;C440,Mapping!$B:$B,0))</f>
        <v>1</v>
      </c>
      <c r="M440" s="204" t="str">
        <f>INDEX(Mapping!$H:$H,MATCH(D$3&amp;$D440,Mapping!$B:$B,0))</f>
        <v>EoK</v>
      </c>
      <c r="N440" s="204" t="str">
        <f>INDEX(Mapping!$H:$H,MATCH(E$3&amp;E440,Mapping!$B:$B,0))</f>
        <v>Premium</v>
      </c>
      <c r="O440" s="204" t="str">
        <f>INDEX(Mapping!$H:$H,MATCH(F$3&amp;F440,Mapping!$B:$B,0))</f>
        <v>Metro</v>
      </c>
      <c r="P440" s="204">
        <f>INDEX(Mapping!$H:$H,MATCH(G$3&amp;G440,Mapping!$B:$B,0))</f>
        <v>1000</v>
      </c>
      <c r="Q440" s="204" t="str">
        <f>INDEX(Mapping!$H:$H,MATCH(Q$3&amp;$F440,Mapping!$B:$B,0))</f>
        <v>Metro - Nationaal</v>
      </c>
      <c r="R440" s="204" t="str">
        <f>INDEX(Mapping!$H:$H,MATCH("ZM VPN Service Level"&amp;E440,Mapping!$B:$B,0))</f>
        <v>Advanced</v>
      </c>
      <c r="S440" s="139" t="b">
        <f>IF($D440="EoK",INDEX(Mapping!$I:$I,MATCH($G$3&amp;$G440,Mapping!B:B,0)),FALSE)</f>
        <v>0</v>
      </c>
      <c r="T440" s="139"/>
      <c r="U440" s="520" t="str">
        <f t="shared" si="228"/>
        <v>PremiumMetro1000</v>
      </c>
      <c r="W440" s="521">
        <f>MATCH($J440,'Tarieven ZM'!$B:$B,0)</f>
        <v>102</v>
      </c>
      <c r="X440" s="204">
        <f>INDEX('Tarieven ZM'!$H:$H,$W440)</f>
        <v>1000</v>
      </c>
      <c r="Y440" s="198">
        <f>-INDEX(Parameters!$B:$B,MATCH(Y$3&amp;$C440,Parameters!$A:$A,0))*$X440</f>
        <v>0</v>
      </c>
      <c r="Z440" s="198">
        <f>-INDEX(Parameters!$B:$B,MATCH(Z$3&amp;$C440,Parameters!$A:$A,0))*$X440</f>
        <v>0</v>
      </c>
      <c r="AA440" s="139">
        <f t="shared" si="230"/>
        <v>1000</v>
      </c>
      <c r="AB440" s="205">
        <f>AA440/INDEX(Parameters!$B:$B,MATCH("AfschrijftermijnVVE"&amp;12*$C440,Parameters!$A:$A,0))</f>
        <v>20.833333333333332</v>
      </c>
      <c r="AC440" s="204">
        <f>INDEX('Tarieven ZM'!$G:$G,$W440)</f>
        <v>1000</v>
      </c>
      <c r="AD440" s="198">
        <f>-INDEX(Parameters!$B:$B,MATCH(AD$3&amp;$C440,Parameters!$A:$A,0))*$AC440</f>
        <v>0</v>
      </c>
      <c r="AE440" s="198">
        <f>-INDEX(Parameters!$B:$B,MATCH(AE$3,Parameters!$A:$A,0))*$AC440</f>
        <v>0</v>
      </c>
      <c r="AF440" s="139">
        <f t="shared" si="231"/>
        <v>1000</v>
      </c>
      <c r="AG440" s="522">
        <f t="shared" si="232"/>
        <v>1020.8333333333334</v>
      </c>
      <c r="AH440" s="175"/>
      <c r="AI440" s="523">
        <f>MATCH($U440,'Tarieven W&amp;O'!$B:$B,0)</f>
        <v>75</v>
      </c>
      <c r="AJ440" s="204">
        <f>IF(AI440&lt;&gt;"nvt",INDEX('Tarieven W&amp;O'!$H:$H,$AI440),0)</f>
        <v>0</v>
      </c>
      <c r="AK440" s="204">
        <f>IF(AI440&lt;&gt;"nvt",INDEX('Tarieven W&amp;O'!$I:$I,$AI440),0)</f>
        <v>25</v>
      </c>
      <c r="AL440" s="524">
        <f>IF(AI440&lt;&gt;"nvt",-INDEX(Parameters!$B:$B,MATCH(AL$3,Parameters!$A:$A,0))*(AJ440+AK440),0)</f>
        <v>0</v>
      </c>
      <c r="AM440" s="525"/>
      <c r="AN440" s="139">
        <f t="shared" si="233"/>
        <v>25</v>
      </c>
      <c r="AO440" s="205">
        <f>AN440/INDEX(Parameters!$B:$B,MATCH("AfschrijftermijnVVE"&amp;12*$C440,Parameters!$A:$A,0))</f>
        <v>0.52083333333333337</v>
      </c>
      <c r="AP440" s="139">
        <f t="shared" si="234"/>
        <v>75</v>
      </c>
      <c r="AQ440" s="526">
        <f>IF(AP440&lt;&gt;"nvt",INDEX('Tarieven W&amp;O'!$G:$G,$AP440),0)</f>
        <v>385.93</v>
      </c>
      <c r="AR440" s="251">
        <f>IF($S440,INDEX('Tarieven W&amp;O'!$G:$G,MATCH(N440&amp;R440,'Tarieven W&amp;O'!$B:$B,0)),0)</f>
        <v>0</v>
      </c>
      <c r="AS440" s="205">
        <f>-INDEX(Parameters!$B:$B,MATCH(AS$3,Parameters!$A:$A,0))*(AQ440+AR440)</f>
        <v>0</v>
      </c>
      <c r="AT440" s="205">
        <f>INDEX(hulpblad!$E:$E,MATCH(M440&amp;Q440,hulpblad!$B:$B,0))</f>
        <v>2</v>
      </c>
      <c r="AU440" s="150">
        <f t="shared" si="238"/>
        <v>387.93</v>
      </c>
      <c r="AV440" s="150">
        <f t="shared" si="239"/>
        <v>388.45083333333332</v>
      </c>
      <c r="AX440" s="526">
        <f>Parameters!$B$6*AV440</f>
        <v>3.8845083333333332</v>
      </c>
      <c r="AY440" s="150">
        <v>0</v>
      </c>
      <c r="AZ440" s="150"/>
      <c r="BA440" s="150">
        <f t="shared" si="235"/>
        <v>3.8845083333333332</v>
      </c>
      <c r="BB440" s="150"/>
      <c r="BC440" s="522">
        <f t="shared" si="236"/>
        <v>392.33534166666664</v>
      </c>
      <c r="BD440" s="175"/>
      <c r="BE440" s="527">
        <f t="shared" si="240"/>
        <v>628.49799166666674</v>
      </c>
      <c r="BF440" s="181">
        <f t="shared" si="241"/>
        <v>0.61567150204081633</v>
      </c>
      <c r="BG440" s="520" t="b">
        <f t="shared" si="229"/>
        <v>0</v>
      </c>
      <c r="BI440" s="528" t="s">
        <v>2181</v>
      </c>
      <c r="BL440" s="151" t="str">
        <f t="shared" si="243"/>
        <v>EoKMetro - Nationaal</v>
      </c>
      <c r="BM440" s="529">
        <v>0</v>
      </c>
      <c r="BN440" s="180">
        <f>BM440/INDEX(Parameters!$B:$B,MATCH("AfschrijftermijnVVE"&amp;12*$C440,Parameters!$A:$A,0))</f>
        <v>0</v>
      </c>
      <c r="BO440" s="184">
        <f>INDEX('inkoop ULL tbv EVPN'!I:I,MATCH(BL440,'inkoop ULL tbv EVPN'!H:H,0))</f>
        <v>2</v>
      </c>
      <c r="BP440" s="184">
        <f t="shared" si="244"/>
        <v>2</v>
      </c>
      <c r="BR440" s="180">
        <f>Parameters!$B$12*AG440</f>
        <v>102.08333333333334</v>
      </c>
      <c r="BS440" s="180">
        <f>SUM(Distributievergoedingen!$F$12,Distributievergoedingen!$I$12,Distributievergoedingen!$L$12,Distributievergoedingen!$O$12)*AF440+SUM(Distributievergoedingen!$O$12*AA440+Distributievergoedingen!$R$12+Distributievergoedingen!$U$12+Distributievergoedingen!$X$12)/(MAX(36,12*C440))</f>
        <v>112.08333333333333</v>
      </c>
      <c r="BT440" s="150"/>
      <c r="BU440" s="150">
        <f t="shared" si="245"/>
        <v>214.16666666666669</v>
      </c>
      <c r="BW440" s="522">
        <f t="shared" si="246"/>
        <v>216.16666666666669</v>
      </c>
      <c r="BY440" s="527">
        <f t="shared" si="247"/>
        <v>804.66666666666674</v>
      </c>
      <c r="BZ440" s="181">
        <f t="shared" si="248"/>
        <v>0.78824489795918373</v>
      </c>
      <c r="CA440" s="520" t="b">
        <f t="shared" si="249"/>
        <v>0</v>
      </c>
    </row>
    <row r="441" spans="1:79" s="151" customFormat="1">
      <c r="A441" s="151" t="str">
        <f t="shared" si="242"/>
        <v>4EoKPremiumNationaal1</v>
      </c>
      <c r="B441" s="520" t="str">
        <f t="shared" si="237"/>
        <v>4EoKPremiumNationaal1</v>
      </c>
      <c r="C441" s="179">
        <v>4</v>
      </c>
      <c r="D441" s="179" t="s">
        <v>303</v>
      </c>
      <c r="E441" s="178" t="s">
        <v>267</v>
      </c>
      <c r="F441" s="178" t="s">
        <v>266</v>
      </c>
      <c r="G441" s="185" t="s">
        <v>362</v>
      </c>
      <c r="J441" s="520" t="str">
        <f t="shared" si="227"/>
        <v>PremiumNationaal1</v>
      </c>
      <c r="L441" s="204">
        <f>INDEX(Mapping!$H:$H,MATCH(C$3&amp;C441,Mapping!$B:$B,0))</f>
        <v>1</v>
      </c>
      <c r="M441" s="204" t="str">
        <f>INDEX(Mapping!$H:$H,MATCH(D$3&amp;$D441,Mapping!$B:$B,0))</f>
        <v>EoK</v>
      </c>
      <c r="N441" s="204" t="str">
        <f>INDEX(Mapping!$H:$H,MATCH(E$3&amp;E441,Mapping!$B:$B,0))</f>
        <v>Premium</v>
      </c>
      <c r="O441" s="204" t="str">
        <f>INDEX(Mapping!$H:$H,MATCH(F$3&amp;F441,Mapping!$B:$B,0))</f>
        <v>Metro</v>
      </c>
      <c r="P441" s="204">
        <f>INDEX(Mapping!$H:$H,MATCH(G$3&amp;G441,Mapping!$B:$B,0))</f>
        <v>1</v>
      </c>
      <c r="Q441" s="204" t="str">
        <f>INDEX(Mapping!$H:$H,MATCH(Q$3&amp;$F441,Mapping!$B:$B,0))</f>
        <v>Metro - Nationaal</v>
      </c>
      <c r="R441" s="204" t="str">
        <f>INDEX(Mapping!$H:$H,MATCH("ZM VPN Service Level"&amp;E441,Mapping!$B:$B,0))</f>
        <v>Advanced</v>
      </c>
      <c r="S441" s="139" t="b">
        <f>IF($D441="EoK",INDEX(Mapping!$I:$I,MATCH($G$3&amp;$G441,Mapping!B:B,0)),FALSE)</f>
        <v>1</v>
      </c>
      <c r="T441" s="139"/>
      <c r="U441" s="520" t="str">
        <f t="shared" si="228"/>
        <v>PremiumMetro1</v>
      </c>
      <c r="W441" s="521">
        <f>MATCH($J441,'Tarieven ZM'!$B:$B,0)</f>
        <v>103</v>
      </c>
      <c r="X441" s="204">
        <f>INDEX('Tarieven ZM'!$H:$H,$W441)</f>
        <v>1000</v>
      </c>
      <c r="Y441" s="198">
        <f>-INDEX(Parameters!$B:$B,MATCH(Y$3&amp;$C441,Parameters!$A:$A,0))*$X441</f>
        <v>0</v>
      </c>
      <c r="Z441" s="198">
        <f>-INDEX(Parameters!$B:$B,MATCH(Z$3&amp;$C441,Parameters!$A:$A,0))*$X441</f>
        <v>0</v>
      </c>
      <c r="AA441" s="139">
        <f t="shared" si="230"/>
        <v>1000</v>
      </c>
      <c r="AB441" s="205">
        <f>AA441/INDEX(Parameters!$B:$B,MATCH("AfschrijftermijnVVE"&amp;12*$C441,Parameters!$A:$A,0))</f>
        <v>20.833333333333332</v>
      </c>
      <c r="AC441" s="204">
        <f>INDEX('Tarieven ZM'!$G:$G,$W441)</f>
        <v>1000</v>
      </c>
      <c r="AD441" s="198">
        <f>-INDEX(Parameters!$B:$B,MATCH(AD$3&amp;$C441,Parameters!$A:$A,0))*$AC441</f>
        <v>0</v>
      </c>
      <c r="AE441" s="198">
        <f>-INDEX(Parameters!$B:$B,MATCH(AE$3,Parameters!$A:$A,0))*$AC441</f>
        <v>0</v>
      </c>
      <c r="AF441" s="139">
        <f t="shared" si="231"/>
        <v>1000</v>
      </c>
      <c r="AG441" s="522">
        <f t="shared" si="232"/>
        <v>1020.8333333333334</v>
      </c>
      <c r="AH441" s="175"/>
      <c r="AI441" s="523">
        <f>MATCH($U441,'Tarieven W&amp;O'!$B:$B,0)</f>
        <v>57</v>
      </c>
      <c r="AJ441" s="204">
        <f>IF(AI441&lt;&gt;"nvt",INDEX('Tarieven W&amp;O'!$H:$H,$AI441),0)</f>
        <v>0</v>
      </c>
      <c r="AK441" s="204">
        <f>IF(AI441&lt;&gt;"nvt",INDEX('Tarieven W&amp;O'!$I:$I,$AI441),0)</f>
        <v>25</v>
      </c>
      <c r="AL441" s="524">
        <f>IF(AI441&lt;&gt;"nvt",-INDEX(Parameters!$B:$B,MATCH(AL$3,Parameters!$A:$A,0))*(AJ441+AK441),0)</f>
        <v>0</v>
      </c>
      <c r="AM441" s="525"/>
      <c r="AN441" s="139">
        <f t="shared" si="233"/>
        <v>25</v>
      </c>
      <c r="AO441" s="205">
        <f>AN441/INDEX(Parameters!$B:$B,MATCH("AfschrijftermijnVVE"&amp;12*$C441,Parameters!$A:$A,0))</f>
        <v>0.52083333333333337</v>
      </c>
      <c r="AP441" s="139">
        <f t="shared" si="234"/>
        <v>57</v>
      </c>
      <c r="AQ441" s="526">
        <f>IF(AP441&lt;&gt;"nvt",INDEX('Tarieven W&amp;O'!$G:$G,$AP441),0)</f>
        <v>14.29</v>
      </c>
      <c r="AR441" s="251">
        <f>IF($S441,INDEX('Tarieven W&amp;O'!$G:$G,MATCH(N441&amp;R441,'Tarieven W&amp;O'!$B:$B,0)),0)</f>
        <v>0</v>
      </c>
      <c r="AS441" s="205">
        <f>-INDEX(Parameters!$B:$B,MATCH(AS$3,Parameters!$A:$A,0))*(AQ441+AR441)</f>
        <v>0</v>
      </c>
      <c r="AT441" s="205">
        <f>INDEX(hulpblad!$E:$E,MATCH(M441&amp;Q441,hulpblad!$B:$B,0))</f>
        <v>2</v>
      </c>
      <c r="AU441" s="150">
        <f t="shared" si="238"/>
        <v>16.29</v>
      </c>
      <c r="AV441" s="150">
        <f t="shared" si="239"/>
        <v>16.810833333333331</v>
      </c>
      <c r="AX441" s="526">
        <f>Parameters!$B$6*AV441</f>
        <v>0.1681083333333333</v>
      </c>
      <c r="AY441" s="150">
        <v>0</v>
      </c>
      <c r="AZ441" s="150"/>
      <c r="BA441" s="150">
        <f t="shared" si="235"/>
        <v>0.1681083333333333</v>
      </c>
      <c r="BB441" s="150"/>
      <c r="BC441" s="522">
        <f t="shared" si="236"/>
        <v>16.978941666666664</v>
      </c>
      <c r="BD441" s="175"/>
      <c r="BE441" s="527">
        <f t="shared" si="240"/>
        <v>1003.8543916666667</v>
      </c>
      <c r="BF441" s="181">
        <f t="shared" si="241"/>
        <v>0.98336756734693886</v>
      </c>
      <c r="BG441" s="520" t="b">
        <f t="shared" si="229"/>
        <v>0</v>
      </c>
      <c r="BI441" s="528" t="s">
        <v>2181</v>
      </c>
      <c r="BL441" s="151" t="str">
        <f t="shared" si="243"/>
        <v>EoKMetro - Nationaal</v>
      </c>
      <c r="BM441" s="529">
        <v>0</v>
      </c>
      <c r="BN441" s="180">
        <f>BM441/INDEX(Parameters!$B:$B,MATCH("AfschrijftermijnVVE"&amp;12*$C441,Parameters!$A:$A,0))</f>
        <v>0</v>
      </c>
      <c r="BO441" s="184">
        <f>INDEX('inkoop ULL tbv EVPN'!I:I,MATCH(BL441,'inkoop ULL tbv EVPN'!H:H,0))</f>
        <v>2</v>
      </c>
      <c r="BP441" s="184">
        <f t="shared" si="244"/>
        <v>2</v>
      </c>
      <c r="BR441" s="180">
        <f>Parameters!$B$12*AG441</f>
        <v>102.08333333333334</v>
      </c>
      <c r="BS441" s="180">
        <f>SUM(Distributievergoedingen!$F$12,Distributievergoedingen!$I$12,Distributievergoedingen!$L$12,Distributievergoedingen!$O$12)*AF441+SUM(Distributievergoedingen!$O$12*AA441+Distributievergoedingen!$R$12+Distributievergoedingen!$U$12+Distributievergoedingen!$X$12)/(MAX(36,12*C441))</f>
        <v>112.08333333333333</v>
      </c>
      <c r="BT441" s="150"/>
      <c r="BU441" s="150">
        <f t="shared" si="245"/>
        <v>214.16666666666669</v>
      </c>
      <c r="BW441" s="522">
        <f t="shared" si="246"/>
        <v>216.16666666666669</v>
      </c>
      <c r="BY441" s="527">
        <f t="shared" si="247"/>
        <v>804.66666666666674</v>
      </c>
      <c r="BZ441" s="181">
        <f t="shared" si="248"/>
        <v>0.78824489795918373</v>
      </c>
      <c r="CA441" s="520" t="b">
        <f t="shared" si="249"/>
        <v>0</v>
      </c>
    </row>
    <row r="442" spans="1:79" s="151" customFormat="1">
      <c r="A442" s="151" t="str">
        <f t="shared" si="242"/>
        <v>4EoKPremiumNationaal2</v>
      </c>
      <c r="B442" s="520" t="str">
        <f t="shared" si="237"/>
        <v>4EoKPremiumNationaal2</v>
      </c>
      <c r="C442" s="179">
        <v>4</v>
      </c>
      <c r="D442" s="179" t="s">
        <v>303</v>
      </c>
      <c r="E442" s="178" t="s">
        <v>267</v>
      </c>
      <c r="F442" s="178" t="s">
        <v>266</v>
      </c>
      <c r="G442" s="185" t="s">
        <v>363</v>
      </c>
      <c r="J442" s="520" t="str">
        <f t="shared" si="227"/>
        <v>PremiumNationaal2</v>
      </c>
      <c r="L442" s="204">
        <f>INDEX(Mapping!$H:$H,MATCH(C$3&amp;C442,Mapping!$B:$B,0))</f>
        <v>1</v>
      </c>
      <c r="M442" s="204" t="str">
        <f>INDEX(Mapping!$H:$H,MATCH(D$3&amp;$D442,Mapping!$B:$B,0))</f>
        <v>EoK</v>
      </c>
      <c r="N442" s="204" t="str">
        <f>INDEX(Mapping!$H:$H,MATCH(E$3&amp;E442,Mapping!$B:$B,0))</f>
        <v>Premium</v>
      </c>
      <c r="O442" s="204" t="str">
        <f>INDEX(Mapping!$H:$H,MATCH(F$3&amp;F442,Mapping!$B:$B,0))</f>
        <v>Metro</v>
      </c>
      <c r="P442" s="204">
        <f>INDEX(Mapping!$H:$H,MATCH(G$3&amp;G442,Mapping!$B:$B,0))</f>
        <v>2</v>
      </c>
      <c r="Q442" s="204" t="str">
        <f>INDEX(Mapping!$H:$H,MATCH(Q$3&amp;$F442,Mapping!$B:$B,0))</f>
        <v>Metro - Nationaal</v>
      </c>
      <c r="R442" s="204" t="str">
        <f>INDEX(Mapping!$H:$H,MATCH("ZM VPN Service Level"&amp;E442,Mapping!$B:$B,0))</f>
        <v>Advanced</v>
      </c>
      <c r="S442" s="139" t="b">
        <f>IF($D442="EoK",INDEX(Mapping!$I:$I,MATCH($G$3&amp;$G442,Mapping!B:B,0)),FALSE)</f>
        <v>1</v>
      </c>
      <c r="T442" s="139"/>
      <c r="U442" s="520" t="str">
        <f t="shared" si="228"/>
        <v>PremiumMetro2</v>
      </c>
      <c r="W442" s="521">
        <f>MATCH($J442,'Tarieven ZM'!$B:$B,0)</f>
        <v>104</v>
      </c>
      <c r="X442" s="204">
        <f>INDEX('Tarieven ZM'!$H:$H,$W442)</f>
        <v>1000</v>
      </c>
      <c r="Y442" s="198">
        <f>-INDEX(Parameters!$B:$B,MATCH(Y$3&amp;$C442,Parameters!$A:$A,0))*$X442</f>
        <v>0</v>
      </c>
      <c r="Z442" s="198">
        <f>-INDEX(Parameters!$B:$B,MATCH(Z$3&amp;$C442,Parameters!$A:$A,0))*$X442</f>
        <v>0</v>
      </c>
      <c r="AA442" s="139">
        <f t="shared" si="230"/>
        <v>1000</v>
      </c>
      <c r="AB442" s="205">
        <f>AA442/INDEX(Parameters!$B:$B,MATCH("AfschrijftermijnVVE"&amp;12*$C442,Parameters!$A:$A,0))</f>
        <v>20.833333333333332</v>
      </c>
      <c r="AC442" s="204">
        <f>INDEX('Tarieven ZM'!$G:$G,$W442)</f>
        <v>1000</v>
      </c>
      <c r="AD442" s="198">
        <f>-INDEX(Parameters!$B:$B,MATCH(AD$3&amp;$C442,Parameters!$A:$A,0))*$AC442</f>
        <v>0</v>
      </c>
      <c r="AE442" s="198">
        <f>-INDEX(Parameters!$B:$B,MATCH(AE$3,Parameters!$A:$A,0))*$AC442</f>
        <v>0</v>
      </c>
      <c r="AF442" s="139">
        <f t="shared" si="231"/>
        <v>1000</v>
      </c>
      <c r="AG442" s="522">
        <f t="shared" si="232"/>
        <v>1020.8333333333334</v>
      </c>
      <c r="AH442" s="175"/>
      <c r="AI442" s="523">
        <f>MATCH($U442,'Tarieven W&amp;O'!$B:$B,0)</f>
        <v>58</v>
      </c>
      <c r="AJ442" s="204">
        <f>IF(AI442&lt;&gt;"nvt",INDEX('Tarieven W&amp;O'!$H:$H,$AI442),0)</f>
        <v>0</v>
      </c>
      <c r="AK442" s="204">
        <f>IF(AI442&lt;&gt;"nvt",INDEX('Tarieven W&amp;O'!$I:$I,$AI442),0)</f>
        <v>25</v>
      </c>
      <c r="AL442" s="524">
        <f>IF(AI442&lt;&gt;"nvt",-INDEX(Parameters!$B:$B,MATCH(AL$3,Parameters!$A:$A,0))*(AJ442+AK442),0)</f>
        <v>0</v>
      </c>
      <c r="AM442" s="525"/>
      <c r="AN442" s="139">
        <f t="shared" si="233"/>
        <v>25</v>
      </c>
      <c r="AO442" s="205">
        <f>AN442/INDEX(Parameters!$B:$B,MATCH("AfschrijftermijnVVE"&amp;12*$C442,Parameters!$A:$A,0))</f>
        <v>0.52083333333333337</v>
      </c>
      <c r="AP442" s="139">
        <f t="shared" si="234"/>
        <v>58</v>
      </c>
      <c r="AQ442" s="526">
        <f>IF(AP442&lt;&gt;"nvt",INDEX('Tarieven W&amp;O'!$G:$G,$AP442),0)</f>
        <v>16.55</v>
      </c>
      <c r="AR442" s="251">
        <f>IF($S442,INDEX('Tarieven W&amp;O'!$G:$G,MATCH(N442&amp;R442,'Tarieven W&amp;O'!$B:$B,0)),0)</f>
        <v>0</v>
      </c>
      <c r="AS442" s="205">
        <f>-INDEX(Parameters!$B:$B,MATCH(AS$3,Parameters!$A:$A,0))*(AQ442+AR442)</f>
        <v>0</v>
      </c>
      <c r="AT442" s="205">
        <f>INDEX(hulpblad!$E:$E,MATCH(M442&amp;Q442,hulpblad!$B:$B,0))</f>
        <v>2</v>
      </c>
      <c r="AU442" s="150">
        <f t="shared" si="238"/>
        <v>18.55</v>
      </c>
      <c r="AV442" s="150">
        <f t="shared" si="239"/>
        <v>19.070833333333333</v>
      </c>
      <c r="AX442" s="526">
        <f>Parameters!$B$6*AV442</f>
        <v>0.19070833333333334</v>
      </c>
      <c r="AY442" s="150">
        <v>0</v>
      </c>
      <c r="AZ442" s="150"/>
      <c r="BA442" s="150">
        <f t="shared" si="235"/>
        <v>0.19070833333333334</v>
      </c>
      <c r="BB442" s="150"/>
      <c r="BC442" s="522">
        <f t="shared" si="236"/>
        <v>19.261541666666666</v>
      </c>
      <c r="BD442" s="175"/>
      <c r="BE442" s="527">
        <f t="shared" si="240"/>
        <v>1001.5717916666667</v>
      </c>
      <c r="BF442" s="181">
        <f t="shared" si="241"/>
        <v>0.98113155102040817</v>
      </c>
      <c r="BG442" s="520" t="b">
        <f t="shared" si="229"/>
        <v>0</v>
      </c>
      <c r="BI442" s="528" t="s">
        <v>2181</v>
      </c>
      <c r="BL442" s="151" t="str">
        <f t="shared" si="243"/>
        <v>EoKMetro - Nationaal</v>
      </c>
      <c r="BM442" s="529">
        <v>0</v>
      </c>
      <c r="BN442" s="180">
        <f>BM442/INDEX(Parameters!$B:$B,MATCH("AfschrijftermijnVVE"&amp;12*$C442,Parameters!$A:$A,0))</f>
        <v>0</v>
      </c>
      <c r="BO442" s="184">
        <f>INDEX('inkoop ULL tbv EVPN'!I:I,MATCH(BL442,'inkoop ULL tbv EVPN'!H:H,0))</f>
        <v>2</v>
      </c>
      <c r="BP442" s="184">
        <f t="shared" si="244"/>
        <v>2</v>
      </c>
      <c r="BR442" s="180">
        <f>Parameters!$B$12*AG442</f>
        <v>102.08333333333334</v>
      </c>
      <c r="BS442" s="180">
        <f>SUM(Distributievergoedingen!$F$12,Distributievergoedingen!$I$12,Distributievergoedingen!$L$12,Distributievergoedingen!$O$12)*AF442+SUM(Distributievergoedingen!$O$12*AA442+Distributievergoedingen!$R$12+Distributievergoedingen!$U$12+Distributievergoedingen!$X$12)/(MAX(36,12*C442))</f>
        <v>112.08333333333333</v>
      </c>
      <c r="BT442" s="150"/>
      <c r="BU442" s="150">
        <f t="shared" si="245"/>
        <v>214.16666666666669</v>
      </c>
      <c r="BW442" s="522">
        <f t="shared" si="246"/>
        <v>216.16666666666669</v>
      </c>
      <c r="BY442" s="527">
        <f t="shared" si="247"/>
        <v>804.66666666666674</v>
      </c>
      <c r="BZ442" s="181">
        <f t="shared" si="248"/>
        <v>0.78824489795918373</v>
      </c>
      <c r="CA442" s="520" t="b">
        <f t="shared" si="249"/>
        <v>0</v>
      </c>
    </row>
    <row r="443" spans="1:79" s="151" customFormat="1">
      <c r="A443" s="151" t="str">
        <f t="shared" si="242"/>
        <v>4EoKPremiumNationaal3</v>
      </c>
      <c r="B443" s="520" t="str">
        <f t="shared" si="237"/>
        <v>4EoKPremiumNationaal3</v>
      </c>
      <c r="C443" s="179">
        <v>4</v>
      </c>
      <c r="D443" s="179" t="s">
        <v>303</v>
      </c>
      <c r="E443" s="178" t="s">
        <v>267</v>
      </c>
      <c r="F443" s="178" t="s">
        <v>266</v>
      </c>
      <c r="G443" s="185" t="s">
        <v>407</v>
      </c>
      <c r="J443" s="520" t="str">
        <f t="shared" si="227"/>
        <v>PremiumNationaal3</v>
      </c>
      <c r="L443" s="204">
        <f>INDEX(Mapping!$H:$H,MATCH(C$3&amp;C443,Mapping!$B:$B,0))</f>
        <v>1</v>
      </c>
      <c r="M443" s="204" t="str">
        <f>INDEX(Mapping!$H:$H,MATCH(D$3&amp;$D443,Mapping!$B:$B,0))</f>
        <v>EoK</v>
      </c>
      <c r="N443" s="204" t="str">
        <f>INDEX(Mapping!$H:$H,MATCH(E$3&amp;E443,Mapping!$B:$B,0))</f>
        <v>Premium</v>
      </c>
      <c r="O443" s="204" t="str">
        <f>INDEX(Mapping!$H:$H,MATCH(F$3&amp;F443,Mapping!$B:$B,0))</f>
        <v>Metro</v>
      </c>
      <c r="P443" s="204">
        <f>INDEX(Mapping!$H:$H,MATCH(G$3&amp;G443,Mapping!$B:$B,0))</f>
        <v>3</v>
      </c>
      <c r="Q443" s="204" t="str">
        <f>INDEX(Mapping!$H:$H,MATCH(Q$3&amp;$F443,Mapping!$B:$B,0))</f>
        <v>Metro - Nationaal</v>
      </c>
      <c r="R443" s="204" t="str">
        <f>INDEX(Mapping!$H:$H,MATCH("ZM VPN Service Level"&amp;E443,Mapping!$B:$B,0))</f>
        <v>Advanced</v>
      </c>
      <c r="S443" s="139" t="b">
        <f>IF($D443="EoK",INDEX(Mapping!$I:$I,MATCH($G$3&amp;$G443,Mapping!B:B,0)),FALSE)</f>
        <v>0</v>
      </c>
      <c r="T443" s="139"/>
      <c r="U443" s="520" t="str">
        <f t="shared" si="228"/>
        <v>PremiumMetro3</v>
      </c>
      <c r="W443" s="521">
        <f>MATCH($J443,'Tarieven ZM'!$B:$B,0)</f>
        <v>105</v>
      </c>
      <c r="X443" s="204">
        <f>INDEX('Tarieven ZM'!$H:$H,$W443)</f>
        <v>1000</v>
      </c>
      <c r="Y443" s="198">
        <f>-INDEX(Parameters!$B:$B,MATCH(Y$3&amp;$C443,Parameters!$A:$A,0))*$X443</f>
        <v>0</v>
      </c>
      <c r="Z443" s="198">
        <f>-INDEX(Parameters!$B:$B,MATCH(Z$3&amp;$C443,Parameters!$A:$A,0))*$X443</f>
        <v>0</v>
      </c>
      <c r="AA443" s="139">
        <f t="shared" si="230"/>
        <v>1000</v>
      </c>
      <c r="AB443" s="205">
        <f>AA443/INDEX(Parameters!$B:$B,MATCH("AfschrijftermijnVVE"&amp;12*$C443,Parameters!$A:$A,0))</f>
        <v>20.833333333333332</v>
      </c>
      <c r="AC443" s="204">
        <f>INDEX('Tarieven ZM'!$G:$G,$W443)</f>
        <v>1000</v>
      </c>
      <c r="AD443" s="198">
        <f>-INDEX(Parameters!$B:$B,MATCH(AD$3&amp;$C443,Parameters!$A:$A,0))*$AC443</f>
        <v>0</v>
      </c>
      <c r="AE443" s="198">
        <f>-INDEX(Parameters!$B:$B,MATCH(AE$3,Parameters!$A:$A,0))*$AC443</f>
        <v>0</v>
      </c>
      <c r="AF443" s="139">
        <f t="shared" si="231"/>
        <v>1000</v>
      </c>
      <c r="AG443" s="522">
        <f t="shared" si="232"/>
        <v>1020.8333333333334</v>
      </c>
      <c r="AH443" s="175"/>
      <c r="AI443" s="523">
        <f>MATCH($U443,'Tarieven W&amp;O'!$B:$B,0)</f>
        <v>59</v>
      </c>
      <c r="AJ443" s="204">
        <f>IF(AI443&lt;&gt;"nvt",INDEX('Tarieven W&amp;O'!$H:$H,$AI443),0)</f>
        <v>0</v>
      </c>
      <c r="AK443" s="204">
        <f>IF(AI443&lt;&gt;"nvt",INDEX('Tarieven W&amp;O'!$I:$I,$AI443),0)</f>
        <v>25</v>
      </c>
      <c r="AL443" s="524">
        <f>IF(AI443&lt;&gt;"nvt",-INDEX(Parameters!$B:$B,MATCH(AL$3,Parameters!$A:$A,0))*(AJ443+AK443),0)</f>
        <v>0</v>
      </c>
      <c r="AM443" s="525"/>
      <c r="AN443" s="139">
        <f t="shared" si="233"/>
        <v>25</v>
      </c>
      <c r="AO443" s="205">
        <f>AN443/INDEX(Parameters!$B:$B,MATCH("AfschrijftermijnVVE"&amp;12*$C443,Parameters!$A:$A,0))</f>
        <v>0.52083333333333337</v>
      </c>
      <c r="AP443" s="139">
        <f t="shared" si="234"/>
        <v>59</v>
      </c>
      <c r="AQ443" s="526">
        <f>IF(AP443&lt;&gt;"nvt",INDEX('Tarieven W&amp;O'!$G:$G,$AP443),0)</f>
        <v>27.86</v>
      </c>
      <c r="AR443" s="251">
        <f>IF($S443,INDEX('Tarieven W&amp;O'!$G:$G,MATCH(N443&amp;R443,'Tarieven W&amp;O'!$B:$B,0)),0)</f>
        <v>0</v>
      </c>
      <c r="AS443" s="205">
        <f>-INDEX(Parameters!$B:$B,MATCH(AS$3,Parameters!$A:$A,0))*(AQ443+AR443)</f>
        <v>0</v>
      </c>
      <c r="AT443" s="205">
        <f>INDEX(hulpblad!$E:$E,MATCH(M443&amp;Q443,hulpblad!$B:$B,0))</f>
        <v>2</v>
      </c>
      <c r="AU443" s="150">
        <f t="shared" si="238"/>
        <v>29.86</v>
      </c>
      <c r="AV443" s="150">
        <f t="shared" si="239"/>
        <v>30.380833333333332</v>
      </c>
      <c r="AX443" s="526">
        <f>Parameters!$B$6*AV443</f>
        <v>0.30380833333333335</v>
      </c>
      <c r="AY443" s="150">
        <v>0</v>
      </c>
      <c r="AZ443" s="150"/>
      <c r="BA443" s="150">
        <f t="shared" si="235"/>
        <v>0.30380833333333335</v>
      </c>
      <c r="BB443" s="150"/>
      <c r="BC443" s="522">
        <f t="shared" si="236"/>
        <v>30.684641666666664</v>
      </c>
      <c r="BD443" s="175"/>
      <c r="BE443" s="527">
        <f t="shared" si="240"/>
        <v>990.14869166666676</v>
      </c>
      <c r="BF443" s="181">
        <f t="shared" si="241"/>
        <v>0.9699415755102041</v>
      </c>
      <c r="BG443" s="520" t="b">
        <f t="shared" si="229"/>
        <v>0</v>
      </c>
      <c r="BI443" s="528" t="s">
        <v>2181</v>
      </c>
      <c r="BL443" s="151" t="str">
        <f t="shared" si="243"/>
        <v>EoKMetro - Nationaal</v>
      </c>
      <c r="BM443" s="529">
        <v>0</v>
      </c>
      <c r="BN443" s="180">
        <f>BM443/INDEX(Parameters!$B:$B,MATCH("AfschrijftermijnVVE"&amp;12*$C443,Parameters!$A:$A,0))</f>
        <v>0</v>
      </c>
      <c r="BO443" s="184">
        <f>INDEX('inkoop ULL tbv EVPN'!I:I,MATCH(BL443,'inkoop ULL tbv EVPN'!H:H,0))</f>
        <v>2</v>
      </c>
      <c r="BP443" s="184">
        <f t="shared" si="244"/>
        <v>2</v>
      </c>
      <c r="BR443" s="180">
        <f>Parameters!$B$12*AG443</f>
        <v>102.08333333333334</v>
      </c>
      <c r="BS443" s="180">
        <f>SUM(Distributievergoedingen!$F$12,Distributievergoedingen!$I$12,Distributievergoedingen!$L$12,Distributievergoedingen!$O$12)*AF443+SUM(Distributievergoedingen!$O$12*AA443+Distributievergoedingen!$R$12+Distributievergoedingen!$U$12+Distributievergoedingen!$X$12)/(MAX(36,12*C443))</f>
        <v>112.08333333333333</v>
      </c>
      <c r="BT443" s="150"/>
      <c r="BU443" s="150">
        <f t="shared" si="245"/>
        <v>214.16666666666669</v>
      </c>
      <c r="BW443" s="522">
        <f t="shared" si="246"/>
        <v>216.16666666666669</v>
      </c>
      <c r="BY443" s="527">
        <f t="shared" si="247"/>
        <v>804.66666666666674</v>
      </c>
      <c r="BZ443" s="181">
        <f t="shared" si="248"/>
        <v>0.78824489795918373</v>
      </c>
      <c r="CA443" s="520" t="b">
        <f t="shared" si="249"/>
        <v>0</v>
      </c>
    </row>
    <row r="444" spans="1:79" s="151" customFormat="1">
      <c r="A444" s="151" t="str">
        <f t="shared" si="242"/>
        <v>4EoKPremiumNationaal4</v>
      </c>
      <c r="B444" s="520" t="str">
        <f t="shared" si="237"/>
        <v>4EoKPremiumNationaal4</v>
      </c>
      <c r="C444" s="179">
        <v>4</v>
      </c>
      <c r="D444" s="179" t="s">
        <v>303</v>
      </c>
      <c r="E444" s="178" t="s">
        <v>267</v>
      </c>
      <c r="F444" s="178" t="s">
        <v>266</v>
      </c>
      <c r="G444" s="185" t="s">
        <v>408</v>
      </c>
      <c r="J444" s="520" t="str">
        <f t="shared" si="227"/>
        <v>PremiumNationaal4</v>
      </c>
      <c r="L444" s="204">
        <f>INDEX(Mapping!$H:$H,MATCH(C$3&amp;C444,Mapping!$B:$B,0))</f>
        <v>1</v>
      </c>
      <c r="M444" s="204" t="str">
        <f>INDEX(Mapping!$H:$H,MATCH(D$3&amp;$D444,Mapping!$B:$B,0))</f>
        <v>EoK</v>
      </c>
      <c r="N444" s="204" t="str">
        <f>INDEX(Mapping!$H:$H,MATCH(E$3&amp;E444,Mapping!$B:$B,0))</f>
        <v>Premium</v>
      </c>
      <c r="O444" s="204" t="str">
        <f>INDEX(Mapping!$H:$H,MATCH(F$3&amp;F444,Mapping!$B:$B,0))</f>
        <v>Metro</v>
      </c>
      <c r="P444" s="204">
        <f>INDEX(Mapping!$H:$H,MATCH(G$3&amp;G444,Mapping!$B:$B,0))</f>
        <v>4</v>
      </c>
      <c r="Q444" s="204" t="str">
        <f>INDEX(Mapping!$H:$H,MATCH(Q$3&amp;$F444,Mapping!$B:$B,0))</f>
        <v>Metro - Nationaal</v>
      </c>
      <c r="R444" s="204" t="str">
        <f>INDEX(Mapping!$H:$H,MATCH("ZM VPN Service Level"&amp;E444,Mapping!$B:$B,0))</f>
        <v>Advanced</v>
      </c>
      <c r="S444" s="139" t="b">
        <f>IF($D444="EoK",INDEX(Mapping!$I:$I,MATCH($G$3&amp;$G444,Mapping!B:B,0)),FALSE)</f>
        <v>0</v>
      </c>
      <c r="T444" s="139"/>
      <c r="U444" s="520" t="str">
        <f t="shared" si="228"/>
        <v>PremiumMetro4</v>
      </c>
      <c r="W444" s="521">
        <f>MATCH($J444,'Tarieven ZM'!$B:$B,0)</f>
        <v>106</v>
      </c>
      <c r="X444" s="204">
        <f>INDEX('Tarieven ZM'!$H:$H,$W444)</f>
        <v>1000</v>
      </c>
      <c r="Y444" s="198">
        <f>-INDEX(Parameters!$B:$B,MATCH(Y$3&amp;$C444,Parameters!$A:$A,0))*$X444</f>
        <v>0</v>
      </c>
      <c r="Z444" s="198">
        <f>-INDEX(Parameters!$B:$B,MATCH(Z$3&amp;$C444,Parameters!$A:$A,0))*$X444</f>
        <v>0</v>
      </c>
      <c r="AA444" s="139">
        <f t="shared" si="230"/>
        <v>1000</v>
      </c>
      <c r="AB444" s="205">
        <f>AA444/INDEX(Parameters!$B:$B,MATCH("AfschrijftermijnVVE"&amp;12*$C444,Parameters!$A:$A,0))</f>
        <v>20.833333333333332</v>
      </c>
      <c r="AC444" s="204">
        <f>INDEX('Tarieven ZM'!$G:$G,$W444)</f>
        <v>1000</v>
      </c>
      <c r="AD444" s="198">
        <f>-INDEX(Parameters!$B:$B,MATCH(AD$3&amp;$C444,Parameters!$A:$A,0))*$AC444</f>
        <v>0</v>
      </c>
      <c r="AE444" s="198">
        <f>-INDEX(Parameters!$B:$B,MATCH(AE$3,Parameters!$A:$A,0))*$AC444</f>
        <v>0</v>
      </c>
      <c r="AF444" s="139">
        <f t="shared" si="231"/>
        <v>1000</v>
      </c>
      <c r="AG444" s="522">
        <f t="shared" si="232"/>
        <v>1020.8333333333334</v>
      </c>
      <c r="AH444" s="175"/>
      <c r="AI444" s="523">
        <f>MATCH($U444,'Tarieven W&amp;O'!$B:$B,0)</f>
        <v>60</v>
      </c>
      <c r="AJ444" s="204">
        <f>IF(AI444&lt;&gt;"nvt",INDEX('Tarieven W&amp;O'!$H:$H,$AI444),0)</f>
        <v>0</v>
      </c>
      <c r="AK444" s="204">
        <f>IF(AI444&lt;&gt;"nvt",INDEX('Tarieven W&amp;O'!$I:$I,$AI444),0)</f>
        <v>25</v>
      </c>
      <c r="AL444" s="524">
        <f>IF(AI444&lt;&gt;"nvt",-INDEX(Parameters!$B:$B,MATCH(AL$3,Parameters!$A:$A,0))*(AJ444+AK444),0)</f>
        <v>0</v>
      </c>
      <c r="AM444" s="525"/>
      <c r="AN444" s="139">
        <f t="shared" si="233"/>
        <v>25</v>
      </c>
      <c r="AO444" s="205">
        <f>AN444/INDEX(Parameters!$B:$B,MATCH("AfschrijftermijnVVE"&amp;12*$C444,Parameters!$A:$A,0))</f>
        <v>0.52083333333333337</v>
      </c>
      <c r="AP444" s="139">
        <f t="shared" si="234"/>
        <v>60</v>
      </c>
      <c r="AQ444" s="526">
        <f>IF(AP444&lt;&gt;"nvt",INDEX('Tarieven W&amp;O'!$G:$G,$AP444),0)</f>
        <v>42.94</v>
      </c>
      <c r="AR444" s="251">
        <f>IF($S444,INDEX('Tarieven W&amp;O'!$G:$G,MATCH(N444&amp;R444,'Tarieven W&amp;O'!$B:$B,0)),0)</f>
        <v>0</v>
      </c>
      <c r="AS444" s="205">
        <f>-INDEX(Parameters!$B:$B,MATCH(AS$3,Parameters!$A:$A,0))*(AQ444+AR444)</f>
        <v>0</v>
      </c>
      <c r="AT444" s="205">
        <f>INDEX(hulpblad!$E:$E,MATCH(M444&amp;Q444,hulpblad!$B:$B,0))</f>
        <v>2</v>
      </c>
      <c r="AU444" s="150">
        <f t="shared" si="238"/>
        <v>44.94</v>
      </c>
      <c r="AV444" s="150">
        <f t="shared" si="239"/>
        <v>45.460833333333333</v>
      </c>
      <c r="AX444" s="526">
        <f>Parameters!$B$6*AV444</f>
        <v>0.45460833333333334</v>
      </c>
      <c r="AY444" s="150">
        <v>0</v>
      </c>
      <c r="AZ444" s="150"/>
      <c r="BA444" s="150">
        <f t="shared" si="235"/>
        <v>0.45460833333333334</v>
      </c>
      <c r="BB444" s="150"/>
      <c r="BC444" s="522">
        <f t="shared" si="236"/>
        <v>45.915441666666666</v>
      </c>
      <c r="BD444" s="175"/>
      <c r="BE444" s="527">
        <f t="shared" si="240"/>
        <v>974.91789166666672</v>
      </c>
      <c r="BF444" s="181">
        <f t="shared" si="241"/>
        <v>0.95502160816326531</v>
      </c>
      <c r="BG444" s="520" t="b">
        <f t="shared" si="229"/>
        <v>0</v>
      </c>
      <c r="BI444" s="528" t="s">
        <v>2181</v>
      </c>
      <c r="BL444" s="151" t="str">
        <f t="shared" si="243"/>
        <v>EoKMetro - Nationaal</v>
      </c>
      <c r="BM444" s="529">
        <v>0</v>
      </c>
      <c r="BN444" s="180">
        <f>BM444/INDEX(Parameters!$B:$B,MATCH("AfschrijftermijnVVE"&amp;12*$C444,Parameters!$A:$A,0))</f>
        <v>0</v>
      </c>
      <c r="BO444" s="184">
        <f>INDEX('inkoop ULL tbv EVPN'!I:I,MATCH(BL444,'inkoop ULL tbv EVPN'!H:H,0))</f>
        <v>2</v>
      </c>
      <c r="BP444" s="184">
        <f t="shared" si="244"/>
        <v>2</v>
      </c>
      <c r="BR444" s="180">
        <f>Parameters!$B$12*AG444</f>
        <v>102.08333333333334</v>
      </c>
      <c r="BS444" s="180">
        <f>SUM(Distributievergoedingen!$F$12,Distributievergoedingen!$I$12,Distributievergoedingen!$L$12,Distributievergoedingen!$O$12)*AF444+SUM(Distributievergoedingen!$O$12*AA444+Distributievergoedingen!$R$12+Distributievergoedingen!$U$12+Distributievergoedingen!$X$12)/(MAX(36,12*C444))</f>
        <v>112.08333333333333</v>
      </c>
      <c r="BT444" s="150"/>
      <c r="BU444" s="150">
        <f t="shared" si="245"/>
        <v>214.16666666666669</v>
      </c>
      <c r="BW444" s="522">
        <f t="shared" si="246"/>
        <v>216.16666666666669</v>
      </c>
      <c r="BY444" s="527">
        <f t="shared" si="247"/>
        <v>804.66666666666674</v>
      </c>
      <c r="BZ444" s="181">
        <f t="shared" si="248"/>
        <v>0.78824489795918373</v>
      </c>
      <c r="CA444" s="520" t="b">
        <f t="shared" si="249"/>
        <v>0</v>
      </c>
    </row>
    <row r="445" spans="1:79" s="151" customFormat="1">
      <c r="A445" s="151" t="str">
        <f t="shared" si="242"/>
        <v>4EoKPremiumNationaal5</v>
      </c>
      <c r="B445" s="520" t="str">
        <f t="shared" si="237"/>
        <v>4EoKPremiumNationaal5</v>
      </c>
      <c r="C445" s="179">
        <v>4</v>
      </c>
      <c r="D445" s="179" t="s">
        <v>303</v>
      </c>
      <c r="E445" s="178" t="s">
        <v>267</v>
      </c>
      <c r="F445" s="178" t="s">
        <v>266</v>
      </c>
      <c r="G445" s="185" t="s">
        <v>409</v>
      </c>
      <c r="J445" s="520" t="str">
        <f t="shared" si="227"/>
        <v>PremiumNationaal5</v>
      </c>
      <c r="L445" s="204">
        <f>INDEX(Mapping!$H:$H,MATCH(C$3&amp;C445,Mapping!$B:$B,0))</f>
        <v>1</v>
      </c>
      <c r="M445" s="204" t="str">
        <f>INDEX(Mapping!$H:$H,MATCH(D$3&amp;$D445,Mapping!$B:$B,0))</f>
        <v>EoK</v>
      </c>
      <c r="N445" s="204" t="str">
        <f>INDEX(Mapping!$H:$H,MATCH(E$3&amp;E445,Mapping!$B:$B,0))</f>
        <v>Premium</v>
      </c>
      <c r="O445" s="204" t="str">
        <f>INDEX(Mapping!$H:$H,MATCH(F$3&amp;F445,Mapping!$B:$B,0))</f>
        <v>Metro</v>
      </c>
      <c r="P445" s="204">
        <f>INDEX(Mapping!$H:$H,MATCH(G$3&amp;G445,Mapping!$B:$B,0))</f>
        <v>5</v>
      </c>
      <c r="Q445" s="204" t="str">
        <f>INDEX(Mapping!$H:$H,MATCH(Q$3&amp;$F445,Mapping!$B:$B,0))</f>
        <v>Metro - Nationaal</v>
      </c>
      <c r="R445" s="204" t="str">
        <f>INDEX(Mapping!$H:$H,MATCH("ZM VPN Service Level"&amp;E445,Mapping!$B:$B,0))</f>
        <v>Advanced</v>
      </c>
      <c r="S445" s="139" t="b">
        <f>IF($D445="EoK",INDEX(Mapping!$I:$I,MATCH($G$3&amp;$G445,Mapping!B:B,0)),FALSE)</f>
        <v>0</v>
      </c>
      <c r="T445" s="139"/>
      <c r="U445" s="520" t="str">
        <f t="shared" si="228"/>
        <v>PremiumMetro5</v>
      </c>
      <c r="W445" s="521">
        <f>MATCH($J445,'Tarieven ZM'!$B:$B,0)</f>
        <v>107</v>
      </c>
      <c r="X445" s="204">
        <f>INDEX('Tarieven ZM'!$H:$H,$W445)</f>
        <v>1000</v>
      </c>
      <c r="Y445" s="198">
        <f>-INDEX(Parameters!$B:$B,MATCH(Y$3&amp;$C445,Parameters!$A:$A,0))*$X445</f>
        <v>0</v>
      </c>
      <c r="Z445" s="198">
        <f>-INDEX(Parameters!$B:$B,MATCH(Z$3&amp;$C445,Parameters!$A:$A,0))*$X445</f>
        <v>0</v>
      </c>
      <c r="AA445" s="139">
        <f t="shared" si="230"/>
        <v>1000</v>
      </c>
      <c r="AB445" s="205">
        <f>AA445/INDEX(Parameters!$B:$B,MATCH("AfschrijftermijnVVE"&amp;12*$C445,Parameters!$A:$A,0))</f>
        <v>20.833333333333332</v>
      </c>
      <c r="AC445" s="204">
        <f>INDEX('Tarieven ZM'!$G:$G,$W445)</f>
        <v>1000</v>
      </c>
      <c r="AD445" s="198">
        <f>-INDEX(Parameters!$B:$B,MATCH(AD$3&amp;$C445,Parameters!$A:$A,0))*$AC445</f>
        <v>0</v>
      </c>
      <c r="AE445" s="198">
        <f>-INDEX(Parameters!$B:$B,MATCH(AE$3,Parameters!$A:$A,0))*$AC445</f>
        <v>0</v>
      </c>
      <c r="AF445" s="139">
        <f t="shared" si="231"/>
        <v>1000</v>
      </c>
      <c r="AG445" s="522">
        <f t="shared" si="232"/>
        <v>1020.8333333333334</v>
      </c>
      <c r="AH445" s="175"/>
      <c r="AI445" s="523">
        <f>MATCH($U445,'Tarieven W&amp;O'!$B:$B,0)</f>
        <v>61</v>
      </c>
      <c r="AJ445" s="204">
        <f>IF(AI445&lt;&gt;"nvt",INDEX('Tarieven W&amp;O'!$H:$H,$AI445),0)</f>
        <v>0</v>
      </c>
      <c r="AK445" s="204">
        <f>IF(AI445&lt;&gt;"nvt",INDEX('Tarieven W&amp;O'!$I:$I,$AI445),0)</f>
        <v>25</v>
      </c>
      <c r="AL445" s="524">
        <f>IF(AI445&lt;&gt;"nvt",-INDEX(Parameters!$B:$B,MATCH(AL$3,Parameters!$A:$A,0))*(AJ445+AK445),0)</f>
        <v>0</v>
      </c>
      <c r="AM445" s="525"/>
      <c r="AN445" s="139">
        <f t="shared" si="233"/>
        <v>25</v>
      </c>
      <c r="AO445" s="205">
        <f>AN445/INDEX(Parameters!$B:$B,MATCH("AfschrijftermijnVVE"&amp;12*$C445,Parameters!$A:$A,0))</f>
        <v>0.52083333333333337</v>
      </c>
      <c r="AP445" s="139">
        <f t="shared" si="234"/>
        <v>61</v>
      </c>
      <c r="AQ445" s="526">
        <f>IF(AP445&lt;&gt;"nvt",INDEX('Tarieven W&amp;O'!$G:$G,$AP445),0)</f>
        <v>46.71</v>
      </c>
      <c r="AR445" s="251">
        <f>IF($S445,INDEX('Tarieven W&amp;O'!$G:$G,MATCH(N445&amp;R445,'Tarieven W&amp;O'!$B:$B,0)),0)</f>
        <v>0</v>
      </c>
      <c r="AS445" s="205">
        <f>-INDEX(Parameters!$B:$B,MATCH(AS$3,Parameters!$A:$A,0))*(AQ445+AR445)</f>
        <v>0</v>
      </c>
      <c r="AT445" s="205">
        <f>INDEX(hulpblad!$E:$E,MATCH(M445&amp;Q445,hulpblad!$B:$B,0))</f>
        <v>2</v>
      </c>
      <c r="AU445" s="150">
        <f t="shared" si="238"/>
        <v>48.71</v>
      </c>
      <c r="AV445" s="150">
        <f t="shared" si="239"/>
        <v>49.230833333333337</v>
      </c>
      <c r="AX445" s="526">
        <f>Parameters!$B$6*AV445</f>
        <v>0.4923083333333334</v>
      </c>
      <c r="AY445" s="150">
        <v>0</v>
      </c>
      <c r="AZ445" s="150"/>
      <c r="BA445" s="150">
        <f t="shared" si="235"/>
        <v>0.4923083333333334</v>
      </c>
      <c r="BB445" s="150"/>
      <c r="BC445" s="522">
        <f t="shared" si="236"/>
        <v>49.72314166666667</v>
      </c>
      <c r="BD445" s="175"/>
      <c r="BE445" s="527">
        <f t="shared" si="240"/>
        <v>971.11019166666665</v>
      </c>
      <c r="BF445" s="181">
        <f t="shared" si="241"/>
        <v>0.95129161632653059</v>
      </c>
      <c r="BG445" s="520" t="b">
        <f t="shared" si="229"/>
        <v>0</v>
      </c>
      <c r="BI445" s="528" t="s">
        <v>2181</v>
      </c>
      <c r="BL445" s="151" t="str">
        <f t="shared" si="243"/>
        <v>EoKMetro - Nationaal</v>
      </c>
      <c r="BM445" s="529">
        <v>0</v>
      </c>
      <c r="BN445" s="180">
        <f>BM445/INDEX(Parameters!$B:$B,MATCH("AfschrijftermijnVVE"&amp;12*$C445,Parameters!$A:$A,0))</f>
        <v>0</v>
      </c>
      <c r="BO445" s="184">
        <f>INDEX('inkoop ULL tbv EVPN'!I:I,MATCH(BL445,'inkoop ULL tbv EVPN'!H:H,0))</f>
        <v>2</v>
      </c>
      <c r="BP445" s="184">
        <f t="shared" si="244"/>
        <v>2</v>
      </c>
      <c r="BR445" s="180">
        <f>Parameters!$B$12*AG445</f>
        <v>102.08333333333334</v>
      </c>
      <c r="BS445" s="180">
        <f>SUM(Distributievergoedingen!$F$12,Distributievergoedingen!$I$12,Distributievergoedingen!$L$12,Distributievergoedingen!$O$12)*AF445+SUM(Distributievergoedingen!$O$12*AA445+Distributievergoedingen!$R$12+Distributievergoedingen!$U$12+Distributievergoedingen!$X$12)/(MAX(36,12*C445))</f>
        <v>112.08333333333333</v>
      </c>
      <c r="BT445" s="150"/>
      <c r="BU445" s="150">
        <f t="shared" si="245"/>
        <v>214.16666666666669</v>
      </c>
      <c r="BW445" s="522">
        <f t="shared" si="246"/>
        <v>216.16666666666669</v>
      </c>
      <c r="BY445" s="527">
        <f t="shared" si="247"/>
        <v>804.66666666666674</v>
      </c>
      <c r="BZ445" s="181">
        <f t="shared" si="248"/>
        <v>0.78824489795918373</v>
      </c>
      <c r="CA445" s="520" t="b">
        <f t="shared" si="249"/>
        <v>0</v>
      </c>
    </row>
    <row r="446" spans="1:79" s="151" customFormat="1">
      <c r="A446" s="151" t="str">
        <f t="shared" si="242"/>
        <v>4EoKPremiumNationaal6</v>
      </c>
      <c r="B446" s="520" t="str">
        <f t="shared" si="237"/>
        <v>4EoKPremiumNationaal6</v>
      </c>
      <c r="C446" s="179">
        <v>4</v>
      </c>
      <c r="D446" s="179" t="s">
        <v>303</v>
      </c>
      <c r="E446" s="178" t="s">
        <v>267</v>
      </c>
      <c r="F446" s="178" t="s">
        <v>266</v>
      </c>
      <c r="G446" s="185" t="s">
        <v>410</v>
      </c>
      <c r="J446" s="520" t="str">
        <f t="shared" si="227"/>
        <v>PremiumNationaal6</v>
      </c>
      <c r="L446" s="204">
        <f>INDEX(Mapping!$H:$H,MATCH(C$3&amp;C446,Mapping!$B:$B,0))</f>
        <v>1</v>
      </c>
      <c r="M446" s="204" t="str">
        <f>INDEX(Mapping!$H:$H,MATCH(D$3&amp;$D446,Mapping!$B:$B,0))</f>
        <v>EoK</v>
      </c>
      <c r="N446" s="204" t="str">
        <f>INDEX(Mapping!$H:$H,MATCH(E$3&amp;E446,Mapping!$B:$B,0))</f>
        <v>Premium</v>
      </c>
      <c r="O446" s="204" t="str">
        <f>INDEX(Mapping!$H:$H,MATCH(F$3&amp;F446,Mapping!$B:$B,0))</f>
        <v>Metro</v>
      </c>
      <c r="P446" s="204">
        <f>INDEX(Mapping!$H:$H,MATCH(G$3&amp;G446,Mapping!$B:$B,0))</f>
        <v>6</v>
      </c>
      <c r="Q446" s="204" t="str">
        <f>INDEX(Mapping!$H:$H,MATCH(Q$3&amp;$F446,Mapping!$B:$B,0))</f>
        <v>Metro - Nationaal</v>
      </c>
      <c r="R446" s="204" t="str">
        <f>INDEX(Mapping!$H:$H,MATCH("ZM VPN Service Level"&amp;E446,Mapping!$B:$B,0))</f>
        <v>Advanced</v>
      </c>
      <c r="S446" s="139" t="b">
        <f>IF($D446="EoK",INDEX(Mapping!$I:$I,MATCH($G$3&amp;$G446,Mapping!B:B,0)),FALSE)</f>
        <v>0</v>
      </c>
      <c r="T446" s="139"/>
      <c r="U446" s="520" t="str">
        <f t="shared" si="228"/>
        <v>PremiumMetro6</v>
      </c>
      <c r="W446" s="521">
        <f>MATCH($J446,'Tarieven ZM'!$B:$B,0)</f>
        <v>108</v>
      </c>
      <c r="X446" s="204">
        <f>INDEX('Tarieven ZM'!$H:$H,$W446)</f>
        <v>1000</v>
      </c>
      <c r="Y446" s="198">
        <f>-INDEX(Parameters!$B:$B,MATCH(Y$3&amp;$C446,Parameters!$A:$A,0))*$X446</f>
        <v>0</v>
      </c>
      <c r="Z446" s="198">
        <f>-INDEX(Parameters!$B:$B,MATCH(Z$3&amp;$C446,Parameters!$A:$A,0))*$X446</f>
        <v>0</v>
      </c>
      <c r="AA446" s="139">
        <f t="shared" si="230"/>
        <v>1000</v>
      </c>
      <c r="AB446" s="205">
        <f>AA446/INDEX(Parameters!$B:$B,MATCH("AfschrijftermijnVVE"&amp;12*$C446,Parameters!$A:$A,0))</f>
        <v>20.833333333333332</v>
      </c>
      <c r="AC446" s="204">
        <f>INDEX('Tarieven ZM'!$G:$G,$W446)</f>
        <v>1000</v>
      </c>
      <c r="AD446" s="198">
        <f>-INDEX(Parameters!$B:$B,MATCH(AD$3&amp;$C446,Parameters!$A:$A,0))*$AC446</f>
        <v>0</v>
      </c>
      <c r="AE446" s="198">
        <f>-INDEX(Parameters!$B:$B,MATCH(AE$3,Parameters!$A:$A,0))*$AC446</f>
        <v>0</v>
      </c>
      <c r="AF446" s="139">
        <f t="shared" si="231"/>
        <v>1000</v>
      </c>
      <c r="AG446" s="522">
        <f t="shared" si="232"/>
        <v>1020.8333333333334</v>
      </c>
      <c r="AH446" s="175"/>
      <c r="AI446" s="523">
        <f>MATCH($U446,'Tarieven W&amp;O'!$B:$B,0)</f>
        <v>62</v>
      </c>
      <c r="AJ446" s="204">
        <f>IF(AI446&lt;&gt;"nvt",INDEX('Tarieven W&amp;O'!$H:$H,$AI446),0)</f>
        <v>0</v>
      </c>
      <c r="AK446" s="204">
        <f>IF(AI446&lt;&gt;"nvt",INDEX('Tarieven W&amp;O'!$I:$I,$AI446),0)</f>
        <v>25</v>
      </c>
      <c r="AL446" s="524">
        <f>IF(AI446&lt;&gt;"nvt",-INDEX(Parameters!$B:$B,MATCH(AL$3,Parameters!$A:$A,0))*(AJ446+AK446),0)</f>
        <v>0</v>
      </c>
      <c r="AM446" s="525"/>
      <c r="AN446" s="139">
        <f t="shared" si="233"/>
        <v>25</v>
      </c>
      <c r="AO446" s="205">
        <f>AN446/INDEX(Parameters!$B:$B,MATCH("AfschrijftermijnVVE"&amp;12*$C446,Parameters!$A:$A,0))</f>
        <v>0.52083333333333337</v>
      </c>
      <c r="AP446" s="139">
        <f t="shared" si="234"/>
        <v>62</v>
      </c>
      <c r="AQ446" s="526">
        <f>IF(AP446&lt;&gt;"nvt",INDEX('Tarieven W&amp;O'!$G:$G,$AP446),0)</f>
        <v>50.48</v>
      </c>
      <c r="AR446" s="251">
        <f>IF($S446,INDEX('Tarieven W&amp;O'!$G:$G,MATCH(N446&amp;R446,'Tarieven W&amp;O'!$B:$B,0)),0)</f>
        <v>0</v>
      </c>
      <c r="AS446" s="205">
        <f>-INDEX(Parameters!$B:$B,MATCH(AS$3,Parameters!$A:$A,0))*(AQ446+AR446)</f>
        <v>0</v>
      </c>
      <c r="AT446" s="205">
        <f>INDEX(hulpblad!$E:$E,MATCH(M446&amp;Q446,hulpblad!$B:$B,0))</f>
        <v>2</v>
      </c>
      <c r="AU446" s="150">
        <f t="shared" si="238"/>
        <v>52.48</v>
      </c>
      <c r="AV446" s="150">
        <f t="shared" si="239"/>
        <v>53.000833333333333</v>
      </c>
      <c r="AX446" s="526">
        <f>Parameters!$B$6*AV446</f>
        <v>0.5300083333333333</v>
      </c>
      <c r="AY446" s="150">
        <v>0</v>
      </c>
      <c r="AZ446" s="150"/>
      <c r="BA446" s="150">
        <f t="shared" si="235"/>
        <v>0.5300083333333333</v>
      </c>
      <c r="BB446" s="150"/>
      <c r="BC446" s="522">
        <f t="shared" si="236"/>
        <v>53.530841666666667</v>
      </c>
      <c r="BD446" s="175"/>
      <c r="BE446" s="527">
        <f t="shared" si="240"/>
        <v>967.3024916666667</v>
      </c>
      <c r="BF446" s="181">
        <f t="shared" si="241"/>
        <v>0.94756162448979586</v>
      </c>
      <c r="BG446" s="520" t="b">
        <f t="shared" si="229"/>
        <v>0</v>
      </c>
      <c r="BI446" s="528" t="s">
        <v>2181</v>
      </c>
      <c r="BL446" s="151" t="str">
        <f t="shared" si="243"/>
        <v>EoKMetro - Nationaal</v>
      </c>
      <c r="BM446" s="529">
        <v>0</v>
      </c>
      <c r="BN446" s="180">
        <f>BM446/INDEX(Parameters!$B:$B,MATCH("AfschrijftermijnVVE"&amp;12*$C446,Parameters!$A:$A,0))</f>
        <v>0</v>
      </c>
      <c r="BO446" s="184">
        <f>INDEX('inkoop ULL tbv EVPN'!I:I,MATCH(BL446,'inkoop ULL tbv EVPN'!H:H,0))</f>
        <v>2</v>
      </c>
      <c r="BP446" s="184">
        <f t="shared" si="244"/>
        <v>2</v>
      </c>
      <c r="BR446" s="180">
        <f>Parameters!$B$12*AG446</f>
        <v>102.08333333333334</v>
      </c>
      <c r="BS446" s="180">
        <f>SUM(Distributievergoedingen!$F$12,Distributievergoedingen!$I$12,Distributievergoedingen!$L$12,Distributievergoedingen!$O$12)*AF446+SUM(Distributievergoedingen!$O$12*AA446+Distributievergoedingen!$R$12+Distributievergoedingen!$U$12+Distributievergoedingen!$X$12)/(MAX(36,12*C446))</f>
        <v>112.08333333333333</v>
      </c>
      <c r="BT446" s="150"/>
      <c r="BU446" s="150">
        <f t="shared" si="245"/>
        <v>214.16666666666669</v>
      </c>
      <c r="BW446" s="522">
        <f t="shared" si="246"/>
        <v>216.16666666666669</v>
      </c>
      <c r="BY446" s="527">
        <f t="shared" si="247"/>
        <v>804.66666666666674</v>
      </c>
      <c r="BZ446" s="181">
        <f t="shared" si="248"/>
        <v>0.78824489795918373</v>
      </c>
      <c r="CA446" s="520" t="b">
        <f t="shared" si="249"/>
        <v>0</v>
      </c>
    </row>
    <row r="447" spans="1:79" s="151" customFormat="1">
      <c r="A447" s="151" t="str">
        <f t="shared" si="242"/>
        <v>4EoKPremiumNationaal8</v>
      </c>
      <c r="B447" s="520" t="str">
        <f t="shared" si="237"/>
        <v>4EoKPremiumNationaal8</v>
      </c>
      <c r="C447" s="179">
        <v>4</v>
      </c>
      <c r="D447" s="179" t="s">
        <v>303</v>
      </c>
      <c r="E447" s="178" t="s">
        <v>267</v>
      </c>
      <c r="F447" s="178" t="s">
        <v>266</v>
      </c>
      <c r="G447" s="185" t="s">
        <v>411</v>
      </c>
      <c r="J447" s="520" t="str">
        <f t="shared" si="227"/>
        <v>PremiumNationaal8</v>
      </c>
      <c r="L447" s="204">
        <f>INDEX(Mapping!$H:$H,MATCH(C$3&amp;C447,Mapping!$B:$B,0))</f>
        <v>1</v>
      </c>
      <c r="M447" s="204" t="str">
        <f>INDEX(Mapping!$H:$H,MATCH(D$3&amp;$D447,Mapping!$B:$B,0))</f>
        <v>EoK</v>
      </c>
      <c r="N447" s="204" t="str">
        <f>INDEX(Mapping!$H:$H,MATCH(E$3&amp;E447,Mapping!$B:$B,0))</f>
        <v>Premium</v>
      </c>
      <c r="O447" s="204" t="str">
        <f>INDEX(Mapping!$H:$H,MATCH(F$3&amp;F447,Mapping!$B:$B,0))</f>
        <v>Metro</v>
      </c>
      <c r="P447" s="204">
        <f>INDEX(Mapping!$H:$H,MATCH(G$3&amp;G447,Mapping!$B:$B,0))</f>
        <v>8</v>
      </c>
      <c r="Q447" s="204" t="str">
        <f>INDEX(Mapping!$H:$H,MATCH(Q$3&amp;$F447,Mapping!$B:$B,0))</f>
        <v>Metro - Nationaal</v>
      </c>
      <c r="R447" s="204" t="str">
        <f>INDEX(Mapping!$H:$H,MATCH("ZM VPN Service Level"&amp;E447,Mapping!$B:$B,0))</f>
        <v>Advanced</v>
      </c>
      <c r="S447" s="139" t="b">
        <f>IF($D447="EoK",INDEX(Mapping!$I:$I,MATCH($G$3&amp;$G447,Mapping!B:B,0)),FALSE)</f>
        <v>0</v>
      </c>
      <c r="T447" s="139"/>
      <c r="U447" s="520" t="str">
        <f t="shared" si="228"/>
        <v>PremiumMetro8</v>
      </c>
      <c r="W447" s="521">
        <f>MATCH($J447,'Tarieven ZM'!$B:$B,0)</f>
        <v>109</v>
      </c>
      <c r="X447" s="204">
        <f>INDEX('Tarieven ZM'!$H:$H,$W447)</f>
        <v>1000</v>
      </c>
      <c r="Y447" s="198">
        <f>-INDEX(Parameters!$B:$B,MATCH(Y$3&amp;$C447,Parameters!$A:$A,0))*$X447</f>
        <v>0</v>
      </c>
      <c r="Z447" s="198">
        <f>-INDEX(Parameters!$B:$B,MATCH(Z$3&amp;$C447,Parameters!$A:$A,0))*$X447</f>
        <v>0</v>
      </c>
      <c r="AA447" s="139">
        <f t="shared" si="230"/>
        <v>1000</v>
      </c>
      <c r="AB447" s="205">
        <f>AA447/INDEX(Parameters!$B:$B,MATCH("AfschrijftermijnVVE"&amp;12*$C447,Parameters!$A:$A,0))</f>
        <v>20.833333333333332</v>
      </c>
      <c r="AC447" s="204">
        <f>INDEX('Tarieven ZM'!$G:$G,$W447)</f>
        <v>1000</v>
      </c>
      <c r="AD447" s="198">
        <f>-INDEX(Parameters!$B:$B,MATCH(AD$3&amp;$C447,Parameters!$A:$A,0))*$AC447</f>
        <v>0</v>
      </c>
      <c r="AE447" s="198">
        <f>-INDEX(Parameters!$B:$B,MATCH(AE$3,Parameters!$A:$A,0))*$AC447</f>
        <v>0</v>
      </c>
      <c r="AF447" s="139">
        <f t="shared" si="231"/>
        <v>1000</v>
      </c>
      <c r="AG447" s="522">
        <f t="shared" si="232"/>
        <v>1020.8333333333334</v>
      </c>
      <c r="AH447" s="175"/>
      <c r="AI447" s="523">
        <f>MATCH($U447,'Tarieven W&amp;O'!$B:$B,0)</f>
        <v>63</v>
      </c>
      <c r="AJ447" s="204">
        <f>IF(AI447&lt;&gt;"nvt",INDEX('Tarieven W&amp;O'!$H:$H,$AI447),0)</f>
        <v>0</v>
      </c>
      <c r="AK447" s="204">
        <f>IF(AI447&lt;&gt;"nvt",INDEX('Tarieven W&amp;O'!$I:$I,$AI447),0)</f>
        <v>25</v>
      </c>
      <c r="AL447" s="524">
        <f>IF(AI447&lt;&gt;"nvt",-INDEX(Parameters!$B:$B,MATCH(AL$3,Parameters!$A:$A,0))*(AJ447+AK447),0)</f>
        <v>0</v>
      </c>
      <c r="AM447" s="525"/>
      <c r="AN447" s="139">
        <f t="shared" si="233"/>
        <v>25</v>
      </c>
      <c r="AO447" s="205">
        <f>AN447/INDEX(Parameters!$B:$B,MATCH("AfschrijftermijnVVE"&amp;12*$C447,Parameters!$A:$A,0))</f>
        <v>0.52083333333333337</v>
      </c>
      <c r="AP447" s="139">
        <f t="shared" si="234"/>
        <v>63</v>
      </c>
      <c r="AQ447" s="526">
        <f>IF(AP447&lt;&gt;"nvt",INDEX('Tarieven W&amp;O'!$G:$G,$AP447),0)</f>
        <v>54.24</v>
      </c>
      <c r="AR447" s="251">
        <f>IF($S447,INDEX('Tarieven W&amp;O'!$G:$G,MATCH(N447&amp;R447,'Tarieven W&amp;O'!$B:$B,0)),0)</f>
        <v>0</v>
      </c>
      <c r="AS447" s="205">
        <f>-INDEX(Parameters!$B:$B,MATCH(AS$3,Parameters!$A:$A,0))*(AQ447+AR447)</f>
        <v>0</v>
      </c>
      <c r="AT447" s="205">
        <f>INDEX(hulpblad!$E:$E,MATCH(M447&amp;Q447,hulpblad!$B:$B,0))</f>
        <v>2</v>
      </c>
      <c r="AU447" s="150">
        <f t="shared" si="238"/>
        <v>56.24</v>
      </c>
      <c r="AV447" s="150">
        <f t="shared" si="239"/>
        <v>56.760833333333338</v>
      </c>
      <c r="AX447" s="526">
        <f>Parameters!$B$6*AV447</f>
        <v>0.56760833333333338</v>
      </c>
      <c r="AY447" s="150">
        <v>0</v>
      </c>
      <c r="AZ447" s="150"/>
      <c r="BA447" s="150">
        <f t="shared" si="235"/>
        <v>0.56760833333333338</v>
      </c>
      <c r="BB447" s="150"/>
      <c r="BC447" s="522">
        <f t="shared" si="236"/>
        <v>57.32844166666667</v>
      </c>
      <c r="BD447" s="175"/>
      <c r="BE447" s="527">
        <f t="shared" si="240"/>
        <v>963.50489166666671</v>
      </c>
      <c r="BF447" s="181">
        <f t="shared" si="241"/>
        <v>0.94384152653061226</v>
      </c>
      <c r="BG447" s="520" t="b">
        <f t="shared" si="229"/>
        <v>0</v>
      </c>
      <c r="BI447" s="528" t="s">
        <v>2181</v>
      </c>
      <c r="BL447" s="151" t="str">
        <f t="shared" si="243"/>
        <v>EoKMetro - Nationaal</v>
      </c>
      <c r="BM447" s="529">
        <v>0</v>
      </c>
      <c r="BN447" s="180">
        <f>BM447/INDEX(Parameters!$B:$B,MATCH("AfschrijftermijnVVE"&amp;12*$C447,Parameters!$A:$A,0))</f>
        <v>0</v>
      </c>
      <c r="BO447" s="184">
        <f>INDEX('inkoop ULL tbv EVPN'!I:I,MATCH(BL447,'inkoop ULL tbv EVPN'!H:H,0))</f>
        <v>2</v>
      </c>
      <c r="BP447" s="184">
        <f t="shared" si="244"/>
        <v>2</v>
      </c>
      <c r="BR447" s="180">
        <f>Parameters!$B$12*AG447</f>
        <v>102.08333333333334</v>
      </c>
      <c r="BS447" s="180">
        <f>SUM(Distributievergoedingen!$F$12,Distributievergoedingen!$I$12,Distributievergoedingen!$L$12,Distributievergoedingen!$O$12)*AF447+SUM(Distributievergoedingen!$O$12*AA447+Distributievergoedingen!$R$12+Distributievergoedingen!$U$12+Distributievergoedingen!$X$12)/(MAX(36,12*C447))</f>
        <v>112.08333333333333</v>
      </c>
      <c r="BT447" s="150"/>
      <c r="BU447" s="150">
        <f t="shared" si="245"/>
        <v>214.16666666666669</v>
      </c>
      <c r="BW447" s="522">
        <f t="shared" si="246"/>
        <v>216.16666666666669</v>
      </c>
      <c r="BY447" s="527">
        <f t="shared" si="247"/>
        <v>804.66666666666674</v>
      </c>
      <c r="BZ447" s="181">
        <f t="shared" si="248"/>
        <v>0.78824489795918373</v>
      </c>
      <c r="CA447" s="520" t="b">
        <f t="shared" si="249"/>
        <v>0</v>
      </c>
    </row>
    <row r="448" spans="1:79" s="151" customFormat="1">
      <c r="A448" s="151" t="str">
        <f t="shared" si="242"/>
        <v>4EoKPremiumNationaal10</v>
      </c>
      <c r="B448" s="520" t="str">
        <f t="shared" si="237"/>
        <v>4EoKPremiumNationaal10</v>
      </c>
      <c r="C448" s="179">
        <v>4</v>
      </c>
      <c r="D448" s="179" t="s">
        <v>303</v>
      </c>
      <c r="E448" s="178" t="s">
        <v>267</v>
      </c>
      <c r="F448" s="178" t="s">
        <v>266</v>
      </c>
      <c r="G448" s="185" t="s">
        <v>412</v>
      </c>
      <c r="J448" s="520" t="str">
        <f t="shared" si="227"/>
        <v>PremiumNationaal10</v>
      </c>
      <c r="L448" s="204">
        <f>INDEX(Mapping!$H:$H,MATCH(C$3&amp;C448,Mapping!$B:$B,0))</f>
        <v>1</v>
      </c>
      <c r="M448" s="204" t="str">
        <f>INDEX(Mapping!$H:$H,MATCH(D$3&amp;$D448,Mapping!$B:$B,0))</f>
        <v>EoK</v>
      </c>
      <c r="N448" s="204" t="str">
        <f>INDEX(Mapping!$H:$H,MATCH(E$3&amp;E448,Mapping!$B:$B,0))</f>
        <v>Premium</v>
      </c>
      <c r="O448" s="204" t="str">
        <f>INDEX(Mapping!$H:$H,MATCH(F$3&amp;F448,Mapping!$B:$B,0))</f>
        <v>Metro</v>
      </c>
      <c r="P448" s="204">
        <f>INDEX(Mapping!$H:$H,MATCH(G$3&amp;G448,Mapping!$B:$B,0))</f>
        <v>10</v>
      </c>
      <c r="Q448" s="204" t="str">
        <f>INDEX(Mapping!$H:$H,MATCH(Q$3&amp;$F448,Mapping!$B:$B,0))</f>
        <v>Metro - Nationaal</v>
      </c>
      <c r="R448" s="204" t="str">
        <f>INDEX(Mapping!$H:$H,MATCH("ZM VPN Service Level"&amp;E448,Mapping!$B:$B,0))</f>
        <v>Advanced</v>
      </c>
      <c r="S448" s="139" t="b">
        <f>IF($D448="EoK",INDEX(Mapping!$I:$I,MATCH($G$3&amp;$G448,Mapping!B:B,0)),FALSE)</f>
        <v>0</v>
      </c>
      <c r="T448" s="139"/>
      <c r="U448" s="520" t="str">
        <f t="shared" si="228"/>
        <v>PremiumMetro10</v>
      </c>
      <c r="W448" s="521">
        <f>MATCH($J448,'Tarieven ZM'!$B:$B,0)</f>
        <v>110</v>
      </c>
      <c r="X448" s="204">
        <f>INDEX('Tarieven ZM'!$H:$H,$W448)</f>
        <v>1000</v>
      </c>
      <c r="Y448" s="198">
        <f>-INDEX(Parameters!$B:$B,MATCH(Y$3&amp;$C448,Parameters!$A:$A,0))*$X448</f>
        <v>0</v>
      </c>
      <c r="Z448" s="198">
        <f>-INDEX(Parameters!$B:$B,MATCH(Z$3&amp;$C448,Parameters!$A:$A,0))*$X448</f>
        <v>0</v>
      </c>
      <c r="AA448" s="139">
        <f t="shared" si="230"/>
        <v>1000</v>
      </c>
      <c r="AB448" s="205">
        <f>AA448/INDEX(Parameters!$B:$B,MATCH("AfschrijftermijnVVE"&amp;12*$C448,Parameters!$A:$A,0))</f>
        <v>20.833333333333332</v>
      </c>
      <c r="AC448" s="204">
        <f>INDEX('Tarieven ZM'!$G:$G,$W448)</f>
        <v>1000</v>
      </c>
      <c r="AD448" s="198">
        <f>-INDEX(Parameters!$B:$B,MATCH(AD$3&amp;$C448,Parameters!$A:$A,0))*$AC448</f>
        <v>0</v>
      </c>
      <c r="AE448" s="198">
        <f>-INDEX(Parameters!$B:$B,MATCH(AE$3,Parameters!$A:$A,0))*$AC448</f>
        <v>0</v>
      </c>
      <c r="AF448" s="139">
        <f t="shared" si="231"/>
        <v>1000</v>
      </c>
      <c r="AG448" s="522">
        <f t="shared" si="232"/>
        <v>1020.8333333333334</v>
      </c>
      <c r="AH448" s="175"/>
      <c r="AI448" s="523">
        <f>MATCH($U448,'Tarieven W&amp;O'!$B:$B,0)</f>
        <v>64</v>
      </c>
      <c r="AJ448" s="204">
        <f>IF(AI448&lt;&gt;"nvt",INDEX('Tarieven W&amp;O'!$H:$H,$AI448),0)</f>
        <v>0</v>
      </c>
      <c r="AK448" s="204">
        <f>IF(AI448&lt;&gt;"nvt",INDEX('Tarieven W&amp;O'!$I:$I,$AI448),0)</f>
        <v>25</v>
      </c>
      <c r="AL448" s="524">
        <f>IF(AI448&lt;&gt;"nvt",-INDEX(Parameters!$B:$B,MATCH(AL$3,Parameters!$A:$A,0))*(AJ448+AK448),0)</f>
        <v>0</v>
      </c>
      <c r="AM448" s="525"/>
      <c r="AN448" s="139">
        <f t="shared" si="233"/>
        <v>25</v>
      </c>
      <c r="AO448" s="205">
        <f>AN448/INDEX(Parameters!$B:$B,MATCH("AfschrijftermijnVVE"&amp;12*$C448,Parameters!$A:$A,0))</f>
        <v>0.52083333333333337</v>
      </c>
      <c r="AP448" s="139">
        <f t="shared" si="234"/>
        <v>64</v>
      </c>
      <c r="AQ448" s="526">
        <f>IF(AP448&lt;&gt;"nvt",INDEX('Tarieven W&amp;O'!$G:$G,$AP448),0)</f>
        <v>58.01</v>
      </c>
      <c r="AR448" s="251">
        <f>IF($S448,INDEX('Tarieven W&amp;O'!$G:$G,MATCH(N448&amp;R448,'Tarieven W&amp;O'!$B:$B,0)),0)</f>
        <v>0</v>
      </c>
      <c r="AS448" s="205">
        <f>-INDEX(Parameters!$B:$B,MATCH(AS$3,Parameters!$A:$A,0))*(AQ448+AR448)</f>
        <v>0</v>
      </c>
      <c r="AT448" s="205">
        <f>INDEX(hulpblad!$E:$E,MATCH(M448&amp;Q448,hulpblad!$B:$B,0))</f>
        <v>2</v>
      </c>
      <c r="AU448" s="150">
        <f t="shared" si="238"/>
        <v>60.01</v>
      </c>
      <c r="AV448" s="150">
        <f t="shared" si="239"/>
        <v>60.530833333333334</v>
      </c>
      <c r="AX448" s="526">
        <f>Parameters!$B$6*AV448</f>
        <v>0.60530833333333334</v>
      </c>
      <c r="AY448" s="150">
        <v>0</v>
      </c>
      <c r="AZ448" s="150"/>
      <c r="BA448" s="150">
        <f t="shared" si="235"/>
        <v>0.60530833333333334</v>
      </c>
      <c r="BB448" s="150"/>
      <c r="BC448" s="522">
        <f t="shared" si="236"/>
        <v>61.136141666666667</v>
      </c>
      <c r="BD448" s="175"/>
      <c r="BE448" s="527">
        <f t="shared" si="240"/>
        <v>959.69719166666675</v>
      </c>
      <c r="BF448" s="181">
        <f t="shared" si="241"/>
        <v>0.94011153469387765</v>
      </c>
      <c r="BG448" s="520" t="b">
        <f t="shared" si="229"/>
        <v>0</v>
      </c>
      <c r="BI448" s="528" t="s">
        <v>2181</v>
      </c>
      <c r="BL448" s="151" t="str">
        <f t="shared" si="243"/>
        <v>EoKMetro - Nationaal</v>
      </c>
      <c r="BM448" s="529">
        <v>0</v>
      </c>
      <c r="BN448" s="180">
        <f>BM448/INDEX(Parameters!$B:$B,MATCH("AfschrijftermijnVVE"&amp;12*$C448,Parameters!$A:$A,0))</f>
        <v>0</v>
      </c>
      <c r="BO448" s="184">
        <f>INDEX('inkoop ULL tbv EVPN'!I:I,MATCH(BL448,'inkoop ULL tbv EVPN'!H:H,0))</f>
        <v>2</v>
      </c>
      <c r="BP448" s="184">
        <f t="shared" si="244"/>
        <v>2</v>
      </c>
      <c r="BR448" s="180">
        <f>Parameters!$B$12*AG448</f>
        <v>102.08333333333334</v>
      </c>
      <c r="BS448" s="180">
        <f>SUM(Distributievergoedingen!$F$12,Distributievergoedingen!$I$12,Distributievergoedingen!$L$12,Distributievergoedingen!$O$12)*AF448+SUM(Distributievergoedingen!$O$12*AA448+Distributievergoedingen!$R$12+Distributievergoedingen!$U$12+Distributievergoedingen!$X$12)/(MAX(36,12*C448))</f>
        <v>112.08333333333333</v>
      </c>
      <c r="BT448" s="150"/>
      <c r="BU448" s="150">
        <f t="shared" si="245"/>
        <v>214.16666666666669</v>
      </c>
      <c r="BW448" s="522">
        <f t="shared" si="246"/>
        <v>216.16666666666669</v>
      </c>
      <c r="BY448" s="527">
        <f t="shared" si="247"/>
        <v>804.66666666666674</v>
      </c>
      <c r="BZ448" s="181">
        <f t="shared" si="248"/>
        <v>0.78824489795918373</v>
      </c>
      <c r="CA448" s="520" t="b">
        <f t="shared" si="249"/>
        <v>0</v>
      </c>
    </row>
    <row r="449" spans="1:79" s="151" customFormat="1">
      <c r="A449" s="151" t="str">
        <f t="shared" si="242"/>
        <v>4EoKPremiumNationaal15</v>
      </c>
      <c r="B449" s="520" t="str">
        <f t="shared" si="237"/>
        <v>4EoKPremiumNationaal15</v>
      </c>
      <c r="C449" s="179">
        <v>4</v>
      </c>
      <c r="D449" s="179" t="s">
        <v>303</v>
      </c>
      <c r="E449" s="178" t="s">
        <v>267</v>
      </c>
      <c r="F449" s="178" t="s">
        <v>266</v>
      </c>
      <c r="G449" s="185" t="s">
        <v>413</v>
      </c>
      <c r="J449" s="520" t="str">
        <f t="shared" si="227"/>
        <v>PremiumNationaal15</v>
      </c>
      <c r="L449" s="204">
        <f>INDEX(Mapping!$H:$H,MATCH(C$3&amp;C449,Mapping!$B:$B,0))</f>
        <v>1</v>
      </c>
      <c r="M449" s="204" t="str">
        <f>INDEX(Mapping!$H:$H,MATCH(D$3&amp;$D449,Mapping!$B:$B,0))</f>
        <v>EoK</v>
      </c>
      <c r="N449" s="204" t="str">
        <f>INDEX(Mapping!$H:$H,MATCH(E$3&amp;E449,Mapping!$B:$B,0))</f>
        <v>Premium</v>
      </c>
      <c r="O449" s="204" t="str">
        <f>INDEX(Mapping!$H:$H,MATCH(F$3&amp;F449,Mapping!$B:$B,0))</f>
        <v>Metro</v>
      </c>
      <c r="P449" s="204">
        <f>INDEX(Mapping!$H:$H,MATCH(G$3&amp;G449,Mapping!$B:$B,0))</f>
        <v>15</v>
      </c>
      <c r="Q449" s="204" t="str">
        <f>INDEX(Mapping!$H:$H,MATCH(Q$3&amp;$F449,Mapping!$B:$B,0))</f>
        <v>Metro - Nationaal</v>
      </c>
      <c r="R449" s="204" t="str">
        <f>INDEX(Mapping!$H:$H,MATCH("ZM VPN Service Level"&amp;E449,Mapping!$B:$B,0))</f>
        <v>Advanced</v>
      </c>
      <c r="S449" s="139" t="b">
        <f>IF($D449="EoK",INDEX(Mapping!$I:$I,MATCH($G$3&amp;$G449,Mapping!B:B,0)),FALSE)</f>
        <v>0</v>
      </c>
      <c r="T449" s="139"/>
      <c r="U449" s="520" t="str">
        <f t="shared" si="228"/>
        <v>PremiumMetro15</v>
      </c>
      <c r="W449" s="521">
        <f>MATCH($J449,'Tarieven ZM'!$B:$B,0)</f>
        <v>111</v>
      </c>
      <c r="X449" s="204">
        <f>INDEX('Tarieven ZM'!$H:$H,$W449)</f>
        <v>1000</v>
      </c>
      <c r="Y449" s="198">
        <f>-INDEX(Parameters!$B:$B,MATCH(Y$3&amp;$C449,Parameters!$A:$A,0))*$X449</f>
        <v>0</v>
      </c>
      <c r="Z449" s="198">
        <f>-INDEX(Parameters!$B:$B,MATCH(Z$3&amp;$C449,Parameters!$A:$A,0))*$X449</f>
        <v>0</v>
      </c>
      <c r="AA449" s="139">
        <f t="shared" si="230"/>
        <v>1000</v>
      </c>
      <c r="AB449" s="205">
        <f>AA449/INDEX(Parameters!$B:$B,MATCH("AfschrijftermijnVVE"&amp;12*$C449,Parameters!$A:$A,0))</f>
        <v>20.833333333333332</v>
      </c>
      <c r="AC449" s="204">
        <f>INDEX('Tarieven ZM'!$G:$G,$W449)</f>
        <v>1000</v>
      </c>
      <c r="AD449" s="198">
        <f>-INDEX(Parameters!$B:$B,MATCH(AD$3&amp;$C449,Parameters!$A:$A,0))*$AC449</f>
        <v>0</v>
      </c>
      <c r="AE449" s="198">
        <f>-INDEX(Parameters!$B:$B,MATCH(AE$3,Parameters!$A:$A,0))*$AC449</f>
        <v>0</v>
      </c>
      <c r="AF449" s="139">
        <f t="shared" si="231"/>
        <v>1000</v>
      </c>
      <c r="AG449" s="522">
        <f t="shared" si="232"/>
        <v>1020.8333333333334</v>
      </c>
      <c r="AH449" s="175"/>
      <c r="AI449" s="523">
        <f>MATCH($U449,'Tarieven W&amp;O'!$B:$B,0)</f>
        <v>65</v>
      </c>
      <c r="AJ449" s="204">
        <f>IF(AI449&lt;&gt;"nvt",INDEX('Tarieven W&amp;O'!$H:$H,$AI449),0)</f>
        <v>0</v>
      </c>
      <c r="AK449" s="204">
        <f>IF(AI449&lt;&gt;"nvt",INDEX('Tarieven W&amp;O'!$I:$I,$AI449),0)</f>
        <v>25</v>
      </c>
      <c r="AL449" s="524">
        <f>IF(AI449&lt;&gt;"nvt",-INDEX(Parameters!$B:$B,MATCH(AL$3,Parameters!$A:$A,0))*(AJ449+AK449),0)</f>
        <v>0</v>
      </c>
      <c r="AM449" s="525"/>
      <c r="AN449" s="139">
        <f t="shared" si="233"/>
        <v>25</v>
      </c>
      <c r="AO449" s="205">
        <f>AN449/INDEX(Parameters!$B:$B,MATCH("AfschrijftermijnVVE"&amp;12*$C449,Parameters!$A:$A,0))</f>
        <v>0.52083333333333337</v>
      </c>
      <c r="AP449" s="139">
        <f t="shared" si="234"/>
        <v>65</v>
      </c>
      <c r="AQ449" s="526">
        <f>IF(AP449&lt;&gt;"nvt",INDEX('Tarieven W&amp;O'!$G:$G,$AP449),0)</f>
        <v>80.63</v>
      </c>
      <c r="AR449" s="251">
        <f>IF($S449,INDEX('Tarieven W&amp;O'!$G:$G,MATCH(N449&amp;R449,'Tarieven W&amp;O'!$B:$B,0)),0)</f>
        <v>0</v>
      </c>
      <c r="AS449" s="205">
        <f>-INDEX(Parameters!$B:$B,MATCH(AS$3,Parameters!$A:$A,0))*(AQ449+AR449)</f>
        <v>0</v>
      </c>
      <c r="AT449" s="205">
        <f>INDEX(hulpblad!$E:$E,MATCH(M449&amp;Q449,hulpblad!$B:$B,0))</f>
        <v>2</v>
      </c>
      <c r="AU449" s="150">
        <f t="shared" si="238"/>
        <v>82.63</v>
      </c>
      <c r="AV449" s="150">
        <f t="shared" si="239"/>
        <v>83.150833333333324</v>
      </c>
      <c r="AX449" s="526">
        <f>Parameters!$B$6*AV449</f>
        <v>0.83150833333333329</v>
      </c>
      <c r="AY449" s="150">
        <v>0</v>
      </c>
      <c r="AZ449" s="150"/>
      <c r="BA449" s="150">
        <f t="shared" si="235"/>
        <v>0.83150833333333329</v>
      </c>
      <c r="BB449" s="150"/>
      <c r="BC449" s="522">
        <f t="shared" si="236"/>
        <v>83.982341666666656</v>
      </c>
      <c r="BD449" s="175"/>
      <c r="BE449" s="527">
        <f t="shared" si="240"/>
        <v>936.85099166666669</v>
      </c>
      <c r="BF449" s="181">
        <f t="shared" si="241"/>
        <v>0.91773158367346941</v>
      </c>
      <c r="BG449" s="520" t="b">
        <f t="shared" si="229"/>
        <v>0</v>
      </c>
      <c r="BI449" s="528" t="s">
        <v>2181</v>
      </c>
      <c r="BL449" s="151" t="str">
        <f t="shared" si="243"/>
        <v>EoKMetro - Nationaal</v>
      </c>
      <c r="BM449" s="529">
        <v>0</v>
      </c>
      <c r="BN449" s="180">
        <f>BM449/INDEX(Parameters!$B:$B,MATCH("AfschrijftermijnVVE"&amp;12*$C449,Parameters!$A:$A,0))</f>
        <v>0</v>
      </c>
      <c r="BO449" s="184">
        <f>INDEX('inkoop ULL tbv EVPN'!I:I,MATCH(BL449,'inkoop ULL tbv EVPN'!H:H,0))</f>
        <v>2</v>
      </c>
      <c r="BP449" s="184">
        <f t="shared" si="244"/>
        <v>2</v>
      </c>
      <c r="BR449" s="180">
        <f>Parameters!$B$12*AG449</f>
        <v>102.08333333333334</v>
      </c>
      <c r="BS449" s="180">
        <f>SUM(Distributievergoedingen!$F$12,Distributievergoedingen!$I$12,Distributievergoedingen!$L$12,Distributievergoedingen!$O$12)*AF449+SUM(Distributievergoedingen!$O$12*AA449+Distributievergoedingen!$R$12+Distributievergoedingen!$U$12+Distributievergoedingen!$X$12)/(MAX(36,12*C449))</f>
        <v>112.08333333333333</v>
      </c>
      <c r="BT449" s="150"/>
      <c r="BU449" s="150">
        <f t="shared" si="245"/>
        <v>214.16666666666669</v>
      </c>
      <c r="BW449" s="522">
        <f t="shared" si="246"/>
        <v>216.16666666666669</v>
      </c>
      <c r="BY449" s="527">
        <f t="shared" si="247"/>
        <v>804.66666666666674</v>
      </c>
      <c r="BZ449" s="181">
        <f t="shared" si="248"/>
        <v>0.78824489795918373</v>
      </c>
      <c r="CA449" s="520" t="b">
        <f t="shared" si="249"/>
        <v>0</v>
      </c>
    </row>
    <row r="450" spans="1:79" s="151" customFormat="1">
      <c r="A450" s="151" t="str">
        <f t="shared" si="242"/>
        <v>4EoKPremiumNationaal20</v>
      </c>
      <c r="B450" s="520" t="str">
        <f t="shared" si="237"/>
        <v>4EoKPremiumNationaal20</v>
      </c>
      <c r="C450" s="179">
        <v>4</v>
      </c>
      <c r="D450" s="179" t="s">
        <v>303</v>
      </c>
      <c r="E450" s="178" t="s">
        <v>267</v>
      </c>
      <c r="F450" s="178" t="s">
        <v>266</v>
      </c>
      <c r="G450" s="185" t="s">
        <v>414</v>
      </c>
      <c r="J450" s="520" t="str">
        <f t="shared" si="227"/>
        <v>PremiumNationaal20</v>
      </c>
      <c r="L450" s="204">
        <f>INDEX(Mapping!$H:$H,MATCH(C$3&amp;C450,Mapping!$B:$B,0))</f>
        <v>1</v>
      </c>
      <c r="M450" s="204" t="str">
        <f>INDEX(Mapping!$H:$H,MATCH(D$3&amp;$D450,Mapping!$B:$B,0))</f>
        <v>EoK</v>
      </c>
      <c r="N450" s="204" t="str">
        <f>INDEX(Mapping!$H:$H,MATCH(E$3&amp;E450,Mapping!$B:$B,0))</f>
        <v>Premium</v>
      </c>
      <c r="O450" s="204" t="str">
        <f>INDEX(Mapping!$H:$H,MATCH(F$3&amp;F450,Mapping!$B:$B,0))</f>
        <v>Metro</v>
      </c>
      <c r="P450" s="204">
        <f>INDEX(Mapping!$H:$H,MATCH(G$3&amp;G450,Mapping!$B:$B,0))</f>
        <v>20</v>
      </c>
      <c r="Q450" s="204" t="str">
        <f>INDEX(Mapping!$H:$H,MATCH(Q$3&amp;$F450,Mapping!$B:$B,0))</f>
        <v>Metro - Nationaal</v>
      </c>
      <c r="R450" s="204" t="str">
        <f>INDEX(Mapping!$H:$H,MATCH("ZM VPN Service Level"&amp;E450,Mapping!$B:$B,0))</f>
        <v>Advanced</v>
      </c>
      <c r="S450" s="139" t="b">
        <f>IF($D450="EoK",INDEX(Mapping!$I:$I,MATCH($G$3&amp;$G450,Mapping!B:B,0)),FALSE)</f>
        <v>0</v>
      </c>
      <c r="T450" s="139"/>
      <c r="U450" s="520" t="str">
        <f t="shared" si="228"/>
        <v>PremiumMetro20</v>
      </c>
      <c r="W450" s="521">
        <f>MATCH($J450,'Tarieven ZM'!$B:$B,0)</f>
        <v>112</v>
      </c>
      <c r="X450" s="204">
        <f>INDEX('Tarieven ZM'!$H:$H,$W450)</f>
        <v>1000</v>
      </c>
      <c r="Y450" s="198">
        <f>-INDEX(Parameters!$B:$B,MATCH(Y$3&amp;$C450,Parameters!$A:$A,0))*$X450</f>
        <v>0</v>
      </c>
      <c r="Z450" s="198">
        <f>-INDEX(Parameters!$B:$B,MATCH(Z$3&amp;$C450,Parameters!$A:$A,0))*$X450</f>
        <v>0</v>
      </c>
      <c r="AA450" s="139">
        <f t="shared" si="230"/>
        <v>1000</v>
      </c>
      <c r="AB450" s="205">
        <f>AA450/INDEX(Parameters!$B:$B,MATCH("AfschrijftermijnVVE"&amp;12*$C450,Parameters!$A:$A,0))</f>
        <v>20.833333333333332</v>
      </c>
      <c r="AC450" s="204">
        <f>INDEX('Tarieven ZM'!$G:$G,$W450)</f>
        <v>1000</v>
      </c>
      <c r="AD450" s="198">
        <f>-INDEX(Parameters!$B:$B,MATCH(AD$3&amp;$C450,Parameters!$A:$A,0))*$AC450</f>
        <v>0</v>
      </c>
      <c r="AE450" s="198">
        <f>-INDEX(Parameters!$B:$B,MATCH(AE$3,Parameters!$A:$A,0))*$AC450</f>
        <v>0</v>
      </c>
      <c r="AF450" s="139">
        <f t="shared" si="231"/>
        <v>1000</v>
      </c>
      <c r="AG450" s="522">
        <f t="shared" si="232"/>
        <v>1020.8333333333334</v>
      </c>
      <c r="AH450" s="175"/>
      <c r="AI450" s="523">
        <f>MATCH($U450,'Tarieven W&amp;O'!$B:$B,0)</f>
        <v>66</v>
      </c>
      <c r="AJ450" s="204">
        <f>IF(AI450&lt;&gt;"nvt",INDEX('Tarieven W&amp;O'!$H:$H,$AI450),0)</f>
        <v>0</v>
      </c>
      <c r="AK450" s="204">
        <f>IF(AI450&lt;&gt;"nvt",INDEX('Tarieven W&amp;O'!$I:$I,$AI450),0)</f>
        <v>25</v>
      </c>
      <c r="AL450" s="524">
        <f>IF(AI450&lt;&gt;"nvt",-INDEX(Parameters!$B:$B,MATCH(AL$3,Parameters!$A:$A,0))*(AJ450+AK450),0)</f>
        <v>0</v>
      </c>
      <c r="AM450" s="525"/>
      <c r="AN450" s="139">
        <f t="shared" si="233"/>
        <v>25</v>
      </c>
      <c r="AO450" s="205">
        <f>AN450/INDEX(Parameters!$B:$B,MATCH("AfschrijftermijnVVE"&amp;12*$C450,Parameters!$A:$A,0))</f>
        <v>0.52083333333333337</v>
      </c>
      <c r="AP450" s="139">
        <f t="shared" si="234"/>
        <v>66</v>
      </c>
      <c r="AQ450" s="526">
        <f>IF(AP450&lt;&gt;"nvt",INDEX('Tarieven W&amp;O'!$G:$G,$AP450),0)</f>
        <v>88.17</v>
      </c>
      <c r="AR450" s="251">
        <f>IF($S450,INDEX('Tarieven W&amp;O'!$G:$G,MATCH(N450&amp;R450,'Tarieven W&amp;O'!$B:$B,0)),0)</f>
        <v>0</v>
      </c>
      <c r="AS450" s="205">
        <f>-INDEX(Parameters!$B:$B,MATCH(AS$3,Parameters!$A:$A,0))*(AQ450+AR450)</f>
        <v>0</v>
      </c>
      <c r="AT450" s="205">
        <f>INDEX(hulpblad!$E:$E,MATCH(M450&amp;Q450,hulpblad!$B:$B,0))</f>
        <v>2</v>
      </c>
      <c r="AU450" s="150">
        <f t="shared" si="238"/>
        <v>90.17</v>
      </c>
      <c r="AV450" s="150">
        <f t="shared" si="239"/>
        <v>90.69083333333333</v>
      </c>
      <c r="AX450" s="526">
        <f>Parameters!$B$6*AV450</f>
        <v>0.90690833333333332</v>
      </c>
      <c r="AY450" s="150">
        <v>0</v>
      </c>
      <c r="AZ450" s="150"/>
      <c r="BA450" s="150">
        <f t="shared" si="235"/>
        <v>0.90690833333333332</v>
      </c>
      <c r="BB450" s="150"/>
      <c r="BC450" s="522">
        <f t="shared" si="236"/>
        <v>91.597741666666664</v>
      </c>
      <c r="BD450" s="175"/>
      <c r="BE450" s="527">
        <f t="shared" si="240"/>
        <v>929.23559166666666</v>
      </c>
      <c r="BF450" s="181">
        <f t="shared" si="241"/>
        <v>0.91027159999999996</v>
      </c>
      <c r="BG450" s="520" t="b">
        <f t="shared" si="229"/>
        <v>0</v>
      </c>
      <c r="BI450" s="528" t="s">
        <v>2181</v>
      </c>
      <c r="BL450" s="151" t="str">
        <f t="shared" si="243"/>
        <v>EoKMetro - Nationaal</v>
      </c>
      <c r="BM450" s="529">
        <v>0</v>
      </c>
      <c r="BN450" s="180">
        <f>BM450/INDEX(Parameters!$B:$B,MATCH("AfschrijftermijnVVE"&amp;12*$C450,Parameters!$A:$A,0))</f>
        <v>0</v>
      </c>
      <c r="BO450" s="184">
        <f>INDEX('inkoop ULL tbv EVPN'!I:I,MATCH(BL450,'inkoop ULL tbv EVPN'!H:H,0))</f>
        <v>2</v>
      </c>
      <c r="BP450" s="184">
        <f t="shared" si="244"/>
        <v>2</v>
      </c>
      <c r="BR450" s="180">
        <f>Parameters!$B$12*AG450</f>
        <v>102.08333333333334</v>
      </c>
      <c r="BS450" s="180">
        <f>SUM(Distributievergoedingen!$F$12,Distributievergoedingen!$I$12,Distributievergoedingen!$L$12,Distributievergoedingen!$O$12)*AF450+SUM(Distributievergoedingen!$O$12*AA450+Distributievergoedingen!$R$12+Distributievergoedingen!$U$12+Distributievergoedingen!$X$12)/(MAX(36,12*C450))</f>
        <v>112.08333333333333</v>
      </c>
      <c r="BT450" s="150"/>
      <c r="BU450" s="150">
        <f t="shared" si="245"/>
        <v>214.16666666666669</v>
      </c>
      <c r="BW450" s="522">
        <f t="shared" si="246"/>
        <v>216.16666666666669</v>
      </c>
      <c r="BY450" s="527">
        <f t="shared" si="247"/>
        <v>804.66666666666674</v>
      </c>
      <c r="BZ450" s="181">
        <f t="shared" si="248"/>
        <v>0.78824489795918373</v>
      </c>
      <c r="CA450" s="520" t="b">
        <f t="shared" si="249"/>
        <v>0</v>
      </c>
    </row>
    <row r="451" spans="1:79" s="151" customFormat="1">
      <c r="A451" s="151" t="str">
        <f t="shared" si="242"/>
        <v>4EoKPremiumNationaal30</v>
      </c>
      <c r="B451" s="520" t="str">
        <f t="shared" si="237"/>
        <v>4EoKPremiumNationaal30</v>
      </c>
      <c r="C451" s="179">
        <v>4</v>
      </c>
      <c r="D451" s="179" t="s">
        <v>303</v>
      </c>
      <c r="E451" s="178" t="s">
        <v>267</v>
      </c>
      <c r="F451" s="178" t="s">
        <v>266</v>
      </c>
      <c r="G451" s="185" t="s">
        <v>415</v>
      </c>
      <c r="J451" s="520" t="str">
        <f t="shared" si="227"/>
        <v>PremiumNationaal30</v>
      </c>
      <c r="L451" s="204">
        <f>INDEX(Mapping!$H:$H,MATCH(C$3&amp;C451,Mapping!$B:$B,0))</f>
        <v>1</v>
      </c>
      <c r="M451" s="204" t="str">
        <f>INDEX(Mapping!$H:$H,MATCH(D$3&amp;$D451,Mapping!$B:$B,0))</f>
        <v>EoK</v>
      </c>
      <c r="N451" s="204" t="str">
        <f>INDEX(Mapping!$H:$H,MATCH(E$3&amp;E451,Mapping!$B:$B,0))</f>
        <v>Premium</v>
      </c>
      <c r="O451" s="204" t="str">
        <f>INDEX(Mapping!$H:$H,MATCH(F$3&amp;F451,Mapping!$B:$B,0))</f>
        <v>Metro</v>
      </c>
      <c r="P451" s="204">
        <f>INDEX(Mapping!$H:$H,MATCH(G$3&amp;G451,Mapping!$B:$B,0))</f>
        <v>30</v>
      </c>
      <c r="Q451" s="204" t="str">
        <f>INDEX(Mapping!$H:$H,MATCH(Q$3&amp;$F451,Mapping!$B:$B,0))</f>
        <v>Metro - Nationaal</v>
      </c>
      <c r="R451" s="204" t="str">
        <f>INDEX(Mapping!$H:$H,MATCH("ZM VPN Service Level"&amp;E451,Mapping!$B:$B,0))</f>
        <v>Advanced</v>
      </c>
      <c r="S451" s="139" t="b">
        <f>IF($D451="EoK",INDEX(Mapping!$I:$I,MATCH($G$3&amp;$G451,Mapping!B:B,0)),FALSE)</f>
        <v>0</v>
      </c>
      <c r="T451" s="139"/>
      <c r="U451" s="520" t="str">
        <f t="shared" si="228"/>
        <v>PremiumMetro30</v>
      </c>
      <c r="W451" s="521">
        <f>MATCH($J451,'Tarieven ZM'!$B:$B,0)</f>
        <v>113</v>
      </c>
      <c r="X451" s="204">
        <f>INDEX('Tarieven ZM'!$H:$H,$W451)</f>
        <v>1000</v>
      </c>
      <c r="Y451" s="198">
        <f>-INDEX(Parameters!$B:$B,MATCH(Y$3&amp;$C451,Parameters!$A:$A,0))*$X451</f>
        <v>0</v>
      </c>
      <c r="Z451" s="198">
        <f>-INDEX(Parameters!$B:$B,MATCH(Z$3&amp;$C451,Parameters!$A:$A,0))*$X451</f>
        <v>0</v>
      </c>
      <c r="AA451" s="139">
        <f t="shared" si="230"/>
        <v>1000</v>
      </c>
      <c r="AB451" s="205">
        <f>AA451/INDEX(Parameters!$B:$B,MATCH("AfschrijftermijnVVE"&amp;12*$C451,Parameters!$A:$A,0))</f>
        <v>20.833333333333332</v>
      </c>
      <c r="AC451" s="204">
        <f>INDEX('Tarieven ZM'!$G:$G,$W451)</f>
        <v>1000</v>
      </c>
      <c r="AD451" s="198">
        <f>-INDEX(Parameters!$B:$B,MATCH(AD$3&amp;$C451,Parameters!$A:$A,0))*$AC451</f>
        <v>0</v>
      </c>
      <c r="AE451" s="198">
        <f>-INDEX(Parameters!$B:$B,MATCH(AE$3,Parameters!$A:$A,0))*$AC451</f>
        <v>0</v>
      </c>
      <c r="AF451" s="139">
        <f t="shared" si="231"/>
        <v>1000</v>
      </c>
      <c r="AG451" s="522">
        <f t="shared" si="232"/>
        <v>1020.8333333333334</v>
      </c>
      <c r="AH451" s="175"/>
      <c r="AI451" s="523">
        <f>MATCH($U451,'Tarieven W&amp;O'!$B:$B,0)</f>
        <v>67</v>
      </c>
      <c r="AJ451" s="204">
        <f>IF(AI451&lt;&gt;"nvt",INDEX('Tarieven W&amp;O'!$H:$H,$AI451),0)</f>
        <v>0</v>
      </c>
      <c r="AK451" s="204">
        <f>IF(AI451&lt;&gt;"nvt",INDEX('Tarieven W&amp;O'!$I:$I,$AI451),0)</f>
        <v>25</v>
      </c>
      <c r="AL451" s="524">
        <f>IF(AI451&lt;&gt;"nvt",-INDEX(Parameters!$B:$B,MATCH(AL$3,Parameters!$A:$A,0))*(AJ451+AK451),0)</f>
        <v>0</v>
      </c>
      <c r="AM451" s="525"/>
      <c r="AN451" s="139">
        <f t="shared" si="233"/>
        <v>25</v>
      </c>
      <c r="AO451" s="205">
        <f>AN451/INDEX(Parameters!$B:$B,MATCH("AfschrijftermijnVVE"&amp;12*$C451,Parameters!$A:$A,0))</f>
        <v>0.52083333333333337</v>
      </c>
      <c r="AP451" s="139">
        <f t="shared" si="234"/>
        <v>67</v>
      </c>
      <c r="AQ451" s="526">
        <f>IF(AP451&lt;&gt;"nvt",INDEX('Tarieven W&amp;O'!$G:$G,$AP451),0)</f>
        <v>110.78</v>
      </c>
      <c r="AR451" s="251">
        <f>IF($S451,INDEX('Tarieven W&amp;O'!$G:$G,MATCH(N451&amp;R451,'Tarieven W&amp;O'!$B:$B,0)),0)</f>
        <v>0</v>
      </c>
      <c r="AS451" s="205">
        <f>-INDEX(Parameters!$B:$B,MATCH(AS$3,Parameters!$A:$A,0))*(AQ451+AR451)</f>
        <v>0</v>
      </c>
      <c r="AT451" s="205">
        <f>INDEX(hulpblad!$E:$E,MATCH(M451&amp;Q451,hulpblad!$B:$B,0))</f>
        <v>2</v>
      </c>
      <c r="AU451" s="150">
        <f t="shared" si="238"/>
        <v>112.78</v>
      </c>
      <c r="AV451" s="150">
        <f t="shared" si="239"/>
        <v>113.30083333333333</v>
      </c>
      <c r="AX451" s="526">
        <f>Parameters!$B$6*AV451</f>
        <v>1.1330083333333334</v>
      </c>
      <c r="AY451" s="150">
        <v>0</v>
      </c>
      <c r="AZ451" s="150"/>
      <c r="BA451" s="150">
        <f t="shared" si="235"/>
        <v>1.1330083333333334</v>
      </c>
      <c r="BB451" s="150"/>
      <c r="BC451" s="522">
        <f t="shared" si="236"/>
        <v>114.43384166666667</v>
      </c>
      <c r="BD451" s="175"/>
      <c r="BE451" s="527">
        <f t="shared" si="240"/>
        <v>906.39949166666668</v>
      </c>
      <c r="BF451" s="181">
        <f t="shared" si="241"/>
        <v>0.88790154285714284</v>
      </c>
      <c r="BG451" s="520" t="b">
        <f t="shared" si="229"/>
        <v>0</v>
      </c>
      <c r="BI451" s="528" t="s">
        <v>2181</v>
      </c>
      <c r="BL451" s="151" t="str">
        <f t="shared" si="243"/>
        <v>EoKMetro - Nationaal</v>
      </c>
      <c r="BM451" s="529">
        <v>0</v>
      </c>
      <c r="BN451" s="180">
        <f>BM451/INDEX(Parameters!$B:$B,MATCH("AfschrijftermijnVVE"&amp;12*$C451,Parameters!$A:$A,0))</f>
        <v>0</v>
      </c>
      <c r="BO451" s="184">
        <f>INDEX('inkoop ULL tbv EVPN'!I:I,MATCH(BL451,'inkoop ULL tbv EVPN'!H:H,0))</f>
        <v>2</v>
      </c>
      <c r="BP451" s="184">
        <f t="shared" si="244"/>
        <v>2</v>
      </c>
      <c r="BR451" s="180">
        <f>Parameters!$B$12*AG451</f>
        <v>102.08333333333334</v>
      </c>
      <c r="BS451" s="180">
        <f>SUM(Distributievergoedingen!$F$12,Distributievergoedingen!$I$12,Distributievergoedingen!$L$12,Distributievergoedingen!$O$12)*AF451+SUM(Distributievergoedingen!$O$12*AA451+Distributievergoedingen!$R$12+Distributievergoedingen!$U$12+Distributievergoedingen!$X$12)/(MAX(36,12*C451))</f>
        <v>112.08333333333333</v>
      </c>
      <c r="BT451" s="150"/>
      <c r="BU451" s="150">
        <f t="shared" si="245"/>
        <v>214.16666666666669</v>
      </c>
      <c r="BW451" s="522">
        <f t="shared" si="246"/>
        <v>216.16666666666669</v>
      </c>
      <c r="BY451" s="527">
        <f t="shared" si="247"/>
        <v>804.66666666666674</v>
      </c>
      <c r="BZ451" s="181">
        <f t="shared" si="248"/>
        <v>0.78824489795918373</v>
      </c>
      <c r="CA451" s="520" t="b">
        <f t="shared" si="249"/>
        <v>0</v>
      </c>
    </row>
    <row r="452" spans="1:79" s="151" customFormat="1">
      <c r="A452" s="151" t="str">
        <f t="shared" si="242"/>
        <v>4EoKPremiumNationaal50</v>
      </c>
      <c r="B452" s="520" t="str">
        <f t="shared" si="237"/>
        <v>4EoKPremiumNationaal50</v>
      </c>
      <c r="C452" s="179">
        <v>4</v>
      </c>
      <c r="D452" s="179" t="s">
        <v>303</v>
      </c>
      <c r="E452" s="178" t="s">
        <v>267</v>
      </c>
      <c r="F452" s="178" t="s">
        <v>266</v>
      </c>
      <c r="G452" s="185" t="s">
        <v>416</v>
      </c>
      <c r="J452" s="520" t="str">
        <f t="shared" si="227"/>
        <v>PremiumNationaal50</v>
      </c>
      <c r="L452" s="204">
        <f>INDEX(Mapping!$H:$H,MATCH(C$3&amp;C452,Mapping!$B:$B,0))</f>
        <v>1</v>
      </c>
      <c r="M452" s="204" t="str">
        <f>INDEX(Mapping!$H:$H,MATCH(D$3&amp;$D452,Mapping!$B:$B,0))</f>
        <v>EoK</v>
      </c>
      <c r="N452" s="204" t="str">
        <f>INDEX(Mapping!$H:$H,MATCH(E$3&amp;E452,Mapping!$B:$B,0))</f>
        <v>Premium</v>
      </c>
      <c r="O452" s="204" t="str">
        <f>INDEX(Mapping!$H:$H,MATCH(F$3&amp;F452,Mapping!$B:$B,0))</f>
        <v>Metro</v>
      </c>
      <c r="P452" s="204">
        <f>INDEX(Mapping!$H:$H,MATCH(G$3&amp;G452,Mapping!$B:$B,0))</f>
        <v>50</v>
      </c>
      <c r="Q452" s="204" t="str">
        <f>INDEX(Mapping!$H:$H,MATCH(Q$3&amp;$F452,Mapping!$B:$B,0))</f>
        <v>Metro - Nationaal</v>
      </c>
      <c r="R452" s="204" t="str">
        <f>INDEX(Mapping!$H:$H,MATCH("ZM VPN Service Level"&amp;E452,Mapping!$B:$B,0))</f>
        <v>Advanced</v>
      </c>
      <c r="S452" s="139" t="b">
        <f>IF($D452="EoK",INDEX(Mapping!$I:$I,MATCH($G$3&amp;$G452,Mapping!B:B,0)),FALSE)</f>
        <v>0</v>
      </c>
      <c r="T452" s="139"/>
      <c r="U452" s="520" t="str">
        <f t="shared" si="228"/>
        <v>PremiumMetro50</v>
      </c>
      <c r="W452" s="521">
        <f>MATCH($J452,'Tarieven ZM'!$B:$B,0)</f>
        <v>114</v>
      </c>
      <c r="X452" s="204">
        <f>INDEX('Tarieven ZM'!$H:$H,$W452)</f>
        <v>1000</v>
      </c>
      <c r="Y452" s="198">
        <f>-INDEX(Parameters!$B:$B,MATCH(Y$3&amp;$C452,Parameters!$A:$A,0))*$X452</f>
        <v>0</v>
      </c>
      <c r="Z452" s="198">
        <f>-INDEX(Parameters!$B:$B,MATCH(Z$3&amp;$C452,Parameters!$A:$A,0))*$X452</f>
        <v>0</v>
      </c>
      <c r="AA452" s="139">
        <f t="shared" si="230"/>
        <v>1000</v>
      </c>
      <c r="AB452" s="205">
        <f>AA452/INDEX(Parameters!$B:$B,MATCH("AfschrijftermijnVVE"&amp;12*$C452,Parameters!$A:$A,0))</f>
        <v>20.833333333333332</v>
      </c>
      <c r="AC452" s="204">
        <f>INDEX('Tarieven ZM'!$G:$G,$W452)</f>
        <v>1000</v>
      </c>
      <c r="AD452" s="198">
        <f>-INDEX(Parameters!$B:$B,MATCH(AD$3&amp;$C452,Parameters!$A:$A,0))*$AC452</f>
        <v>0</v>
      </c>
      <c r="AE452" s="198">
        <f>-INDEX(Parameters!$B:$B,MATCH(AE$3,Parameters!$A:$A,0))*$AC452</f>
        <v>0</v>
      </c>
      <c r="AF452" s="139">
        <f t="shared" si="231"/>
        <v>1000</v>
      </c>
      <c r="AG452" s="522">
        <f t="shared" si="232"/>
        <v>1020.8333333333334</v>
      </c>
      <c r="AH452" s="175"/>
      <c r="AI452" s="523">
        <f>MATCH($U452,'Tarieven W&amp;O'!$B:$B,0)</f>
        <v>68</v>
      </c>
      <c r="AJ452" s="204">
        <f>IF(AI452&lt;&gt;"nvt",INDEX('Tarieven W&amp;O'!$H:$H,$AI452),0)</f>
        <v>0</v>
      </c>
      <c r="AK452" s="204">
        <f>IF(AI452&lt;&gt;"nvt",INDEX('Tarieven W&amp;O'!$I:$I,$AI452),0)</f>
        <v>25</v>
      </c>
      <c r="AL452" s="524">
        <f>IF(AI452&lt;&gt;"nvt",-INDEX(Parameters!$B:$B,MATCH(AL$3,Parameters!$A:$A,0))*(AJ452+AK452),0)</f>
        <v>0</v>
      </c>
      <c r="AM452" s="525"/>
      <c r="AN452" s="139">
        <f t="shared" si="233"/>
        <v>25</v>
      </c>
      <c r="AO452" s="205">
        <f>AN452/INDEX(Parameters!$B:$B,MATCH("AfschrijftermijnVVE"&amp;12*$C452,Parameters!$A:$A,0))</f>
        <v>0.52083333333333337</v>
      </c>
      <c r="AP452" s="139">
        <f t="shared" si="234"/>
        <v>68</v>
      </c>
      <c r="AQ452" s="526">
        <f>IF(AP452&lt;&gt;"nvt",INDEX('Tarieven W&amp;O'!$G:$G,$AP452),0)</f>
        <v>133.4</v>
      </c>
      <c r="AR452" s="251">
        <f>IF($S452,INDEX('Tarieven W&amp;O'!$G:$G,MATCH(N452&amp;R452,'Tarieven W&amp;O'!$B:$B,0)),0)</f>
        <v>0</v>
      </c>
      <c r="AS452" s="205">
        <f>-INDEX(Parameters!$B:$B,MATCH(AS$3,Parameters!$A:$A,0))*(AQ452+AR452)</f>
        <v>0</v>
      </c>
      <c r="AT452" s="205">
        <f>INDEX(hulpblad!$E:$E,MATCH(M452&amp;Q452,hulpblad!$B:$B,0))</f>
        <v>2</v>
      </c>
      <c r="AU452" s="150">
        <f t="shared" si="238"/>
        <v>135.4</v>
      </c>
      <c r="AV452" s="150">
        <f t="shared" si="239"/>
        <v>135.92083333333335</v>
      </c>
      <c r="AX452" s="526">
        <f>Parameters!$B$6*AV452</f>
        <v>1.3592083333333336</v>
      </c>
      <c r="AY452" s="150">
        <v>0</v>
      </c>
      <c r="AZ452" s="150"/>
      <c r="BA452" s="150">
        <f t="shared" si="235"/>
        <v>1.3592083333333336</v>
      </c>
      <c r="BB452" s="150"/>
      <c r="BC452" s="522">
        <f t="shared" si="236"/>
        <v>137.28004166666668</v>
      </c>
      <c r="BD452" s="175"/>
      <c r="BE452" s="527">
        <f t="shared" si="240"/>
        <v>883.55329166666672</v>
      </c>
      <c r="BF452" s="181">
        <f t="shared" si="241"/>
        <v>0.86552159183673472</v>
      </c>
      <c r="BG452" s="520" t="b">
        <f t="shared" si="229"/>
        <v>0</v>
      </c>
      <c r="BI452" s="528" t="s">
        <v>2181</v>
      </c>
      <c r="BL452" s="151" t="str">
        <f t="shared" si="243"/>
        <v>EoKMetro - Nationaal</v>
      </c>
      <c r="BM452" s="529">
        <v>0</v>
      </c>
      <c r="BN452" s="180">
        <f>BM452/INDEX(Parameters!$B:$B,MATCH("AfschrijftermijnVVE"&amp;12*$C452,Parameters!$A:$A,0))</f>
        <v>0</v>
      </c>
      <c r="BO452" s="184">
        <f>INDEX('inkoop ULL tbv EVPN'!I:I,MATCH(BL452,'inkoop ULL tbv EVPN'!H:H,0))</f>
        <v>2</v>
      </c>
      <c r="BP452" s="184">
        <f t="shared" si="244"/>
        <v>2</v>
      </c>
      <c r="BR452" s="180">
        <f>Parameters!$B$12*AG452</f>
        <v>102.08333333333334</v>
      </c>
      <c r="BS452" s="180">
        <f>SUM(Distributievergoedingen!$F$12,Distributievergoedingen!$I$12,Distributievergoedingen!$L$12,Distributievergoedingen!$O$12)*AF452+SUM(Distributievergoedingen!$O$12*AA452+Distributievergoedingen!$R$12+Distributievergoedingen!$U$12+Distributievergoedingen!$X$12)/(MAX(36,12*C452))</f>
        <v>112.08333333333333</v>
      </c>
      <c r="BT452" s="150"/>
      <c r="BU452" s="150">
        <f t="shared" si="245"/>
        <v>214.16666666666669</v>
      </c>
      <c r="BW452" s="522">
        <f t="shared" si="246"/>
        <v>216.16666666666669</v>
      </c>
      <c r="BY452" s="527">
        <f t="shared" si="247"/>
        <v>804.66666666666674</v>
      </c>
      <c r="BZ452" s="181">
        <f t="shared" si="248"/>
        <v>0.78824489795918373</v>
      </c>
      <c r="CA452" s="520" t="b">
        <f t="shared" si="249"/>
        <v>0</v>
      </c>
    </row>
    <row r="453" spans="1:79" s="151" customFormat="1">
      <c r="A453" s="151" t="str">
        <f t="shared" si="242"/>
        <v>4EoKPremiumNationaal80</v>
      </c>
      <c r="B453" s="520" t="str">
        <f t="shared" si="237"/>
        <v>4EoKPremiumNationaal80</v>
      </c>
      <c r="C453" s="179">
        <v>4</v>
      </c>
      <c r="D453" s="179" t="s">
        <v>303</v>
      </c>
      <c r="E453" s="178" t="s">
        <v>267</v>
      </c>
      <c r="F453" s="178" t="s">
        <v>266</v>
      </c>
      <c r="G453" s="185" t="s">
        <v>417</v>
      </c>
      <c r="J453" s="520" t="str">
        <f t="shared" si="227"/>
        <v>PremiumNationaal80</v>
      </c>
      <c r="L453" s="204">
        <f>INDEX(Mapping!$H:$H,MATCH(C$3&amp;C453,Mapping!$B:$B,0))</f>
        <v>1</v>
      </c>
      <c r="M453" s="204" t="str">
        <f>INDEX(Mapping!$H:$H,MATCH(D$3&amp;$D453,Mapping!$B:$B,0))</f>
        <v>EoK</v>
      </c>
      <c r="N453" s="204" t="str">
        <f>INDEX(Mapping!$H:$H,MATCH(E$3&amp;E453,Mapping!$B:$B,0))</f>
        <v>Premium</v>
      </c>
      <c r="O453" s="204" t="str">
        <f>INDEX(Mapping!$H:$H,MATCH(F$3&amp;F453,Mapping!$B:$B,0))</f>
        <v>Metro</v>
      </c>
      <c r="P453" s="204">
        <f>INDEX(Mapping!$H:$H,MATCH(G$3&amp;G453,Mapping!$B:$B,0))</f>
        <v>80</v>
      </c>
      <c r="Q453" s="204" t="str">
        <f>INDEX(Mapping!$H:$H,MATCH(Q$3&amp;$F453,Mapping!$B:$B,0))</f>
        <v>Metro - Nationaal</v>
      </c>
      <c r="R453" s="204" t="str">
        <f>INDEX(Mapping!$H:$H,MATCH("ZM VPN Service Level"&amp;E453,Mapping!$B:$B,0))</f>
        <v>Advanced</v>
      </c>
      <c r="S453" s="139" t="b">
        <f>IF($D453="EoK",INDEX(Mapping!$I:$I,MATCH($G$3&amp;$G453,Mapping!B:B,0)),FALSE)</f>
        <v>0</v>
      </c>
      <c r="T453" s="139"/>
      <c r="U453" s="520" t="str">
        <f t="shared" si="228"/>
        <v>PremiumMetro80</v>
      </c>
      <c r="W453" s="521">
        <f>MATCH($J453,'Tarieven ZM'!$B:$B,0)</f>
        <v>115</v>
      </c>
      <c r="X453" s="204">
        <f>INDEX('Tarieven ZM'!$H:$H,$W453)</f>
        <v>1000</v>
      </c>
      <c r="Y453" s="198">
        <f>-INDEX(Parameters!$B:$B,MATCH(Y$3&amp;$C453,Parameters!$A:$A,0))*$X453</f>
        <v>0</v>
      </c>
      <c r="Z453" s="198">
        <f>-INDEX(Parameters!$B:$B,MATCH(Z$3&amp;$C453,Parameters!$A:$A,0))*$X453</f>
        <v>0</v>
      </c>
      <c r="AA453" s="139">
        <f t="shared" si="230"/>
        <v>1000</v>
      </c>
      <c r="AB453" s="205">
        <f>AA453/INDEX(Parameters!$B:$B,MATCH("AfschrijftermijnVVE"&amp;12*$C453,Parameters!$A:$A,0))</f>
        <v>20.833333333333332</v>
      </c>
      <c r="AC453" s="204">
        <f>INDEX('Tarieven ZM'!$G:$G,$W453)</f>
        <v>1000</v>
      </c>
      <c r="AD453" s="198">
        <f>-INDEX(Parameters!$B:$B,MATCH(AD$3&amp;$C453,Parameters!$A:$A,0))*$AC453</f>
        <v>0</v>
      </c>
      <c r="AE453" s="198">
        <f>-INDEX(Parameters!$B:$B,MATCH(AE$3,Parameters!$A:$A,0))*$AC453</f>
        <v>0</v>
      </c>
      <c r="AF453" s="139">
        <f t="shared" si="231"/>
        <v>1000</v>
      </c>
      <c r="AG453" s="522">
        <f t="shared" si="232"/>
        <v>1020.8333333333334</v>
      </c>
      <c r="AH453" s="175"/>
      <c r="AI453" s="523">
        <f>MATCH($U453,'Tarieven W&amp;O'!$B:$B,0)</f>
        <v>69</v>
      </c>
      <c r="AJ453" s="204">
        <f>IF(AI453&lt;&gt;"nvt",INDEX('Tarieven W&amp;O'!$H:$H,$AI453),0)</f>
        <v>0</v>
      </c>
      <c r="AK453" s="204">
        <f>IF(AI453&lt;&gt;"nvt",INDEX('Tarieven W&amp;O'!$I:$I,$AI453),0)</f>
        <v>25</v>
      </c>
      <c r="AL453" s="524">
        <f>IF(AI453&lt;&gt;"nvt",-INDEX(Parameters!$B:$B,MATCH(AL$3,Parameters!$A:$A,0))*(AJ453+AK453),0)</f>
        <v>0</v>
      </c>
      <c r="AM453" s="525"/>
      <c r="AN453" s="139">
        <f t="shared" si="233"/>
        <v>25</v>
      </c>
      <c r="AO453" s="205">
        <f>AN453/INDEX(Parameters!$B:$B,MATCH("AfschrijftermijnVVE"&amp;12*$C453,Parameters!$A:$A,0))</f>
        <v>0.52083333333333337</v>
      </c>
      <c r="AP453" s="139">
        <f t="shared" si="234"/>
        <v>69</v>
      </c>
      <c r="AQ453" s="526">
        <f>IF(AP453&lt;&gt;"nvt",INDEX('Tarieven W&amp;O'!$G:$G,$AP453),0)</f>
        <v>159.78</v>
      </c>
      <c r="AR453" s="251">
        <f>IF($S453,INDEX('Tarieven W&amp;O'!$G:$G,MATCH(N453&amp;R453,'Tarieven W&amp;O'!$B:$B,0)),0)</f>
        <v>0</v>
      </c>
      <c r="AS453" s="205">
        <f>-INDEX(Parameters!$B:$B,MATCH(AS$3,Parameters!$A:$A,0))*(AQ453+AR453)</f>
        <v>0</v>
      </c>
      <c r="AT453" s="205">
        <f>INDEX(hulpblad!$E:$E,MATCH(M453&amp;Q453,hulpblad!$B:$B,0))</f>
        <v>2</v>
      </c>
      <c r="AU453" s="150">
        <f t="shared" si="238"/>
        <v>161.78</v>
      </c>
      <c r="AV453" s="150">
        <f t="shared" si="239"/>
        <v>162.30083333333334</v>
      </c>
      <c r="AX453" s="526">
        <f>Parameters!$B$6*AV453</f>
        <v>1.6230083333333334</v>
      </c>
      <c r="AY453" s="150">
        <v>0</v>
      </c>
      <c r="AZ453" s="150"/>
      <c r="BA453" s="150">
        <f t="shared" si="235"/>
        <v>1.6230083333333334</v>
      </c>
      <c r="BB453" s="150"/>
      <c r="BC453" s="522">
        <f t="shared" si="236"/>
        <v>163.92384166666668</v>
      </c>
      <c r="BD453" s="175"/>
      <c r="BE453" s="527">
        <f t="shared" si="240"/>
        <v>856.90949166666667</v>
      </c>
      <c r="BF453" s="181">
        <f t="shared" si="241"/>
        <v>0.83942154285714288</v>
      </c>
      <c r="BG453" s="520" t="b">
        <f t="shared" si="229"/>
        <v>0</v>
      </c>
      <c r="BI453" s="528" t="s">
        <v>2181</v>
      </c>
      <c r="BL453" s="151" t="str">
        <f t="shared" si="243"/>
        <v>EoKMetro - Nationaal</v>
      </c>
      <c r="BM453" s="529">
        <v>0</v>
      </c>
      <c r="BN453" s="180">
        <f>BM453/INDEX(Parameters!$B:$B,MATCH("AfschrijftermijnVVE"&amp;12*$C453,Parameters!$A:$A,0))</f>
        <v>0</v>
      </c>
      <c r="BO453" s="184">
        <f>INDEX('inkoop ULL tbv EVPN'!I:I,MATCH(BL453,'inkoop ULL tbv EVPN'!H:H,0))</f>
        <v>2</v>
      </c>
      <c r="BP453" s="184">
        <f t="shared" si="244"/>
        <v>2</v>
      </c>
      <c r="BR453" s="180">
        <f>Parameters!$B$12*AG453</f>
        <v>102.08333333333334</v>
      </c>
      <c r="BS453" s="180">
        <f>SUM(Distributievergoedingen!$F$12,Distributievergoedingen!$I$12,Distributievergoedingen!$L$12,Distributievergoedingen!$O$12)*AF453+SUM(Distributievergoedingen!$O$12*AA453+Distributievergoedingen!$R$12+Distributievergoedingen!$U$12+Distributievergoedingen!$X$12)/(MAX(36,12*C453))</f>
        <v>112.08333333333333</v>
      </c>
      <c r="BT453" s="150"/>
      <c r="BU453" s="150">
        <f t="shared" si="245"/>
        <v>214.16666666666669</v>
      </c>
      <c r="BW453" s="522">
        <f t="shared" si="246"/>
        <v>216.16666666666669</v>
      </c>
      <c r="BY453" s="527">
        <f t="shared" si="247"/>
        <v>804.66666666666674</v>
      </c>
      <c r="BZ453" s="181">
        <f t="shared" si="248"/>
        <v>0.78824489795918373</v>
      </c>
      <c r="CA453" s="520" t="b">
        <f t="shared" si="249"/>
        <v>0</v>
      </c>
    </row>
    <row r="454" spans="1:79" s="151" customFormat="1">
      <c r="A454" s="151" t="str">
        <f t="shared" si="242"/>
        <v>4EoKPremiumNationaal100</v>
      </c>
      <c r="B454" s="520" t="str">
        <f t="shared" si="237"/>
        <v>4EoKPremiumNationaal100</v>
      </c>
      <c r="C454" s="179">
        <v>4</v>
      </c>
      <c r="D454" s="179" t="s">
        <v>303</v>
      </c>
      <c r="E454" s="178" t="s">
        <v>267</v>
      </c>
      <c r="F454" s="178" t="s">
        <v>266</v>
      </c>
      <c r="G454" s="185" t="s">
        <v>418</v>
      </c>
      <c r="J454" s="520" t="str">
        <f t="shared" si="227"/>
        <v>PremiumNationaal100</v>
      </c>
      <c r="L454" s="204">
        <f>INDEX(Mapping!$H:$H,MATCH(C$3&amp;C454,Mapping!$B:$B,0))</f>
        <v>1</v>
      </c>
      <c r="M454" s="204" t="str">
        <f>INDEX(Mapping!$H:$H,MATCH(D$3&amp;$D454,Mapping!$B:$B,0))</f>
        <v>EoK</v>
      </c>
      <c r="N454" s="204" t="str">
        <f>INDEX(Mapping!$H:$H,MATCH(E$3&amp;E454,Mapping!$B:$B,0))</f>
        <v>Premium</v>
      </c>
      <c r="O454" s="204" t="str">
        <f>INDEX(Mapping!$H:$H,MATCH(F$3&amp;F454,Mapping!$B:$B,0))</f>
        <v>Metro</v>
      </c>
      <c r="P454" s="204">
        <f>INDEX(Mapping!$H:$H,MATCH(G$3&amp;G454,Mapping!$B:$B,0))</f>
        <v>100</v>
      </c>
      <c r="Q454" s="204" t="str">
        <f>INDEX(Mapping!$H:$H,MATCH(Q$3&amp;$F454,Mapping!$B:$B,0))</f>
        <v>Metro - Nationaal</v>
      </c>
      <c r="R454" s="204" t="str">
        <f>INDEX(Mapping!$H:$H,MATCH("ZM VPN Service Level"&amp;E454,Mapping!$B:$B,0))</f>
        <v>Advanced</v>
      </c>
      <c r="S454" s="139" t="b">
        <f>IF($D454="EoK",INDEX(Mapping!$I:$I,MATCH($G$3&amp;$G454,Mapping!B:B,0)),FALSE)</f>
        <v>0</v>
      </c>
      <c r="T454" s="139"/>
      <c r="U454" s="520" t="str">
        <f t="shared" si="228"/>
        <v>PremiumMetro100</v>
      </c>
      <c r="W454" s="521">
        <f>MATCH($J454,'Tarieven ZM'!$B:$B,0)</f>
        <v>116</v>
      </c>
      <c r="X454" s="204">
        <f>INDEX('Tarieven ZM'!$H:$H,$W454)</f>
        <v>1000</v>
      </c>
      <c r="Y454" s="198">
        <f>-INDEX(Parameters!$B:$B,MATCH(Y$3&amp;$C454,Parameters!$A:$A,0))*$X454</f>
        <v>0</v>
      </c>
      <c r="Z454" s="198">
        <f>-INDEX(Parameters!$B:$B,MATCH(Z$3&amp;$C454,Parameters!$A:$A,0))*$X454</f>
        <v>0</v>
      </c>
      <c r="AA454" s="139">
        <f t="shared" si="230"/>
        <v>1000</v>
      </c>
      <c r="AB454" s="205">
        <f>AA454/INDEX(Parameters!$B:$B,MATCH("AfschrijftermijnVVE"&amp;12*$C454,Parameters!$A:$A,0))</f>
        <v>20.833333333333332</v>
      </c>
      <c r="AC454" s="204">
        <f>INDEX('Tarieven ZM'!$G:$G,$W454)</f>
        <v>1000</v>
      </c>
      <c r="AD454" s="198">
        <f>-INDEX(Parameters!$B:$B,MATCH(AD$3&amp;$C454,Parameters!$A:$A,0))*$AC454</f>
        <v>0</v>
      </c>
      <c r="AE454" s="198">
        <f>-INDEX(Parameters!$B:$B,MATCH(AE$3,Parameters!$A:$A,0))*$AC454</f>
        <v>0</v>
      </c>
      <c r="AF454" s="139">
        <f t="shared" si="231"/>
        <v>1000</v>
      </c>
      <c r="AG454" s="522">
        <f t="shared" si="232"/>
        <v>1020.8333333333334</v>
      </c>
      <c r="AH454" s="175"/>
      <c r="AI454" s="523">
        <f>MATCH($U454,'Tarieven W&amp;O'!$B:$B,0)</f>
        <v>70</v>
      </c>
      <c r="AJ454" s="204">
        <f>IF(AI454&lt;&gt;"nvt",INDEX('Tarieven W&amp;O'!$H:$H,$AI454),0)</f>
        <v>0</v>
      </c>
      <c r="AK454" s="204">
        <f>IF(AI454&lt;&gt;"nvt",INDEX('Tarieven W&amp;O'!$I:$I,$AI454),0)</f>
        <v>25</v>
      </c>
      <c r="AL454" s="524">
        <f>IF(AI454&lt;&gt;"nvt",-INDEX(Parameters!$B:$B,MATCH(AL$3,Parameters!$A:$A,0))*(AJ454+AK454),0)</f>
        <v>0</v>
      </c>
      <c r="AM454" s="525"/>
      <c r="AN454" s="139">
        <f t="shared" si="233"/>
        <v>25</v>
      </c>
      <c r="AO454" s="205">
        <f>AN454/INDEX(Parameters!$B:$B,MATCH("AfschrijftermijnVVE"&amp;12*$C454,Parameters!$A:$A,0))</f>
        <v>0.52083333333333337</v>
      </c>
      <c r="AP454" s="139">
        <f t="shared" si="234"/>
        <v>70</v>
      </c>
      <c r="AQ454" s="526">
        <f>IF(AP454&lt;&gt;"nvt",INDEX('Tarieven W&amp;O'!$G:$G,$AP454),0)</f>
        <v>178.63</v>
      </c>
      <c r="AR454" s="251">
        <f>IF($S454,INDEX('Tarieven W&amp;O'!$G:$G,MATCH(N454&amp;R454,'Tarieven W&amp;O'!$B:$B,0)),0)</f>
        <v>0</v>
      </c>
      <c r="AS454" s="205">
        <f>-INDEX(Parameters!$B:$B,MATCH(AS$3,Parameters!$A:$A,0))*(AQ454+AR454)</f>
        <v>0</v>
      </c>
      <c r="AT454" s="205">
        <f>INDEX(hulpblad!$E:$E,MATCH(M454&amp;Q454,hulpblad!$B:$B,0))</f>
        <v>2</v>
      </c>
      <c r="AU454" s="150">
        <f t="shared" si="238"/>
        <v>180.63</v>
      </c>
      <c r="AV454" s="150">
        <f t="shared" si="239"/>
        <v>181.15083333333334</v>
      </c>
      <c r="AX454" s="526">
        <f>Parameters!$B$6*AV454</f>
        <v>1.8115083333333335</v>
      </c>
      <c r="AY454" s="150">
        <v>0</v>
      </c>
      <c r="AZ454" s="150"/>
      <c r="BA454" s="150">
        <f t="shared" si="235"/>
        <v>1.8115083333333335</v>
      </c>
      <c r="BB454" s="150"/>
      <c r="BC454" s="522">
        <f t="shared" si="236"/>
        <v>182.96234166666667</v>
      </c>
      <c r="BD454" s="175"/>
      <c r="BE454" s="527">
        <f t="shared" si="240"/>
        <v>837.87099166666667</v>
      </c>
      <c r="BF454" s="181">
        <f t="shared" si="241"/>
        <v>0.82077158367346936</v>
      </c>
      <c r="BG454" s="520" t="b">
        <f t="shared" si="229"/>
        <v>0</v>
      </c>
      <c r="BI454" s="528" t="s">
        <v>2181</v>
      </c>
      <c r="BL454" s="151" t="str">
        <f t="shared" si="243"/>
        <v>EoKMetro - Nationaal</v>
      </c>
      <c r="BM454" s="529">
        <v>0</v>
      </c>
      <c r="BN454" s="180">
        <f>BM454/INDEX(Parameters!$B:$B,MATCH("AfschrijftermijnVVE"&amp;12*$C454,Parameters!$A:$A,0))</f>
        <v>0</v>
      </c>
      <c r="BO454" s="184">
        <f>INDEX('inkoop ULL tbv EVPN'!I:I,MATCH(BL454,'inkoop ULL tbv EVPN'!H:H,0))</f>
        <v>2</v>
      </c>
      <c r="BP454" s="184">
        <f t="shared" si="244"/>
        <v>2</v>
      </c>
      <c r="BR454" s="180">
        <f>Parameters!$B$12*AG454</f>
        <v>102.08333333333334</v>
      </c>
      <c r="BS454" s="180">
        <f>SUM(Distributievergoedingen!$F$12,Distributievergoedingen!$I$12,Distributievergoedingen!$L$12,Distributievergoedingen!$O$12)*AF454+SUM(Distributievergoedingen!$O$12*AA454+Distributievergoedingen!$R$12+Distributievergoedingen!$U$12+Distributievergoedingen!$X$12)/(MAX(36,12*C454))</f>
        <v>112.08333333333333</v>
      </c>
      <c r="BT454" s="150"/>
      <c r="BU454" s="150">
        <f t="shared" si="245"/>
        <v>214.16666666666669</v>
      </c>
      <c r="BW454" s="522">
        <f t="shared" si="246"/>
        <v>216.16666666666669</v>
      </c>
      <c r="BY454" s="527">
        <f t="shared" si="247"/>
        <v>804.66666666666674</v>
      </c>
      <c r="BZ454" s="181">
        <f t="shared" si="248"/>
        <v>0.78824489795918373</v>
      </c>
      <c r="CA454" s="520" t="b">
        <f t="shared" si="249"/>
        <v>0</v>
      </c>
    </row>
    <row r="455" spans="1:79" s="151" customFormat="1">
      <c r="A455" s="151" t="str">
        <f t="shared" si="242"/>
        <v>4EoKPremiumNationaal200</v>
      </c>
      <c r="B455" s="520" t="str">
        <f t="shared" si="237"/>
        <v>4EoKPremiumNationaal200</v>
      </c>
      <c r="C455" s="179">
        <v>4</v>
      </c>
      <c r="D455" s="179" t="s">
        <v>303</v>
      </c>
      <c r="E455" s="178" t="s">
        <v>267</v>
      </c>
      <c r="F455" s="178" t="s">
        <v>266</v>
      </c>
      <c r="G455" s="185" t="s">
        <v>419</v>
      </c>
      <c r="J455" s="520" t="str">
        <f t="shared" si="227"/>
        <v>PremiumNationaal200</v>
      </c>
      <c r="L455" s="204">
        <f>INDEX(Mapping!$H:$H,MATCH(C$3&amp;C455,Mapping!$B:$B,0))</f>
        <v>1</v>
      </c>
      <c r="M455" s="204" t="str">
        <f>INDEX(Mapping!$H:$H,MATCH(D$3&amp;$D455,Mapping!$B:$B,0))</f>
        <v>EoK</v>
      </c>
      <c r="N455" s="204" t="str">
        <f>INDEX(Mapping!$H:$H,MATCH(E$3&amp;E455,Mapping!$B:$B,0))</f>
        <v>Premium</v>
      </c>
      <c r="O455" s="204" t="str">
        <f>INDEX(Mapping!$H:$H,MATCH(F$3&amp;F455,Mapping!$B:$B,0))</f>
        <v>Metro</v>
      </c>
      <c r="P455" s="204">
        <f>INDEX(Mapping!$H:$H,MATCH(G$3&amp;G455,Mapping!$B:$B,0))</f>
        <v>200</v>
      </c>
      <c r="Q455" s="204" t="str">
        <f>INDEX(Mapping!$H:$H,MATCH(Q$3&amp;$F455,Mapping!$B:$B,0))</f>
        <v>Metro - Nationaal</v>
      </c>
      <c r="R455" s="204" t="str">
        <f>INDEX(Mapping!$H:$H,MATCH("ZM VPN Service Level"&amp;E455,Mapping!$B:$B,0))</f>
        <v>Advanced</v>
      </c>
      <c r="S455" s="139" t="b">
        <f>IF($D455="EoK",INDEX(Mapping!$I:$I,MATCH($G$3&amp;$G455,Mapping!B:B,0)),FALSE)</f>
        <v>0</v>
      </c>
      <c r="T455" s="139"/>
      <c r="U455" s="520" t="str">
        <f t="shared" si="228"/>
        <v>PremiumMetro200</v>
      </c>
      <c r="W455" s="521">
        <f>MATCH($J455,'Tarieven ZM'!$B:$B,0)</f>
        <v>117</v>
      </c>
      <c r="X455" s="204">
        <f>INDEX('Tarieven ZM'!$H:$H,$W455)</f>
        <v>1000</v>
      </c>
      <c r="Y455" s="198">
        <f>-INDEX(Parameters!$B:$B,MATCH(Y$3&amp;$C455,Parameters!$A:$A,0))*$X455</f>
        <v>0</v>
      </c>
      <c r="Z455" s="198">
        <f>-INDEX(Parameters!$B:$B,MATCH(Z$3&amp;$C455,Parameters!$A:$A,0))*$X455</f>
        <v>0</v>
      </c>
      <c r="AA455" s="139">
        <f t="shared" si="230"/>
        <v>1000</v>
      </c>
      <c r="AB455" s="205">
        <f>AA455/INDEX(Parameters!$B:$B,MATCH("AfschrijftermijnVVE"&amp;12*$C455,Parameters!$A:$A,0))</f>
        <v>20.833333333333332</v>
      </c>
      <c r="AC455" s="204">
        <f>INDEX('Tarieven ZM'!$G:$G,$W455)</f>
        <v>1000</v>
      </c>
      <c r="AD455" s="198">
        <f>-INDEX(Parameters!$B:$B,MATCH(AD$3&amp;$C455,Parameters!$A:$A,0))*$AC455</f>
        <v>0</v>
      </c>
      <c r="AE455" s="198">
        <f>-INDEX(Parameters!$B:$B,MATCH(AE$3,Parameters!$A:$A,0))*$AC455</f>
        <v>0</v>
      </c>
      <c r="AF455" s="139">
        <f t="shared" si="231"/>
        <v>1000</v>
      </c>
      <c r="AG455" s="522">
        <f t="shared" si="232"/>
        <v>1020.8333333333334</v>
      </c>
      <c r="AH455" s="175"/>
      <c r="AI455" s="523">
        <f>MATCH($U455,'Tarieven W&amp;O'!$B:$B,0)</f>
        <v>71</v>
      </c>
      <c r="AJ455" s="204">
        <f>IF(AI455&lt;&gt;"nvt",INDEX('Tarieven W&amp;O'!$H:$H,$AI455),0)</f>
        <v>0</v>
      </c>
      <c r="AK455" s="204">
        <f>IF(AI455&lt;&gt;"nvt",INDEX('Tarieven W&amp;O'!$I:$I,$AI455),0)</f>
        <v>25</v>
      </c>
      <c r="AL455" s="524">
        <f>IF(AI455&lt;&gt;"nvt",-INDEX(Parameters!$B:$B,MATCH(AL$3,Parameters!$A:$A,0))*(AJ455+AK455),0)</f>
        <v>0</v>
      </c>
      <c r="AM455" s="525"/>
      <c r="AN455" s="139">
        <f t="shared" si="233"/>
        <v>25</v>
      </c>
      <c r="AO455" s="205">
        <f>AN455/INDEX(Parameters!$B:$B,MATCH("AfschrijftermijnVVE"&amp;12*$C455,Parameters!$A:$A,0))</f>
        <v>0.52083333333333337</v>
      </c>
      <c r="AP455" s="139">
        <f t="shared" si="234"/>
        <v>71</v>
      </c>
      <c r="AQ455" s="526">
        <f>IF(AP455&lt;&gt;"nvt",INDEX('Tarieven W&amp;O'!$G:$G,$AP455),0)</f>
        <v>216.32</v>
      </c>
      <c r="AR455" s="251">
        <f>IF($S455,INDEX('Tarieven W&amp;O'!$G:$G,MATCH(N455&amp;R455,'Tarieven W&amp;O'!$B:$B,0)),0)</f>
        <v>0</v>
      </c>
      <c r="AS455" s="205">
        <f>-INDEX(Parameters!$B:$B,MATCH(AS$3,Parameters!$A:$A,0))*(AQ455+AR455)</f>
        <v>0</v>
      </c>
      <c r="AT455" s="205">
        <f>INDEX(hulpblad!$E:$E,MATCH(M455&amp;Q455,hulpblad!$B:$B,0))</f>
        <v>2</v>
      </c>
      <c r="AU455" s="150">
        <f t="shared" si="238"/>
        <v>218.32</v>
      </c>
      <c r="AV455" s="150">
        <f t="shared" si="239"/>
        <v>218.84083333333334</v>
      </c>
      <c r="AX455" s="526">
        <f>Parameters!$B$6*AV455</f>
        <v>2.1884083333333333</v>
      </c>
      <c r="AY455" s="150">
        <v>0</v>
      </c>
      <c r="AZ455" s="150"/>
      <c r="BA455" s="150">
        <f t="shared" si="235"/>
        <v>2.1884083333333333</v>
      </c>
      <c r="BB455" s="150"/>
      <c r="BC455" s="522">
        <f t="shared" si="236"/>
        <v>221.02924166666668</v>
      </c>
      <c r="BD455" s="175"/>
      <c r="BE455" s="527">
        <f t="shared" si="240"/>
        <v>799.80409166666664</v>
      </c>
      <c r="BF455" s="181">
        <f t="shared" si="241"/>
        <v>0.78348155918367346</v>
      </c>
      <c r="BG455" s="520" t="b">
        <f t="shared" si="229"/>
        <v>0</v>
      </c>
      <c r="BI455" s="528" t="s">
        <v>2181</v>
      </c>
      <c r="BL455" s="151" t="str">
        <f t="shared" si="243"/>
        <v>EoKMetro - Nationaal</v>
      </c>
      <c r="BM455" s="529">
        <v>0</v>
      </c>
      <c r="BN455" s="180">
        <f>BM455/INDEX(Parameters!$B:$B,MATCH("AfschrijftermijnVVE"&amp;12*$C455,Parameters!$A:$A,0))</f>
        <v>0</v>
      </c>
      <c r="BO455" s="184">
        <f>INDEX('inkoop ULL tbv EVPN'!I:I,MATCH(BL455,'inkoop ULL tbv EVPN'!H:H,0))</f>
        <v>2</v>
      </c>
      <c r="BP455" s="184">
        <f t="shared" si="244"/>
        <v>2</v>
      </c>
      <c r="BR455" s="180">
        <f>Parameters!$B$12*AG455</f>
        <v>102.08333333333334</v>
      </c>
      <c r="BS455" s="180">
        <f>SUM(Distributievergoedingen!$F$12,Distributievergoedingen!$I$12,Distributievergoedingen!$L$12,Distributievergoedingen!$O$12)*AF455+SUM(Distributievergoedingen!$O$12*AA455+Distributievergoedingen!$R$12+Distributievergoedingen!$U$12+Distributievergoedingen!$X$12)/(MAX(36,12*C455))</f>
        <v>112.08333333333333</v>
      </c>
      <c r="BT455" s="150"/>
      <c r="BU455" s="150">
        <f t="shared" si="245"/>
        <v>214.16666666666669</v>
      </c>
      <c r="BW455" s="522">
        <f t="shared" si="246"/>
        <v>216.16666666666669</v>
      </c>
      <c r="BY455" s="527">
        <f t="shared" si="247"/>
        <v>804.66666666666674</v>
      </c>
      <c r="BZ455" s="181">
        <f t="shared" si="248"/>
        <v>0.78824489795918373</v>
      </c>
      <c r="CA455" s="520" t="b">
        <f t="shared" si="249"/>
        <v>0</v>
      </c>
    </row>
    <row r="456" spans="1:79" s="151" customFormat="1">
      <c r="A456" s="151" t="str">
        <f t="shared" si="242"/>
        <v>4EoKPremiumNationaal300</v>
      </c>
      <c r="B456" s="520" t="str">
        <f t="shared" si="237"/>
        <v>4EoKPremiumNationaal300</v>
      </c>
      <c r="C456" s="179">
        <v>4</v>
      </c>
      <c r="D456" s="179" t="s">
        <v>303</v>
      </c>
      <c r="E456" s="178" t="s">
        <v>267</v>
      </c>
      <c r="F456" s="178" t="s">
        <v>266</v>
      </c>
      <c r="G456" s="185" t="s">
        <v>420</v>
      </c>
      <c r="J456" s="520" t="str">
        <f t="shared" si="227"/>
        <v>PremiumNationaal300</v>
      </c>
      <c r="L456" s="204">
        <f>INDEX(Mapping!$H:$H,MATCH(C$3&amp;C456,Mapping!$B:$B,0))</f>
        <v>1</v>
      </c>
      <c r="M456" s="204" t="str">
        <f>INDEX(Mapping!$H:$H,MATCH(D$3&amp;$D456,Mapping!$B:$B,0))</f>
        <v>EoK</v>
      </c>
      <c r="N456" s="204" t="str">
        <f>INDEX(Mapping!$H:$H,MATCH(E$3&amp;E456,Mapping!$B:$B,0))</f>
        <v>Premium</v>
      </c>
      <c r="O456" s="204" t="str">
        <f>INDEX(Mapping!$H:$H,MATCH(F$3&amp;F456,Mapping!$B:$B,0))</f>
        <v>Metro</v>
      </c>
      <c r="P456" s="204">
        <f>INDEX(Mapping!$H:$H,MATCH(G$3&amp;G456,Mapping!$B:$B,0))</f>
        <v>300</v>
      </c>
      <c r="Q456" s="204" t="str">
        <f>INDEX(Mapping!$H:$H,MATCH(Q$3&amp;$F456,Mapping!$B:$B,0))</f>
        <v>Metro - Nationaal</v>
      </c>
      <c r="R456" s="204" t="str">
        <f>INDEX(Mapping!$H:$H,MATCH("ZM VPN Service Level"&amp;E456,Mapping!$B:$B,0))</f>
        <v>Advanced</v>
      </c>
      <c r="S456" s="139" t="b">
        <f>IF($D456="EoK",INDEX(Mapping!$I:$I,MATCH($G$3&amp;$G456,Mapping!B:B,0)),FALSE)</f>
        <v>0</v>
      </c>
      <c r="T456" s="139"/>
      <c r="U456" s="520" t="str">
        <f t="shared" si="228"/>
        <v>PremiumMetro300</v>
      </c>
      <c r="W456" s="521">
        <f>MATCH($J456,'Tarieven ZM'!$B:$B,0)</f>
        <v>118</v>
      </c>
      <c r="X456" s="204">
        <f>INDEX('Tarieven ZM'!$H:$H,$W456)</f>
        <v>1000</v>
      </c>
      <c r="Y456" s="198">
        <f>-INDEX(Parameters!$B:$B,MATCH(Y$3&amp;$C456,Parameters!$A:$A,0))*$X456</f>
        <v>0</v>
      </c>
      <c r="Z456" s="198">
        <f>-INDEX(Parameters!$B:$B,MATCH(Z$3&amp;$C456,Parameters!$A:$A,0))*$X456</f>
        <v>0</v>
      </c>
      <c r="AA456" s="139">
        <f t="shared" si="230"/>
        <v>1000</v>
      </c>
      <c r="AB456" s="205">
        <f>AA456/INDEX(Parameters!$B:$B,MATCH("AfschrijftermijnVVE"&amp;12*$C456,Parameters!$A:$A,0))</f>
        <v>20.833333333333332</v>
      </c>
      <c r="AC456" s="204">
        <f>INDEX('Tarieven ZM'!$G:$G,$W456)</f>
        <v>1000</v>
      </c>
      <c r="AD456" s="198">
        <f>-INDEX(Parameters!$B:$B,MATCH(AD$3&amp;$C456,Parameters!$A:$A,0))*$AC456</f>
        <v>0</v>
      </c>
      <c r="AE456" s="198">
        <f>-INDEX(Parameters!$B:$B,MATCH(AE$3,Parameters!$A:$A,0))*$AC456</f>
        <v>0</v>
      </c>
      <c r="AF456" s="139">
        <f t="shared" si="231"/>
        <v>1000</v>
      </c>
      <c r="AG456" s="522">
        <f t="shared" si="232"/>
        <v>1020.8333333333334</v>
      </c>
      <c r="AH456" s="175"/>
      <c r="AI456" s="523">
        <f>MATCH($U456,'Tarieven W&amp;O'!$B:$B,0)</f>
        <v>72</v>
      </c>
      <c r="AJ456" s="204">
        <f>IF(AI456&lt;&gt;"nvt",INDEX('Tarieven W&amp;O'!$H:$H,$AI456),0)</f>
        <v>0</v>
      </c>
      <c r="AK456" s="204">
        <f>IF(AI456&lt;&gt;"nvt",INDEX('Tarieven W&amp;O'!$I:$I,$AI456),0)</f>
        <v>25</v>
      </c>
      <c r="AL456" s="524">
        <f>IF(AI456&lt;&gt;"nvt",-INDEX(Parameters!$B:$B,MATCH(AL$3,Parameters!$A:$A,0))*(AJ456+AK456),0)</f>
        <v>0</v>
      </c>
      <c r="AM456" s="525"/>
      <c r="AN456" s="139">
        <f t="shared" si="233"/>
        <v>25</v>
      </c>
      <c r="AO456" s="205">
        <f>AN456/INDEX(Parameters!$B:$B,MATCH("AfschrijftermijnVVE"&amp;12*$C456,Parameters!$A:$A,0))</f>
        <v>0.52083333333333337</v>
      </c>
      <c r="AP456" s="139">
        <f t="shared" si="234"/>
        <v>72</v>
      </c>
      <c r="AQ456" s="526">
        <f>IF(AP456&lt;&gt;"nvt",INDEX('Tarieven W&amp;O'!$G:$G,$AP456),0)</f>
        <v>254.01</v>
      </c>
      <c r="AR456" s="251">
        <f>IF($S456,INDEX('Tarieven W&amp;O'!$G:$G,MATCH(N456&amp;R456,'Tarieven W&amp;O'!$B:$B,0)),0)</f>
        <v>0</v>
      </c>
      <c r="AS456" s="205">
        <f>-INDEX(Parameters!$B:$B,MATCH(AS$3,Parameters!$A:$A,0))*(AQ456+AR456)</f>
        <v>0</v>
      </c>
      <c r="AT456" s="205">
        <f>INDEX(hulpblad!$E:$E,MATCH(M456&amp;Q456,hulpblad!$B:$B,0))</f>
        <v>2</v>
      </c>
      <c r="AU456" s="150">
        <f t="shared" si="238"/>
        <v>256.01</v>
      </c>
      <c r="AV456" s="150">
        <f t="shared" si="239"/>
        <v>256.53083333333331</v>
      </c>
      <c r="AX456" s="526">
        <f>Parameters!$B$6*AV456</f>
        <v>2.5653083333333333</v>
      </c>
      <c r="AY456" s="150">
        <v>0</v>
      </c>
      <c r="AZ456" s="150"/>
      <c r="BA456" s="150">
        <f t="shared" si="235"/>
        <v>2.5653083333333333</v>
      </c>
      <c r="BB456" s="150"/>
      <c r="BC456" s="522">
        <f t="shared" si="236"/>
        <v>259.09614166666665</v>
      </c>
      <c r="BD456" s="175"/>
      <c r="BE456" s="527">
        <f t="shared" si="240"/>
        <v>761.73719166666672</v>
      </c>
      <c r="BF456" s="181">
        <f t="shared" si="241"/>
        <v>0.74619153469387756</v>
      </c>
      <c r="BG456" s="520" t="b">
        <f t="shared" si="229"/>
        <v>0</v>
      </c>
      <c r="BI456" s="528" t="s">
        <v>2181</v>
      </c>
      <c r="BL456" s="151" t="str">
        <f t="shared" si="243"/>
        <v>EoKMetro - Nationaal</v>
      </c>
      <c r="BM456" s="529">
        <v>0</v>
      </c>
      <c r="BN456" s="180">
        <f>BM456/INDEX(Parameters!$B:$B,MATCH("AfschrijftermijnVVE"&amp;12*$C456,Parameters!$A:$A,0))</f>
        <v>0</v>
      </c>
      <c r="BO456" s="184">
        <f>INDEX('inkoop ULL tbv EVPN'!I:I,MATCH(BL456,'inkoop ULL tbv EVPN'!H:H,0))</f>
        <v>2</v>
      </c>
      <c r="BP456" s="184">
        <f t="shared" si="244"/>
        <v>2</v>
      </c>
      <c r="BR456" s="180">
        <f>Parameters!$B$12*AG456</f>
        <v>102.08333333333334</v>
      </c>
      <c r="BS456" s="180">
        <f>SUM(Distributievergoedingen!$F$12,Distributievergoedingen!$I$12,Distributievergoedingen!$L$12,Distributievergoedingen!$O$12)*AF456+SUM(Distributievergoedingen!$O$12*AA456+Distributievergoedingen!$R$12+Distributievergoedingen!$U$12+Distributievergoedingen!$X$12)/(MAX(36,12*C456))</f>
        <v>112.08333333333333</v>
      </c>
      <c r="BT456" s="150"/>
      <c r="BU456" s="150">
        <f t="shared" si="245"/>
        <v>214.16666666666669</v>
      </c>
      <c r="BW456" s="522">
        <f t="shared" si="246"/>
        <v>216.16666666666669</v>
      </c>
      <c r="BY456" s="527">
        <f t="shared" si="247"/>
        <v>804.66666666666674</v>
      </c>
      <c r="BZ456" s="181">
        <f t="shared" si="248"/>
        <v>0.78824489795918373</v>
      </c>
      <c r="CA456" s="520" t="b">
        <f t="shared" si="249"/>
        <v>0</v>
      </c>
    </row>
    <row r="457" spans="1:79" s="151" customFormat="1">
      <c r="A457" s="151" t="str">
        <f t="shared" si="242"/>
        <v>4EoKPremiumNationaal500</v>
      </c>
      <c r="B457" s="520" t="str">
        <f t="shared" si="237"/>
        <v>4EoKPremiumNationaal500</v>
      </c>
      <c r="C457" s="179">
        <v>4</v>
      </c>
      <c r="D457" s="179" t="s">
        <v>303</v>
      </c>
      <c r="E457" s="178" t="s">
        <v>267</v>
      </c>
      <c r="F457" s="178" t="s">
        <v>266</v>
      </c>
      <c r="G457" s="185" t="s">
        <v>421</v>
      </c>
      <c r="J457" s="520" t="str">
        <f t="shared" si="227"/>
        <v>PremiumNationaal500</v>
      </c>
      <c r="L457" s="204">
        <f>INDEX(Mapping!$H:$H,MATCH(C$3&amp;C457,Mapping!$B:$B,0))</f>
        <v>1</v>
      </c>
      <c r="M457" s="204" t="str">
        <f>INDEX(Mapping!$H:$H,MATCH(D$3&amp;$D457,Mapping!$B:$B,0))</f>
        <v>EoK</v>
      </c>
      <c r="N457" s="204" t="str">
        <f>INDEX(Mapping!$H:$H,MATCH(E$3&amp;E457,Mapping!$B:$B,0))</f>
        <v>Premium</v>
      </c>
      <c r="O457" s="204" t="str">
        <f>INDEX(Mapping!$H:$H,MATCH(F$3&amp;F457,Mapping!$B:$B,0))</f>
        <v>Metro</v>
      </c>
      <c r="P457" s="204">
        <f>INDEX(Mapping!$H:$H,MATCH(G$3&amp;G457,Mapping!$B:$B,0))</f>
        <v>500</v>
      </c>
      <c r="Q457" s="204" t="str">
        <f>INDEX(Mapping!$H:$H,MATCH(Q$3&amp;$F457,Mapping!$B:$B,0))</f>
        <v>Metro - Nationaal</v>
      </c>
      <c r="R457" s="204" t="str">
        <f>INDEX(Mapping!$H:$H,MATCH("ZM VPN Service Level"&amp;E457,Mapping!$B:$B,0))</f>
        <v>Advanced</v>
      </c>
      <c r="S457" s="139" t="b">
        <f>IF($D457="EoK",INDEX(Mapping!$I:$I,MATCH($G$3&amp;$G457,Mapping!B:B,0)),FALSE)</f>
        <v>0</v>
      </c>
      <c r="T457" s="139"/>
      <c r="U457" s="520" t="str">
        <f t="shared" si="228"/>
        <v>PremiumMetro500</v>
      </c>
      <c r="W457" s="521">
        <f>MATCH($J457,'Tarieven ZM'!$B:$B,0)</f>
        <v>119</v>
      </c>
      <c r="X457" s="204">
        <f>INDEX('Tarieven ZM'!$H:$H,$W457)</f>
        <v>1000</v>
      </c>
      <c r="Y457" s="198">
        <f>-INDEX(Parameters!$B:$B,MATCH(Y$3&amp;$C457,Parameters!$A:$A,0))*$X457</f>
        <v>0</v>
      </c>
      <c r="Z457" s="198">
        <f>-INDEX(Parameters!$B:$B,MATCH(Z$3&amp;$C457,Parameters!$A:$A,0))*$X457</f>
        <v>0</v>
      </c>
      <c r="AA457" s="139">
        <f t="shared" si="230"/>
        <v>1000</v>
      </c>
      <c r="AB457" s="205">
        <f>AA457/INDEX(Parameters!$B:$B,MATCH("AfschrijftermijnVVE"&amp;12*$C457,Parameters!$A:$A,0))</f>
        <v>20.833333333333332</v>
      </c>
      <c r="AC457" s="204">
        <f>INDEX('Tarieven ZM'!$G:$G,$W457)</f>
        <v>1000</v>
      </c>
      <c r="AD457" s="198">
        <f>-INDEX(Parameters!$B:$B,MATCH(AD$3&amp;$C457,Parameters!$A:$A,0))*$AC457</f>
        <v>0</v>
      </c>
      <c r="AE457" s="198">
        <f>-INDEX(Parameters!$B:$B,MATCH(AE$3,Parameters!$A:$A,0))*$AC457</f>
        <v>0</v>
      </c>
      <c r="AF457" s="139">
        <f t="shared" si="231"/>
        <v>1000</v>
      </c>
      <c r="AG457" s="522">
        <f t="shared" si="232"/>
        <v>1020.8333333333334</v>
      </c>
      <c r="AH457" s="175"/>
      <c r="AI457" s="523">
        <f>MATCH($U457,'Tarieven W&amp;O'!$B:$B,0)</f>
        <v>73</v>
      </c>
      <c r="AJ457" s="204">
        <f>IF(AI457&lt;&gt;"nvt",INDEX('Tarieven W&amp;O'!$H:$H,$AI457),0)</f>
        <v>0</v>
      </c>
      <c r="AK457" s="204">
        <f>IF(AI457&lt;&gt;"nvt",INDEX('Tarieven W&amp;O'!$I:$I,$AI457),0)</f>
        <v>25</v>
      </c>
      <c r="AL457" s="524">
        <f>IF(AI457&lt;&gt;"nvt",-INDEX(Parameters!$B:$B,MATCH(AL$3,Parameters!$A:$A,0))*(AJ457+AK457),0)</f>
        <v>0</v>
      </c>
      <c r="AM457" s="525"/>
      <c r="AN457" s="139">
        <f t="shared" si="233"/>
        <v>25</v>
      </c>
      <c r="AO457" s="205">
        <f>AN457/INDEX(Parameters!$B:$B,MATCH("AfschrijftermijnVVE"&amp;12*$C457,Parameters!$A:$A,0))</f>
        <v>0.52083333333333337</v>
      </c>
      <c r="AP457" s="139">
        <f t="shared" si="234"/>
        <v>73</v>
      </c>
      <c r="AQ457" s="526">
        <f>IF(AP457&lt;&gt;"nvt",INDEX('Tarieven W&amp;O'!$G:$G,$AP457),0)</f>
        <v>310.54000000000002</v>
      </c>
      <c r="AR457" s="251">
        <f>IF($S457,INDEX('Tarieven W&amp;O'!$G:$G,MATCH(N457&amp;R457,'Tarieven W&amp;O'!$B:$B,0)),0)</f>
        <v>0</v>
      </c>
      <c r="AS457" s="205">
        <f>-INDEX(Parameters!$B:$B,MATCH(AS$3,Parameters!$A:$A,0))*(AQ457+AR457)</f>
        <v>0</v>
      </c>
      <c r="AT457" s="205">
        <f>INDEX(hulpblad!$E:$E,MATCH(M457&amp;Q457,hulpblad!$B:$B,0))</f>
        <v>2</v>
      </c>
      <c r="AU457" s="150">
        <f t="shared" si="238"/>
        <v>312.54000000000002</v>
      </c>
      <c r="AV457" s="150">
        <f t="shared" si="239"/>
        <v>313.06083333333333</v>
      </c>
      <c r="AX457" s="526">
        <f>Parameters!$B$6*AV457</f>
        <v>3.1306083333333334</v>
      </c>
      <c r="AY457" s="150">
        <v>0</v>
      </c>
      <c r="AZ457" s="150"/>
      <c r="BA457" s="150">
        <f t="shared" si="235"/>
        <v>3.1306083333333334</v>
      </c>
      <c r="BB457" s="150"/>
      <c r="BC457" s="522">
        <f t="shared" si="236"/>
        <v>316.19144166666666</v>
      </c>
      <c r="BD457" s="175"/>
      <c r="BE457" s="527">
        <f t="shared" si="240"/>
        <v>704.64189166666665</v>
      </c>
      <c r="BF457" s="181">
        <f t="shared" si="241"/>
        <v>0.69026144489795915</v>
      </c>
      <c r="BG457" s="520" t="b">
        <f t="shared" si="229"/>
        <v>0</v>
      </c>
      <c r="BI457" s="528" t="s">
        <v>2181</v>
      </c>
      <c r="BL457" s="151" t="str">
        <f t="shared" si="243"/>
        <v>EoKMetro - Nationaal</v>
      </c>
      <c r="BM457" s="529">
        <v>0</v>
      </c>
      <c r="BN457" s="180">
        <f>BM457/INDEX(Parameters!$B:$B,MATCH("AfschrijftermijnVVE"&amp;12*$C457,Parameters!$A:$A,0))</f>
        <v>0</v>
      </c>
      <c r="BO457" s="184">
        <f>INDEX('inkoop ULL tbv EVPN'!I:I,MATCH(BL457,'inkoop ULL tbv EVPN'!H:H,0))</f>
        <v>2</v>
      </c>
      <c r="BP457" s="184">
        <f t="shared" si="244"/>
        <v>2</v>
      </c>
      <c r="BR457" s="180">
        <f>Parameters!$B$12*AG457</f>
        <v>102.08333333333334</v>
      </c>
      <c r="BS457" s="180">
        <f>SUM(Distributievergoedingen!$F$12,Distributievergoedingen!$I$12,Distributievergoedingen!$L$12,Distributievergoedingen!$O$12)*AF457+SUM(Distributievergoedingen!$O$12*AA457+Distributievergoedingen!$R$12+Distributievergoedingen!$U$12+Distributievergoedingen!$X$12)/(MAX(36,12*C457))</f>
        <v>112.08333333333333</v>
      </c>
      <c r="BT457" s="150"/>
      <c r="BU457" s="150">
        <f t="shared" si="245"/>
        <v>214.16666666666669</v>
      </c>
      <c r="BW457" s="522">
        <f t="shared" si="246"/>
        <v>216.16666666666669</v>
      </c>
      <c r="BY457" s="527">
        <f t="shared" si="247"/>
        <v>804.66666666666674</v>
      </c>
      <c r="BZ457" s="181">
        <f t="shared" si="248"/>
        <v>0.78824489795918373</v>
      </c>
      <c r="CA457" s="520" t="b">
        <f t="shared" si="249"/>
        <v>0</v>
      </c>
    </row>
    <row r="458" spans="1:79" s="151" customFormat="1">
      <c r="A458" s="151" t="str">
        <f t="shared" si="242"/>
        <v>4EoKPremiumNationaal800</v>
      </c>
      <c r="B458" s="520" t="str">
        <f t="shared" si="237"/>
        <v>4EoKPremiumNationaal800</v>
      </c>
      <c r="C458" s="179">
        <v>4</v>
      </c>
      <c r="D458" s="179" t="s">
        <v>303</v>
      </c>
      <c r="E458" s="178" t="s">
        <v>267</v>
      </c>
      <c r="F458" s="178" t="s">
        <v>266</v>
      </c>
      <c r="G458" s="185" t="s">
        <v>422</v>
      </c>
      <c r="J458" s="520" t="str">
        <f t="shared" si="227"/>
        <v>PremiumNationaal800</v>
      </c>
      <c r="L458" s="204">
        <f>INDEX(Mapping!$H:$H,MATCH(C$3&amp;C458,Mapping!$B:$B,0))</f>
        <v>1</v>
      </c>
      <c r="M458" s="204" t="str">
        <f>INDEX(Mapping!$H:$H,MATCH(D$3&amp;$D458,Mapping!$B:$B,0))</f>
        <v>EoK</v>
      </c>
      <c r="N458" s="204" t="str">
        <f>INDEX(Mapping!$H:$H,MATCH(E$3&amp;E458,Mapping!$B:$B,0))</f>
        <v>Premium</v>
      </c>
      <c r="O458" s="204" t="str">
        <f>INDEX(Mapping!$H:$H,MATCH(F$3&amp;F458,Mapping!$B:$B,0))</f>
        <v>Metro</v>
      </c>
      <c r="P458" s="204">
        <f>INDEX(Mapping!$H:$H,MATCH(G$3&amp;G458,Mapping!$B:$B,0))</f>
        <v>800</v>
      </c>
      <c r="Q458" s="204" t="str">
        <f>INDEX(Mapping!$H:$H,MATCH(Q$3&amp;$F458,Mapping!$B:$B,0))</f>
        <v>Metro - Nationaal</v>
      </c>
      <c r="R458" s="204" t="str">
        <f>INDEX(Mapping!$H:$H,MATCH("ZM VPN Service Level"&amp;E458,Mapping!$B:$B,0))</f>
        <v>Advanced</v>
      </c>
      <c r="S458" s="139" t="b">
        <f>IF($D458="EoK",INDEX(Mapping!$I:$I,MATCH($G$3&amp;$G458,Mapping!B:B,0)),FALSE)</f>
        <v>0</v>
      </c>
      <c r="T458" s="139"/>
      <c r="U458" s="520" t="str">
        <f t="shared" si="228"/>
        <v>PremiumMetro800</v>
      </c>
      <c r="W458" s="521">
        <f>MATCH($J458,'Tarieven ZM'!$B:$B,0)</f>
        <v>120</v>
      </c>
      <c r="X458" s="204">
        <f>INDEX('Tarieven ZM'!$H:$H,$W458)</f>
        <v>1000</v>
      </c>
      <c r="Y458" s="198">
        <f>-INDEX(Parameters!$B:$B,MATCH(Y$3&amp;$C458,Parameters!$A:$A,0))*$X458</f>
        <v>0</v>
      </c>
      <c r="Z458" s="198">
        <f>-INDEX(Parameters!$B:$B,MATCH(Z$3&amp;$C458,Parameters!$A:$A,0))*$X458</f>
        <v>0</v>
      </c>
      <c r="AA458" s="139">
        <f t="shared" si="230"/>
        <v>1000</v>
      </c>
      <c r="AB458" s="205">
        <f>AA458/INDEX(Parameters!$B:$B,MATCH("AfschrijftermijnVVE"&amp;12*$C458,Parameters!$A:$A,0))</f>
        <v>20.833333333333332</v>
      </c>
      <c r="AC458" s="204">
        <f>INDEX('Tarieven ZM'!$G:$G,$W458)</f>
        <v>1000</v>
      </c>
      <c r="AD458" s="198">
        <f>-INDEX(Parameters!$B:$B,MATCH(AD$3&amp;$C458,Parameters!$A:$A,0))*$AC458</f>
        <v>0</v>
      </c>
      <c r="AE458" s="198">
        <f>-INDEX(Parameters!$B:$B,MATCH(AE$3,Parameters!$A:$A,0))*$AC458</f>
        <v>0</v>
      </c>
      <c r="AF458" s="139">
        <f t="shared" si="231"/>
        <v>1000</v>
      </c>
      <c r="AG458" s="522">
        <f t="shared" si="232"/>
        <v>1020.8333333333334</v>
      </c>
      <c r="AH458" s="175"/>
      <c r="AI458" s="523">
        <f>MATCH($U458,'Tarieven W&amp;O'!$B:$B,0)</f>
        <v>74</v>
      </c>
      <c r="AJ458" s="204">
        <f>IF(AI458&lt;&gt;"nvt",INDEX('Tarieven W&amp;O'!$H:$H,$AI458),0)</f>
        <v>0</v>
      </c>
      <c r="AK458" s="204">
        <f>IF(AI458&lt;&gt;"nvt",INDEX('Tarieven W&amp;O'!$I:$I,$AI458),0)</f>
        <v>25</v>
      </c>
      <c r="AL458" s="524">
        <f>IF(AI458&lt;&gt;"nvt",-INDEX(Parameters!$B:$B,MATCH(AL$3,Parameters!$A:$A,0))*(AJ458+AK458),0)</f>
        <v>0</v>
      </c>
      <c r="AM458" s="525"/>
      <c r="AN458" s="139">
        <f t="shared" si="233"/>
        <v>25</v>
      </c>
      <c r="AO458" s="205">
        <f>AN458/INDEX(Parameters!$B:$B,MATCH("AfschrijftermijnVVE"&amp;12*$C458,Parameters!$A:$A,0))</f>
        <v>0.52083333333333337</v>
      </c>
      <c r="AP458" s="139">
        <f t="shared" si="234"/>
        <v>74</v>
      </c>
      <c r="AQ458" s="526">
        <f>IF(AP458&lt;&gt;"nvt",INDEX('Tarieven W&amp;O'!$G:$G,$AP458),0)</f>
        <v>348.23</v>
      </c>
      <c r="AR458" s="251">
        <f>IF($S458,INDEX('Tarieven W&amp;O'!$G:$G,MATCH(N458&amp;R458,'Tarieven W&amp;O'!$B:$B,0)),0)</f>
        <v>0</v>
      </c>
      <c r="AS458" s="205">
        <f>-INDEX(Parameters!$B:$B,MATCH(AS$3,Parameters!$A:$A,0))*(AQ458+AR458)</f>
        <v>0</v>
      </c>
      <c r="AT458" s="205">
        <f>INDEX(hulpblad!$E:$E,MATCH(M458&amp;Q458,hulpblad!$B:$B,0))</f>
        <v>2</v>
      </c>
      <c r="AU458" s="150">
        <f t="shared" si="238"/>
        <v>350.23</v>
      </c>
      <c r="AV458" s="150">
        <f t="shared" si="239"/>
        <v>350.75083333333333</v>
      </c>
      <c r="AX458" s="526">
        <f>Parameters!$B$6*AV458</f>
        <v>3.5075083333333335</v>
      </c>
      <c r="AY458" s="150">
        <v>0</v>
      </c>
      <c r="AZ458" s="150"/>
      <c r="BA458" s="150">
        <f t="shared" si="235"/>
        <v>3.5075083333333335</v>
      </c>
      <c r="BB458" s="150"/>
      <c r="BC458" s="522">
        <f t="shared" si="236"/>
        <v>354.25834166666664</v>
      </c>
      <c r="BD458" s="175"/>
      <c r="BE458" s="527">
        <f t="shared" si="240"/>
        <v>666.57499166666673</v>
      </c>
      <c r="BF458" s="181">
        <f t="shared" si="241"/>
        <v>0.65297142040816336</v>
      </c>
      <c r="BG458" s="520" t="b">
        <f t="shared" si="229"/>
        <v>0</v>
      </c>
      <c r="BI458" s="528" t="s">
        <v>2181</v>
      </c>
      <c r="BL458" s="151" t="str">
        <f t="shared" si="243"/>
        <v>EoKMetro - Nationaal</v>
      </c>
      <c r="BM458" s="529">
        <v>0</v>
      </c>
      <c r="BN458" s="180">
        <f>BM458/INDEX(Parameters!$B:$B,MATCH("AfschrijftermijnVVE"&amp;12*$C458,Parameters!$A:$A,0))</f>
        <v>0</v>
      </c>
      <c r="BO458" s="184">
        <f>INDEX('inkoop ULL tbv EVPN'!I:I,MATCH(BL458,'inkoop ULL tbv EVPN'!H:H,0))</f>
        <v>2</v>
      </c>
      <c r="BP458" s="184">
        <f t="shared" si="244"/>
        <v>2</v>
      </c>
      <c r="BR458" s="180">
        <f>Parameters!$B$12*AG458</f>
        <v>102.08333333333334</v>
      </c>
      <c r="BS458" s="180">
        <f>SUM(Distributievergoedingen!$F$12,Distributievergoedingen!$I$12,Distributievergoedingen!$L$12,Distributievergoedingen!$O$12)*AF458+SUM(Distributievergoedingen!$O$12*AA458+Distributievergoedingen!$R$12+Distributievergoedingen!$U$12+Distributievergoedingen!$X$12)/(MAX(36,12*C458))</f>
        <v>112.08333333333333</v>
      </c>
      <c r="BT458" s="150"/>
      <c r="BU458" s="150">
        <f t="shared" si="245"/>
        <v>214.16666666666669</v>
      </c>
      <c r="BW458" s="522">
        <f t="shared" si="246"/>
        <v>216.16666666666669</v>
      </c>
      <c r="BY458" s="527">
        <f t="shared" si="247"/>
        <v>804.66666666666674</v>
      </c>
      <c r="BZ458" s="181">
        <f t="shared" si="248"/>
        <v>0.78824489795918373</v>
      </c>
      <c r="CA458" s="520" t="b">
        <f t="shared" si="249"/>
        <v>0</v>
      </c>
    </row>
    <row r="459" spans="1:79" s="151" customFormat="1">
      <c r="A459" s="151" t="str">
        <f t="shared" si="242"/>
        <v>4EoKPremiumNationaal1000</v>
      </c>
      <c r="B459" s="520" t="str">
        <f t="shared" si="237"/>
        <v>4EoKPremiumNationaal1000</v>
      </c>
      <c r="C459" s="179">
        <v>4</v>
      </c>
      <c r="D459" s="179" t="s">
        <v>303</v>
      </c>
      <c r="E459" s="178" t="s">
        <v>267</v>
      </c>
      <c r="F459" s="178" t="s">
        <v>266</v>
      </c>
      <c r="G459" s="185" t="s">
        <v>423</v>
      </c>
      <c r="J459" s="520" t="str">
        <f t="shared" si="227"/>
        <v>PremiumNationaal1000</v>
      </c>
      <c r="L459" s="204">
        <f>INDEX(Mapping!$H:$H,MATCH(C$3&amp;C459,Mapping!$B:$B,0))</f>
        <v>1</v>
      </c>
      <c r="M459" s="204" t="str">
        <f>INDEX(Mapping!$H:$H,MATCH(D$3&amp;$D459,Mapping!$B:$B,0))</f>
        <v>EoK</v>
      </c>
      <c r="N459" s="204" t="str">
        <f>INDEX(Mapping!$H:$H,MATCH(E$3&amp;E459,Mapping!$B:$B,0))</f>
        <v>Premium</v>
      </c>
      <c r="O459" s="204" t="str">
        <f>INDEX(Mapping!$H:$H,MATCH(F$3&amp;F459,Mapping!$B:$B,0))</f>
        <v>Metro</v>
      </c>
      <c r="P459" s="204">
        <f>INDEX(Mapping!$H:$H,MATCH(G$3&amp;G459,Mapping!$B:$B,0))</f>
        <v>1000</v>
      </c>
      <c r="Q459" s="204" t="str">
        <f>INDEX(Mapping!$H:$H,MATCH(Q$3&amp;$F459,Mapping!$B:$B,0))</f>
        <v>Metro - Nationaal</v>
      </c>
      <c r="R459" s="204" t="str">
        <f>INDEX(Mapping!$H:$H,MATCH("ZM VPN Service Level"&amp;E459,Mapping!$B:$B,0))</f>
        <v>Advanced</v>
      </c>
      <c r="S459" s="139" t="b">
        <f>IF($D459="EoK",INDEX(Mapping!$I:$I,MATCH($G$3&amp;$G459,Mapping!B:B,0)),FALSE)</f>
        <v>0</v>
      </c>
      <c r="T459" s="139"/>
      <c r="U459" s="520" t="str">
        <f t="shared" si="228"/>
        <v>PremiumMetro1000</v>
      </c>
      <c r="W459" s="521">
        <f>MATCH($J459,'Tarieven ZM'!$B:$B,0)</f>
        <v>121</v>
      </c>
      <c r="X459" s="204">
        <f>INDEX('Tarieven ZM'!$H:$H,$W459)</f>
        <v>1000</v>
      </c>
      <c r="Y459" s="198">
        <f>-INDEX(Parameters!$B:$B,MATCH(Y$3&amp;$C459,Parameters!$A:$A,0))*$X459</f>
        <v>0</v>
      </c>
      <c r="Z459" s="198">
        <f>-INDEX(Parameters!$B:$B,MATCH(Z$3&amp;$C459,Parameters!$A:$A,0))*$X459</f>
        <v>0</v>
      </c>
      <c r="AA459" s="139">
        <f t="shared" si="230"/>
        <v>1000</v>
      </c>
      <c r="AB459" s="205">
        <f>AA459/INDEX(Parameters!$B:$B,MATCH("AfschrijftermijnVVE"&amp;12*$C459,Parameters!$A:$A,0))</f>
        <v>20.833333333333332</v>
      </c>
      <c r="AC459" s="204">
        <f>INDEX('Tarieven ZM'!$G:$G,$W459)</f>
        <v>1000</v>
      </c>
      <c r="AD459" s="198">
        <f>-INDEX(Parameters!$B:$B,MATCH(AD$3&amp;$C459,Parameters!$A:$A,0))*$AC459</f>
        <v>0</v>
      </c>
      <c r="AE459" s="198">
        <f>-INDEX(Parameters!$B:$B,MATCH(AE$3,Parameters!$A:$A,0))*$AC459</f>
        <v>0</v>
      </c>
      <c r="AF459" s="139">
        <f t="shared" si="231"/>
        <v>1000</v>
      </c>
      <c r="AG459" s="522">
        <f t="shared" si="232"/>
        <v>1020.8333333333334</v>
      </c>
      <c r="AH459" s="175"/>
      <c r="AI459" s="523">
        <f>MATCH($U459,'Tarieven W&amp;O'!$B:$B,0)</f>
        <v>75</v>
      </c>
      <c r="AJ459" s="204">
        <f>IF(AI459&lt;&gt;"nvt",INDEX('Tarieven W&amp;O'!$H:$H,$AI459),0)</f>
        <v>0</v>
      </c>
      <c r="AK459" s="204">
        <f>IF(AI459&lt;&gt;"nvt",INDEX('Tarieven W&amp;O'!$I:$I,$AI459),0)</f>
        <v>25</v>
      </c>
      <c r="AL459" s="524">
        <f>IF(AI459&lt;&gt;"nvt",-INDEX(Parameters!$B:$B,MATCH(AL$3,Parameters!$A:$A,0))*(AJ459+AK459),0)</f>
        <v>0</v>
      </c>
      <c r="AM459" s="525"/>
      <c r="AN459" s="139">
        <f t="shared" si="233"/>
        <v>25</v>
      </c>
      <c r="AO459" s="205">
        <f>AN459/INDEX(Parameters!$B:$B,MATCH("AfschrijftermijnVVE"&amp;12*$C459,Parameters!$A:$A,0))</f>
        <v>0.52083333333333337</v>
      </c>
      <c r="AP459" s="139">
        <f t="shared" si="234"/>
        <v>75</v>
      </c>
      <c r="AQ459" s="526">
        <f>IF(AP459&lt;&gt;"nvt",INDEX('Tarieven W&amp;O'!$G:$G,$AP459),0)</f>
        <v>385.93</v>
      </c>
      <c r="AR459" s="251">
        <f>IF($S459,INDEX('Tarieven W&amp;O'!$G:$G,MATCH(N459&amp;R459,'Tarieven W&amp;O'!$B:$B,0)),0)</f>
        <v>0</v>
      </c>
      <c r="AS459" s="205">
        <f>-INDEX(Parameters!$B:$B,MATCH(AS$3,Parameters!$A:$A,0))*(AQ459+AR459)</f>
        <v>0</v>
      </c>
      <c r="AT459" s="205">
        <f>INDEX(hulpblad!$E:$E,MATCH(M459&amp;Q459,hulpblad!$B:$B,0))</f>
        <v>2</v>
      </c>
      <c r="AU459" s="150">
        <f t="shared" si="238"/>
        <v>387.93</v>
      </c>
      <c r="AV459" s="150">
        <f t="shared" si="239"/>
        <v>388.45083333333332</v>
      </c>
      <c r="AX459" s="526">
        <f>Parameters!$B$6*AV459</f>
        <v>3.8845083333333332</v>
      </c>
      <c r="AY459" s="150">
        <v>0</v>
      </c>
      <c r="AZ459" s="150"/>
      <c r="BA459" s="150">
        <f t="shared" si="235"/>
        <v>3.8845083333333332</v>
      </c>
      <c r="BB459" s="150"/>
      <c r="BC459" s="522">
        <f t="shared" si="236"/>
        <v>392.33534166666664</v>
      </c>
      <c r="BD459" s="175"/>
      <c r="BE459" s="527">
        <f t="shared" si="240"/>
        <v>628.49799166666674</v>
      </c>
      <c r="BF459" s="181">
        <f t="shared" si="241"/>
        <v>0.61567150204081633</v>
      </c>
      <c r="BG459" s="520" t="b">
        <f t="shared" si="229"/>
        <v>0</v>
      </c>
      <c r="BI459" s="528" t="s">
        <v>2181</v>
      </c>
      <c r="BL459" s="151" t="str">
        <f t="shared" si="243"/>
        <v>EoKMetro - Nationaal</v>
      </c>
      <c r="BM459" s="529">
        <v>0</v>
      </c>
      <c r="BN459" s="180">
        <f>BM459/INDEX(Parameters!$B:$B,MATCH("AfschrijftermijnVVE"&amp;12*$C459,Parameters!$A:$A,0))</f>
        <v>0</v>
      </c>
      <c r="BO459" s="184">
        <f>INDEX('inkoop ULL tbv EVPN'!I:I,MATCH(BL459,'inkoop ULL tbv EVPN'!H:H,0))</f>
        <v>2</v>
      </c>
      <c r="BP459" s="184">
        <f t="shared" si="244"/>
        <v>2</v>
      </c>
      <c r="BR459" s="180">
        <f>Parameters!$B$12*AG459</f>
        <v>102.08333333333334</v>
      </c>
      <c r="BS459" s="180">
        <f>SUM(Distributievergoedingen!$F$12,Distributievergoedingen!$I$12,Distributievergoedingen!$L$12,Distributievergoedingen!$O$12)*AF459+SUM(Distributievergoedingen!$O$12*AA459+Distributievergoedingen!$R$12+Distributievergoedingen!$U$12+Distributievergoedingen!$X$12)/(MAX(36,12*C459))</f>
        <v>112.08333333333333</v>
      </c>
      <c r="BT459" s="150"/>
      <c r="BU459" s="150">
        <f t="shared" si="245"/>
        <v>214.16666666666669</v>
      </c>
      <c r="BW459" s="522">
        <f t="shared" si="246"/>
        <v>216.16666666666669</v>
      </c>
      <c r="BY459" s="527">
        <f t="shared" si="247"/>
        <v>804.66666666666674</v>
      </c>
      <c r="BZ459" s="181">
        <f t="shared" si="248"/>
        <v>0.78824489795918373</v>
      </c>
      <c r="CA459" s="520" t="b">
        <f t="shared" si="249"/>
        <v>0</v>
      </c>
    </row>
    <row r="460" spans="1:79" s="151" customFormat="1">
      <c r="A460" s="151" t="str">
        <f t="shared" ref="A460:A514" si="250">C460&amp;D460&amp;E460&amp;F460&amp;G460&amp;H460</f>
        <v>5EoKEntryCity1</v>
      </c>
      <c r="B460" s="520" t="str">
        <f>A460</f>
        <v>5EoKEntryCity1</v>
      </c>
      <c r="C460" s="179">
        <v>5</v>
      </c>
      <c r="D460" s="179" t="s">
        <v>303</v>
      </c>
      <c r="E460" s="178" t="s">
        <v>45</v>
      </c>
      <c r="F460" s="178" t="s">
        <v>262</v>
      </c>
      <c r="G460" s="185" t="s">
        <v>362</v>
      </c>
      <c r="J460" s="520" t="str">
        <f t="shared" ref="J460:J461" si="251">E460&amp;F460&amp;G460&amp;H460</f>
        <v>EntryCity1</v>
      </c>
      <c r="L460" s="204">
        <f>INDEX(Mapping!$H:$H,MATCH(C$3&amp;C460,Mapping!$B:$B,0))</f>
        <v>1</v>
      </c>
      <c r="M460" s="204" t="str">
        <f>INDEX(Mapping!$H:$H,MATCH(D$3&amp;$D460,Mapping!$B:$B,0))</f>
        <v>EoK</v>
      </c>
      <c r="N460" s="204" t="str">
        <f>INDEX(Mapping!$H:$H,MATCH(E$3&amp;E460,Mapping!$B:$B,0))</f>
        <v>Lite</v>
      </c>
      <c r="O460" s="204" t="str">
        <f>INDEX(Mapping!$H:$H,MATCH(F$3&amp;F460,Mapping!$B:$B,0))</f>
        <v>Metro</v>
      </c>
      <c r="P460" s="204">
        <f>INDEX(Mapping!$H:$H,MATCH(G$3&amp;G460,Mapping!$B:$B,0))</f>
        <v>1</v>
      </c>
      <c r="Q460" s="204" t="str">
        <f>INDEX(Mapping!$H:$H,MATCH(Q$3&amp;$F460,Mapping!$B:$B,0))</f>
        <v>Metro - Regionaal</v>
      </c>
      <c r="R460" s="204" t="str">
        <f>INDEX(Mapping!$H:$H,MATCH("ZM VPN Service Level"&amp;E460,Mapping!$B:$B,0))</f>
        <v>Advanced</v>
      </c>
      <c r="S460" s="139" t="b">
        <f>IF($D460="EoK",INDEX(Mapping!$I:$I,MATCH($G$3&amp;$G460,Mapping!B:B,0)),FALSE)</f>
        <v>1</v>
      </c>
      <c r="T460" s="139"/>
      <c r="U460" s="520" t="str">
        <f t="shared" ref="U460:U461" si="252">N460&amp;O460&amp;P460</f>
        <v>LiteMetro1</v>
      </c>
      <c r="W460" s="521">
        <f>MATCH($J460,'Tarieven ZM'!$B:$B,0)</f>
        <v>8</v>
      </c>
      <c r="X460" s="204">
        <f>INDEX('Tarieven ZM'!$H:$H,$W460)</f>
        <v>1000</v>
      </c>
      <c r="Y460" s="198">
        <f>-INDEX(Parameters!$B:$B,MATCH(Y$3&amp;$C460,Parameters!$A:$A,0))*$X460</f>
        <v>0</v>
      </c>
      <c r="Z460" s="198">
        <f>-INDEX(Parameters!$B:$B,MATCH(Z$3&amp;$C460,Parameters!$A:$A,0))*$X460</f>
        <v>0</v>
      </c>
      <c r="AA460" s="139">
        <f t="shared" ref="AA460:AA465" si="253">SUM(X460:Z460)</f>
        <v>1000</v>
      </c>
      <c r="AB460" s="205">
        <f>AA460/INDEX(Parameters!$B:$B,MATCH("AfschrijftermijnVVE"&amp;12*$C460,Parameters!$A:$A,0))</f>
        <v>16.666666666666668</v>
      </c>
      <c r="AC460" s="204">
        <f>INDEX('Tarieven ZM'!$G:$G,$W460)</f>
        <v>1000</v>
      </c>
      <c r="AD460" s="198">
        <f>-INDEX(Parameters!$B:$B,MATCH(AD$3&amp;$C460,Parameters!$A:$A,0))*$AC460</f>
        <v>0</v>
      </c>
      <c r="AE460" s="198">
        <f>-INDEX(Parameters!$B:$B,MATCH(AE$3,Parameters!$A:$A,0))*$AC460</f>
        <v>0</v>
      </c>
      <c r="AF460" s="139">
        <f t="shared" ref="AF460:AF465" si="254">SUM(AC460:AE460)</f>
        <v>1000</v>
      </c>
      <c r="AG460" s="522">
        <f t="shared" ref="AG460:AG465" si="255">SUM(AB460,AF460)</f>
        <v>1016.6666666666666</v>
      </c>
      <c r="AH460" s="175"/>
      <c r="AI460" s="523">
        <f>MATCH($U460,'Tarieven W&amp;O'!$B:$B,0)</f>
        <v>36</v>
      </c>
      <c r="AJ460" s="204">
        <f>IF(AI460&lt;&gt;"nvt",INDEX('Tarieven W&amp;O'!$H:$H,$AI460),0)</f>
        <v>0</v>
      </c>
      <c r="AK460" s="204">
        <f>IF(AI460&lt;&gt;"nvt",INDEX('Tarieven W&amp;O'!$I:$I,$AI460),0)</f>
        <v>25</v>
      </c>
      <c r="AL460" s="524">
        <f>IF(AI460&lt;&gt;"nvt",-INDEX(Parameters!$B:$B,MATCH(AL$3,Parameters!$A:$A,0))*(AJ460+AK460),0)</f>
        <v>0</v>
      </c>
      <c r="AM460" s="525"/>
      <c r="AN460" s="139">
        <f t="shared" ref="AN460:AN465" si="256">SUM(AJ460:AM460)</f>
        <v>25</v>
      </c>
      <c r="AO460" s="205">
        <f>AN460/INDEX(Parameters!$B:$B,MATCH("AfschrijftermijnVVE"&amp;12*$C460,Parameters!$A:$A,0))</f>
        <v>0.41666666666666669</v>
      </c>
      <c r="AP460" s="139">
        <f t="shared" ref="AP460:AP465" si="257">AI460</f>
        <v>36</v>
      </c>
      <c r="AQ460" s="526">
        <f>IF(AP460&lt;&gt;"nvt",INDEX('Tarieven W&amp;O'!$G:$G,$AP460),0)</f>
        <v>14.29</v>
      </c>
      <c r="AR460" s="251">
        <f>IF($S460,INDEX('Tarieven W&amp;O'!$G:$G,MATCH(N460&amp;R460,'Tarieven W&amp;O'!$B:$B,0)),0)</f>
        <v>5.25</v>
      </c>
      <c r="AS460" s="205">
        <f>-INDEX(Parameters!$B:$B,MATCH(AS$3,Parameters!$A:$A,0))*(AQ460+AR460)</f>
        <v>0</v>
      </c>
      <c r="AT460" s="205">
        <f>INDEX(hulpblad!$E:$E,MATCH(M460&amp;Q460,hulpblad!$B:$B,0))</f>
        <v>1</v>
      </c>
      <c r="AU460" s="150">
        <f t="shared" ref="AU460:AU513" si="258">SUM(AQ460:AT460)</f>
        <v>20.54</v>
      </c>
      <c r="AV460" s="150">
        <f t="shared" ref="AV460:AV513" si="259">SUM(AO460,AU460)</f>
        <v>20.956666666666667</v>
      </c>
      <c r="AX460" s="526">
        <f>Parameters!$B$6*AV460</f>
        <v>0.20956666666666668</v>
      </c>
      <c r="AY460" s="150">
        <v>0</v>
      </c>
      <c r="AZ460" s="150"/>
      <c r="BA460" s="150">
        <f t="shared" ref="BA460:BA465" si="260">SUM(AX460:AZ460)</f>
        <v>0.20956666666666668</v>
      </c>
      <c r="BB460" s="150"/>
      <c r="BC460" s="522">
        <f t="shared" ref="BC460:BC465" si="261">SUM(AV460,BA460)</f>
        <v>21.166233333333334</v>
      </c>
      <c r="BD460" s="175"/>
      <c r="BE460" s="527">
        <f t="shared" ref="BE460:BE513" si="262">AG460-BC460</f>
        <v>995.50043333333326</v>
      </c>
      <c r="BF460" s="181">
        <f t="shared" ref="BF460:BF513" si="263">IF(AG460=0,-999%,BE460/AG460)</f>
        <v>0.97918075409836058</v>
      </c>
      <c r="BG460" s="520" t="b">
        <f t="shared" ref="BG460:BG461" si="264">BF460&lt;0</f>
        <v>0</v>
      </c>
      <c r="BI460" s="528" t="s">
        <v>2181</v>
      </c>
      <c r="BL460" s="151" t="str">
        <f t="shared" ref="BL460:BL514" si="265">M460&amp;Q460</f>
        <v>EoKMetro - Regionaal</v>
      </c>
      <c r="BM460" s="529">
        <v>0</v>
      </c>
      <c r="BN460" s="180">
        <f>BM460/INDEX(Parameters!$B:$B,MATCH("AfschrijftermijnVVE"&amp;12*$C460,Parameters!$A:$A,0))</f>
        <v>0</v>
      </c>
      <c r="BO460" s="184">
        <f>INDEX('inkoop ULL tbv EVPN'!I:I,MATCH(BL460,'inkoop ULL tbv EVPN'!H:H,0))</f>
        <v>2</v>
      </c>
      <c r="BP460" s="184">
        <f t="shared" ref="BP460:BP514" si="266">BN460+BO460</f>
        <v>2</v>
      </c>
      <c r="BR460" s="180">
        <f>Parameters!$B$12*AG460</f>
        <v>101.66666666666667</v>
      </c>
      <c r="BS460" s="180">
        <f>SUM(Distributievergoedingen!$F$12,Distributievergoedingen!$I$12,Distributievergoedingen!$L$12,Distributievergoedingen!$O$12)*AF460+SUM(Distributievergoedingen!$O$12*AA460+Distributievergoedingen!$R$12+Distributievergoedingen!$U$12+Distributievergoedingen!$X$12)/(MAX(36,12*C460))</f>
        <v>111.66666666666667</v>
      </c>
      <c r="BT460" s="150"/>
      <c r="BU460" s="150">
        <f t="shared" ref="BU460:BU514" si="267">SUM(BR460:BT460)</f>
        <v>213.33333333333334</v>
      </c>
      <c r="BW460" s="522">
        <f t="shared" ref="BW460:BW514" si="268">SUM(BP460,BU460)</f>
        <v>215.33333333333334</v>
      </c>
      <c r="BY460" s="527">
        <f t="shared" ref="BY460:BY514" si="269">AG460-BW460</f>
        <v>801.33333333333326</v>
      </c>
      <c r="BZ460" s="181">
        <f t="shared" ref="BZ460:BZ514" si="270">IF(AG460=0,-999%,BY460/AG460)</f>
        <v>0.78819672131147533</v>
      </c>
      <c r="CA460" s="520" t="b">
        <f t="shared" ref="CA460:CA514" si="271">BZ460&lt;0</f>
        <v>0</v>
      </c>
    </row>
    <row r="461" spans="1:79" s="151" customFormat="1">
      <c r="A461" s="151" t="str">
        <f t="shared" si="250"/>
        <v>5EoKEntryCity2</v>
      </c>
      <c r="B461" s="520" t="str">
        <f>A461</f>
        <v>5EoKEntryCity2</v>
      </c>
      <c r="C461" s="179">
        <v>5</v>
      </c>
      <c r="D461" s="179" t="s">
        <v>303</v>
      </c>
      <c r="E461" s="178" t="s">
        <v>45</v>
      </c>
      <c r="F461" s="178" t="s">
        <v>262</v>
      </c>
      <c r="G461" s="185" t="s">
        <v>363</v>
      </c>
      <c r="J461" s="520" t="str">
        <f t="shared" si="251"/>
        <v>EntryCity2</v>
      </c>
      <c r="L461" s="204">
        <f>INDEX(Mapping!$H:$H,MATCH(C$3&amp;C461,Mapping!$B:$B,0))</f>
        <v>1</v>
      </c>
      <c r="M461" s="204" t="str">
        <f>INDEX(Mapping!$H:$H,MATCH(D$3&amp;$D461,Mapping!$B:$B,0))</f>
        <v>EoK</v>
      </c>
      <c r="N461" s="204" t="str">
        <f>INDEX(Mapping!$H:$H,MATCH(E$3&amp;E461,Mapping!$B:$B,0))</f>
        <v>Lite</v>
      </c>
      <c r="O461" s="204" t="str">
        <f>INDEX(Mapping!$H:$H,MATCH(F$3&amp;F461,Mapping!$B:$B,0))</f>
        <v>Metro</v>
      </c>
      <c r="P461" s="204">
        <f>INDEX(Mapping!$H:$H,MATCH(G$3&amp;G461,Mapping!$B:$B,0))</f>
        <v>2</v>
      </c>
      <c r="Q461" s="204" t="str">
        <f>INDEX(Mapping!$H:$H,MATCH(Q$3&amp;$F461,Mapping!$B:$B,0))</f>
        <v>Metro - Regionaal</v>
      </c>
      <c r="R461" s="204" t="str">
        <f>INDEX(Mapping!$H:$H,MATCH("ZM VPN Service Level"&amp;E461,Mapping!$B:$B,0))</f>
        <v>Advanced</v>
      </c>
      <c r="S461" s="139" t="b">
        <f>IF($D461="EoK",INDEX(Mapping!$I:$I,MATCH($G$3&amp;$G461,Mapping!B:B,0)),FALSE)</f>
        <v>1</v>
      </c>
      <c r="T461" s="139"/>
      <c r="U461" s="520" t="str">
        <f t="shared" si="252"/>
        <v>LiteMetro2</v>
      </c>
      <c r="W461" s="521">
        <f>MATCH($J461,'Tarieven ZM'!$B:$B,0)</f>
        <v>9</v>
      </c>
      <c r="X461" s="204">
        <f>INDEX('Tarieven ZM'!$H:$H,$W461)</f>
        <v>1000</v>
      </c>
      <c r="Y461" s="198">
        <f>-INDEX(Parameters!$B:$B,MATCH(Y$3&amp;$C461,Parameters!$A:$A,0))*$X461</f>
        <v>0</v>
      </c>
      <c r="Z461" s="198">
        <f>-INDEX(Parameters!$B:$B,MATCH(Z$3&amp;$C461,Parameters!$A:$A,0))*$X461</f>
        <v>0</v>
      </c>
      <c r="AA461" s="139">
        <f t="shared" si="253"/>
        <v>1000</v>
      </c>
      <c r="AB461" s="205">
        <f>AA461/INDEX(Parameters!$B:$B,MATCH("AfschrijftermijnVVE"&amp;12*$C461,Parameters!$A:$A,0))</f>
        <v>16.666666666666668</v>
      </c>
      <c r="AC461" s="204">
        <f>INDEX('Tarieven ZM'!$G:$G,$W461)</f>
        <v>1000</v>
      </c>
      <c r="AD461" s="198">
        <f>-INDEX(Parameters!$B:$B,MATCH(AD$3&amp;$C461,Parameters!$A:$A,0))*$AC461</f>
        <v>0</v>
      </c>
      <c r="AE461" s="198">
        <f>-INDEX(Parameters!$B:$B,MATCH(AE$3,Parameters!$A:$A,0))*$AC461</f>
        <v>0</v>
      </c>
      <c r="AF461" s="139">
        <f t="shared" si="254"/>
        <v>1000</v>
      </c>
      <c r="AG461" s="522">
        <f t="shared" si="255"/>
        <v>1016.6666666666666</v>
      </c>
      <c r="AH461" s="175"/>
      <c r="AI461" s="523">
        <f>MATCH($U461,'Tarieven W&amp;O'!$B:$B,0)</f>
        <v>37</v>
      </c>
      <c r="AJ461" s="204">
        <f>IF(AI461&lt;&gt;"nvt",INDEX('Tarieven W&amp;O'!$H:$H,$AI461),0)</f>
        <v>0</v>
      </c>
      <c r="AK461" s="204">
        <f>IF(AI461&lt;&gt;"nvt",INDEX('Tarieven W&amp;O'!$I:$I,$AI461),0)</f>
        <v>25</v>
      </c>
      <c r="AL461" s="524">
        <f>IF(AI461&lt;&gt;"nvt",-INDEX(Parameters!$B:$B,MATCH(AL$3,Parameters!$A:$A,0))*(AJ461+AK461),0)</f>
        <v>0</v>
      </c>
      <c r="AM461" s="525"/>
      <c r="AN461" s="139">
        <f t="shared" si="256"/>
        <v>25</v>
      </c>
      <c r="AO461" s="205">
        <f>AN461/INDEX(Parameters!$B:$B,MATCH("AfschrijftermijnVVE"&amp;12*$C461,Parameters!$A:$A,0))</f>
        <v>0.41666666666666669</v>
      </c>
      <c r="AP461" s="139">
        <f t="shared" si="257"/>
        <v>37</v>
      </c>
      <c r="AQ461" s="526">
        <f>IF(AP461&lt;&gt;"nvt",INDEX('Tarieven W&amp;O'!$G:$G,$AP461),0)</f>
        <v>16.55</v>
      </c>
      <c r="AR461" s="251">
        <f>IF($S461,INDEX('Tarieven W&amp;O'!$G:$G,MATCH(N461&amp;R461,'Tarieven W&amp;O'!$B:$B,0)),0)</f>
        <v>5.25</v>
      </c>
      <c r="AS461" s="205">
        <f>-INDEX(Parameters!$B:$B,MATCH(AS$3,Parameters!$A:$A,0))*(AQ461+AR461)</f>
        <v>0</v>
      </c>
      <c r="AT461" s="205">
        <f>INDEX(hulpblad!$E:$E,MATCH(M461&amp;Q461,hulpblad!$B:$B,0))</f>
        <v>1</v>
      </c>
      <c r="AU461" s="150">
        <f t="shared" si="258"/>
        <v>22.8</v>
      </c>
      <c r="AV461" s="150">
        <f t="shared" si="259"/>
        <v>23.216666666666669</v>
      </c>
      <c r="AX461" s="526">
        <f>Parameters!$B$6*AV461</f>
        <v>0.23216666666666669</v>
      </c>
      <c r="AY461" s="150">
        <v>0</v>
      </c>
      <c r="AZ461" s="150"/>
      <c r="BA461" s="150">
        <f t="shared" si="260"/>
        <v>0.23216666666666669</v>
      </c>
      <c r="BB461" s="150"/>
      <c r="BC461" s="522">
        <f t="shared" si="261"/>
        <v>23.448833333333337</v>
      </c>
      <c r="BD461" s="175"/>
      <c r="BE461" s="527">
        <f t="shared" si="262"/>
        <v>993.21783333333326</v>
      </c>
      <c r="BF461" s="181">
        <f t="shared" si="263"/>
        <v>0.97693557377049178</v>
      </c>
      <c r="BG461" s="520" t="b">
        <f t="shared" si="264"/>
        <v>0</v>
      </c>
      <c r="BI461" s="528" t="s">
        <v>2181</v>
      </c>
      <c r="BL461" s="151" t="str">
        <f t="shared" si="265"/>
        <v>EoKMetro - Regionaal</v>
      </c>
      <c r="BM461" s="529">
        <v>0</v>
      </c>
      <c r="BN461" s="180">
        <f>BM461/INDEX(Parameters!$B:$B,MATCH("AfschrijftermijnVVE"&amp;12*$C461,Parameters!$A:$A,0))</f>
        <v>0</v>
      </c>
      <c r="BO461" s="184">
        <f>INDEX('inkoop ULL tbv EVPN'!I:I,MATCH(BL461,'inkoop ULL tbv EVPN'!H:H,0))</f>
        <v>2</v>
      </c>
      <c r="BP461" s="184">
        <f t="shared" si="266"/>
        <v>2</v>
      </c>
      <c r="BR461" s="180">
        <f>Parameters!$B$12*AG461</f>
        <v>101.66666666666667</v>
      </c>
      <c r="BS461" s="180">
        <f>SUM(Distributievergoedingen!$F$12,Distributievergoedingen!$I$12,Distributievergoedingen!$L$12,Distributievergoedingen!$O$12)*AF461+SUM(Distributievergoedingen!$O$12*AA461+Distributievergoedingen!$R$12+Distributievergoedingen!$U$12+Distributievergoedingen!$X$12)/(MAX(36,12*C461))</f>
        <v>111.66666666666667</v>
      </c>
      <c r="BT461" s="150"/>
      <c r="BU461" s="150">
        <f t="shared" si="267"/>
        <v>213.33333333333334</v>
      </c>
      <c r="BW461" s="522">
        <f t="shared" si="268"/>
        <v>215.33333333333334</v>
      </c>
      <c r="BY461" s="527">
        <f t="shared" si="269"/>
        <v>801.33333333333326</v>
      </c>
      <c r="BZ461" s="181">
        <f t="shared" si="270"/>
        <v>0.78819672131147533</v>
      </c>
      <c r="CA461" s="520" t="b">
        <f t="shared" si="271"/>
        <v>0</v>
      </c>
    </row>
    <row r="462" spans="1:79" s="151" customFormat="1">
      <c r="A462" s="151" t="str">
        <f t="shared" si="250"/>
        <v>5EoKEntryCity3</v>
      </c>
      <c r="B462" s="520" t="str">
        <f t="shared" ref="B462:B525" si="272">A462</f>
        <v>5EoKEntryCity3</v>
      </c>
      <c r="C462" s="179">
        <v>5</v>
      </c>
      <c r="D462" s="179" t="s">
        <v>303</v>
      </c>
      <c r="E462" s="178" t="s">
        <v>45</v>
      </c>
      <c r="F462" s="178" t="s">
        <v>262</v>
      </c>
      <c r="G462" s="185" t="s">
        <v>407</v>
      </c>
      <c r="J462" s="520" t="str">
        <f t="shared" ref="J462:J525" si="273">E462&amp;F462&amp;G462&amp;H462</f>
        <v>EntryCity3</v>
      </c>
      <c r="L462" s="204">
        <f>INDEX(Mapping!$H:$H,MATCH(C$3&amp;C462,Mapping!$B:$B,0))</f>
        <v>1</v>
      </c>
      <c r="M462" s="204" t="str">
        <f>INDEX(Mapping!$H:$H,MATCH(D$3&amp;$D462,Mapping!$B:$B,0))</f>
        <v>EoK</v>
      </c>
      <c r="N462" s="204" t="str">
        <f>INDEX(Mapping!$H:$H,MATCH(E$3&amp;E462,Mapping!$B:$B,0))</f>
        <v>Lite</v>
      </c>
      <c r="O462" s="204" t="str">
        <f>INDEX(Mapping!$H:$H,MATCH(F$3&amp;F462,Mapping!$B:$B,0))</f>
        <v>Metro</v>
      </c>
      <c r="P462" s="204">
        <f>INDEX(Mapping!$H:$H,MATCH(G$3&amp;G462,Mapping!$B:$B,0))</f>
        <v>3</v>
      </c>
      <c r="Q462" s="204" t="str">
        <f>INDEX(Mapping!$H:$H,MATCH(Q$3&amp;$F462,Mapping!$B:$B,0))</f>
        <v>Metro - Regionaal</v>
      </c>
      <c r="R462" s="204" t="str">
        <f>INDEX(Mapping!$H:$H,MATCH("ZM VPN Service Level"&amp;E462,Mapping!$B:$B,0))</f>
        <v>Advanced</v>
      </c>
      <c r="S462" s="139" t="b">
        <f>IF($D462="EoK",INDEX(Mapping!$I:$I,MATCH($G$3&amp;$G462,Mapping!B:B,0)),FALSE)</f>
        <v>0</v>
      </c>
      <c r="T462" s="139"/>
      <c r="U462" s="520" t="str">
        <f t="shared" ref="U462:U525" si="274">N462&amp;O462&amp;P462</f>
        <v>LiteMetro3</v>
      </c>
      <c r="W462" s="521">
        <f>MATCH($J462,'Tarieven ZM'!$B:$B,0)</f>
        <v>10</v>
      </c>
      <c r="X462" s="204">
        <f>INDEX('Tarieven ZM'!$H:$H,$W462)</f>
        <v>1000</v>
      </c>
      <c r="Y462" s="198">
        <f>-INDEX(Parameters!$B:$B,MATCH(Y$3&amp;$C462,Parameters!$A:$A,0))*$X462</f>
        <v>0</v>
      </c>
      <c r="Z462" s="198">
        <f>-INDEX(Parameters!$B:$B,MATCH(Z$3&amp;$C462,Parameters!$A:$A,0))*$X462</f>
        <v>0</v>
      </c>
      <c r="AA462" s="139">
        <f t="shared" si="253"/>
        <v>1000</v>
      </c>
      <c r="AB462" s="205">
        <f>AA462/INDEX(Parameters!$B:$B,MATCH("AfschrijftermijnVVE"&amp;12*$C462,Parameters!$A:$A,0))</f>
        <v>16.666666666666668</v>
      </c>
      <c r="AC462" s="204">
        <f>INDEX('Tarieven ZM'!$G:$G,$W462)</f>
        <v>1000</v>
      </c>
      <c r="AD462" s="198">
        <f>-INDEX(Parameters!$B:$B,MATCH(AD$3&amp;$C462,Parameters!$A:$A,0))*$AC462</f>
        <v>0</v>
      </c>
      <c r="AE462" s="198">
        <f>-INDEX(Parameters!$B:$B,MATCH(AE$3,Parameters!$A:$A,0))*$AC462</f>
        <v>0</v>
      </c>
      <c r="AF462" s="139">
        <f t="shared" si="254"/>
        <v>1000</v>
      </c>
      <c r="AG462" s="522">
        <f t="shared" si="255"/>
        <v>1016.6666666666666</v>
      </c>
      <c r="AH462" s="175"/>
      <c r="AI462" s="523">
        <f>MATCH($U462,'Tarieven W&amp;O'!$B:$B,0)</f>
        <v>38</v>
      </c>
      <c r="AJ462" s="204">
        <f>IF(AI462&lt;&gt;"nvt",INDEX('Tarieven W&amp;O'!$H:$H,$AI462),0)</f>
        <v>0</v>
      </c>
      <c r="AK462" s="204">
        <f>IF(AI462&lt;&gt;"nvt",INDEX('Tarieven W&amp;O'!$I:$I,$AI462),0)</f>
        <v>25</v>
      </c>
      <c r="AL462" s="524">
        <f>IF(AI462&lt;&gt;"nvt",-INDEX(Parameters!$B:$B,MATCH(AL$3,Parameters!$A:$A,0))*(AJ462+AK462),0)</f>
        <v>0</v>
      </c>
      <c r="AM462" s="525"/>
      <c r="AN462" s="139">
        <f t="shared" si="256"/>
        <v>25</v>
      </c>
      <c r="AO462" s="205">
        <f>AN462/INDEX(Parameters!$B:$B,MATCH("AfschrijftermijnVVE"&amp;12*$C462,Parameters!$A:$A,0))</f>
        <v>0.41666666666666669</v>
      </c>
      <c r="AP462" s="139">
        <f t="shared" si="257"/>
        <v>38</v>
      </c>
      <c r="AQ462" s="526">
        <f>IF(AP462&lt;&gt;"nvt",INDEX('Tarieven W&amp;O'!$G:$G,$AP462),0)</f>
        <v>18.47</v>
      </c>
      <c r="AR462" s="251">
        <f>IF($S462,INDEX('Tarieven W&amp;O'!$G:$G,MATCH(N462&amp;R462,'Tarieven W&amp;O'!$B:$B,0)),0)</f>
        <v>0</v>
      </c>
      <c r="AS462" s="205">
        <f>-INDEX(Parameters!$B:$B,MATCH(AS$3,Parameters!$A:$A,0))*(AQ462+AR462)</f>
        <v>0</v>
      </c>
      <c r="AT462" s="205">
        <f>INDEX(hulpblad!$E:$E,MATCH(M462&amp;Q462,hulpblad!$B:$B,0))</f>
        <v>1</v>
      </c>
      <c r="AU462" s="150">
        <f t="shared" si="258"/>
        <v>19.47</v>
      </c>
      <c r="AV462" s="150">
        <f t="shared" si="259"/>
        <v>19.886666666666667</v>
      </c>
      <c r="AX462" s="526">
        <f>Parameters!$B$6*AV462</f>
        <v>0.19886666666666666</v>
      </c>
      <c r="AY462" s="150">
        <v>0</v>
      </c>
      <c r="AZ462" s="150"/>
      <c r="BA462" s="150">
        <f t="shared" si="260"/>
        <v>0.19886666666666666</v>
      </c>
      <c r="BB462" s="150"/>
      <c r="BC462" s="522">
        <f t="shared" si="261"/>
        <v>20.085533333333334</v>
      </c>
      <c r="BD462" s="175"/>
      <c r="BE462" s="527">
        <f t="shared" si="262"/>
        <v>996.58113333333324</v>
      </c>
      <c r="BF462" s="181">
        <f t="shared" si="263"/>
        <v>0.98024373770491802</v>
      </c>
      <c r="BG462" s="520" t="b">
        <f t="shared" ref="BG462:BG525" si="275">BF462&lt;0</f>
        <v>0</v>
      </c>
      <c r="BI462" s="528" t="s">
        <v>2181</v>
      </c>
      <c r="BL462" s="151" t="str">
        <f t="shared" si="265"/>
        <v>EoKMetro - Regionaal</v>
      </c>
      <c r="BM462" s="529">
        <v>0</v>
      </c>
      <c r="BN462" s="180">
        <f>BM462/INDEX(Parameters!$B:$B,MATCH("AfschrijftermijnVVE"&amp;12*$C462,Parameters!$A:$A,0))</f>
        <v>0</v>
      </c>
      <c r="BO462" s="184">
        <f>INDEX('inkoop ULL tbv EVPN'!I:I,MATCH(BL462,'inkoop ULL tbv EVPN'!H:H,0))</f>
        <v>2</v>
      </c>
      <c r="BP462" s="184">
        <f t="shared" si="266"/>
        <v>2</v>
      </c>
      <c r="BR462" s="180">
        <f>Parameters!$B$12*AG462</f>
        <v>101.66666666666667</v>
      </c>
      <c r="BS462" s="180">
        <f>SUM(Distributievergoedingen!$F$12,Distributievergoedingen!$I$12,Distributievergoedingen!$L$12,Distributievergoedingen!$O$12)*AF462+SUM(Distributievergoedingen!$O$12*AA462+Distributievergoedingen!$R$12+Distributievergoedingen!$U$12+Distributievergoedingen!$X$12)/(MAX(36,12*C462))</f>
        <v>111.66666666666667</v>
      </c>
      <c r="BT462" s="150"/>
      <c r="BU462" s="150">
        <f t="shared" si="267"/>
        <v>213.33333333333334</v>
      </c>
      <c r="BW462" s="522">
        <f t="shared" si="268"/>
        <v>215.33333333333334</v>
      </c>
      <c r="BY462" s="527">
        <f t="shared" si="269"/>
        <v>801.33333333333326</v>
      </c>
      <c r="BZ462" s="181">
        <f t="shared" si="270"/>
        <v>0.78819672131147533</v>
      </c>
      <c r="CA462" s="520" t="b">
        <f t="shared" si="271"/>
        <v>0</v>
      </c>
    </row>
    <row r="463" spans="1:79" s="151" customFormat="1">
      <c r="A463" s="151" t="str">
        <f t="shared" si="250"/>
        <v>5EoKEntryCity4</v>
      </c>
      <c r="B463" s="520" t="str">
        <f t="shared" si="272"/>
        <v>5EoKEntryCity4</v>
      </c>
      <c r="C463" s="179">
        <v>5</v>
      </c>
      <c r="D463" s="179" t="s">
        <v>303</v>
      </c>
      <c r="E463" s="178" t="s">
        <v>45</v>
      </c>
      <c r="F463" s="178" t="s">
        <v>262</v>
      </c>
      <c r="G463" s="185" t="s">
        <v>408</v>
      </c>
      <c r="J463" s="520" t="str">
        <f t="shared" si="273"/>
        <v>EntryCity4</v>
      </c>
      <c r="L463" s="204">
        <f>INDEX(Mapping!$H:$H,MATCH(C$3&amp;C463,Mapping!$B:$B,0))</f>
        <v>1</v>
      </c>
      <c r="M463" s="204" t="str">
        <f>INDEX(Mapping!$H:$H,MATCH(D$3&amp;$D463,Mapping!$B:$B,0))</f>
        <v>EoK</v>
      </c>
      <c r="N463" s="204" t="str">
        <f>INDEX(Mapping!$H:$H,MATCH(E$3&amp;E463,Mapping!$B:$B,0))</f>
        <v>Lite</v>
      </c>
      <c r="O463" s="204" t="str">
        <f>INDEX(Mapping!$H:$H,MATCH(F$3&amp;F463,Mapping!$B:$B,0))</f>
        <v>Metro</v>
      </c>
      <c r="P463" s="204">
        <f>INDEX(Mapping!$H:$H,MATCH(G$3&amp;G463,Mapping!$B:$B,0))</f>
        <v>4</v>
      </c>
      <c r="Q463" s="204" t="str">
        <f>INDEX(Mapping!$H:$H,MATCH(Q$3&amp;$F463,Mapping!$B:$B,0))</f>
        <v>Metro - Regionaal</v>
      </c>
      <c r="R463" s="204" t="str">
        <f>INDEX(Mapping!$H:$H,MATCH("ZM VPN Service Level"&amp;E463,Mapping!$B:$B,0))</f>
        <v>Advanced</v>
      </c>
      <c r="S463" s="139" t="b">
        <f>IF($D463="EoK",INDEX(Mapping!$I:$I,MATCH($G$3&amp;$G463,Mapping!B:B,0)),FALSE)</f>
        <v>0</v>
      </c>
      <c r="T463" s="139"/>
      <c r="U463" s="520" t="str">
        <f t="shared" si="274"/>
        <v>LiteMetro4</v>
      </c>
      <c r="W463" s="521">
        <f>MATCH($J463,'Tarieven ZM'!$B:$B,0)</f>
        <v>11</v>
      </c>
      <c r="X463" s="204">
        <f>INDEX('Tarieven ZM'!$H:$H,$W463)</f>
        <v>1000</v>
      </c>
      <c r="Y463" s="198">
        <f>-INDEX(Parameters!$B:$B,MATCH(Y$3&amp;$C463,Parameters!$A:$A,0))*$X463</f>
        <v>0</v>
      </c>
      <c r="Z463" s="198">
        <f>-INDEX(Parameters!$B:$B,MATCH(Z$3&amp;$C463,Parameters!$A:$A,0))*$X463</f>
        <v>0</v>
      </c>
      <c r="AA463" s="139">
        <f t="shared" si="253"/>
        <v>1000</v>
      </c>
      <c r="AB463" s="205">
        <f>AA463/INDEX(Parameters!$B:$B,MATCH("AfschrijftermijnVVE"&amp;12*$C463,Parameters!$A:$A,0))</f>
        <v>16.666666666666668</v>
      </c>
      <c r="AC463" s="204">
        <f>INDEX('Tarieven ZM'!$G:$G,$W463)</f>
        <v>1000</v>
      </c>
      <c r="AD463" s="198">
        <f>-INDEX(Parameters!$B:$B,MATCH(AD$3&amp;$C463,Parameters!$A:$A,0))*$AC463</f>
        <v>0</v>
      </c>
      <c r="AE463" s="198">
        <f>-INDEX(Parameters!$B:$B,MATCH(AE$3,Parameters!$A:$A,0))*$AC463</f>
        <v>0</v>
      </c>
      <c r="AF463" s="139">
        <f t="shared" si="254"/>
        <v>1000</v>
      </c>
      <c r="AG463" s="522">
        <f t="shared" si="255"/>
        <v>1016.6666666666666</v>
      </c>
      <c r="AH463" s="175"/>
      <c r="AI463" s="523">
        <f>MATCH($U463,'Tarieven W&amp;O'!$B:$B,0)</f>
        <v>39</v>
      </c>
      <c r="AJ463" s="204">
        <f>IF(AI463&lt;&gt;"nvt",INDEX('Tarieven W&amp;O'!$H:$H,$AI463),0)</f>
        <v>0</v>
      </c>
      <c r="AK463" s="204">
        <f>IF(AI463&lt;&gt;"nvt",INDEX('Tarieven W&amp;O'!$I:$I,$AI463),0)</f>
        <v>25</v>
      </c>
      <c r="AL463" s="524">
        <f>IF(AI463&lt;&gt;"nvt",-INDEX(Parameters!$B:$B,MATCH(AL$3,Parameters!$A:$A,0))*(AJ463+AK463),0)</f>
        <v>0</v>
      </c>
      <c r="AM463" s="525"/>
      <c r="AN463" s="139">
        <f t="shared" si="256"/>
        <v>25</v>
      </c>
      <c r="AO463" s="205">
        <f>AN463/INDEX(Parameters!$B:$B,MATCH("AfschrijftermijnVVE"&amp;12*$C463,Parameters!$A:$A,0))</f>
        <v>0.41666666666666669</v>
      </c>
      <c r="AP463" s="139">
        <f t="shared" si="257"/>
        <v>39</v>
      </c>
      <c r="AQ463" s="526">
        <f>IF(AP463&lt;&gt;"nvt",INDEX('Tarieven W&amp;O'!$G:$G,$AP463),0)</f>
        <v>18.47</v>
      </c>
      <c r="AR463" s="251">
        <f>IF($S463,INDEX('Tarieven W&amp;O'!$G:$G,MATCH(N463&amp;R463,'Tarieven W&amp;O'!$B:$B,0)),0)</f>
        <v>0</v>
      </c>
      <c r="AS463" s="205">
        <f>-INDEX(Parameters!$B:$B,MATCH(AS$3,Parameters!$A:$A,0))*(AQ463+AR463)</f>
        <v>0</v>
      </c>
      <c r="AT463" s="205">
        <f>INDEX(hulpblad!$E:$E,MATCH(M463&amp;Q463,hulpblad!$B:$B,0))</f>
        <v>1</v>
      </c>
      <c r="AU463" s="150">
        <f t="shared" si="258"/>
        <v>19.47</v>
      </c>
      <c r="AV463" s="150">
        <f t="shared" si="259"/>
        <v>19.886666666666667</v>
      </c>
      <c r="AX463" s="526">
        <f>Parameters!$B$6*AV463</f>
        <v>0.19886666666666666</v>
      </c>
      <c r="AY463" s="150">
        <v>0</v>
      </c>
      <c r="AZ463" s="150"/>
      <c r="BA463" s="150">
        <f t="shared" si="260"/>
        <v>0.19886666666666666</v>
      </c>
      <c r="BB463" s="150"/>
      <c r="BC463" s="522">
        <f t="shared" si="261"/>
        <v>20.085533333333334</v>
      </c>
      <c r="BD463" s="175"/>
      <c r="BE463" s="527">
        <f t="shared" si="262"/>
        <v>996.58113333333324</v>
      </c>
      <c r="BF463" s="181">
        <f t="shared" si="263"/>
        <v>0.98024373770491802</v>
      </c>
      <c r="BG463" s="520" t="b">
        <f t="shared" si="275"/>
        <v>0</v>
      </c>
      <c r="BI463" s="528" t="s">
        <v>2181</v>
      </c>
      <c r="BL463" s="151" t="str">
        <f t="shared" si="265"/>
        <v>EoKMetro - Regionaal</v>
      </c>
      <c r="BM463" s="529">
        <v>0</v>
      </c>
      <c r="BN463" s="180">
        <f>BM463/INDEX(Parameters!$B:$B,MATCH("AfschrijftermijnVVE"&amp;12*$C463,Parameters!$A:$A,0))</f>
        <v>0</v>
      </c>
      <c r="BO463" s="184">
        <f>INDEX('inkoop ULL tbv EVPN'!I:I,MATCH(BL463,'inkoop ULL tbv EVPN'!H:H,0))</f>
        <v>2</v>
      </c>
      <c r="BP463" s="184">
        <f t="shared" si="266"/>
        <v>2</v>
      </c>
      <c r="BR463" s="180">
        <f>Parameters!$B$12*AG463</f>
        <v>101.66666666666667</v>
      </c>
      <c r="BS463" s="180">
        <f>SUM(Distributievergoedingen!$F$12,Distributievergoedingen!$I$12,Distributievergoedingen!$L$12,Distributievergoedingen!$O$12)*AF463+SUM(Distributievergoedingen!$O$12*AA463+Distributievergoedingen!$R$12+Distributievergoedingen!$U$12+Distributievergoedingen!$X$12)/(MAX(36,12*C463))</f>
        <v>111.66666666666667</v>
      </c>
      <c r="BT463" s="150"/>
      <c r="BU463" s="150">
        <f t="shared" si="267"/>
        <v>213.33333333333334</v>
      </c>
      <c r="BW463" s="522">
        <f t="shared" si="268"/>
        <v>215.33333333333334</v>
      </c>
      <c r="BY463" s="527">
        <f t="shared" si="269"/>
        <v>801.33333333333326</v>
      </c>
      <c r="BZ463" s="181">
        <f t="shared" si="270"/>
        <v>0.78819672131147533</v>
      </c>
      <c r="CA463" s="520" t="b">
        <f t="shared" si="271"/>
        <v>0</v>
      </c>
    </row>
    <row r="464" spans="1:79" s="151" customFormat="1">
      <c r="A464" s="151" t="str">
        <f t="shared" si="250"/>
        <v>5EoKEntryCity5</v>
      </c>
      <c r="B464" s="520" t="str">
        <f t="shared" si="272"/>
        <v>5EoKEntryCity5</v>
      </c>
      <c r="C464" s="179">
        <v>5</v>
      </c>
      <c r="D464" s="179" t="s">
        <v>303</v>
      </c>
      <c r="E464" s="178" t="s">
        <v>45</v>
      </c>
      <c r="F464" s="178" t="s">
        <v>262</v>
      </c>
      <c r="G464" s="185" t="s">
        <v>409</v>
      </c>
      <c r="J464" s="520" t="str">
        <f t="shared" si="273"/>
        <v>EntryCity5</v>
      </c>
      <c r="L464" s="204">
        <f>INDEX(Mapping!$H:$H,MATCH(C$3&amp;C464,Mapping!$B:$B,0))</f>
        <v>1</v>
      </c>
      <c r="M464" s="204" t="str">
        <f>INDEX(Mapping!$H:$H,MATCH(D$3&amp;$D464,Mapping!$B:$B,0))</f>
        <v>EoK</v>
      </c>
      <c r="N464" s="204" t="str">
        <f>INDEX(Mapping!$H:$H,MATCH(E$3&amp;E464,Mapping!$B:$B,0))</f>
        <v>Lite</v>
      </c>
      <c r="O464" s="204" t="str">
        <f>INDEX(Mapping!$H:$H,MATCH(F$3&amp;F464,Mapping!$B:$B,0))</f>
        <v>Metro</v>
      </c>
      <c r="P464" s="204">
        <f>INDEX(Mapping!$H:$H,MATCH(G$3&amp;G464,Mapping!$B:$B,0))</f>
        <v>5</v>
      </c>
      <c r="Q464" s="204" t="str">
        <f>INDEX(Mapping!$H:$H,MATCH(Q$3&amp;$F464,Mapping!$B:$B,0))</f>
        <v>Metro - Regionaal</v>
      </c>
      <c r="R464" s="204" t="str">
        <f>INDEX(Mapping!$H:$H,MATCH("ZM VPN Service Level"&amp;E464,Mapping!$B:$B,0))</f>
        <v>Advanced</v>
      </c>
      <c r="S464" s="139" t="b">
        <f>IF($D464="EoK",INDEX(Mapping!$I:$I,MATCH($G$3&amp;$G464,Mapping!B:B,0)),FALSE)</f>
        <v>0</v>
      </c>
      <c r="T464" s="139"/>
      <c r="U464" s="520" t="str">
        <f t="shared" si="274"/>
        <v>LiteMetro5</v>
      </c>
      <c r="W464" s="521">
        <f>MATCH($J464,'Tarieven ZM'!$B:$B,0)</f>
        <v>12</v>
      </c>
      <c r="X464" s="204">
        <f>INDEX('Tarieven ZM'!$H:$H,$W464)</f>
        <v>1000</v>
      </c>
      <c r="Y464" s="198">
        <f>-INDEX(Parameters!$B:$B,MATCH(Y$3&amp;$C464,Parameters!$A:$A,0))*$X464</f>
        <v>0</v>
      </c>
      <c r="Z464" s="198">
        <f>-INDEX(Parameters!$B:$B,MATCH(Z$3&amp;$C464,Parameters!$A:$A,0))*$X464</f>
        <v>0</v>
      </c>
      <c r="AA464" s="139">
        <f t="shared" si="253"/>
        <v>1000</v>
      </c>
      <c r="AB464" s="205">
        <f>AA464/INDEX(Parameters!$B:$B,MATCH("AfschrijftermijnVVE"&amp;12*$C464,Parameters!$A:$A,0))</f>
        <v>16.666666666666668</v>
      </c>
      <c r="AC464" s="204">
        <f>INDEX('Tarieven ZM'!$G:$G,$W464)</f>
        <v>1000</v>
      </c>
      <c r="AD464" s="198">
        <f>-INDEX(Parameters!$B:$B,MATCH(AD$3&amp;$C464,Parameters!$A:$A,0))*$AC464</f>
        <v>0</v>
      </c>
      <c r="AE464" s="198">
        <f>-INDEX(Parameters!$B:$B,MATCH(AE$3,Parameters!$A:$A,0))*$AC464</f>
        <v>0</v>
      </c>
      <c r="AF464" s="139">
        <f t="shared" si="254"/>
        <v>1000</v>
      </c>
      <c r="AG464" s="522">
        <f t="shared" si="255"/>
        <v>1016.6666666666666</v>
      </c>
      <c r="AH464" s="175"/>
      <c r="AI464" s="523">
        <f>MATCH($U464,'Tarieven W&amp;O'!$B:$B,0)</f>
        <v>40</v>
      </c>
      <c r="AJ464" s="204">
        <f>IF(AI464&lt;&gt;"nvt",INDEX('Tarieven W&amp;O'!$H:$H,$AI464),0)</f>
        <v>0</v>
      </c>
      <c r="AK464" s="204">
        <f>IF(AI464&lt;&gt;"nvt",INDEX('Tarieven W&amp;O'!$I:$I,$AI464),0)</f>
        <v>25</v>
      </c>
      <c r="AL464" s="524">
        <f>IF(AI464&lt;&gt;"nvt",-INDEX(Parameters!$B:$B,MATCH(AL$3,Parameters!$A:$A,0))*(AJ464+AK464),0)</f>
        <v>0</v>
      </c>
      <c r="AM464" s="525"/>
      <c r="AN464" s="139">
        <f t="shared" si="256"/>
        <v>25</v>
      </c>
      <c r="AO464" s="205">
        <f>AN464/INDEX(Parameters!$B:$B,MATCH("AfschrijftermijnVVE"&amp;12*$C464,Parameters!$A:$A,0))</f>
        <v>0.41666666666666669</v>
      </c>
      <c r="AP464" s="139">
        <f t="shared" si="257"/>
        <v>40</v>
      </c>
      <c r="AQ464" s="526">
        <f>IF(AP464&lt;&gt;"nvt",INDEX('Tarieven W&amp;O'!$G:$G,$AP464),0)</f>
        <v>18.47</v>
      </c>
      <c r="AR464" s="251">
        <f>IF($S464,INDEX('Tarieven W&amp;O'!$G:$G,MATCH(N464&amp;R464,'Tarieven W&amp;O'!$B:$B,0)),0)</f>
        <v>0</v>
      </c>
      <c r="AS464" s="205">
        <f>-INDEX(Parameters!$B:$B,MATCH(AS$3,Parameters!$A:$A,0))*(AQ464+AR464)</f>
        <v>0</v>
      </c>
      <c r="AT464" s="205">
        <f>INDEX(hulpblad!$E:$E,MATCH(M464&amp;Q464,hulpblad!$B:$B,0))</f>
        <v>1</v>
      </c>
      <c r="AU464" s="150">
        <f t="shared" si="258"/>
        <v>19.47</v>
      </c>
      <c r="AV464" s="150">
        <f t="shared" si="259"/>
        <v>19.886666666666667</v>
      </c>
      <c r="AX464" s="526">
        <f>Parameters!$B$6*AV464</f>
        <v>0.19886666666666666</v>
      </c>
      <c r="AY464" s="150">
        <v>0</v>
      </c>
      <c r="AZ464" s="150"/>
      <c r="BA464" s="150">
        <f t="shared" si="260"/>
        <v>0.19886666666666666</v>
      </c>
      <c r="BB464" s="150"/>
      <c r="BC464" s="522">
        <f t="shared" si="261"/>
        <v>20.085533333333334</v>
      </c>
      <c r="BD464" s="175"/>
      <c r="BE464" s="527">
        <f t="shared" si="262"/>
        <v>996.58113333333324</v>
      </c>
      <c r="BF464" s="181">
        <f t="shared" si="263"/>
        <v>0.98024373770491802</v>
      </c>
      <c r="BG464" s="520" t="b">
        <f t="shared" si="275"/>
        <v>0</v>
      </c>
      <c r="BI464" s="528" t="s">
        <v>2181</v>
      </c>
      <c r="BL464" s="151" t="str">
        <f t="shared" si="265"/>
        <v>EoKMetro - Regionaal</v>
      </c>
      <c r="BM464" s="529">
        <v>0</v>
      </c>
      <c r="BN464" s="180">
        <f>BM464/INDEX(Parameters!$B:$B,MATCH("AfschrijftermijnVVE"&amp;12*$C464,Parameters!$A:$A,0))</f>
        <v>0</v>
      </c>
      <c r="BO464" s="184">
        <f>INDEX('inkoop ULL tbv EVPN'!I:I,MATCH(BL464,'inkoop ULL tbv EVPN'!H:H,0))</f>
        <v>2</v>
      </c>
      <c r="BP464" s="184">
        <f t="shared" si="266"/>
        <v>2</v>
      </c>
      <c r="BR464" s="180">
        <f>Parameters!$B$12*AG464</f>
        <v>101.66666666666667</v>
      </c>
      <c r="BS464" s="180">
        <f>SUM(Distributievergoedingen!$F$12,Distributievergoedingen!$I$12,Distributievergoedingen!$L$12,Distributievergoedingen!$O$12)*AF464+SUM(Distributievergoedingen!$O$12*AA464+Distributievergoedingen!$R$12+Distributievergoedingen!$U$12+Distributievergoedingen!$X$12)/(MAX(36,12*C464))</f>
        <v>111.66666666666667</v>
      </c>
      <c r="BT464" s="150"/>
      <c r="BU464" s="150">
        <f t="shared" si="267"/>
        <v>213.33333333333334</v>
      </c>
      <c r="BW464" s="522">
        <f t="shared" si="268"/>
        <v>215.33333333333334</v>
      </c>
      <c r="BY464" s="527">
        <f t="shared" si="269"/>
        <v>801.33333333333326</v>
      </c>
      <c r="BZ464" s="181">
        <f t="shared" si="270"/>
        <v>0.78819672131147533</v>
      </c>
      <c r="CA464" s="520" t="b">
        <f t="shared" si="271"/>
        <v>0</v>
      </c>
    </row>
    <row r="465" spans="1:79" s="151" customFormat="1">
      <c r="A465" s="151" t="str">
        <f t="shared" si="250"/>
        <v>5EoKEntryCity6</v>
      </c>
      <c r="B465" s="520" t="str">
        <f t="shared" si="272"/>
        <v>5EoKEntryCity6</v>
      </c>
      <c r="C465" s="179">
        <v>5</v>
      </c>
      <c r="D465" s="179" t="s">
        <v>303</v>
      </c>
      <c r="E465" s="178" t="s">
        <v>45</v>
      </c>
      <c r="F465" s="178" t="s">
        <v>262</v>
      </c>
      <c r="G465" s="185" t="s">
        <v>410</v>
      </c>
      <c r="J465" s="520" t="str">
        <f t="shared" si="273"/>
        <v>EntryCity6</v>
      </c>
      <c r="L465" s="204">
        <f>INDEX(Mapping!$H:$H,MATCH(C$3&amp;C465,Mapping!$B:$B,0))</f>
        <v>1</v>
      </c>
      <c r="M465" s="204" t="str">
        <f>INDEX(Mapping!$H:$H,MATCH(D$3&amp;$D465,Mapping!$B:$B,0))</f>
        <v>EoK</v>
      </c>
      <c r="N465" s="204" t="str">
        <f>INDEX(Mapping!$H:$H,MATCH(E$3&amp;E465,Mapping!$B:$B,0))</f>
        <v>Lite</v>
      </c>
      <c r="O465" s="204" t="str">
        <f>INDEX(Mapping!$H:$H,MATCH(F$3&amp;F465,Mapping!$B:$B,0))</f>
        <v>Metro</v>
      </c>
      <c r="P465" s="204">
        <f>INDEX(Mapping!$H:$H,MATCH(G$3&amp;G465,Mapping!$B:$B,0))</f>
        <v>6</v>
      </c>
      <c r="Q465" s="204" t="str">
        <f>INDEX(Mapping!$H:$H,MATCH(Q$3&amp;$F465,Mapping!$B:$B,0))</f>
        <v>Metro - Regionaal</v>
      </c>
      <c r="R465" s="204" t="str">
        <f>INDEX(Mapping!$H:$H,MATCH("ZM VPN Service Level"&amp;E465,Mapping!$B:$B,0))</f>
        <v>Advanced</v>
      </c>
      <c r="S465" s="139" t="b">
        <f>IF($D465="EoK",INDEX(Mapping!$I:$I,MATCH($G$3&amp;$G465,Mapping!B:B,0)),FALSE)</f>
        <v>0</v>
      </c>
      <c r="T465" s="139"/>
      <c r="U465" s="520" t="str">
        <f t="shared" si="274"/>
        <v>LiteMetro6</v>
      </c>
      <c r="W465" s="521">
        <f>MATCH($J465,'Tarieven ZM'!$B:$B,0)</f>
        <v>13</v>
      </c>
      <c r="X465" s="204">
        <f>INDEX('Tarieven ZM'!$H:$H,$W465)</f>
        <v>1000</v>
      </c>
      <c r="Y465" s="198">
        <f>-INDEX(Parameters!$B:$B,MATCH(Y$3&amp;$C465,Parameters!$A:$A,0))*$X465</f>
        <v>0</v>
      </c>
      <c r="Z465" s="198">
        <f>-INDEX(Parameters!$B:$B,MATCH(Z$3&amp;$C465,Parameters!$A:$A,0))*$X465</f>
        <v>0</v>
      </c>
      <c r="AA465" s="139">
        <f t="shared" si="253"/>
        <v>1000</v>
      </c>
      <c r="AB465" s="205">
        <f>AA465/INDEX(Parameters!$B:$B,MATCH("AfschrijftermijnVVE"&amp;12*$C465,Parameters!$A:$A,0))</f>
        <v>16.666666666666668</v>
      </c>
      <c r="AC465" s="204">
        <f>INDEX('Tarieven ZM'!$G:$G,$W465)</f>
        <v>1000</v>
      </c>
      <c r="AD465" s="198">
        <f>-INDEX(Parameters!$B:$B,MATCH(AD$3&amp;$C465,Parameters!$A:$A,0))*$AC465</f>
        <v>0</v>
      </c>
      <c r="AE465" s="198">
        <f>-INDEX(Parameters!$B:$B,MATCH(AE$3,Parameters!$A:$A,0))*$AC465</f>
        <v>0</v>
      </c>
      <c r="AF465" s="139">
        <f t="shared" si="254"/>
        <v>1000</v>
      </c>
      <c r="AG465" s="522">
        <f t="shared" si="255"/>
        <v>1016.6666666666666</v>
      </c>
      <c r="AH465" s="175"/>
      <c r="AI465" s="523">
        <f>MATCH($U465,'Tarieven W&amp;O'!$B:$B,0)</f>
        <v>41</v>
      </c>
      <c r="AJ465" s="204">
        <f>IF(AI465&lt;&gt;"nvt",INDEX('Tarieven W&amp;O'!$H:$H,$AI465),0)</f>
        <v>0</v>
      </c>
      <c r="AK465" s="204">
        <f>IF(AI465&lt;&gt;"nvt",INDEX('Tarieven W&amp;O'!$I:$I,$AI465),0)</f>
        <v>25</v>
      </c>
      <c r="AL465" s="524">
        <f>IF(AI465&lt;&gt;"nvt",-INDEX(Parameters!$B:$B,MATCH(AL$3,Parameters!$A:$A,0))*(AJ465+AK465),0)</f>
        <v>0</v>
      </c>
      <c r="AM465" s="525"/>
      <c r="AN465" s="139">
        <f t="shared" si="256"/>
        <v>25</v>
      </c>
      <c r="AO465" s="205">
        <f>AN465/INDEX(Parameters!$B:$B,MATCH("AfschrijftermijnVVE"&amp;12*$C465,Parameters!$A:$A,0))</f>
        <v>0.41666666666666669</v>
      </c>
      <c r="AP465" s="139">
        <f t="shared" si="257"/>
        <v>41</v>
      </c>
      <c r="AQ465" s="526">
        <f>IF(AP465&lt;&gt;"nvt",INDEX('Tarieven W&amp;O'!$G:$G,$AP465),0)</f>
        <v>18.47</v>
      </c>
      <c r="AR465" s="251">
        <f>IF($S465,INDEX('Tarieven W&amp;O'!$G:$G,MATCH(N465&amp;R465,'Tarieven W&amp;O'!$B:$B,0)),0)</f>
        <v>0</v>
      </c>
      <c r="AS465" s="205">
        <f>-INDEX(Parameters!$B:$B,MATCH(AS$3,Parameters!$A:$A,0))*(AQ465+AR465)</f>
        <v>0</v>
      </c>
      <c r="AT465" s="205">
        <f>INDEX(hulpblad!$E:$E,MATCH(M465&amp;Q465,hulpblad!$B:$B,0))</f>
        <v>1</v>
      </c>
      <c r="AU465" s="150">
        <f t="shared" si="258"/>
        <v>19.47</v>
      </c>
      <c r="AV465" s="150">
        <f t="shared" si="259"/>
        <v>19.886666666666667</v>
      </c>
      <c r="AX465" s="526">
        <f>Parameters!$B$6*AV465</f>
        <v>0.19886666666666666</v>
      </c>
      <c r="AY465" s="150">
        <v>0</v>
      </c>
      <c r="AZ465" s="150"/>
      <c r="BA465" s="150">
        <f t="shared" si="260"/>
        <v>0.19886666666666666</v>
      </c>
      <c r="BB465" s="150"/>
      <c r="BC465" s="522">
        <f t="shared" si="261"/>
        <v>20.085533333333334</v>
      </c>
      <c r="BD465" s="175"/>
      <c r="BE465" s="527">
        <f t="shared" si="262"/>
        <v>996.58113333333324</v>
      </c>
      <c r="BF465" s="181">
        <f t="shared" si="263"/>
        <v>0.98024373770491802</v>
      </c>
      <c r="BG465" s="520" t="b">
        <f t="shared" si="275"/>
        <v>0</v>
      </c>
      <c r="BI465" s="528" t="s">
        <v>2181</v>
      </c>
      <c r="BL465" s="151" t="str">
        <f t="shared" si="265"/>
        <v>EoKMetro - Regionaal</v>
      </c>
      <c r="BM465" s="529">
        <v>0</v>
      </c>
      <c r="BN465" s="180">
        <f>BM465/INDEX(Parameters!$B:$B,MATCH("AfschrijftermijnVVE"&amp;12*$C465,Parameters!$A:$A,0))</f>
        <v>0</v>
      </c>
      <c r="BO465" s="184">
        <f>INDEX('inkoop ULL tbv EVPN'!I:I,MATCH(BL465,'inkoop ULL tbv EVPN'!H:H,0))</f>
        <v>2</v>
      </c>
      <c r="BP465" s="184">
        <f t="shared" si="266"/>
        <v>2</v>
      </c>
      <c r="BR465" s="180">
        <f>Parameters!$B$12*AG465</f>
        <v>101.66666666666667</v>
      </c>
      <c r="BS465" s="180">
        <f>SUM(Distributievergoedingen!$F$12,Distributievergoedingen!$I$12,Distributievergoedingen!$L$12,Distributievergoedingen!$O$12)*AF465+SUM(Distributievergoedingen!$O$12*AA465+Distributievergoedingen!$R$12+Distributievergoedingen!$U$12+Distributievergoedingen!$X$12)/(MAX(36,12*C465))</f>
        <v>111.66666666666667</v>
      </c>
      <c r="BT465" s="150"/>
      <c r="BU465" s="150">
        <f t="shared" si="267"/>
        <v>213.33333333333334</v>
      </c>
      <c r="BW465" s="522">
        <f t="shared" si="268"/>
        <v>215.33333333333334</v>
      </c>
      <c r="BY465" s="527">
        <f t="shared" si="269"/>
        <v>801.33333333333326</v>
      </c>
      <c r="BZ465" s="181">
        <f t="shared" si="270"/>
        <v>0.78819672131147533</v>
      </c>
      <c r="CA465" s="520" t="b">
        <f t="shared" si="271"/>
        <v>0</v>
      </c>
    </row>
    <row r="466" spans="1:79" s="151" customFormat="1">
      <c r="A466" s="151" t="str">
        <f t="shared" si="250"/>
        <v>5EoKEntryCity8</v>
      </c>
      <c r="B466" s="520" t="str">
        <f t="shared" si="272"/>
        <v>5EoKEntryCity8</v>
      </c>
      <c r="C466" s="179">
        <v>5</v>
      </c>
      <c r="D466" s="179" t="s">
        <v>303</v>
      </c>
      <c r="E466" s="178" t="s">
        <v>45</v>
      </c>
      <c r="F466" s="178" t="s">
        <v>262</v>
      </c>
      <c r="G466" s="185" t="s">
        <v>411</v>
      </c>
      <c r="J466" s="520" t="str">
        <f t="shared" si="273"/>
        <v>EntryCity8</v>
      </c>
      <c r="L466" s="204">
        <f>INDEX(Mapping!$H:$H,MATCH(C$3&amp;C466,Mapping!$B:$B,0))</f>
        <v>1</v>
      </c>
      <c r="M466" s="204" t="str">
        <f>INDEX(Mapping!$H:$H,MATCH(D$3&amp;$D466,Mapping!$B:$B,0))</f>
        <v>EoK</v>
      </c>
      <c r="N466" s="204" t="str">
        <f>INDEX(Mapping!$H:$H,MATCH(E$3&amp;E466,Mapping!$B:$B,0))</f>
        <v>Lite</v>
      </c>
      <c r="O466" s="204" t="str">
        <f>INDEX(Mapping!$H:$H,MATCH(F$3&amp;F466,Mapping!$B:$B,0))</f>
        <v>Metro</v>
      </c>
      <c r="P466" s="204">
        <f>INDEX(Mapping!$H:$H,MATCH(G$3&amp;G466,Mapping!$B:$B,0))</f>
        <v>8</v>
      </c>
      <c r="Q466" s="204" t="str">
        <f>INDEX(Mapping!$H:$H,MATCH(Q$3&amp;$F466,Mapping!$B:$B,0))</f>
        <v>Metro - Regionaal</v>
      </c>
      <c r="R466" s="204" t="str">
        <f>INDEX(Mapping!$H:$H,MATCH("ZM VPN Service Level"&amp;E466,Mapping!$B:$B,0))</f>
        <v>Advanced</v>
      </c>
      <c r="S466" s="139" t="b">
        <f>IF($D466="EoK",INDEX(Mapping!$I:$I,MATCH($G$3&amp;$G466,Mapping!B:B,0)),FALSE)</f>
        <v>0</v>
      </c>
      <c r="T466" s="139"/>
      <c r="U466" s="520" t="str">
        <f t="shared" si="274"/>
        <v>LiteMetro8</v>
      </c>
      <c r="W466" s="521">
        <f>MATCH($J466,'Tarieven ZM'!$B:$B,0)</f>
        <v>14</v>
      </c>
      <c r="X466" s="204">
        <f>INDEX('Tarieven ZM'!$H:$H,$W466)</f>
        <v>1000</v>
      </c>
      <c r="Y466" s="198">
        <f>-INDEX(Parameters!$B:$B,MATCH(Y$3&amp;$C466,Parameters!$A:$A,0))*$X466</f>
        <v>0</v>
      </c>
      <c r="Z466" s="198">
        <f>-INDEX(Parameters!$B:$B,MATCH(Z$3&amp;$C466,Parameters!$A:$A,0))*$X466</f>
        <v>0</v>
      </c>
      <c r="AA466" s="139">
        <f t="shared" ref="AA466:AA529" si="276">SUM(X466:Z466)</f>
        <v>1000</v>
      </c>
      <c r="AB466" s="205">
        <f>AA466/INDEX(Parameters!$B:$B,MATCH("AfschrijftermijnVVE"&amp;12*$C466,Parameters!$A:$A,0))</f>
        <v>16.666666666666668</v>
      </c>
      <c r="AC466" s="204">
        <f>INDEX('Tarieven ZM'!$G:$G,$W466)</f>
        <v>1000</v>
      </c>
      <c r="AD466" s="198">
        <f>-INDEX(Parameters!$B:$B,MATCH(AD$3&amp;$C466,Parameters!$A:$A,0))*$AC466</f>
        <v>0</v>
      </c>
      <c r="AE466" s="198">
        <f>-INDEX(Parameters!$B:$B,MATCH(AE$3,Parameters!$A:$A,0))*$AC466</f>
        <v>0</v>
      </c>
      <c r="AF466" s="139">
        <f t="shared" ref="AF466:AF529" si="277">SUM(AC466:AE466)</f>
        <v>1000</v>
      </c>
      <c r="AG466" s="522">
        <f t="shared" ref="AG466:AG529" si="278">SUM(AB466,AF466)</f>
        <v>1016.6666666666666</v>
      </c>
      <c r="AH466" s="175"/>
      <c r="AI466" s="523">
        <f>MATCH($U466,'Tarieven W&amp;O'!$B:$B,0)</f>
        <v>42</v>
      </c>
      <c r="AJ466" s="204">
        <f>IF(AI466&lt;&gt;"nvt",INDEX('Tarieven W&amp;O'!$H:$H,$AI466),0)</f>
        <v>0</v>
      </c>
      <c r="AK466" s="204">
        <f>IF(AI466&lt;&gt;"nvt",INDEX('Tarieven W&amp;O'!$I:$I,$AI466),0)</f>
        <v>25</v>
      </c>
      <c r="AL466" s="524">
        <f>IF(AI466&lt;&gt;"nvt",-INDEX(Parameters!$B:$B,MATCH(AL$3,Parameters!$A:$A,0))*(AJ466+AK466),0)</f>
        <v>0</v>
      </c>
      <c r="AM466" s="525"/>
      <c r="AN466" s="139">
        <f t="shared" ref="AN466:AN529" si="279">SUM(AJ466:AM466)</f>
        <v>25</v>
      </c>
      <c r="AO466" s="205">
        <f>AN466/INDEX(Parameters!$B:$B,MATCH("AfschrijftermijnVVE"&amp;12*$C466,Parameters!$A:$A,0))</f>
        <v>0.41666666666666669</v>
      </c>
      <c r="AP466" s="139">
        <f t="shared" ref="AP466:AP529" si="280">AI466</f>
        <v>42</v>
      </c>
      <c r="AQ466" s="526">
        <f>IF(AP466&lt;&gt;"nvt",INDEX('Tarieven W&amp;O'!$G:$G,$AP466),0)</f>
        <v>18.47</v>
      </c>
      <c r="AR466" s="251">
        <f>IF($S466,INDEX('Tarieven W&amp;O'!$G:$G,MATCH(N466&amp;R466,'Tarieven W&amp;O'!$B:$B,0)),0)</f>
        <v>0</v>
      </c>
      <c r="AS466" s="205">
        <f>-INDEX(Parameters!$B:$B,MATCH(AS$3,Parameters!$A:$A,0))*(AQ466+AR466)</f>
        <v>0</v>
      </c>
      <c r="AT466" s="205">
        <f>INDEX(hulpblad!$E:$E,MATCH(M466&amp;Q466,hulpblad!$B:$B,0))</f>
        <v>1</v>
      </c>
      <c r="AU466" s="150">
        <f t="shared" si="258"/>
        <v>19.47</v>
      </c>
      <c r="AV466" s="150">
        <f t="shared" si="259"/>
        <v>19.886666666666667</v>
      </c>
      <c r="AX466" s="526">
        <f>Parameters!$B$6*AV466</f>
        <v>0.19886666666666666</v>
      </c>
      <c r="AY466" s="150">
        <v>0</v>
      </c>
      <c r="AZ466" s="150"/>
      <c r="BA466" s="150">
        <f t="shared" ref="BA466:BA529" si="281">SUM(AX466:AZ466)</f>
        <v>0.19886666666666666</v>
      </c>
      <c r="BB466" s="150"/>
      <c r="BC466" s="522">
        <f t="shared" ref="BC466:BC529" si="282">SUM(AV466,BA466)</f>
        <v>20.085533333333334</v>
      </c>
      <c r="BD466" s="175"/>
      <c r="BE466" s="527">
        <f t="shared" si="262"/>
        <v>996.58113333333324</v>
      </c>
      <c r="BF466" s="181">
        <f t="shared" si="263"/>
        <v>0.98024373770491802</v>
      </c>
      <c r="BG466" s="520" t="b">
        <f t="shared" si="275"/>
        <v>0</v>
      </c>
      <c r="BI466" s="528" t="s">
        <v>2181</v>
      </c>
      <c r="BL466" s="151" t="str">
        <f t="shared" si="265"/>
        <v>EoKMetro - Regionaal</v>
      </c>
      <c r="BM466" s="529">
        <v>0</v>
      </c>
      <c r="BN466" s="180">
        <f>BM466/INDEX(Parameters!$B:$B,MATCH("AfschrijftermijnVVE"&amp;12*$C466,Parameters!$A:$A,0))</f>
        <v>0</v>
      </c>
      <c r="BO466" s="184">
        <f>INDEX('inkoop ULL tbv EVPN'!I:I,MATCH(BL466,'inkoop ULL tbv EVPN'!H:H,0))</f>
        <v>2</v>
      </c>
      <c r="BP466" s="184">
        <f t="shared" si="266"/>
        <v>2</v>
      </c>
      <c r="BR466" s="180">
        <f>Parameters!$B$12*AG466</f>
        <v>101.66666666666667</v>
      </c>
      <c r="BS466" s="180">
        <f>SUM(Distributievergoedingen!$F$12,Distributievergoedingen!$I$12,Distributievergoedingen!$L$12,Distributievergoedingen!$O$12)*AF466+SUM(Distributievergoedingen!$O$12*AA466+Distributievergoedingen!$R$12+Distributievergoedingen!$U$12+Distributievergoedingen!$X$12)/(MAX(36,12*C466))</f>
        <v>111.66666666666667</v>
      </c>
      <c r="BT466" s="150"/>
      <c r="BU466" s="150">
        <f t="shared" si="267"/>
        <v>213.33333333333334</v>
      </c>
      <c r="BW466" s="522">
        <f t="shared" si="268"/>
        <v>215.33333333333334</v>
      </c>
      <c r="BY466" s="527">
        <f t="shared" si="269"/>
        <v>801.33333333333326</v>
      </c>
      <c r="BZ466" s="181">
        <f t="shared" si="270"/>
        <v>0.78819672131147533</v>
      </c>
      <c r="CA466" s="520" t="b">
        <f t="shared" si="271"/>
        <v>0</v>
      </c>
    </row>
    <row r="467" spans="1:79" s="151" customFormat="1">
      <c r="A467" s="151" t="str">
        <f t="shared" si="250"/>
        <v>5EoKEntryCity10</v>
      </c>
      <c r="B467" s="520" t="str">
        <f t="shared" si="272"/>
        <v>5EoKEntryCity10</v>
      </c>
      <c r="C467" s="179">
        <v>5</v>
      </c>
      <c r="D467" s="179" t="s">
        <v>303</v>
      </c>
      <c r="E467" s="178" t="s">
        <v>45</v>
      </c>
      <c r="F467" s="178" t="s">
        <v>262</v>
      </c>
      <c r="G467" s="185" t="s">
        <v>412</v>
      </c>
      <c r="J467" s="520" t="str">
        <f t="shared" si="273"/>
        <v>EntryCity10</v>
      </c>
      <c r="L467" s="204">
        <f>INDEX(Mapping!$H:$H,MATCH(C$3&amp;C467,Mapping!$B:$B,0))</f>
        <v>1</v>
      </c>
      <c r="M467" s="204" t="str">
        <f>INDEX(Mapping!$H:$H,MATCH(D$3&amp;$D467,Mapping!$B:$B,0))</f>
        <v>EoK</v>
      </c>
      <c r="N467" s="204" t="str">
        <f>INDEX(Mapping!$H:$H,MATCH(E$3&amp;E467,Mapping!$B:$B,0))</f>
        <v>Lite</v>
      </c>
      <c r="O467" s="204" t="str">
        <f>INDEX(Mapping!$H:$H,MATCH(F$3&amp;F467,Mapping!$B:$B,0))</f>
        <v>Metro</v>
      </c>
      <c r="P467" s="204">
        <f>INDEX(Mapping!$H:$H,MATCH(G$3&amp;G467,Mapping!$B:$B,0))</f>
        <v>10</v>
      </c>
      <c r="Q467" s="204" t="str">
        <f>INDEX(Mapping!$H:$H,MATCH(Q$3&amp;$F467,Mapping!$B:$B,0))</f>
        <v>Metro - Regionaal</v>
      </c>
      <c r="R467" s="204" t="str">
        <f>INDEX(Mapping!$H:$H,MATCH("ZM VPN Service Level"&amp;E467,Mapping!$B:$B,0))</f>
        <v>Advanced</v>
      </c>
      <c r="S467" s="139" t="b">
        <f>IF($D467="EoK",INDEX(Mapping!$I:$I,MATCH($G$3&amp;$G467,Mapping!B:B,0)),FALSE)</f>
        <v>0</v>
      </c>
      <c r="T467" s="139"/>
      <c r="U467" s="520" t="str">
        <f t="shared" si="274"/>
        <v>LiteMetro10</v>
      </c>
      <c r="W467" s="521">
        <f>MATCH($J467,'Tarieven ZM'!$B:$B,0)</f>
        <v>15</v>
      </c>
      <c r="X467" s="204">
        <f>INDEX('Tarieven ZM'!$H:$H,$W467)</f>
        <v>1000</v>
      </c>
      <c r="Y467" s="198">
        <f>-INDEX(Parameters!$B:$B,MATCH(Y$3&amp;$C467,Parameters!$A:$A,0))*$X467</f>
        <v>0</v>
      </c>
      <c r="Z467" s="198">
        <f>-INDEX(Parameters!$B:$B,MATCH(Z$3&amp;$C467,Parameters!$A:$A,0))*$X467</f>
        <v>0</v>
      </c>
      <c r="AA467" s="139">
        <f t="shared" si="276"/>
        <v>1000</v>
      </c>
      <c r="AB467" s="205">
        <f>AA467/INDEX(Parameters!$B:$B,MATCH("AfschrijftermijnVVE"&amp;12*$C467,Parameters!$A:$A,0))</f>
        <v>16.666666666666668</v>
      </c>
      <c r="AC467" s="204">
        <f>INDEX('Tarieven ZM'!$G:$G,$W467)</f>
        <v>1000</v>
      </c>
      <c r="AD467" s="198">
        <f>-INDEX(Parameters!$B:$B,MATCH(AD$3&amp;$C467,Parameters!$A:$A,0))*$AC467</f>
        <v>0</v>
      </c>
      <c r="AE467" s="198">
        <f>-INDEX(Parameters!$B:$B,MATCH(AE$3,Parameters!$A:$A,0))*$AC467</f>
        <v>0</v>
      </c>
      <c r="AF467" s="139">
        <f t="shared" si="277"/>
        <v>1000</v>
      </c>
      <c r="AG467" s="522">
        <f t="shared" si="278"/>
        <v>1016.6666666666666</v>
      </c>
      <c r="AH467" s="175"/>
      <c r="AI467" s="523">
        <f>MATCH($U467,'Tarieven W&amp;O'!$B:$B,0)</f>
        <v>43</v>
      </c>
      <c r="AJ467" s="204">
        <f>IF(AI467&lt;&gt;"nvt",INDEX('Tarieven W&amp;O'!$H:$H,$AI467),0)</f>
        <v>0</v>
      </c>
      <c r="AK467" s="204">
        <f>IF(AI467&lt;&gt;"nvt",INDEX('Tarieven W&amp;O'!$I:$I,$AI467),0)</f>
        <v>25</v>
      </c>
      <c r="AL467" s="524">
        <f>IF(AI467&lt;&gt;"nvt",-INDEX(Parameters!$B:$B,MATCH(AL$3,Parameters!$A:$A,0))*(AJ467+AK467),0)</f>
        <v>0</v>
      </c>
      <c r="AM467" s="525"/>
      <c r="AN467" s="139">
        <f t="shared" si="279"/>
        <v>25</v>
      </c>
      <c r="AO467" s="205">
        <f>AN467/INDEX(Parameters!$B:$B,MATCH("AfschrijftermijnVVE"&amp;12*$C467,Parameters!$A:$A,0))</f>
        <v>0.41666666666666669</v>
      </c>
      <c r="AP467" s="139">
        <f t="shared" si="280"/>
        <v>43</v>
      </c>
      <c r="AQ467" s="526">
        <f>IF(AP467&lt;&gt;"nvt",INDEX('Tarieven W&amp;O'!$G:$G,$AP467),0)</f>
        <v>18.47</v>
      </c>
      <c r="AR467" s="251">
        <f>IF($S467,INDEX('Tarieven W&amp;O'!$G:$G,MATCH(N467&amp;R467,'Tarieven W&amp;O'!$B:$B,0)),0)</f>
        <v>0</v>
      </c>
      <c r="AS467" s="205">
        <f>-INDEX(Parameters!$B:$B,MATCH(AS$3,Parameters!$A:$A,0))*(AQ467+AR467)</f>
        <v>0</v>
      </c>
      <c r="AT467" s="205">
        <f>INDEX(hulpblad!$E:$E,MATCH(M467&amp;Q467,hulpblad!$B:$B,0))</f>
        <v>1</v>
      </c>
      <c r="AU467" s="150">
        <f t="shared" si="258"/>
        <v>19.47</v>
      </c>
      <c r="AV467" s="150">
        <f t="shared" si="259"/>
        <v>19.886666666666667</v>
      </c>
      <c r="AX467" s="526">
        <f>Parameters!$B$6*AV467</f>
        <v>0.19886666666666666</v>
      </c>
      <c r="AY467" s="150">
        <v>0</v>
      </c>
      <c r="AZ467" s="150"/>
      <c r="BA467" s="150">
        <f t="shared" si="281"/>
        <v>0.19886666666666666</v>
      </c>
      <c r="BB467" s="150"/>
      <c r="BC467" s="522">
        <f t="shared" si="282"/>
        <v>20.085533333333334</v>
      </c>
      <c r="BD467" s="175"/>
      <c r="BE467" s="527">
        <f t="shared" si="262"/>
        <v>996.58113333333324</v>
      </c>
      <c r="BF467" s="181">
        <f t="shared" si="263"/>
        <v>0.98024373770491802</v>
      </c>
      <c r="BG467" s="520" t="b">
        <f t="shared" si="275"/>
        <v>0</v>
      </c>
      <c r="BI467" s="528" t="s">
        <v>2181</v>
      </c>
      <c r="BL467" s="151" t="str">
        <f t="shared" si="265"/>
        <v>EoKMetro - Regionaal</v>
      </c>
      <c r="BM467" s="529">
        <v>0</v>
      </c>
      <c r="BN467" s="180">
        <f>BM467/INDEX(Parameters!$B:$B,MATCH("AfschrijftermijnVVE"&amp;12*$C467,Parameters!$A:$A,0))</f>
        <v>0</v>
      </c>
      <c r="BO467" s="184">
        <f>INDEX('inkoop ULL tbv EVPN'!I:I,MATCH(BL467,'inkoop ULL tbv EVPN'!H:H,0))</f>
        <v>2</v>
      </c>
      <c r="BP467" s="184">
        <f t="shared" si="266"/>
        <v>2</v>
      </c>
      <c r="BR467" s="180">
        <f>Parameters!$B$12*AG467</f>
        <v>101.66666666666667</v>
      </c>
      <c r="BS467" s="180">
        <f>SUM(Distributievergoedingen!$F$12,Distributievergoedingen!$I$12,Distributievergoedingen!$L$12,Distributievergoedingen!$O$12)*AF467+SUM(Distributievergoedingen!$O$12*AA467+Distributievergoedingen!$R$12+Distributievergoedingen!$U$12+Distributievergoedingen!$X$12)/(MAX(36,12*C467))</f>
        <v>111.66666666666667</v>
      </c>
      <c r="BT467" s="150"/>
      <c r="BU467" s="150">
        <f t="shared" si="267"/>
        <v>213.33333333333334</v>
      </c>
      <c r="BW467" s="522">
        <f t="shared" si="268"/>
        <v>215.33333333333334</v>
      </c>
      <c r="BY467" s="527">
        <f t="shared" si="269"/>
        <v>801.33333333333326</v>
      </c>
      <c r="BZ467" s="181">
        <f t="shared" si="270"/>
        <v>0.78819672131147533</v>
      </c>
      <c r="CA467" s="520" t="b">
        <f t="shared" si="271"/>
        <v>0</v>
      </c>
    </row>
    <row r="468" spans="1:79" s="151" customFormat="1">
      <c r="A468" s="151" t="str">
        <f t="shared" si="250"/>
        <v>5EoKEntryCity15</v>
      </c>
      <c r="B468" s="520" t="str">
        <f t="shared" si="272"/>
        <v>5EoKEntryCity15</v>
      </c>
      <c r="C468" s="179">
        <v>5</v>
      </c>
      <c r="D468" s="179" t="s">
        <v>303</v>
      </c>
      <c r="E468" s="178" t="s">
        <v>45</v>
      </c>
      <c r="F468" s="178" t="s">
        <v>262</v>
      </c>
      <c r="G468" s="185" t="s">
        <v>413</v>
      </c>
      <c r="J468" s="520" t="str">
        <f t="shared" si="273"/>
        <v>EntryCity15</v>
      </c>
      <c r="L468" s="204">
        <f>INDEX(Mapping!$H:$H,MATCH(C$3&amp;C468,Mapping!$B:$B,0))</f>
        <v>1</v>
      </c>
      <c r="M468" s="204" t="str">
        <f>INDEX(Mapping!$H:$H,MATCH(D$3&amp;$D468,Mapping!$B:$B,0))</f>
        <v>EoK</v>
      </c>
      <c r="N468" s="204" t="str">
        <f>INDEX(Mapping!$H:$H,MATCH(E$3&amp;E468,Mapping!$B:$B,0))</f>
        <v>Lite</v>
      </c>
      <c r="O468" s="204" t="str">
        <f>INDEX(Mapping!$H:$H,MATCH(F$3&amp;F468,Mapping!$B:$B,0))</f>
        <v>Metro</v>
      </c>
      <c r="P468" s="204">
        <f>INDEX(Mapping!$H:$H,MATCH(G$3&amp;G468,Mapping!$B:$B,0))</f>
        <v>15</v>
      </c>
      <c r="Q468" s="204" t="str">
        <f>INDEX(Mapping!$H:$H,MATCH(Q$3&amp;$F468,Mapping!$B:$B,0))</f>
        <v>Metro - Regionaal</v>
      </c>
      <c r="R468" s="204" t="str">
        <f>INDEX(Mapping!$H:$H,MATCH("ZM VPN Service Level"&amp;E468,Mapping!$B:$B,0))</f>
        <v>Advanced</v>
      </c>
      <c r="S468" s="139" t="b">
        <f>IF($D468="EoK",INDEX(Mapping!$I:$I,MATCH($G$3&amp;$G468,Mapping!B:B,0)),FALSE)</f>
        <v>0</v>
      </c>
      <c r="T468" s="139"/>
      <c r="U468" s="520" t="str">
        <f t="shared" si="274"/>
        <v>LiteMetro15</v>
      </c>
      <c r="W468" s="521">
        <f>MATCH($J468,'Tarieven ZM'!$B:$B,0)</f>
        <v>16</v>
      </c>
      <c r="X468" s="204">
        <f>INDEX('Tarieven ZM'!$H:$H,$W468)</f>
        <v>1000</v>
      </c>
      <c r="Y468" s="198">
        <f>-INDEX(Parameters!$B:$B,MATCH(Y$3&amp;$C468,Parameters!$A:$A,0))*$X468</f>
        <v>0</v>
      </c>
      <c r="Z468" s="198">
        <f>-INDEX(Parameters!$B:$B,MATCH(Z$3&amp;$C468,Parameters!$A:$A,0))*$X468</f>
        <v>0</v>
      </c>
      <c r="AA468" s="139">
        <f t="shared" si="276"/>
        <v>1000</v>
      </c>
      <c r="AB468" s="205">
        <f>AA468/INDEX(Parameters!$B:$B,MATCH("AfschrijftermijnVVE"&amp;12*$C468,Parameters!$A:$A,0))</f>
        <v>16.666666666666668</v>
      </c>
      <c r="AC468" s="204">
        <f>INDEX('Tarieven ZM'!$G:$G,$W468)</f>
        <v>1000</v>
      </c>
      <c r="AD468" s="198">
        <f>-INDEX(Parameters!$B:$B,MATCH(AD$3&amp;$C468,Parameters!$A:$A,0))*$AC468</f>
        <v>0</v>
      </c>
      <c r="AE468" s="198">
        <f>-INDEX(Parameters!$B:$B,MATCH(AE$3,Parameters!$A:$A,0))*$AC468</f>
        <v>0</v>
      </c>
      <c r="AF468" s="139">
        <f t="shared" si="277"/>
        <v>1000</v>
      </c>
      <c r="AG468" s="522">
        <f t="shared" si="278"/>
        <v>1016.6666666666666</v>
      </c>
      <c r="AH468" s="175"/>
      <c r="AI468" s="523">
        <f>MATCH($U468,'Tarieven W&amp;O'!$B:$B,0)</f>
        <v>44</v>
      </c>
      <c r="AJ468" s="204">
        <f>IF(AI468&lt;&gt;"nvt",INDEX('Tarieven W&amp;O'!$H:$H,$AI468),0)</f>
        <v>0</v>
      </c>
      <c r="AK468" s="204">
        <f>IF(AI468&lt;&gt;"nvt",INDEX('Tarieven W&amp;O'!$I:$I,$AI468),0)</f>
        <v>25</v>
      </c>
      <c r="AL468" s="524">
        <f>IF(AI468&lt;&gt;"nvt",-INDEX(Parameters!$B:$B,MATCH(AL$3,Parameters!$A:$A,0))*(AJ468+AK468),0)</f>
        <v>0</v>
      </c>
      <c r="AM468" s="525"/>
      <c r="AN468" s="139">
        <f t="shared" si="279"/>
        <v>25</v>
      </c>
      <c r="AO468" s="205">
        <f>AN468/INDEX(Parameters!$B:$B,MATCH("AfschrijftermijnVVE"&amp;12*$C468,Parameters!$A:$A,0))</f>
        <v>0.41666666666666669</v>
      </c>
      <c r="AP468" s="139">
        <f t="shared" si="280"/>
        <v>44</v>
      </c>
      <c r="AQ468" s="526">
        <f>IF(AP468&lt;&gt;"nvt",INDEX('Tarieven W&amp;O'!$G:$G,$AP468),0)</f>
        <v>22.24</v>
      </c>
      <c r="AR468" s="251">
        <f>IF($S468,INDEX('Tarieven W&amp;O'!$G:$G,MATCH(N468&amp;R468,'Tarieven W&amp;O'!$B:$B,0)),0)</f>
        <v>0</v>
      </c>
      <c r="AS468" s="205">
        <f>-INDEX(Parameters!$B:$B,MATCH(AS$3,Parameters!$A:$A,0))*(AQ468+AR468)</f>
        <v>0</v>
      </c>
      <c r="AT468" s="205">
        <f>INDEX(hulpblad!$E:$E,MATCH(M468&amp;Q468,hulpblad!$B:$B,0))</f>
        <v>1</v>
      </c>
      <c r="AU468" s="150">
        <f t="shared" si="258"/>
        <v>23.24</v>
      </c>
      <c r="AV468" s="150">
        <f t="shared" si="259"/>
        <v>23.656666666666666</v>
      </c>
      <c r="AX468" s="526">
        <f>Parameters!$B$6*AV468</f>
        <v>0.23656666666666668</v>
      </c>
      <c r="AY468" s="150">
        <v>0</v>
      </c>
      <c r="AZ468" s="150"/>
      <c r="BA468" s="150">
        <f t="shared" si="281"/>
        <v>0.23656666666666668</v>
      </c>
      <c r="BB468" s="150"/>
      <c r="BC468" s="522">
        <f t="shared" si="282"/>
        <v>23.893233333333335</v>
      </c>
      <c r="BD468" s="175"/>
      <c r="BE468" s="527">
        <f t="shared" si="262"/>
        <v>992.77343333333329</v>
      </c>
      <c r="BF468" s="181">
        <f t="shared" si="263"/>
        <v>0.97649845901639343</v>
      </c>
      <c r="BG468" s="520" t="b">
        <f t="shared" si="275"/>
        <v>0</v>
      </c>
      <c r="BI468" s="528" t="s">
        <v>2181</v>
      </c>
      <c r="BL468" s="151" t="str">
        <f t="shared" si="265"/>
        <v>EoKMetro - Regionaal</v>
      </c>
      <c r="BM468" s="529">
        <v>0</v>
      </c>
      <c r="BN468" s="180">
        <f>BM468/INDEX(Parameters!$B:$B,MATCH("AfschrijftermijnVVE"&amp;12*$C468,Parameters!$A:$A,0))</f>
        <v>0</v>
      </c>
      <c r="BO468" s="184">
        <f>INDEX('inkoop ULL tbv EVPN'!I:I,MATCH(BL468,'inkoop ULL tbv EVPN'!H:H,0))</f>
        <v>2</v>
      </c>
      <c r="BP468" s="184">
        <f t="shared" si="266"/>
        <v>2</v>
      </c>
      <c r="BR468" s="180">
        <f>Parameters!$B$12*AG468</f>
        <v>101.66666666666667</v>
      </c>
      <c r="BS468" s="180">
        <f>SUM(Distributievergoedingen!$F$12,Distributievergoedingen!$I$12,Distributievergoedingen!$L$12,Distributievergoedingen!$O$12)*AF468+SUM(Distributievergoedingen!$O$12*AA468+Distributievergoedingen!$R$12+Distributievergoedingen!$U$12+Distributievergoedingen!$X$12)/(MAX(36,12*C468))</f>
        <v>111.66666666666667</v>
      </c>
      <c r="BT468" s="150"/>
      <c r="BU468" s="150">
        <f t="shared" si="267"/>
        <v>213.33333333333334</v>
      </c>
      <c r="BW468" s="522">
        <f t="shared" si="268"/>
        <v>215.33333333333334</v>
      </c>
      <c r="BY468" s="527">
        <f t="shared" si="269"/>
        <v>801.33333333333326</v>
      </c>
      <c r="BZ468" s="181">
        <f t="shared" si="270"/>
        <v>0.78819672131147533</v>
      </c>
      <c r="CA468" s="520" t="b">
        <f t="shared" si="271"/>
        <v>0</v>
      </c>
    </row>
    <row r="469" spans="1:79" s="151" customFormat="1">
      <c r="A469" s="151" t="str">
        <f t="shared" si="250"/>
        <v>5EoKEntryCity20</v>
      </c>
      <c r="B469" s="520" t="str">
        <f t="shared" si="272"/>
        <v>5EoKEntryCity20</v>
      </c>
      <c r="C469" s="179">
        <v>5</v>
      </c>
      <c r="D469" s="179" t="s">
        <v>303</v>
      </c>
      <c r="E469" s="178" t="s">
        <v>45</v>
      </c>
      <c r="F469" s="178" t="s">
        <v>262</v>
      </c>
      <c r="G469" s="185" t="s">
        <v>414</v>
      </c>
      <c r="J469" s="520" t="str">
        <f t="shared" si="273"/>
        <v>EntryCity20</v>
      </c>
      <c r="L469" s="204">
        <f>INDEX(Mapping!$H:$H,MATCH(C$3&amp;C469,Mapping!$B:$B,0))</f>
        <v>1</v>
      </c>
      <c r="M469" s="204" t="str">
        <f>INDEX(Mapping!$H:$H,MATCH(D$3&amp;$D469,Mapping!$B:$B,0))</f>
        <v>EoK</v>
      </c>
      <c r="N469" s="204" t="str">
        <f>INDEX(Mapping!$H:$H,MATCH(E$3&amp;E469,Mapping!$B:$B,0))</f>
        <v>Lite</v>
      </c>
      <c r="O469" s="204" t="str">
        <f>INDEX(Mapping!$H:$H,MATCH(F$3&amp;F469,Mapping!$B:$B,0))</f>
        <v>Metro</v>
      </c>
      <c r="P469" s="204">
        <f>INDEX(Mapping!$H:$H,MATCH(G$3&amp;G469,Mapping!$B:$B,0))</f>
        <v>20</v>
      </c>
      <c r="Q469" s="204" t="str">
        <f>INDEX(Mapping!$H:$H,MATCH(Q$3&amp;$F469,Mapping!$B:$B,0))</f>
        <v>Metro - Regionaal</v>
      </c>
      <c r="R469" s="204" t="str">
        <f>INDEX(Mapping!$H:$H,MATCH("ZM VPN Service Level"&amp;E469,Mapping!$B:$B,0))</f>
        <v>Advanced</v>
      </c>
      <c r="S469" s="139" t="b">
        <f>IF($D469="EoK",INDEX(Mapping!$I:$I,MATCH($G$3&amp;$G469,Mapping!B:B,0)),FALSE)</f>
        <v>0</v>
      </c>
      <c r="T469" s="139"/>
      <c r="U469" s="520" t="str">
        <f t="shared" si="274"/>
        <v>LiteMetro20</v>
      </c>
      <c r="W469" s="521">
        <f>MATCH($J469,'Tarieven ZM'!$B:$B,0)</f>
        <v>17</v>
      </c>
      <c r="X469" s="204">
        <f>INDEX('Tarieven ZM'!$H:$H,$W469)</f>
        <v>1000</v>
      </c>
      <c r="Y469" s="198">
        <f>-INDEX(Parameters!$B:$B,MATCH(Y$3&amp;$C469,Parameters!$A:$A,0))*$X469</f>
        <v>0</v>
      </c>
      <c r="Z469" s="198">
        <f>-INDEX(Parameters!$B:$B,MATCH(Z$3&amp;$C469,Parameters!$A:$A,0))*$X469</f>
        <v>0</v>
      </c>
      <c r="AA469" s="139">
        <f t="shared" si="276"/>
        <v>1000</v>
      </c>
      <c r="AB469" s="205">
        <f>AA469/INDEX(Parameters!$B:$B,MATCH("AfschrijftermijnVVE"&amp;12*$C469,Parameters!$A:$A,0))</f>
        <v>16.666666666666668</v>
      </c>
      <c r="AC469" s="204">
        <f>INDEX('Tarieven ZM'!$G:$G,$W469)</f>
        <v>1000</v>
      </c>
      <c r="AD469" s="198">
        <f>-INDEX(Parameters!$B:$B,MATCH(AD$3&amp;$C469,Parameters!$A:$A,0))*$AC469</f>
        <v>0</v>
      </c>
      <c r="AE469" s="198">
        <f>-INDEX(Parameters!$B:$B,MATCH(AE$3,Parameters!$A:$A,0))*$AC469</f>
        <v>0</v>
      </c>
      <c r="AF469" s="139">
        <f t="shared" si="277"/>
        <v>1000</v>
      </c>
      <c r="AG469" s="522">
        <f t="shared" si="278"/>
        <v>1016.6666666666666</v>
      </c>
      <c r="AH469" s="175"/>
      <c r="AI469" s="523">
        <f>MATCH($U469,'Tarieven W&amp;O'!$B:$B,0)</f>
        <v>45</v>
      </c>
      <c r="AJ469" s="204">
        <f>IF(AI469&lt;&gt;"nvt",INDEX('Tarieven W&amp;O'!$H:$H,$AI469),0)</f>
        <v>0</v>
      </c>
      <c r="AK469" s="204">
        <f>IF(AI469&lt;&gt;"nvt",INDEX('Tarieven W&amp;O'!$I:$I,$AI469),0)</f>
        <v>25</v>
      </c>
      <c r="AL469" s="524">
        <f>IF(AI469&lt;&gt;"nvt",-INDEX(Parameters!$B:$B,MATCH(AL$3,Parameters!$A:$A,0))*(AJ469+AK469),0)</f>
        <v>0</v>
      </c>
      <c r="AM469" s="525"/>
      <c r="AN469" s="139">
        <f t="shared" si="279"/>
        <v>25</v>
      </c>
      <c r="AO469" s="205">
        <f>AN469/INDEX(Parameters!$B:$B,MATCH("AfschrijftermijnVVE"&amp;12*$C469,Parameters!$A:$A,0))</f>
        <v>0.41666666666666669</v>
      </c>
      <c r="AP469" s="139">
        <f t="shared" si="280"/>
        <v>45</v>
      </c>
      <c r="AQ469" s="526">
        <f>IF(AP469&lt;&gt;"nvt",INDEX('Tarieven W&amp;O'!$G:$G,$AP469),0)</f>
        <v>29.78</v>
      </c>
      <c r="AR469" s="251">
        <f>IF($S469,INDEX('Tarieven W&amp;O'!$G:$G,MATCH(N469&amp;R469,'Tarieven W&amp;O'!$B:$B,0)),0)</f>
        <v>0</v>
      </c>
      <c r="AS469" s="205">
        <f>-INDEX(Parameters!$B:$B,MATCH(AS$3,Parameters!$A:$A,0))*(AQ469+AR469)</f>
        <v>0</v>
      </c>
      <c r="AT469" s="205">
        <f>INDEX(hulpblad!$E:$E,MATCH(M469&amp;Q469,hulpblad!$B:$B,0))</f>
        <v>1</v>
      </c>
      <c r="AU469" s="150">
        <f t="shared" si="258"/>
        <v>30.78</v>
      </c>
      <c r="AV469" s="150">
        <f t="shared" si="259"/>
        <v>31.196666666666669</v>
      </c>
      <c r="AX469" s="526">
        <f>Parameters!$B$6*AV469</f>
        <v>0.31196666666666667</v>
      </c>
      <c r="AY469" s="150">
        <v>0</v>
      </c>
      <c r="AZ469" s="150"/>
      <c r="BA469" s="150">
        <f t="shared" si="281"/>
        <v>0.31196666666666667</v>
      </c>
      <c r="BB469" s="150"/>
      <c r="BC469" s="522">
        <f t="shared" si="282"/>
        <v>31.508633333333336</v>
      </c>
      <c r="BD469" s="175"/>
      <c r="BE469" s="527">
        <f t="shared" si="262"/>
        <v>985.15803333333326</v>
      </c>
      <c r="BF469" s="181">
        <f t="shared" si="263"/>
        <v>0.96900790163934425</v>
      </c>
      <c r="BG469" s="520" t="b">
        <f t="shared" si="275"/>
        <v>0</v>
      </c>
      <c r="BI469" s="528" t="s">
        <v>2181</v>
      </c>
      <c r="BL469" s="151" t="str">
        <f t="shared" si="265"/>
        <v>EoKMetro - Regionaal</v>
      </c>
      <c r="BM469" s="529">
        <v>0</v>
      </c>
      <c r="BN469" s="180">
        <f>BM469/INDEX(Parameters!$B:$B,MATCH("AfschrijftermijnVVE"&amp;12*$C469,Parameters!$A:$A,0))</f>
        <v>0</v>
      </c>
      <c r="BO469" s="184">
        <f>INDEX('inkoop ULL tbv EVPN'!I:I,MATCH(BL469,'inkoop ULL tbv EVPN'!H:H,0))</f>
        <v>2</v>
      </c>
      <c r="BP469" s="184">
        <f t="shared" si="266"/>
        <v>2</v>
      </c>
      <c r="BR469" s="180">
        <f>Parameters!$B$12*AG469</f>
        <v>101.66666666666667</v>
      </c>
      <c r="BS469" s="180">
        <f>SUM(Distributievergoedingen!$F$12,Distributievergoedingen!$I$12,Distributievergoedingen!$L$12,Distributievergoedingen!$O$12)*AF469+SUM(Distributievergoedingen!$O$12*AA469+Distributievergoedingen!$R$12+Distributievergoedingen!$U$12+Distributievergoedingen!$X$12)/(MAX(36,12*C469))</f>
        <v>111.66666666666667</v>
      </c>
      <c r="BT469" s="150"/>
      <c r="BU469" s="150">
        <f t="shared" si="267"/>
        <v>213.33333333333334</v>
      </c>
      <c r="BW469" s="522">
        <f t="shared" si="268"/>
        <v>215.33333333333334</v>
      </c>
      <c r="BY469" s="527">
        <f t="shared" si="269"/>
        <v>801.33333333333326</v>
      </c>
      <c r="BZ469" s="181">
        <f t="shared" si="270"/>
        <v>0.78819672131147533</v>
      </c>
      <c r="CA469" s="520" t="b">
        <f t="shared" si="271"/>
        <v>0</v>
      </c>
    </row>
    <row r="470" spans="1:79" s="151" customFormat="1">
      <c r="A470" s="151" t="str">
        <f t="shared" si="250"/>
        <v>5EoKEntryCity30</v>
      </c>
      <c r="B470" s="520" t="str">
        <f t="shared" si="272"/>
        <v>5EoKEntryCity30</v>
      </c>
      <c r="C470" s="179">
        <v>5</v>
      </c>
      <c r="D470" s="179" t="s">
        <v>303</v>
      </c>
      <c r="E470" s="178" t="s">
        <v>45</v>
      </c>
      <c r="F470" s="178" t="s">
        <v>262</v>
      </c>
      <c r="G470" s="185" t="s">
        <v>415</v>
      </c>
      <c r="J470" s="520" t="str">
        <f t="shared" si="273"/>
        <v>EntryCity30</v>
      </c>
      <c r="L470" s="204">
        <f>INDEX(Mapping!$H:$H,MATCH(C$3&amp;C470,Mapping!$B:$B,0))</f>
        <v>1</v>
      </c>
      <c r="M470" s="204" t="str">
        <f>INDEX(Mapping!$H:$H,MATCH(D$3&amp;$D470,Mapping!$B:$B,0))</f>
        <v>EoK</v>
      </c>
      <c r="N470" s="204" t="str">
        <f>INDEX(Mapping!$H:$H,MATCH(E$3&amp;E470,Mapping!$B:$B,0))</f>
        <v>Lite</v>
      </c>
      <c r="O470" s="204" t="str">
        <f>INDEX(Mapping!$H:$H,MATCH(F$3&amp;F470,Mapping!$B:$B,0))</f>
        <v>Metro</v>
      </c>
      <c r="P470" s="204">
        <f>INDEX(Mapping!$H:$H,MATCH(G$3&amp;G470,Mapping!$B:$B,0))</f>
        <v>30</v>
      </c>
      <c r="Q470" s="204" t="str">
        <f>INDEX(Mapping!$H:$H,MATCH(Q$3&amp;$F470,Mapping!$B:$B,0))</f>
        <v>Metro - Regionaal</v>
      </c>
      <c r="R470" s="204" t="str">
        <f>INDEX(Mapping!$H:$H,MATCH("ZM VPN Service Level"&amp;E470,Mapping!$B:$B,0))</f>
        <v>Advanced</v>
      </c>
      <c r="S470" s="139" t="b">
        <f>IF($D470="EoK",INDEX(Mapping!$I:$I,MATCH($G$3&amp;$G470,Mapping!B:B,0)),FALSE)</f>
        <v>0</v>
      </c>
      <c r="T470" s="139"/>
      <c r="U470" s="520" t="str">
        <f t="shared" si="274"/>
        <v>LiteMetro30</v>
      </c>
      <c r="W470" s="521">
        <f>MATCH($J470,'Tarieven ZM'!$B:$B,0)</f>
        <v>18</v>
      </c>
      <c r="X470" s="204">
        <f>INDEX('Tarieven ZM'!$H:$H,$W470)</f>
        <v>1000</v>
      </c>
      <c r="Y470" s="198">
        <f>-INDEX(Parameters!$B:$B,MATCH(Y$3&amp;$C470,Parameters!$A:$A,0))*$X470</f>
        <v>0</v>
      </c>
      <c r="Z470" s="198">
        <f>-INDEX(Parameters!$B:$B,MATCH(Z$3&amp;$C470,Parameters!$A:$A,0))*$X470</f>
        <v>0</v>
      </c>
      <c r="AA470" s="139">
        <f t="shared" si="276"/>
        <v>1000</v>
      </c>
      <c r="AB470" s="205">
        <f>AA470/INDEX(Parameters!$B:$B,MATCH("AfschrijftermijnVVE"&amp;12*$C470,Parameters!$A:$A,0))</f>
        <v>16.666666666666668</v>
      </c>
      <c r="AC470" s="204">
        <f>INDEX('Tarieven ZM'!$G:$G,$W470)</f>
        <v>1000</v>
      </c>
      <c r="AD470" s="198">
        <f>-INDEX(Parameters!$B:$B,MATCH(AD$3&amp;$C470,Parameters!$A:$A,0))*$AC470</f>
        <v>0</v>
      </c>
      <c r="AE470" s="198">
        <f>-INDEX(Parameters!$B:$B,MATCH(AE$3,Parameters!$A:$A,0))*$AC470</f>
        <v>0</v>
      </c>
      <c r="AF470" s="139">
        <f t="shared" si="277"/>
        <v>1000</v>
      </c>
      <c r="AG470" s="522">
        <f t="shared" si="278"/>
        <v>1016.6666666666666</v>
      </c>
      <c r="AH470" s="175"/>
      <c r="AI470" s="523">
        <f>MATCH($U470,'Tarieven W&amp;O'!$B:$B,0)</f>
        <v>46</v>
      </c>
      <c r="AJ470" s="204">
        <f>IF(AI470&lt;&gt;"nvt",INDEX('Tarieven W&amp;O'!$H:$H,$AI470),0)</f>
        <v>0</v>
      </c>
      <c r="AK470" s="204">
        <f>IF(AI470&lt;&gt;"nvt",INDEX('Tarieven W&amp;O'!$I:$I,$AI470),0)</f>
        <v>25</v>
      </c>
      <c r="AL470" s="524">
        <f>IF(AI470&lt;&gt;"nvt",-INDEX(Parameters!$B:$B,MATCH(AL$3,Parameters!$A:$A,0))*(AJ470+AK470),0)</f>
        <v>0</v>
      </c>
      <c r="AM470" s="525"/>
      <c r="AN470" s="139">
        <f t="shared" si="279"/>
        <v>25</v>
      </c>
      <c r="AO470" s="205">
        <f>AN470/INDEX(Parameters!$B:$B,MATCH("AfschrijftermijnVVE"&amp;12*$C470,Parameters!$A:$A,0))</f>
        <v>0.41666666666666669</v>
      </c>
      <c r="AP470" s="139">
        <f t="shared" si="280"/>
        <v>46</v>
      </c>
      <c r="AQ470" s="526">
        <f>IF(AP470&lt;&gt;"nvt",INDEX('Tarieven W&amp;O'!$G:$G,$AP470),0)</f>
        <v>33.54</v>
      </c>
      <c r="AR470" s="251">
        <f>IF($S470,INDEX('Tarieven W&amp;O'!$G:$G,MATCH(N470&amp;R470,'Tarieven W&amp;O'!$B:$B,0)),0)</f>
        <v>0</v>
      </c>
      <c r="AS470" s="205">
        <f>-INDEX(Parameters!$B:$B,MATCH(AS$3,Parameters!$A:$A,0))*(AQ470+AR470)</f>
        <v>0</v>
      </c>
      <c r="AT470" s="205">
        <f>INDEX(hulpblad!$E:$E,MATCH(M470&amp;Q470,hulpblad!$B:$B,0))</f>
        <v>1</v>
      </c>
      <c r="AU470" s="150">
        <f t="shared" si="258"/>
        <v>34.54</v>
      </c>
      <c r="AV470" s="150">
        <f t="shared" si="259"/>
        <v>34.956666666666663</v>
      </c>
      <c r="AX470" s="526">
        <f>Parameters!$B$6*AV470</f>
        <v>0.34956666666666664</v>
      </c>
      <c r="AY470" s="150">
        <v>0</v>
      </c>
      <c r="AZ470" s="150"/>
      <c r="BA470" s="150">
        <f t="shared" si="281"/>
        <v>0.34956666666666664</v>
      </c>
      <c r="BB470" s="150"/>
      <c r="BC470" s="522">
        <f t="shared" si="282"/>
        <v>35.306233333333331</v>
      </c>
      <c r="BD470" s="175"/>
      <c r="BE470" s="527">
        <f t="shared" si="262"/>
        <v>981.36043333333328</v>
      </c>
      <c r="BF470" s="181">
        <f t="shared" si="263"/>
        <v>0.9652725573770492</v>
      </c>
      <c r="BG470" s="520" t="b">
        <f t="shared" si="275"/>
        <v>0</v>
      </c>
      <c r="BI470" s="528" t="s">
        <v>2181</v>
      </c>
      <c r="BL470" s="151" t="str">
        <f t="shared" si="265"/>
        <v>EoKMetro - Regionaal</v>
      </c>
      <c r="BM470" s="529">
        <v>0</v>
      </c>
      <c r="BN470" s="180">
        <f>BM470/INDEX(Parameters!$B:$B,MATCH("AfschrijftermijnVVE"&amp;12*$C470,Parameters!$A:$A,0))</f>
        <v>0</v>
      </c>
      <c r="BO470" s="184">
        <f>INDEX('inkoop ULL tbv EVPN'!I:I,MATCH(BL470,'inkoop ULL tbv EVPN'!H:H,0))</f>
        <v>2</v>
      </c>
      <c r="BP470" s="184">
        <f t="shared" si="266"/>
        <v>2</v>
      </c>
      <c r="BR470" s="180">
        <f>Parameters!$B$12*AG470</f>
        <v>101.66666666666667</v>
      </c>
      <c r="BS470" s="180">
        <f>SUM(Distributievergoedingen!$F$12,Distributievergoedingen!$I$12,Distributievergoedingen!$L$12,Distributievergoedingen!$O$12)*AF470+SUM(Distributievergoedingen!$O$12*AA470+Distributievergoedingen!$R$12+Distributievergoedingen!$U$12+Distributievergoedingen!$X$12)/(MAX(36,12*C470))</f>
        <v>111.66666666666667</v>
      </c>
      <c r="BT470" s="150"/>
      <c r="BU470" s="150">
        <f t="shared" si="267"/>
        <v>213.33333333333334</v>
      </c>
      <c r="BW470" s="522">
        <f t="shared" si="268"/>
        <v>215.33333333333334</v>
      </c>
      <c r="BY470" s="527">
        <f t="shared" si="269"/>
        <v>801.33333333333326</v>
      </c>
      <c r="BZ470" s="181">
        <f t="shared" si="270"/>
        <v>0.78819672131147533</v>
      </c>
      <c r="CA470" s="520" t="b">
        <f t="shared" si="271"/>
        <v>0</v>
      </c>
    </row>
    <row r="471" spans="1:79" s="151" customFormat="1">
      <c r="A471" s="151" t="str">
        <f t="shared" si="250"/>
        <v>5EoKEntryCity50</v>
      </c>
      <c r="B471" s="520" t="str">
        <f t="shared" si="272"/>
        <v>5EoKEntryCity50</v>
      </c>
      <c r="C471" s="179">
        <v>5</v>
      </c>
      <c r="D471" s="179" t="s">
        <v>303</v>
      </c>
      <c r="E471" s="178" t="s">
        <v>45</v>
      </c>
      <c r="F471" s="178" t="s">
        <v>262</v>
      </c>
      <c r="G471" s="185" t="s">
        <v>416</v>
      </c>
      <c r="J471" s="520" t="str">
        <f t="shared" si="273"/>
        <v>EntryCity50</v>
      </c>
      <c r="L471" s="204">
        <f>INDEX(Mapping!$H:$H,MATCH(C$3&amp;C471,Mapping!$B:$B,0))</f>
        <v>1</v>
      </c>
      <c r="M471" s="204" t="str">
        <f>INDEX(Mapping!$H:$H,MATCH(D$3&amp;$D471,Mapping!$B:$B,0))</f>
        <v>EoK</v>
      </c>
      <c r="N471" s="204" t="str">
        <f>INDEX(Mapping!$H:$H,MATCH(E$3&amp;E471,Mapping!$B:$B,0))</f>
        <v>Lite</v>
      </c>
      <c r="O471" s="204" t="str">
        <f>INDEX(Mapping!$H:$H,MATCH(F$3&amp;F471,Mapping!$B:$B,0))</f>
        <v>Metro</v>
      </c>
      <c r="P471" s="204">
        <f>INDEX(Mapping!$H:$H,MATCH(G$3&amp;G471,Mapping!$B:$B,0))</f>
        <v>50</v>
      </c>
      <c r="Q471" s="204" t="str">
        <f>INDEX(Mapping!$H:$H,MATCH(Q$3&amp;$F471,Mapping!$B:$B,0))</f>
        <v>Metro - Regionaal</v>
      </c>
      <c r="R471" s="204" t="str">
        <f>INDEX(Mapping!$H:$H,MATCH("ZM VPN Service Level"&amp;E471,Mapping!$B:$B,0))</f>
        <v>Advanced</v>
      </c>
      <c r="S471" s="139" t="b">
        <f>IF($D471="EoK",INDEX(Mapping!$I:$I,MATCH($G$3&amp;$G471,Mapping!B:B,0)),FALSE)</f>
        <v>0</v>
      </c>
      <c r="T471" s="139"/>
      <c r="U471" s="520" t="str">
        <f t="shared" si="274"/>
        <v>LiteMetro50</v>
      </c>
      <c r="W471" s="521">
        <f>MATCH($J471,'Tarieven ZM'!$B:$B,0)</f>
        <v>19</v>
      </c>
      <c r="X471" s="204">
        <f>INDEX('Tarieven ZM'!$H:$H,$W471)</f>
        <v>1000</v>
      </c>
      <c r="Y471" s="198">
        <f>-INDEX(Parameters!$B:$B,MATCH(Y$3&amp;$C471,Parameters!$A:$A,0))*$X471</f>
        <v>0</v>
      </c>
      <c r="Z471" s="198">
        <f>-INDEX(Parameters!$B:$B,MATCH(Z$3&amp;$C471,Parameters!$A:$A,0))*$X471</f>
        <v>0</v>
      </c>
      <c r="AA471" s="139">
        <f t="shared" si="276"/>
        <v>1000</v>
      </c>
      <c r="AB471" s="205">
        <f>AA471/INDEX(Parameters!$B:$B,MATCH("AfschrijftermijnVVE"&amp;12*$C471,Parameters!$A:$A,0))</f>
        <v>16.666666666666668</v>
      </c>
      <c r="AC471" s="204">
        <f>INDEX('Tarieven ZM'!$G:$G,$W471)</f>
        <v>1000</v>
      </c>
      <c r="AD471" s="198">
        <f>-INDEX(Parameters!$B:$B,MATCH(AD$3&amp;$C471,Parameters!$A:$A,0))*$AC471</f>
        <v>0</v>
      </c>
      <c r="AE471" s="198">
        <f>-INDEX(Parameters!$B:$B,MATCH(AE$3,Parameters!$A:$A,0))*$AC471</f>
        <v>0</v>
      </c>
      <c r="AF471" s="139">
        <f t="shared" si="277"/>
        <v>1000</v>
      </c>
      <c r="AG471" s="522">
        <f t="shared" si="278"/>
        <v>1016.6666666666666</v>
      </c>
      <c r="AH471" s="175"/>
      <c r="AI471" s="523">
        <f>MATCH($U471,'Tarieven W&amp;O'!$B:$B,0)</f>
        <v>47</v>
      </c>
      <c r="AJ471" s="204">
        <f>IF(AI471&lt;&gt;"nvt",INDEX('Tarieven W&amp;O'!$H:$H,$AI471),0)</f>
        <v>0</v>
      </c>
      <c r="AK471" s="204">
        <f>IF(AI471&lt;&gt;"nvt",INDEX('Tarieven W&amp;O'!$I:$I,$AI471),0)</f>
        <v>25</v>
      </c>
      <c r="AL471" s="524">
        <f>IF(AI471&lt;&gt;"nvt",-INDEX(Parameters!$B:$B,MATCH(AL$3,Parameters!$A:$A,0))*(AJ471+AK471),0)</f>
        <v>0</v>
      </c>
      <c r="AM471" s="525"/>
      <c r="AN471" s="139">
        <f t="shared" si="279"/>
        <v>25</v>
      </c>
      <c r="AO471" s="205">
        <f>AN471/INDEX(Parameters!$B:$B,MATCH("AfschrijftermijnVVE"&amp;12*$C471,Parameters!$A:$A,0))</f>
        <v>0.41666666666666669</v>
      </c>
      <c r="AP471" s="139">
        <f t="shared" si="280"/>
        <v>47</v>
      </c>
      <c r="AQ471" s="526">
        <f>IF(AP471&lt;&gt;"nvt",INDEX('Tarieven W&amp;O'!$G:$G,$AP471),0)</f>
        <v>48.62</v>
      </c>
      <c r="AR471" s="251">
        <f>IF($S471,INDEX('Tarieven W&amp;O'!$G:$G,MATCH(N471&amp;R471,'Tarieven W&amp;O'!$B:$B,0)),0)</f>
        <v>0</v>
      </c>
      <c r="AS471" s="205">
        <f>-INDEX(Parameters!$B:$B,MATCH(AS$3,Parameters!$A:$A,0))*(AQ471+AR471)</f>
        <v>0</v>
      </c>
      <c r="AT471" s="205">
        <f>INDEX(hulpblad!$E:$E,MATCH(M471&amp;Q471,hulpblad!$B:$B,0))</f>
        <v>1</v>
      </c>
      <c r="AU471" s="150">
        <f t="shared" si="258"/>
        <v>49.62</v>
      </c>
      <c r="AV471" s="150">
        <f t="shared" si="259"/>
        <v>50.036666666666662</v>
      </c>
      <c r="AX471" s="526">
        <f>Parameters!$B$6*AV471</f>
        <v>0.50036666666666663</v>
      </c>
      <c r="AY471" s="150">
        <v>0</v>
      </c>
      <c r="AZ471" s="150"/>
      <c r="BA471" s="150">
        <f t="shared" si="281"/>
        <v>0.50036666666666663</v>
      </c>
      <c r="BB471" s="150"/>
      <c r="BC471" s="522">
        <f t="shared" si="282"/>
        <v>50.537033333333326</v>
      </c>
      <c r="BD471" s="175"/>
      <c r="BE471" s="527">
        <f t="shared" si="262"/>
        <v>966.12963333333335</v>
      </c>
      <c r="BF471" s="181">
        <f t="shared" si="263"/>
        <v>0.95029144262295084</v>
      </c>
      <c r="BG471" s="520" t="b">
        <f t="shared" si="275"/>
        <v>0</v>
      </c>
      <c r="BI471" s="528" t="s">
        <v>2181</v>
      </c>
      <c r="BL471" s="151" t="str">
        <f t="shared" si="265"/>
        <v>EoKMetro - Regionaal</v>
      </c>
      <c r="BM471" s="529">
        <v>0</v>
      </c>
      <c r="BN471" s="180">
        <f>BM471/INDEX(Parameters!$B:$B,MATCH("AfschrijftermijnVVE"&amp;12*$C471,Parameters!$A:$A,0))</f>
        <v>0</v>
      </c>
      <c r="BO471" s="184">
        <f>INDEX('inkoop ULL tbv EVPN'!I:I,MATCH(BL471,'inkoop ULL tbv EVPN'!H:H,0))</f>
        <v>2</v>
      </c>
      <c r="BP471" s="184">
        <f t="shared" si="266"/>
        <v>2</v>
      </c>
      <c r="BR471" s="180">
        <f>Parameters!$B$12*AG471</f>
        <v>101.66666666666667</v>
      </c>
      <c r="BS471" s="180">
        <f>SUM(Distributievergoedingen!$F$12,Distributievergoedingen!$I$12,Distributievergoedingen!$L$12,Distributievergoedingen!$O$12)*AF471+SUM(Distributievergoedingen!$O$12*AA471+Distributievergoedingen!$R$12+Distributievergoedingen!$U$12+Distributievergoedingen!$X$12)/(MAX(36,12*C471))</f>
        <v>111.66666666666667</v>
      </c>
      <c r="BT471" s="150"/>
      <c r="BU471" s="150">
        <f t="shared" si="267"/>
        <v>213.33333333333334</v>
      </c>
      <c r="BW471" s="522">
        <f t="shared" si="268"/>
        <v>215.33333333333334</v>
      </c>
      <c r="BY471" s="527">
        <f t="shared" si="269"/>
        <v>801.33333333333326</v>
      </c>
      <c r="BZ471" s="181">
        <f t="shared" si="270"/>
        <v>0.78819672131147533</v>
      </c>
      <c r="CA471" s="520" t="b">
        <f t="shared" si="271"/>
        <v>0</v>
      </c>
    </row>
    <row r="472" spans="1:79" s="151" customFormat="1">
      <c r="A472" s="151" t="str">
        <f t="shared" si="250"/>
        <v>5EoKEntryCity80</v>
      </c>
      <c r="B472" s="520" t="str">
        <f t="shared" si="272"/>
        <v>5EoKEntryCity80</v>
      </c>
      <c r="C472" s="179">
        <v>5</v>
      </c>
      <c r="D472" s="179" t="s">
        <v>303</v>
      </c>
      <c r="E472" s="178" t="s">
        <v>45</v>
      </c>
      <c r="F472" s="178" t="s">
        <v>262</v>
      </c>
      <c r="G472" s="185" t="s">
        <v>417</v>
      </c>
      <c r="J472" s="520" t="str">
        <f t="shared" si="273"/>
        <v>EntryCity80</v>
      </c>
      <c r="L472" s="204">
        <f>INDEX(Mapping!$H:$H,MATCH(C$3&amp;C472,Mapping!$B:$B,0))</f>
        <v>1</v>
      </c>
      <c r="M472" s="204" t="str">
        <f>INDEX(Mapping!$H:$H,MATCH(D$3&amp;$D472,Mapping!$B:$B,0))</f>
        <v>EoK</v>
      </c>
      <c r="N472" s="204" t="str">
        <f>INDEX(Mapping!$H:$H,MATCH(E$3&amp;E472,Mapping!$B:$B,0))</f>
        <v>Lite</v>
      </c>
      <c r="O472" s="204" t="str">
        <f>INDEX(Mapping!$H:$H,MATCH(F$3&amp;F472,Mapping!$B:$B,0))</f>
        <v>Metro</v>
      </c>
      <c r="P472" s="204">
        <f>INDEX(Mapping!$H:$H,MATCH(G$3&amp;G472,Mapping!$B:$B,0))</f>
        <v>80</v>
      </c>
      <c r="Q472" s="204" t="str">
        <f>INDEX(Mapping!$H:$H,MATCH(Q$3&amp;$F472,Mapping!$B:$B,0))</f>
        <v>Metro - Regionaal</v>
      </c>
      <c r="R472" s="204" t="str">
        <f>INDEX(Mapping!$H:$H,MATCH("ZM VPN Service Level"&amp;E472,Mapping!$B:$B,0))</f>
        <v>Advanced</v>
      </c>
      <c r="S472" s="139" t="b">
        <f>IF($D472="EoK",INDEX(Mapping!$I:$I,MATCH($G$3&amp;$G472,Mapping!B:B,0)),FALSE)</f>
        <v>0</v>
      </c>
      <c r="T472" s="139"/>
      <c r="U472" s="520" t="str">
        <f t="shared" si="274"/>
        <v>LiteMetro80</v>
      </c>
      <c r="W472" s="521">
        <f>MATCH($J472,'Tarieven ZM'!$B:$B,0)</f>
        <v>20</v>
      </c>
      <c r="X472" s="204">
        <f>INDEX('Tarieven ZM'!$H:$H,$W472)</f>
        <v>1000</v>
      </c>
      <c r="Y472" s="198">
        <f>-INDEX(Parameters!$B:$B,MATCH(Y$3&amp;$C472,Parameters!$A:$A,0))*$X472</f>
        <v>0</v>
      </c>
      <c r="Z472" s="198">
        <f>-INDEX(Parameters!$B:$B,MATCH(Z$3&amp;$C472,Parameters!$A:$A,0))*$X472</f>
        <v>0</v>
      </c>
      <c r="AA472" s="139">
        <f t="shared" si="276"/>
        <v>1000</v>
      </c>
      <c r="AB472" s="205">
        <f>AA472/INDEX(Parameters!$B:$B,MATCH("AfschrijftermijnVVE"&amp;12*$C472,Parameters!$A:$A,0))</f>
        <v>16.666666666666668</v>
      </c>
      <c r="AC472" s="204">
        <f>INDEX('Tarieven ZM'!$G:$G,$W472)</f>
        <v>1000</v>
      </c>
      <c r="AD472" s="198">
        <f>-INDEX(Parameters!$B:$B,MATCH(AD$3&amp;$C472,Parameters!$A:$A,0))*$AC472</f>
        <v>0</v>
      </c>
      <c r="AE472" s="198">
        <f>-INDEX(Parameters!$B:$B,MATCH(AE$3,Parameters!$A:$A,0))*$AC472</f>
        <v>0</v>
      </c>
      <c r="AF472" s="139">
        <f t="shared" si="277"/>
        <v>1000</v>
      </c>
      <c r="AG472" s="522">
        <f t="shared" si="278"/>
        <v>1016.6666666666666</v>
      </c>
      <c r="AH472" s="175"/>
      <c r="AI472" s="523">
        <f>MATCH($U472,'Tarieven W&amp;O'!$B:$B,0)</f>
        <v>48</v>
      </c>
      <c r="AJ472" s="204">
        <f>IF(AI472&lt;&gt;"nvt",INDEX('Tarieven W&amp;O'!$H:$H,$AI472),0)</f>
        <v>0</v>
      </c>
      <c r="AK472" s="204">
        <f>IF(AI472&lt;&gt;"nvt",INDEX('Tarieven W&amp;O'!$I:$I,$AI472),0)</f>
        <v>25</v>
      </c>
      <c r="AL472" s="524">
        <f>IF(AI472&lt;&gt;"nvt",-INDEX(Parameters!$B:$B,MATCH(AL$3,Parameters!$A:$A,0))*(AJ472+AK472),0)</f>
        <v>0</v>
      </c>
      <c r="AM472" s="525"/>
      <c r="AN472" s="139">
        <f t="shared" si="279"/>
        <v>25</v>
      </c>
      <c r="AO472" s="205">
        <f>AN472/INDEX(Parameters!$B:$B,MATCH("AfschrijftermijnVVE"&amp;12*$C472,Parameters!$A:$A,0))</f>
        <v>0.41666666666666669</v>
      </c>
      <c r="AP472" s="139">
        <f t="shared" si="280"/>
        <v>48</v>
      </c>
      <c r="AQ472" s="526">
        <f>IF(AP472&lt;&gt;"nvt",INDEX('Tarieven W&amp;O'!$G:$G,$AP472),0)</f>
        <v>63.7</v>
      </c>
      <c r="AR472" s="251">
        <f>IF($S472,INDEX('Tarieven W&amp;O'!$G:$G,MATCH(N472&amp;R472,'Tarieven W&amp;O'!$B:$B,0)),0)</f>
        <v>0</v>
      </c>
      <c r="AS472" s="205">
        <f>-INDEX(Parameters!$B:$B,MATCH(AS$3,Parameters!$A:$A,0))*(AQ472+AR472)</f>
        <v>0</v>
      </c>
      <c r="AT472" s="205">
        <f>INDEX(hulpblad!$E:$E,MATCH(M472&amp;Q472,hulpblad!$B:$B,0))</f>
        <v>1</v>
      </c>
      <c r="AU472" s="150">
        <f t="shared" si="258"/>
        <v>64.7</v>
      </c>
      <c r="AV472" s="150">
        <f t="shared" si="259"/>
        <v>65.116666666666674</v>
      </c>
      <c r="AX472" s="526">
        <f>Parameters!$B$6*AV472</f>
        <v>0.65116666666666678</v>
      </c>
      <c r="AY472" s="150">
        <v>0</v>
      </c>
      <c r="AZ472" s="150"/>
      <c r="BA472" s="150">
        <f t="shared" si="281"/>
        <v>0.65116666666666678</v>
      </c>
      <c r="BB472" s="150"/>
      <c r="BC472" s="522">
        <f t="shared" si="282"/>
        <v>65.767833333333343</v>
      </c>
      <c r="BD472" s="175"/>
      <c r="BE472" s="527">
        <f t="shared" si="262"/>
        <v>950.8988333333333</v>
      </c>
      <c r="BF472" s="181">
        <f t="shared" si="263"/>
        <v>0.93531032786885249</v>
      </c>
      <c r="BG472" s="520" t="b">
        <f t="shared" si="275"/>
        <v>0</v>
      </c>
      <c r="BI472" s="528" t="s">
        <v>2181</v>
      </c>
      <c r="BL472" s="151" t="str">
        <f t="shared" si="265"/>
        <v>EoKMetro - Regionaal</v>
      </c>
      <c r="BM472" s="529">
        <v>0</v>
      </c>
      <c r="BN472" s="180">
        <f>BM472/INDEX(Parameters!$B:$B,MATCH("AfschrijftermijnVVE"&amp;12*$C472,Parameters!$A:$A,0))</f>
        <v>0</v>
      </c>
      <c r="BO472" s="184">
        <f>INDEX('inkoop ULL tbv EVPN'!I:I,MATCH(BL472,'inkoop ULL tbv EVPN'!H:H,0))</f>
        <v>2</v>
      </c>
      <c r="BP472" s="184">
        <f t="shared" si="266"/>
        <v>2</v>
      </c>
      <c r="BR472" s="180">
        <f>Parameters!$B$12*AG472</f>
        <v>101.66666666666667</v>
      </c>
      <c r="BS472" s="180">
        <f>SUM(Distributievergoedingen!$F$12,Distributievergoedingen!$I$12,Distributievergoedingen!$L$12,Distributievergoedingen!$O$12)*AF472+SUM(Distributievergoedingen!$O$12*AA472+Distributievergoedingen!$R$12+Distributievergoedingen!$U$12+Distributievergoedingen!$X$12)/(MAX(36,12*C472))</f>
        <v>111.66666666666667</v>
      </c>
      <c r="BT472" s="150"/>
      <c r="BU472" s="150">
        <f t="shared" si="267"/>
        <v>213.33333333333334</v>
      </c>
      <c r="BW472" s="522">
        <f t="shared" si="268"/>
        <v>215.33333333333334</v>
      </c>
      <c r="BY472" s="527">
        <f t="shared" si="269"/>
        <v>801.33333333333326</v>
      </c>
      <c r="BZ472" s="181">
        <f t="shared" si="270"/>
        <v>0.78819672131147533</v>
      </c>
      <c r="CA472" s="520" t="b">
        <f t="shared" si="271"/>
        <v>0</v>
      </c>
    </row>
    <row r="473" spans="1:79" s="151" customFormat="1">
      <c r="A473" s="151" t="str">
        <f t="shared" si="250"/>
        <v>5EoKEntryCity100</v>
      </c>
      <c r="B473" s="520" t="str">
        <f t="shared" si="272"/>
        <v>5EoKEntryCity100</v>
      </c>
      <c r="C473" s="179">
        <v>5</v>
      </c>
      <c r="D473" s="179" t="s">
        <v>303</v>
      </c>
      <c r="E473" s="178" t="s">
        <v>45</v>
      </c>
      <c r="F473" s="178" t="s">
        <v>262</v>
      </c>
      <c r="G473" s="185" t="s">
        <v>418</v>
      </c>
      <c r="J473" s="520" t="str">
        <f t="shared" si="273"/>
        <v>EntryCity100</v>
      </c>
      <c r="L473" s="204">
        <f>INDEX(Mapping!$H:$H,MATCH(C$3&amp;C473,Mapping!$B:$B,0))</f>
        <v>1</v>
      </c>
      <c r="M473" s="204" t="str">
        <f>INDEX(Mapping!$H:$H,MATCH(D$3&amp;$D473,Mapping!$B:$B,0))</f>
        <v>EoK</v>
      </c>
      <c r="N473" s="204" t="str">
        <f>INDEX(Mapping!$H:$H,MATCH(E$3&amp;E473,Mapping!$B:$B,0))</f>
        <v>Lite</v>
      </c>
      <c r="O473" s="204" t="str">
        <f>INDEX(Mapping!$H:$H,MATCH(F$3&amp;F473,Mapping!$B:$B,0))</f>
        <v>Metro</v>
      </c>
      <c r="P473" s="204">
        <f>INDEX(Mapping!$H:$H,MATCH(G$3&amp;G473,Mapping!$B:$B,0))</f>
        <v>100</v>
      </c>
      <c r="Q473" s="204" t="str">
        <f>INDEX(Mapping!$H:$H,MATCH(Q$3&amp;$F473,Mapping!$B:$B,0))</f>
        <v>Metro - Regionaal</v>
      </c>
      <c r="R473" s="204" t="str">
        <f>INDEX(Mapping!$H:$H,MATCH("ZM VPN Service Level"&amp;E473,Mapping!$B:$B,0))</f>
        <v>Advanced</v>
      </c>
      <c r="S473" s="139" t="b">
        <f>IF($D473="EoK",INDEX(Mapping!$I:$I,MATCH($G$3&amp;$G473,Mapping!B:B,0)),FALSE)</f>
        <v>0</v>
      </c>
      <c r="T473" s="139"/>
      <c r="U473" s="520" t="str">
        <f t="shared" si="274"/>
        <v>LiteMetro100</v>
      </c>
      <c r="W473" s="521">
        <f>MATCH($J473,'Tarieven ZM'!$B:$B,0)</f>
        <v>21</v>
      </c>
      <c r="X473" s="204">
        <f>INDEX('Tarieven ZM'!$H:$H,$W473)</f>
        <v>1000</v>
      </c>
      <c r="Y473" s="198">
        <f>-INDEX(Parameters!$B:$B,MATCH(Y$3&amp;$C473,Parameters!$A:$A,0))*$X473</f>
        <v>0</v>
      </c>
      <c r="Z473" s="198">
        <f>-INDEX(Parameters!$B:$B,MATCH(Z$3&amp;$C473,Parameters!$A:$A,0))*$X473</f>
        <v>0</v>
      </c>
      <c r="AA473" s="139">
        <f t="shared" si="276"/>
        <v>1000</v>
      </c>
      <c r="AB473" s="205">
        <f>AA473/INDEX(Parameters!$B:$B,MATCH("AfschrijftermijnVVE"&amp;12*$C473,Parameters!$A:$A,0))</f>
        <v>16.666666666666668</v>
      </c>
      <c r="AC473" s="204">
        <f>INDEX('Tarieven ZM'!$G:$G,$W473)</f>
        <v>1000</v>
      </c>
      <c r="AD473" s="198">
        <f>-INDEX(Parameters!$B:$B,MATCH(AD$3&amp;$C473,Parameters!$A:$A,0))*$AC473</f>
        <v>0</v>
      </c>
      <c r="AE473" s="198">
        <f>-INDEX(Parameters!$B:$B,MATCH(AE$3,Parameters!$A:$A,0))*$AC473</f>
        <v>0</v>
      </c>
      <c r="AF473" s="139">
        <f t="shared" si="277"/>
        <v>1000</v>
      </c>
      <c r="AG473" s="522">
        <f t="shared" si="278"/>
        <v>1016.6666666666666</v>
      </c>
      <c r="AH473" s="175"/>
      <c r="AI473" s="523">
        <f>MATCH($U473,'Tarieven W&amp;O'!$B:$B,0)</f>
        <v>49</v>
      </c>
      <c r="AJ473" s="204">
        <f>IF(AI473&lt;&gt;"nvt",INDEX('Tarieven W&amp;O'!$H:$H,$AI473),0)</f>
        <v>0</v>
      </c>
      <c r="AK473" s="204">
        <f>IF(AI473&lt;&gt;"nvt",INDEX('Tarieven W&amp;O'!$I:$I,$AI473),0)</f>
        <v>25</v>
      </c>
      <c r="AL473" s="524">
        <f>IF(AI473&lt;&gt;"nvt",-INDEX(Parameters!$B:$B,MATCH(AL$3,Parameters!$A:$A,0))*(AJ473+AK473),0)</f>
        <v>0</v>
      </c>
      <c r="AM473" s="525"/>
      <c r="AN473" s="139">
        <f t="shared" si="279"/>
        <v>25</v>
      </c>
      <c r="AO473" s="205">
        <f>AN473/INDEX(Parameters!$B:$B,MATCH("AfschrijftermijnVVE"&amp;12*$C473,Parameters!$A:$A,0))</f>
        <v>0.41666666666666669</v>
      </c>
      <c r="AP473" s="139">
        <f t="shared" si="280"/>
        <v>49</v>
      </c>
      <c r="AQ473" s="526">
        <f>IF(AP473&lt;&gt;"nvt",INDEX('Tarieven W&amp;O'!$G:$G,$AP473),0)</f>
        <v>71.239999999999995</v>
      </c>
      <c r="AR473" s="251">
        <f>IF($S473,INDEX('Tarieven W&amp;O'!$G:$G,MATCH(N473&amp;R473,'Tarieven W&amp;O'!$B:$B,0)),0)</f>
        <v>0</v>
      </c>
      <c r="AS473" s="205">
        <f>-INDEX(Parameters!$B:$B,MATCH(AS$3,Parameters!$A:$A,0))*(AQ473+AR473)</f>
        <v>0</v>
      </c>
      <c r="AT473" s="205">
        <f>INDEX(hulpblad!$E:$E,MATCH(M473&amp;Q473,hulpblad!$B:$B,0))</f>
        <v>1</v>
      </c>
      <c r="AU473" s="150">
        <f t="shared" si="258"/>
        <v>72.239999999999995</v>
      </c>
      <c r="AV473" s="150">
        <f t="shared" si="259"/>
        <v>72.656666666666666</v>
      </c>
      <c r="AX473" s="526">
        <f>Parameters!$B$6*AV473</f>
        <v>0.72656666666666669</v>
      </c>
      <c r="AY473" s="150">
        <v>0</v>
      </c>
      <c r="AZ473" s="150"/>
      <c r="BA473" s="150">
        <f t="shared" si="281"/>
        <v>0.72656666666666669</v>
      </c>
      <c r="BB473" s="150"/>
      <c r="BC473" s="522">
        <f t="shared" si="282"/>
        <v>73.383233333333337</v>
      </c>
      <c r="BD473" s="175"/>
      <c r="BE473" s="527">
        <f t="shared" si="262"/>
        <v>943.28343333333328</v>
      </c>
      <c r="BF473" s="181">
        <f t="shared" si="263"/>
        <v>0.92781977049180331</v>
      </c>
      <c r="BG473" s="520" t="b">
        <f t="shared" si="275"/>
        <v>0</v>
      </c>
      <c r="BI473" s="528" t="s">
        <v>2181</v>
      </c>
      <c r="BL473" s="151" t="str">
        <f t="shared" si="265"/>
        <v>EoKMetro - Regionaal</v>
      </c>
      <c r="BM473" s="529">
        <v>0</v>
      </c>
      <c r="BN473" s="180">
        <f>BM473/INDEX(Parameters!$B:$B,MATCH("AfschrijftermijnVVE"&amp;12*$C473,Parameters!$A:$A,0))</f>
        <v>0</v>
      </c>
      <c r="BO473" s="184">
        <f>INDEX('inkoop ULL tbv EVPN'!I:I,MATCH(BL473,'inkoop ULL tbv EVPN'!H:H,0))</f>
        <v>2</v>
      </c>
      <c r="BP473" s="184">
        <f t="shared" si="266"/>
        <v>2</v>
      </c>
      <c r="BR473" s="180">
        <f>Parameters!$B$12*AG473</f>
        <v>101.66666666666667</v>
      </c>
      <c r="BS473" s="180">
        <f>SUM(Distributievergoedingen!$F$12,Distributievergoedingen!$I$12,Distributievergoedingen!$L$12,Distributievergoedingen!$O$12)*AF473+SUM(Distributievergoedingen!$O$12*AA473+Distributievergoedingen!$R$12+Distributievergoedingen!$U$12+Distributievergoedingen!$X$12)/(MAX(36,12*C473))</f>
        <v>111.66666666666667</v>
      </c>
      <c r="BT473" s="150"/>
      <c r="BU473" s="150">
        <f t="shared" si="267"/>
        <v>213.33333333333334</v>
      </c>
      <c r="BW473" s="522">
        <f t="shared" si="268"/>
        <v>215.33333333333334</v>
      </c>
      <c r="BY473" s="527">
        <f t="shared" si="269"/>
        <v>801.33333333333326</v>
      </c>
      <c r="BZ473" s="181">
        <f t="shared" si="270"/>
        <v>0.78819672131147533</v>
      </c>
      <c r="CA473" s="520" t="b">
        <f t="shared" si="271"/>
        <v>0</v>
      </c>
    </row>
    <row r="474" spans="1:79" s="151" customFormat="1">
      <c r="A474" s="151" t="str">
        <f t="shared" si="250"/>
        <v>5EoKEntryCity200</v>
      </c>
      <c r="B474" s="520" t="str">
        <f t="shared" si="272"/>
        <v>5EoKEntryCity200</v>
      </c>
      <c r="C474" s="179">
        <v>5</v>
      </c>
      <c r="D474" s="179" t="s">
        <v>303</v>
      </c>
      <c r="E474" s="178" t="s">
        <v>45</v>
      </c>
      <c r="F474" s="178" t="s">
        <v>262</v>
      </c>
      <c r="G474" s="185" t="s">
        <v>419</v>
      </c>
      <c r="J474" s="520" t="str">
        <f t="shared" si="273"/>
        <v>EntryCity200</v>
      </c>
      <c r="L474" s="204">
        <f>INDEX(Mapping!$H:$H,MATCH(C$3&amp;C474,Mapping!$B:$B,0))</f>
        <v>1</v>
      </c>
      <c r="M474" s="204" t="str">
        <f>INDEX(Mapping!$H:$H,MATCH(D$3&amp;$D474,Mapping!$B:$B,0))</f>
        <v>EoK</v>
      </c>
      <c r="N474" s="204" t="str">
        <f>INDEX(Mapping!$H:$H,MATCH(E$3&amp;E474,Mapping!$B:$B,0))</f>
        <v>Lite</v>
      </c>
      <c r="O474" s="204" t="str">
        <f>INDEX(Mapping!$H:$H,MATCH(F$3&amp;F474,Mapping!$B:$B,0))</f>
        <v>Metro</v>
      </c>
      <c r="P474" s="204">
        <f>INDEX(Mapping!$H:$H,MATCH(G$3&amp;G474,Mapping!$B:$B,0))</f>
        <v>200</v>
      </c>
      <c r="Q474" s="204" t="str">
        <f>INDEX(Mapping!$H:$H,MATCH(Q$3&amp;$F474,Mapping!$B:$B,0))</f>
        <v>Metro - Regionaal</v>
      </c>
      <c r="R474" s="204" t="str">
        <f>INDEX(Mapping!$H:$H,MATCH("ZM VPN Service Level"&amp;E474,Mapping!$B:$B,0))</f>
        <v>Advanced</v>
      </c>
      <c r="S474" s="139" t="b">
        <f>IF($D474="EoK",INDEX(Mapping!$I:$I,MATCH($G$3&amp;$G474,Mapping!B:B,0)),FALSE)</f>
        <v>0</v>
      </c>
      <c r="T474" s="139"/>
      <c r="U474" s="520" t="str">
        <f t="shared" si="274"/>
        <v>LiteMetro200</v>
      </c>
      <c r="W474" s="521">
        <f>MATCH($J474,'Tarieven ZM'!$B:$B,0)</f>
        <v>22</v>
      </c>
      <c r="X474" s="204">
        <f>INDEX('Tarieven ZM'!$H:$H,$W474)</f>
        <v>1000</v>
      </c>
      <c r="Y474" s="198">
        <f>-INDEX(Parameters!$B:$B,MATCH(Y$3&amp;$C474,Parameters!$A:$A,0))*$X474</f>
        <v>0</v>
      </c>
      <c r="Z474" s="198">
        <f>-INDEX(Parameters!$B:$B,MATCH(Z$3&amp;$C474,Parameters!$A:$A,0))*$X474</f>
        <v>0</v>
      </c>
      <c r="AA474" s="139">
        <f t="shared" si="276"/>
        <v>1000</v>
      </c>
      <c r="AB474" s="205">
        <f>AA474/INDEX(Parameters!$B:$B,MATCH("AfschrijftermijnVVE"&amp;12*$C474,Parameters!$A:$A,0))</f>
        <v>16.666666666666668</v>
      </c>
      <c r="AC474" s="204">
        <f>INDEX('Tarieven ZM'!$G:$G,$W474)</f>
        <v>1000</v>
      </c>
      <c r="AD474" s="198">
        <f>-INDEX(Parameters!$B:$B,MATCH(AD$3&amp;$C474,Parameters!$A:$A,0))*$AC474</f>
        <v>0</v>
      </c>
      <c r="AE474" s="198">
        <f>-INDEX(Parameters!$B:$B,MATCH(AE$3,Parameters!$A:$A,0))*$AC474</f>
        <v>0</v>
      </c>
      <c r="AF474" s="139">
        <f t="shared" si="277"/>
        <v>1000</v>
      </c>
      <c r="AG474" s="522">
        <f t="shared" si="278"/>
        <v>1016.6666666666666</v>
      </c>
      <c r="AH474" s="175"/>
      <c r="AI474" s="523">
        <f>MATCH($U474,'Tarieven W&amp;O'!$B:$B,0)</f>
        <v>50</v>
      </c>
      <c r="AJ474" s="204">
        <f>IF(AI474&lt;&gt;"nvt",INDEX('Tarieven W&amp;O'!$H:$H,$AI474),0)</f>
        <v>0</v>
      </c>
      <c r="AK474" s="204">
        <f>IF(AI474&lt;&gt;"nvt",INDEX('Tarieven W&amp;O'!$I:$I,$AI474),0)</f>
        <v>25</v>
      </c>
      <c r="AL474" s="524">
        <f>IF(AI474&lt;&gt;"nvt",-INDEX(Parameters!$B:$B,MATCH(AL$3,Parameters!$A:$A,0))*(AJ474+AK474),0)</f>
        <v>0</v>
      </c>
      <c r="AM474" s="525"/>
      <c r="AN474" s="139">
        <f t="shared" si="279"/>
        <v>25</v>
      </c>
      <c r="AO474" s="205">
        <f>AN474/INDEX(Parameters!$B:$B,MATCH("AfschrijftermijnVVE"&amp;12*$C474,Parameters!$A:$A,0))</f>
        <v>0.41666666666666669</v>
      </c>
      <c r="AP474" s="139">
        <f t="shared" si="280"/>
        <v>50</v>
      </c>
      <c r="AQ474" s="526">
        <f>IF(AP474&lt;&gt;"nvt",INDEX('Tarieven W&amp;O'!$G:$G,$AP474),0)</f>
        <v>108.93</v>
      </c>
      <c r="AR474" s="251">
        <f>IF($S474,INDEX('Tarieven W&amp;O'!$G:$G,MATCH(N474&amp;R474,'Tarieven W&amp;O'!$B:$B,0)),0)</f>
        <v>0</v>
      </c>
      <c r="AS474" s="205">
        <f>-INDEX(Parameters!$B:$B,MATCH(AS$3,Parameters!$A:$A,0))*(AQ474+AR474)</f>
        <v>0</v>
      </c>
      <c r="AT474" s="205">
        <f>INDEX(hulpblad!$E:$E,MATCH(M474&amp;Q474,hulpblad!$B:$B,0))</f>
        <v>1</v>
      </c>
      <c r="AU474" s="150">
        <f t="shared" si="258"/>
        <v>109.93</v>
      </c>
      <c r="AV474" s="150">
        <f t="shared" si="259"/>
        <v>110.34666666666668</v>
      </c>
      <c r="AX474" s="526">
        <f>Parameters!$B$6*AV474</f>
        <v>1.1034666666666668</v>
      </c>
      <c r="AY474" s="150">
        <v>0</v>
      </c>
      <c r="AZ474" s="150"/>
      <c r="BA474" s="150">
        <f t="shared" si="281"/>
        <v>1.1034666666666668</v>
      </c>
      <c r="BB474" s="150"/>
      <c r="BC474" s="522">
        <f t="shared" si="282"/>
        <v>111.45013333333334</v>
      </c>
      <c r="BD474" s="175"/>
      <c r="BE474" s="527">
        <f t="shared" si="262"/>
        <v>905.21653333333325</v>
      </c>
      <c r="BF474" s="181">
        <f t="shared" si="263"/>
        <v>0.89037691803278685</v>
      </c>
      <c r="BG474" s="520" t="b">
        <f t="shared" si="275"/>
        <v>0</v>
      </c>
      <c r="BI474" s="528" t="s">
        <v>2181</v>
      </c>
      <c r="BL474" s="151" t="str">
        <f t="shared" si="265"/>
        <v>EoKMetro - Regionaal</v>
      </c>
      <c r="BM474" s="529">
        <v>0</v>
      </c>
      <c r="BN474" s="180">
        <f>BM474/INDEX(Parameters!$B:$B,MATCH("AfschrijftermijnVVE"&amp;12*$C474,Parameters!$A:$A,0))</f>
        <v>0</v>
      </c>
      <c r="BO474" s="184">
        <f>INDEX('inkoop ULL tbv EVPN'!I:I,MATCH(BL474,'inkoop ULL tbv EVPN'!H:H,0))</f>
        <v>2</v>
      </c>
      <c r="BP474" s="184">
        <f t="shared" si="266"/>
        <v>2</v>
      </c>
      <c r="BR474" s="180">
        <f>Parameters!$B$12*AG474</f>
        <v>101.66666666666667</v>
      </c>
      <c r="BS474" s="180">
        <f>SUM(Distributievergoedingen!$F$12,Distributievergoedingen!$I$12,Distributievergoedingen!$L$12,Distributievergoedingen!$O$12)*AF474+SUM(Distributievergoedingen!$O$12*AA474+Distributievergoedingen!$R$12+Distributievergoedingen!$U$12+Distributievergoedingen!$X$12)/(MAX(36,12*C474))</f>
        <v>111.66666666666667</v>
      </c>
      <c r="BT474" s="150"/>
      <c r="BU474" s="150">
        <f t="shared" si="267"/>
        <v>213.33333333333334</v>
      </c>
      <c r="BW474" s="522">
        <f t="shared" si="268"/>
        <v>215.33333333333334</v>
      </c>
      <c r="BY474" s="527">
        <f t="shared" si="269"/>
        <v>801.33333333333326</v>
      </c>
      <c r="BZ474" s="181">
        <f t="shared" si="270"/>
        <v>0.78819672131147533</v>
      </c>
      <c r="CA474" s="520" t="b">
        <f t="shared" si="271"/>
        <v>0</v>
      </c>
    </row>
    <row r="475" spans="1:79" s="151" customFormat="1">
      <c r="A475" s="151" t="str">
        <f t="shared" si="250"/>
        <v>5EoKEntryCity300</v>
      </c>
      <c r="B475" s="520" t="str">
        <f t="shared" si="272"/>
        <v>5EoKEntryCity300</v>
      </c>
      <c r="C475" s="179">
        <v>5</v>
      </c>
      <c r="D475" s="179" t="s">
        <v>303</v>
      </c>
      <c r="E475" s="178" t="s">
        <v>45</v>
      </c>
      <c r="F475" s="178" t="s">
        <v>262</v>
      </c>
      <c r="G475" s="185" t="s">
        <v>420</v>
      </c>
      <c r="J475" s="520" t="str">
        <f t="shared" si="273"/>
        <v>EntryCity300</v>
      </c>
      <c r="L475" s="204">
        <f>INDEX(Mapping!$H:$H,MATCH(C$3&amp;C475,Mapping!$B:$B,0))</f>
        <v>1</v>
      </c>
      <c r="M475" s="204" t="str">
        <f>INDEX(Mapping!$H:$H,MATCH(D$3&amp;$D475,Mapping!$B:$B,0))</f>
        <v>EoK</v>
      </c>
      <c r="N475" s="204" t="str">
        <f>INDEX(Mapping!$H:$H,MATCH(E$3&amp;E475,Mapping!$B:$B,0))</f>
        <v>Lite</v>
      </c>
      <c r="O475" s="204" t="str">
        <f>INDEX(Mapping!$H:$H,MATCH(F$3&amp;F475,Mapping!$B:$B,0))</f>
        <v>Metro</v>
      </c>
      <c r="P475" s="204">
        <f>INDEX(Mapping!$H:$H,MATCH(G$3&amp;G475,Mapping!$B:$B,0))</f>
        <v>300</v>
      </c>
      <c r="Q475" s="204" t="str">
        <f>INDEX(Mapping!$H:$H,MATCH(Q$3&amp;$F475,Mapping!$B:$B,0))</f>
        <v>Metro - Regionaal</v>
      </c>
      <c r="R475" s="204" t="str">
        <f>INDEX(Mapping!$H:$H,MATCH("ZM VPN Service Level"&amp;E475,Mapping!$B:$B,0))</f>
        <v>Advanced</v>
      </c>
      <c r="S475" s="139" t="b">
        <f>IF($D475="EoK",INDEX(Mapping!$I:$I,MATCH($G$3&amp;$G475,Mapping!B:B,0)),FALSE)</f>
        <v>0</v>
      </c>
      <c r="T475" s="139"/>
      <c r="U475" s="520" t="str">
        <f t="shared" si="274"/>
        <v>LiteMetro300</v>
      </c>
      <c r="W475" s="521">
        <f>MATCH($J475,'Tarieven ZM'!$B:$B,0)</f>
        <v>23</v>
      </c>
      <c r="X475" s="204">
        <f>INDEX('Tarieven ZM'!$H:$H,$W475)</f>
        <v>1000</v>
      </c>
      <c r="Y475" s="198">
        <f>-INDEX(Parameters!$B:$B,MATCH(Y$3&amp;$C475,Parameters!$A:$A,0))*$X475</f>
        <v>0</v>
      </c>
      <c r="Z475" s="198">
        <f>-INDEX(Parameters!$B:$B,MATCH(Z$3&amp;$C475,Parameters!$A:$A,0))*$X475</f>
        <v>0</v>
      </c>
      <c r="AA475" s="139">
        <f t="shared" si="276"/>
        <v>1000</v>
      </c>
      <c r="AB475" s="205">
        <f>AA475/INDEX(Parameters!$B:$B,MATCH("AfschrijftermijnVVE"&amp;12*$C475,Parameters!$A:$A,0))</f>
        <v>16.666666666666668</v>
      </c>
      <c r="AC475" s="204">
        <f>INDEX('Tarieven ZM'!$G:$G,$W475)</f>
        <v>1000</v>
      </c>
      <c r="AD475" s="198">
        <f>-INDEX(Parameters!$B:$B,MATCH(AD$3&amp;$C475,Parameters!$A:$A,0))*$AC475</f>
        <v>0</v>
      </c>
      <c r="AE475" s="198">
        <f>-INDEX(Parameters!$B:$B,MATCH(AE$3,Parameters!$A:$A,0))*$AC475</f>
        <v>0</v>
      </c>
      <c r="AF475" s="139">
        <f t="shared" si="277"/>
        <v>1000</v>
      </c>
      <c r="AG475" s="522">
        <f t="shared" si="278"/>
        <v>1016.6666666666666</v>
      </c>
      <c r="AH475" s="175"/>
      <c r="AI475" s="523">
        <f>MATCH($U475,'Tarieven W&amp;O'!$B:$B,0)</f>
        <v>51</v>
      </c>
      <c r="AJ475" s="204">
        <f>IF(AI475&lt;&gt;"nvt",INDEX('Tarieven W&amp;O'!$H:$H,$AI475),0)</f>
        <v>0</v>
      </c>
      <c r="AK475" s="204">
        <f>IF(AI475&lt;&gt;"nvt",INDEX('Tarieven W&amp;O'!$I:$I,$AI475),0)</f>
        <v>25</v>
      </c>
      <c r="AL475" s="524">
        <f>IF(AI475&lt;&gt;"nvt",-INDEX(Parameters!$B:$B,MATCH(AL$3,Parameters!$A:$A,0))*(AJ475+AK475),0)</f>
        <v>0</v>
      </c>
      <c r="AM475" s="525"/>
      <c r="AN475" s="139">
        <f t="shared" si="279"/>
        <v>25</v>
      </c>
      <c r="AO475" s="205">
        <f>AN475/INDEX(Parameters!$B:$B,MATCH("AfschrijftermijnVVE"&amp;12*$C475,Parameters!$A:$A,0))</f>
        <v>0.41666666666666669</v>
      </c>
      <c r="AP475" s="139">
        <f t="shared" si="280"/>
        <v>51</v>
      </c>
      <c r="AQ475" s="526">
        <f>IF(AP475&lt;&gt;"nvt",INDEX('Tarieven W&amp;O'!$G:$G,$AP475),0)</f>
        <v>127.77</v>
      </c>
      <c r="AR475" s="251">
        <f>IF($S475,INDEX('Tarieven W&amp;O'!$G:$G,MATCH(N475&amp;R475,'Tarieven W&amp;O'!$B:$B,0)),0)</f>
        <v>0</v>
      </c>
      <c r="AS475" s="205">
        <f>-INDEX(Parameters!$B:$B,MATCH(AS$3,Parameters!$A:$A,0))*(AQ475+AR475)</f>
        <v>0</v>
      </c>
      <c r="AT475" s="205">
        <f>INDEX(hulpblad!$E:$E,MATCH(M475&amp;Q475,hulpblad!$B:$B,0))</f>
        <v>1</v>
      </c>
      <c r="AU475" s="150">
        <f t="shared" si="258"/>
        <v>128.76999999999998</v>
      </c>
      <c r="AV475" s="150">
        <f t="shared" si="259"/>
        <v>129.18666666666664</v>
      </c>
      <c r="AX475" s="526">
        <f>Parameters!$B$6*AV475</f>
        <v>1.2918666666666665</v>
      </c>
      <c r="AY475" s="150">
        <v>0</v>
      </c>
      <c r="AZ475" s="150"/>
      <c r="BA475" s="150">
        <f t="shared" si="281"/>
        <v>1.2918666666666665</v>
      </c>
      <c r="BB475" s="150"/>
      <c r="BC475" s="522">
        <f t="shared" si="282"/>
        <v>130.4785333333333</v>
      </c>
      <c r="BD475" s="175"/>
      <c r="BE475" s="527">
        <f t="shared" si="262"/>
        <v>886.18813333333333</v>
      </c>
      <c r="BF475" s="181">
        <f t="shared" si="263"/>
        <v>0.87166045901639344</v>
      </c>
      <c r="BG475" s="520" t="b">
        <f t="shared" si="275"/>
        <v>0</v>
      </c>
      <c r="BI475" s="528" t="s">
        <v>2181</v>
      </c>
      <c r="BL475" s="151" t="str">
        <f t="shared" si="265"/>
        <v>EoKMetro - Regionaal</v>
      </c>
      <c r="BM475" s="529">
        <v>0</v>
      </c>
      <c r="BN475" s="180">
        <f>BM475/INDEX(Parameters!$B:$B,MATCH("AfschrijftermijnVVE"&amp;12*$C475,Parameters!$A:$A,0))</f>
        <v>0</v>
      </c>
      <c r="BO475" s="184">
        <f>INDEX('inkoop ULL tbv EVPN'!I:I,MATCH(BL475,'inkoop ULL tbv EVPN'!H:H,0))</f>
        <v>2</v>
      </c>
      <c r="BP475" s="184">
        <f t="shared" si="266"/>
        <v>2</v>
      </c>
      <c r="BR475" s="180">
        <f>Parameters!$B$12*AG475</f>
        <v>101.66666666666667</v>
      </c>
      <c r="BS475" s="180">
        <f>SUM(Distributievergoedingen!$F$12,Distributievergoedingen!$I$12,Distributievergoedingen!$L$12,Distributievergoedingen!$O$12)*AF475+SUM(Distributievergoedingen!$O$12*AA475+Distributievergoedingen!$R$12+Distributievergoedingen!$U$12+Distributievergoedingen!$X$12)/(MAX(36,12*C475))</f>
        <v>111.66666666666667</v>
      </c>
      <c r="BT475" s="150"/>
      <c r="BU475" s="150">
        <f t="shared" si="267"/>
        <v>213.33333333333334</v>
      </c>
      <c r="BW475" s="522">
        <f t="shared" si="268"/>
        <v>215.33333333333334</v>
      </c>
      <c r="BY475" s="527">
        <f t="shared" si="269"/>
        <v>801.33333333333326</v>
      </c>
      <c r="BZ475" s="181">
        <f t="shared" si="270"/>
        <v>0.78819672131147533</v>
      </c>
      <c r="CA475" s="520" t="b">
        <f t="shared" si="271"/>
        <v>0</v>
      </c>
    </row>
    <row r="476" spans="1:79" s="151" customFormat="1">
      <c r="A476" s="151" t="str">
        <f t="shared" si="250"/>
        <v>5EoKEntryCity500</v>
      </c>
      <c r="B476" s="520" t="str">
        <f t="shared" si="272"/>
        <v>5EoKEntryCity500</v>
      </c>
      <c r="C476" s="179">
        <v>5</v>
      </c>
      <c r="D476" s="179" t="s">
        <v>303</v>
      </c>
      <c r="E476" s="178" t="s">
        <v>45</v>
      </c>
      <c r="F476" s="178" t="s">
        <v>262</v>
      </c>
      <c r="G476" s="185" t="s">
        <v>421</v>
      </c>
      <c r="J476" s="520" t="str">
        <f t="shared" si="273"/>
        <v>EntryCity500</v>
      </c>
      <c r="L476" s="204">
        <f>INDEX(Mapping!$H:$H,MATCH(C$3&amp;C476,Mapping!$B:$B,0))</f>
        <v>1</v>
      </c>
      <c r="M476" s="204" t="str">
        <f>INDEX(Mapping!$H:$H,MATCH(D$3&amp;$D476,Mapping!$B:$B,0))</f>
        <v>EoK</v>
      </c>
      <c r="N476" s="204" t="str">
        <f>INDEX(Mapping!$H:$H,MATCH(E$3&amp;E476,Mapping!$B:$B,0))</f>
        <v>Lite</v>
      </c>
      <c r="O476" s="204" t="str">
        <f>INDEX(Mapping!$H:$H,MATCH(F$3&amp;F476,Mapping!$B:$B,0))</f>
        <v>Metro</v>
      </c>
      <c r="P476" s="204">
        <f>INDEX(Mapping!$H:$H,MATCH(G$3&amp;G476,Mapping!$B:$B,0))</f>
        <v>500</v>
      </c>
      <c r="Q476" s="204" t="str">
        <f>INDEX(Mapping!$H:$H,MATCH(Q$3&amp;$F476,Mapping!$B:$B,0))</f>
        <v>Metro - Regionaal</v>
      </c>
      <c r="R476" s="204" t="str">
        <f>INDEX(Mapping!$H:$H,MATCH("ZM VPN Service Level"&amp;E476,Mapping!$B:$B,0))</f>
        <v>Advanced</v>
      </c>
      <c r="S476" s="139" t="b">
        <f>IF($D476="EoK",INDEX(Mapping!$I:$I,MATCH($G$3&amp;$G476,Mapping!B:B,0)),FALSE)</f>
        <v>0</v>
      </c>
      <c r="T476" s="139"/>
      <c r="U476" s="520" t="str">
        <f t="shared" si="274"/>
        <v>LiteMetro500</v>
      </c>
      <c r="W476" s="521">
        <f>MATCH($J476,'Tarieven ZM'!$B:$B,0)</f>
        <v>24</v>
      </c>
      <c r="X476" s="204">
        <f>INDEX('Tarieven ZM'!$H:$H,$W476)</f>
        <v>1000</v>
      </c>
      <c r="Y476" s="198">
        <f>-INDEX(Parameters!$B:$B,MATCH(Y$3&amp;$C476,Parameters!$A:$A,0))*$X476</f>
        <v>0</v>
      </c>
      <c r="Z476" s="198">
        <f>-INDEX(Parameters!$B:$B,MATCH(Z$3&amp;$C476,Parameters!$A:$A,0))*$X476</f>
        <v>0</v>
      </c>
      <c r="AA476" s="139">
        <f t="shared" si="276"/>
        <v>1000</v>
      </c>
      <c r="AB476" s="205">
        <f>AA476/INDEX(Parameters!$B:$B,MATCH("AfschrijftermijnVVE"&amp;12*$C476,Parameters!$A:$A,0))</f>
        <v>16.666666666666668</v>
      </c>
      <c r="AC476" s="204">
        <f>INDEX('Tarieven ZM'!$G:$G,$W476)</f>
        <v>1000</v>
      </c>
      <c r="AD476" s="198">
        <f>-INDEX(Parameters!$B:$B,MATCH(AD$3&amp;$C476,Parameters!$A:$A,0))*$AC476</f>
        <v>0</v>
      </c>
      <c r="AE476" s="198">
        <f>-INDEX(Parameters!$B:$B,MATCH(AE$3,Parameters!$A:$A,0))*$AC476</f>
        <v>0</v>
      </c>
      <c r="AF476" s="139">
        <f t="shared" si="277"/>
        <v>1000</v>
      </c>
      <c r="AG476" s="522">
        <f t="shared" si="278"/>
        <v>1016.6666666666666</v>
      </c>
      <c r="AH476" s="175"/>
      <c r="AI476" s="523">
        <f>MATCH($U476,'Tarieven W&amp;O'!$B:$B,0)</f>
        <v>52</v>
      </c>
      <c r="AJ476" s="204">
        <f>IF(AI476&lt;&gt;"nvt",INDEX('Tarieven W&amp;O'!$H:$H,$AI476),0)</f>
        <v>0</v>
      </c>
      <c r="AK476" s="204">
        <f>IF(AI476&lt;&gt;"nvt",INDEX('Tarieven W&amp;O'!$I:$I,$AI476),0)</f>
        <v>25</v>
      </c>
      <c r="AL476" s="524">
        <f>IF(AI476&lt;&gt;"nvt",-INDEX(Parameters!$B:$B,MATCH(AL$3,Parameters!$A:$A,0))*(AJ476+AK476),0)</f>
        <v>0</v>
      </c>
      <c r="AM476" s="525"/>
      <c r="AN476" s="139">
        <f t="shared" si="279"/>
        <v>25</v>
      </c>
      <c r="AO476" s="205">
        <f>AN476/INDEX(Parameters!$B:$B,MATCH("AfschrijftermijnVVE"&amp;12*$C476,Parameters!$A:$A,0))</f>
        <v>0.41666666666666669</v>
      </c>
      <c r="AP476" s="139">
        <f t="shared" si="280"/>
        <v>52</v>
      </c>
      <c r="AQ476" s="526">
        <f>IF(AP476&lt;&gt;"nvt",INDEX('Tarieven W&amp;O'!$G:$G,$AP476),0)</f>
        <v>161.69</v>
      </c>
      <c r="AR476" s="251">
        <f>IF($S476,INDEX('Tarieven W&amp;O'!$G:$G,MATCH(N476&amp;R476,'Tarieven W&amp;O'!$B:$B,0)),0)</f>
        <v>0</v>
      </c>
      <c r="AS476" s="205">
        <f>-INDEX(Parameters!$B:$B,MATCH(AS$3,Parameters!$A:$A,0))*(AQ476+AR476)</f>
        <v>0</v>
      </c>
      <c r="AT476" s="205">
        <f>INDEX(hulpblad!$E:$E,MATCH(M476&amp;Q476,hulpblad!$B:$B,0))</f>
        <v>1</v>
      </c>
      <c r="AU476" s="150">
        <f t="shared" si="258"/>
        <v>162.69</v>
      </c>
      <c r="AV476" s="150">
        <f t="shared" si="259"/>
        <v>163.10666666666665</v>
      </c>
      <c r="AX476" s="526">
        <f>Parameters!$B$6*AV476</f>
        <v>1.6310666666666667</v>
      </c>
      <c r="AY476" s="150">
        <v>0</v>
      </c>
      <c r="AZ476" s="150"/>
      <c r="BA476" s="150">
        <f t="shared" si="281"/>
        <v>1.6310666666666667</v>
      </c>
      <c r="BB476" s="150"/>
      <c r="BC476" s="522">
        <f t="shared" si="282"/>
        <v>164.73773333333332</v>
      </c>
      <c r="BD476" s="175"/>
      <c r="BE476" s="527">
        <f t="shared" si="262"/>
        <v>851.92893333333336</v>
      </c>
      <c r="BF476" s="181">
        <f t="shared" si="263"/>
        <v>0.83796288524590168</v>
      </c>
      <c r="BG476" s="520" t="b">
        <f t="shared" si="275"/>
        <v>0</v>
      </c>
      <c r="BI476" s="528" t="s">
        <v>2181</v>
      </c>
      <c r="BL476" s="151" t="str">
        <f t="shared" si="265"/>
        <v>EoKMetro - Regionaal</v>
      </c>
      <c r="BM476" s="529">
        <v>0</v>
      </c>
      <c r="BN476" s="180">
        <f>BM476/INDEX(Parameters!$B:$B,MATCH("AfschrijftermijnVVE"&amp;12*$C476,Parameters!$A:$A,0))</f>
        <v>0</v>
      </c>
      <c r="BO476" s="184">
        <f>INDEX('inkoop ULL tbv EVPN'!I:I,MATCH(BL476,'inkoop ULL tbv EVPN'!H:H,0))</f>
        <v>2</v>
      </c>
      <c r="BP476" s="184">
        <f t="shared" si="266"/>
        <v>2</v>
      </c>
      <c r="BR476" s="180">
        <f>Parameters!$B$12*AG476</f>
        <v>101.66666666666667</v>
      </c>
      <c r="BS476" s="180">
        <f>SUM(Distributievergoedingen!$F$12,Distributievergoedingen!$I$12,Distributievergoedingen!$L$12,Distributievergoedingen!$O$12)*AF476+SUM(Distributievergoedingen!$O$12*AA476+Distributievergoedingen!$R$12+Distributievergoedingen!$U$12+Distributievergoedingen!$X$12)/(MAX(36,12*C476))</f>
        <v>111.66666666666667</v>
      </c>
      <c r="BT476" s="150"/>
      <c r="BU476" s="150">
        <f t="shared" si="267"/>
        <v>213.33333333333334</v>
      </c>
      <c r="BW476" s="522">
        <f t="shared" si="268"/>
        <v>215.33333333333334</v>
      </c>
      <c r="BY476" s="527">
        <f t="shared" si="269"/>
        <v>801.33333333333326</v>
      </c>
      <c r="BZ476" s="181">
        <f t="shared" si="270"/>
        <v>0.78819672131147533</v>
      </c>
      <c r="CA476" s="520" t="b">
        <f t="shared" si="271"/>
        <v>0</v>
      </c>
    </row>
    <row r="477" spans="1:79" s="151" customFormat="1">
      <c r="A477" s="151" t="str">
        <f t="shared" si="250"/>
        <v>5EoKEntryCity800</v>
      </c>
      <c r="B477" s="520" t="str">
        <f t="shared" si="272"/>
        <v>5EoKEntryCity800</v>
      </c>
      <c r="C477" s="179">
        <v>5</v>
      </c>
      <c r="D477" s="179" t="s">
        <v>303</v>
      </c>
      <c r="E477" s="178" t="s">
        <v>45</v>
      </c>
      <c r="F477" s="178" t="s">
        <v>262</v>
      </c>
      <c r="G477" s="185" t="s">
        <v>422</v>
      </c>
      <c r="J477" s="520" t="str">
        <f t="shared" si="273"/>
        <v>EntryCity800</v>
      </c>
      <c r="L477" s="204">
        <f>INDEX(Mapping!$H:$H,MATCH(C$3&amp;C477,Mapping!$B:$B,0))</f>
        <v>1</v>
      </c>
      <c r="M477" s="204" t="str">
        <f>INDEX(Mapping!$H:$H,MATCH(D$3&amp;$D477,Mapping!$B:$B,0))</f>
        <v>EoK</v>
      </c>
      <c r="N477" s="204" t="str">
        <f>INDEX(Mapping!$H:$H,MATCH(E$3&amp;E477,Mapping!$B:$B,0))</f>
        <v>Lite</v>
      </c>
      <c r="O477" s="204" t="str">
        <f>INDEX(Mapping!$H:$H,MATCH(F$3&amp;F477,Mapping!$B:$B,0))</f>
        <v>Metro</v>
      </c>
      <c r="P477" s="204">
        <f>INDEX(Mapping!$H:$H,MATCH(G$3&amp;G477,Mapping!$B:$B,0))</f>
        <v>800</v>
      </c>
      <c r="Q477" s="204" t="str">
        <f>INDEX(Mapping!$H:$H,MATCH(Q$3&amp;$F477,Mapping!$B:$B,0))</f>
        <v>Metro - Regionaal</v>
      </c>
      <c r="R477" s="204" t="str">
        <f>INDEX(Mapping!$H:$H,MATCH("ZM VPN Service Level"&amp;E477,Mapping!$B:$B,0))</f>
        <v>Advanced</v>
      </c>
      <c r="S477" s="139" t="b">
        <f>IF($D477="EoK",INDEX(Mapping!$I:$I,MATCH($G$3&amp;$G477,Mapping!B:B,0)),FALSE)</f>
        <v>0</v>
      </c>
      <c r="T477" s="139"/>
      <c r="U477" s="520" t="str">
        <f t="shared" si="274"/>
        <v>LiteMetro800</v>
      </c>
      <c r="W477" s="521">
        <f>MATCH($J477,'Tarieven ZM'!$B:$B,0)</f>
        <v>25</v>
      </c>
      <c r="X477" s="204">
        <f>INDEX('Tarieven ZM'!$H:$H,$W477)</f>
        <v>1000</v>
      </c>
      <c r="Y477" s="198">
        <f>-INDEX(Parameters!$B:$B,MATCH(Y$3&amp;$C477,Parameters!$A:$A,0))*$X477</f>
        <v>0</v>
      </c>
      <c r="Z477" s="198">
        <f>-INDEX(Parameters!$B:$B,MATCH(Z$3&amp;$C477,Parameters!$A:$A,0))*$X477</f>
        <v>0</v>
      </c>
      <c r="AA477" s="139">
        <f t="shared" si="276"/>
        <v>1000</v>
      </c>
      <c r="AB477" s="205">
        <f>AA477/INDEX(Parameters!$B:$B,MATCH("AfschrijftermijnVVE"&amp;12*$C477,Parameters!$A:$A,0))</f>
        <v>16.666666666666668</v>
      </c>
      <c r="AC477" s="204">
        <f>INDEX('Tarieven ZM'!$G:$G,$W477)</f>
        <v>1000</v>
      </c>
      <c r="AD477" s="198">
        <f>-INDEX(Parameters!$B:$B,MATCH(AD$3&amp;$C477,Parameters!$A:$A,0))*$AC477</f>
        <v>0</v>
      </c>
      <c r="AE477" s="198">
        <f>-INDEX(Parameters!$B:$B,MATCH(AE$3,Parameters!$A:$A,0))*$AC477</f>
        <v>0</v>
      </c>
      <c r="AF477" s="139">
        <f t="shared" si="277"/>
        <v>1000</v>
      </c>
      <c r="AG477" s="522">
        <f t="shared" si="278"/>
        <v>1016.6666666666666</v>
      </c>
      <c r="AH477" s="175"/>
      <c r="AI477" s="523">
        <f>MATCH($U477,'Tarieven W&amp;O'!$B:$B,0)</f>
        <v>53</v>
      </c>
      <c r="AJ477" s="204">
        <f>IF(AI477&lt;&gt;"nvt",INDEX('Tarieven W&amp;O'!$H:$H,$AI477),0)</f>
        <v>0</v>
      </c>
      <c r="AK477" s="204">
        <f>IF(AI477&lt;&gt;"nvt",INDEX('Tarieven W&amp;O'!$I:$I,$AI477),0)</f>
        <v>25</v>
      </c>
      <c r="AL477" s="524">
        <f>IF(AI477&lt;&gt;"nvt",-INDEX(Parameters!$B:$B,MATCH(AL$3,Parameters!$A:$A,0))*(AJ477+AK477),0)</f>
        <v>0</v>
      </c>
      <c r="AM477" s="525"/>
      <c r="AN477" s="139">
        <f t="shared" si="279"/>
        <v>25</v>
      </c>
      <c r="AO477" s="205">
        <f>AN477/INDEX(Parameters!$B:$B,MATCH("AfschrijftermijnVVE"&amp;12*$C477,Parameters!$A:$A,0))</f>
        <v>0.41666666666666669</v>
      </c>
      <c r="AP477" s="139">
        <f t="shared" si="280"/>
        <v>53</v>
      </c>
      <c r="AQ477" s="526">
        <f>IF(AP477&lt;&gt;"nvt",INDEX('Tarieven W&amp;O'!$G:$G,$AP477),0)</f>
        <v>184.31</v>
      </c>
      <c r="AR477" s="251">
        <f>IF($S477,INDEX('Tarieven W&amp;O'!$G:$G,MATCH(N477&amp;R477,'Tarieven W&amp;O'!$B:$B,0)),0)</f>
        <v>0</v>
      </c>
      <c r="AS477" s="205">
        <f>-INDEX(Parameters!$B:$B,MATCH(AS$3,Parameters!$A:$A,0))*(AQ477+AR477)</f>
        <v>0</v>
      </c>
      <c r="AT477" s="205">
        <f>INDEX(hulpblad!$E:$E,MATCH(M477&amp;Q477,hulpblad!$B:$B,0))</f>
        <v>1</v>
      </c>
      <c r="AU477" s="150">
        <f t="shared" si="258"/>
        <v>185.31</v>
      </c>
      <c r="AV477" s="150">
        <f t="shared" si="259"/>
        <v>185.72666666666666</v>
      </c>
      <c r="AX477" s="526">
        <f>Parameters!$B$6*AV477</f>
        <v>1.8572666666666666</v>
      </c>
      <c r="AY477" s="150">
        <v>0</v>
      </c>
      <c r="AZ477" s="150"/>
      <c r="BA477" s="150">
        <f t="shared" si="281"/>
        <v>1.8572666666666666</v>
      </c>
      <c r="BB477" s="150"/>
      <c r="BC477" s="522">
        <f t="shared" si="282"/>
        <v>187.58393333333333</v>
      </c>
      <c r="BD477" s="175"/>
      <c r="BE477" s="527">
        <f t="shared" si="262"/>
        <v>829.08273333333329</v>
      </c>
      <c r="BF477" s="181">
        <f t="shared" si="263"/>
        <v>0.81549121311475414</v>
      </c>
      <c r="BG477" s="520" t="b">
        <f t="shared" si="275"/>
        <v>0</v>
      </c>
      <c r="BI477" s="528" t="s">
        <v>2181</v>
      </c>
      <c r="BL477" s="151" t="str">
        <f t="shared" si="265"/>
        <v>EoKMetro - Regionaal</v>
      </c>
      <c r="BM477" s="529">
        <v>0</v>
      </c>
      <c r="BN477" s="180">
        <f>BM477/INDEX(Parameters!$B:$B,MATCH("AfschrijftermijnVVE"&amp;12*$C477,Parameters!$A:$A,0))</f>
        <v>0</v>
      </c>
      <c r="BO477" s="184">
        <f>INDEX('inkoop ULL tbv EVPN'!I:I,MATCH(BL477,'inkoop ULL tbv EVPN'!H:H,0))</f>
        <v>2</v>
      </c>
      <c r="BP477" s="184">
        <f t="shared" si="266"/>
        <v>2</v>
      </c>
      <c r="BR477" s="180">
        <f>Parameters!$B$12*AG477</f>
        <v>101.66666666666667</v>
      </c>
      <c r="BS477" s="180">
        <f>SUM(Distributievergoedingen!$F$12,Distributievergoedingen!$I$12,Distributievergoedingen!$L$12,Distributievergoedingen!$O$12)*AF477+SUM(Distributievergoedingen!$O$12*AA477+Distributievergoedingen!$R$12+Distributievergoedingen!$U$12+Distributievergoedingen!$X$12)/(MAX(36,12*C477))</f>
        <v>111.66666666666667</v>
      </c>
      <c r="BT477" s="150"/>
      <c r="BU477" s="150">
        <f t="shared" si="267"/>
        <v>213.33333333333334</v>
      </c>
      <c r="BW477" s="522">
        <f t="shared" si="268"/>
        <v>215.33333333333334</v>
      </c>
      <c r="BY477" s="527">
        <f t="shared" si="269"/>
        <v>801.33333333333326</v>
      </c>
      <c r="BZ477" s="181">
        <f t="shared" si="270"/>
        <v>0.78819672131147533</v>
      </c>
      <c r="CA477" s="520" t="b">
        <f t="shared" si="271"/>
        <v>0</v>
      </c>
    </row>
    <row r="478" spans="1:79" s="151" customFormat="1">
      <c r="A478" s="151" t="str">
        <f t="shared" si="250"/>
        <v>5EoKEntryCity1000</v>
      </c>
      <c r="B478" s="520" t="str">
        <f t="shared" si="272"/>
        <v>5EoKEntryCity1000</v>
      </c>
      <c r="C478" s="179">
        <v>5</v>
      </c>
      <c r="D478" s="179" t="s">
        <v>303</v>
      </c>
      <c r="E478" s="178" t="s">
        <v>45</v>
      </c>
      <c r="F478" s="178" t="s">
        <v>262</v>
      </c>
      <c r="G478" s="185" t="s">
        <v>423</v>
      </c>
      <c r="J478" s="520" t="str">
        <f t="shared" si="273"/>
        <v>EntryCity1000</v>
      </c>
      <c r="L478" s="204">
        <f>INDEX(Mapping!$H:$H,MATCH(C$3&amp;C478,Mapping!$B:$B,0))</f>
        <v>1</v>
      </c>
      <c r="M478" s="204" t="str">
        <f>INDEX(Mapping!$H:$H,MATCH(D$3&amp;$D478,Mapping!$B:$B,0))</f>
        <v>EoK</v>
      </c>
      <c r="N478" s="204" t="str">
        <f>INDEX(Mapping!$H:$H,MATCH(E$3&amp;E478,Mapping!$B:$B,0))</f>
        <v>Lite</v>
      </c>
      <c r="O478" s="204" t="str">
        <f>INDEX(Mapping!$H:$H,MATCH(F$3&amp;F478,Mapping!$B:$B,0))</f>
        <v>Metro</v>
      </c>
      <c r="P478" s="204">
        <f>INDEX(Mapping!$H:$H,MATCH(G$3&amp;G478,Mapping!$B:$B,0))</f>
        <v>1000</v>
      </c>
      <c r="Q478" s="204" t="str">
        <f>INDEX(Mapping!$H:$H,MATCH(Q$3&amp;$F478,Mapping!$B:$B,0))</f>
        <v>Metro - Regionaal</v>
      </c>
      <c r="R478" s="204" t="str">
        <f>INDEX(Mapping!$H:$H,MATCH("ZM VPN Service Level"&amp;E478,Mapping!$B:$B,0))</f>
        <v>Advanced</v>
      </c>
      <c r="S478" s="139" t="b">
        <f>IF($D478="EoK",INDEX(Mapping!$I:$I,MATCH($G$3&amp;$G478,Mapping!B:B,0)),FALSE)</f>
        <v>0</v>
      </c>
      <c r="T478" s="139"/>
      <c r="U478" s="520" t="str">
        <f t="shared" si="274"/>
        <v>LiteMetro1000</v>
      </c>
      <c r="W478" s="521">
        <f>MATCH($J478,'Tarieven ZM'!$B:$B,0)</f>
        <v>26</v>
      </c>
      <c r="X478" s="204">
        <f>INDEX('Tarieven ZM'!$H:$H,$W478)</f>
        <v>1000</v>
      </c>
      <c r="Y478" s="198">
        <f>-INDEX(Parameters!$B:$B,MATCH(Y$3&amp;$C478,Parameters!$A:$A,0))*$X478</f>
        <v>0</v>
      </c>
      <c r="Z478" s="198">
        <f>-INDEX(Parameters!$B:$B,MATCH(Z$3&amp;$C478,Parameters!$A:$A,0))*$X478</f>
        <v>0</v>
      </c>
      <c r="AA478" s="139">
        <f t="shared" si="276"/>
        <v>1000</v>
      </c>
      <c r="AB478" s="205">
        <f>AA478/INDEX(Parameters!$B:$B,MATCH("AfschrijftermijnVVE"&amp;12*$C478,Parameters!$A:$A,0))</f>
        <v>16.666666666666668</v>
      </c>
      <c r="AC478" s="204">
        <f>INDEX('Tarieven ZM'!$G:$G,$W478)</f>
        <v>1000</v>
      </c>
      <c r="AD478" s="198">
        <f>-INDEX(Parameters!$B:$B,MATCH(AD$3&amp;$C478,Parameters!$A:$A,0))*$AC478</f>
        <v>0</v>
      </c>
      <c r="AE478" s="198">
        <f>-INDEX(Parameters!$B:$B,MATCH(AE$3,Parameters!$A:$A,0))*$AC478</f>
        <v>0</v>
      </c>
      <c r="AF478" s="139">
        <f t="shared" si="277"/>
        <v>1000</v>
      </c>
      <c r="AG478" s="522">
        <f t="shared" si="278"/>
        <v>1016.6666666666666</v>
      </c>
      <c r="AH478" s="175"/>
      <c r="AI478" s="523">
        <f>MATCH($U478,'Tarieven W&amp;O'!$B:$B,0)</f>
        <v>54</v>
      </c>
      <c r="AJ478" s="204">
        <f>IF(AI478&lt;&gt;"nvt",INDEX('Tarieven W&amp;O'!$H:$H,$AI478),0)</f>
        <v>0</v>
      </c>
      <c r="AK478" s="204">
        <f>IF(AI478&lt;&gt;"nvt",INDEX('Tarieven W&amp;O'!$I:$I,$AI478),0)</f>
        <v>25</v>
      </c>
      <c r="AL478" s="524">
        <f>IF(AI478&lt;&gt;"nvt",-INDEX(Parameters!$B:$B,MATCH(AL$3,Parameters!$A:$A,0))*(AJ478+AK478),0)</f>
        <v>0</v>
      </c>
      <c r="AM478" s="525"/>
      <c r="AN478" s="139">
        <f t="shared" si="279"/>
        <v>25</v>
      </c>
      <c r="AO478" s="205">
        <f>AN478/INDEX(Parameters!$B:$B,MATCH("AfschrijftermijnVVE"&amp;12*$C478,Parameters!$A:$A,0))</f>
        <v>0.41666666666666669</v>
      </c>
      <c r="AP478" s="139">
        <f t="shared" si="280"/>
        <v>54</v>
      </c>
      <c r="AQ478" s="526">
        <f>IF(AP478&lt;&gt;"nvt",INDEX('Tarieven W&amp;O'!$G:$G,$AP478),0)</f>
        <v>203.15</v>
      </c>
      <c r="AR478" s="251">
        <f>IF($S478,INDEX('Tarieven W&amp;O'!$G:$G,MATCH(N478&amp;R478,'Tarieven W&amp;O'!$B:$B,0)),0)</f>
        <v>0</v>
      </c>
      <c r="AS478" s="205">
        <f>-INDEX(Parameters!$B:$B,MATCH(AS$3,Parameters!$A:$A,0))*(AQ478+AR478)</f>
        <v>0</v>
      </c>
      <c r="AT478" s="205">
        <f>INDEX(hulpblad!$E:$E,MATCH(M478&amp;Q478,hulpblad!$B:$B,0))</f>
        <v>1</v>
      </c>
      <c r="AU478" s="150">
        <f t="shared" si="258"/>
        <v>204.15</v>
      </c>
      <c r="AV478" s="150">
        <f t="shared" si="259"/>
        <v>204.56666666666666</v>
      </c>
      <c r="AX478" s="526">
        <f>Parameters!$B$6*AV478</f>
        <v>2.0456666666666665</v>
      </c>
      <c r="AY478" s="150">
        <v>0</v>
      </c>
      <c r="AZ478" s="150"/>
      <c r="BA478" s="150">
        <f t="shared" si="281"/>
        <v>2.0456666666666665</v>
      </c>
      <c r="BB478" s="150"/>
      <c r="BC478" s="522">
        <f t="shared" si="282"/>
        <v>206.61233333333334</v>
      </c>
      <c r="BD478" s="175"/>
      <c r="BE478" s="527">
        <f t="shared" si="262"/>
        <v>810.05433333333326</v>
      </c>
      <c r="BF478" s="181">
        <f t="shared" si="263"/>
        <v>0.79677475409836063</v>
      </c>
      <c r="BG478" s="520" t="b">
        <f t="shared" si="275"/>
        <v>0</v>
      </c>
      <c r="BI478" s="528" t="s">
        <v>2181</v>
      </c>
      <c r="BL478" s="151" t="str">
        <f t="shared" si="265"/>
        <v>EoKMetro - Regionaal</v>
      </c>
      <c r="BM478" s="529">
        <v>0</v>
      </c>
      <c r="BN478" s="180">
        <f>BM478/INDEX(Parameters!$B:$B,MATCH("AfschrijftermijnVVE"&amp;12*$C478,Parameters!$A:$A,0))</f>
        <v>0</v>
      </c>
      <c r="BO478" s="184">
        <f>INDEX('inkoop ULL tbv EVPN'!I:I,MATCH(BL478,'inkoop ULL tbv EVPN'!H:H,0))</f>
        <v>2</v>
      </c>
      <c r="BP478" s="184">
        <f t="shared" si="266"/>
        <v>2</v>
      </c>
      <c r="BR478" s="180">
        <f>Parameters!$B$12*AG478</f>
        <v>101.66666666666667</v>
      </c>
      <c r="BS478" s="180">
        <f>SUM(Distributievergoedingen!$F$12,Distributievergoedingen!$I$12,Distributievergoedingen!$L$12,Distributievergoedingen!$O$12)*AF478+SUM(Distributievergoedingen!$O$12*AA478+Distributievergoedingen!$R$12+Distributievergoedingen!$U$12+Distributievergoedingen!$X$12)/(MAX(36,12*C478))</f>
        <v>111.66666666666667</v>
      </c>
      <c r="BT478" s="150"/>
      <c r="BU478" s="150">
        <f t="shared" si="267"/>
        <v>213.33333333333334</v>
      </c>
      <c r="BW478" s="522">
        <f t="shared" si="268"/>
        <v>215.33333333333334</v>
      </c>
      <c r="BY478" s="527">
        <f t="shared" si="269"/>
        <v>801.33333333333326</v>
      </c>
      <c r="BZ478" s="181">
        <f t="shared" si="270"/>
        <v>0.78819672131147533</v>
      </c>
      <c r="CA478" s="520" t="b">
        <f t="shared" si="271"/>
        <v>0</v>
      </c>
    </row>
    <row r="479" spans="1:79" s="151" customFormat="1">
      <c r="A479" s="151" t="str">
        <f t="shared" si="250"/>
        <v>5EoKEntryRegionaal1</v>
      </c>
      <c r="B479" s="520" t="str">
        <f t="shared" si="272"/>
        <v>5EoKEntryRegionaal1</v>
      </c>
      <c r="C479" s="179">
        <v>5</v>
      </c>
      <c r="D479" s="179" t="s">
        <v>303</v>
      </c>
      <c r="E479" s="178" t="s">
        <v>45</v>
      </c>
      <c r="F479" s="178" t="s">
        <v>265</v>
      </c>
      <c r="G479" s="185" t="s">
        <v>362</v>
      </c>
      <c r="J479" s="520" t="str">
        <f t="shared" si="273"/>
        <v>EntryRegionaal1</v>
      </c>
      <c r="L479" s="204">
        <f>INDEX(Mapping!$H:$H,MATCH(C$3&amp;C479,Mapping!$B:$B,0))</f>
        <v>1</v>
      </c>
      <c r="M479" s="204" t="str">
        <f>INDEX(Mapping!$H:$H,MATCH(D$3&amp;$D479,Mapping!$B:$B,0))</f>
        <v>EoK</v>
      </c>
      <c r="N479" s="204" t="str">
        <f>INDEX(Mapping!$H:$H,MATCH(E$3&amp;E479,Mapping!$B:$B,0))</f>
        <v>Lite</v>
      </c>
      <c r="O479" s="204" t="str">
        <f>INDEX(Mapping!$H:$H,MATCH(F$3&amp;F479,Mapping!$B:$B,0))</f>
        <v>Metro</v>
      </c>
      <c r="P479" s="204">
        <f>INDEX(Mapping!$H:$H,MATCH(G$3&amp;G479,Mapping!$B:$B,0))</f>
        <v>1</v>
      </c>
      <c r="Q479" s="204" t="str">
        <f>INDEX(Mapping!$H:$H,MATCH(Q$3&amp;$F479,Mapping!$B:$B,0))</f>
        <v>Metro - Nationaal</v>
      </c>
      <c r="R479" s="204" t="str">
        <f>INDEX(Mapping!$H:$H,MATCH("ZM VPN Service Level"&amp;E479,Mapping!$B:$B,0))</f>
        <v>Advanced</v>
      </c>
      <c r="S479" s="139" t="b">
        <f>IF($D479="EoK",INDEX(Mapping!$I:$I,MATCH($G$3&amp;$G479,Mapping!B:B,0)),FALSE)</f>
        <v>1</v>
      </c>
      <c r="T479" s="139"/>
      <c r="U479" s="520" t="str">
        <f t="shared" si="274"/>
        <v>LiteMetro1</v>
      </c>
      <c r="W479" s="521">
        <f>MATCH($J479,'Tarieven ZM'!$B:$B,0)</f>
        <v>27</v>
      </c>
      <c r="X479" s="204">
        <f>INDEX('Tarieven ZM'!$H:$H,$W479)</f>
        <v>1000</v>
      </c>
      <c r="Y479" s="198">
        <f>-INDEX(Parameters!$B:$B,MATCH(Y$3&amp;$C479,Parameters!$A:$A,0))*$X479</f>
        <v>0</v>
      </c>
      <c r="Z479" s="198">
        <f>-INDEX(Parameters!$B:$B,MATCH(Z$3&amp;$C479,Parameters!$A:$A,0))*$X479</f>
        <v>0</v>
      </c>
      <c r="AA479" s="139">
        <f t="shared" si="276"/>
        <v>1000</v>
      </c>
      <c r="AB479" s="205">
        <f>AA479/INDEX(Parameters!$B:$B,MATCH("AfschrijftermijnVVE"&amp;12*$C479,Parameters!$A:$A,0))</f>
        <v>16.666666666666668</v>
      </c>
      <c r="AC479" s="204">
        <f>INDEX('Tarieven ZM'!$G:$G,$W479)</f>
        <v>1000</v>
      </c>
      <c r="AD479" s="198">
        <f>-INDEX(Parameters!$B:$B,MATCH(AD$3&amp;$C479,Parameters!$A:$A,0))*$AC479</f>
        <v>0</v>
      </c>
      <c r="AE479" s="198">
        <f>-INDEX(Parameters!$B:$B,MATCH(AE$3,Parameters!$A:$A,0))*$AC479</f>
        <v>0</v>
      </c>
      <c r="AF479" s="139">
        <f t="shared" si="277"/>
        <v>1000</v>
      </c>
      <c r="AG479" s="522">
        <f t="shared" si="278"/>
        <v>1016.6666666666666</v>
      </c>
      <c r="AH479" s="175"/>
      <c r="AI479" s="523">
        <f>MATCH($U479,'Tarieven W&amp;O'!$B:$B,0)</f>
        <v>36</v>
      </c>
      <c r="AJ479" s="204">
        <f>IF(AI479&lt;&gt;"nvt",INDEX('Tarieven W&amp;O'!$H:$H,$AI479),0)</f>
        <v>0</v>
      </c>
      <c r="AK479" s="204">
        <f>IF(AI479&lt;&gt;"nvt",INDEX('Tarieven W&amp;O'!$I:$I,$AI479),0)</f>
        <v>25</v>
      </c>
      <c r="AL479" s="524">
        <f>IF(AI479&lt;&gt;"nvt",-INDEX(Parameters!$B:$B,MATCH(AL$3,Parameters!$A:$A,0))*(AJ479+AK479),0)</f>
        <v>0</v>
      </c>
      <c r="AM479" s="525"/>
      <c r="AN479" s="139">
        <f t="shared" si="279"/>
        <v>25</v>
      </c>
      <c r="AO479" s="205">
        <f>AN479/INDEX(Parameters!$B:$B,MATCH("AfschrijftermijnVVE"&amp;12*$C479,Parameters!$A:$A,0))</f>
        <v>0.41666666666666669</v>
      </c>
      <c r="AP479" s="139">
        <f t="shared" si="280"/>
        <v>36</v>
      </c>
      <c r="AQ479" s="526">
        <f>IF(AP479&lt;&gt;"nvt",INDEX('Tarieven W&amp;O'!$G:$G,$AP479),0)</f>
        <v>14.29</v>
      </c>
      <c r="AR479" s="251">
        <f>IF($S479,INDEX('Tarieven W&amp;O'!$G:$G,MATCH(N479&amp;R479,'Tarieven W&amp;O'!$B:$B,0)),0)</f>
        <v>5.25</v>
      </c>
      <c r="AS479" s="205">
        <f>-INDEX(Parameters!$B:$B,MATCH(AS$3,Parameters!$A:$A,0))*(AQ479+AR479)</f>
        <v>0</v>
      </c>
      <c r="AT479" s="205">
        <f>INDEX(hulpblad!$E:$E,MATCH(M479&amp;Q479,hulpblad!$B:$B,0))</f>
        <v>2</v>
      </c>
      <c r="AU479" s="150">
        <f t="shared" si="258"/>
        <v>21.54</v>
      </c>
      <c r="AV479" s="150">
        <f t="shared" si="259"/>
        <v>21.956666666666667</v>
      </c>
      <c r="AX479" s="526">
        <f>Parameters!$B$6*AV479</f>
        <v>0.21956666666666669</v>
      </c>
      <c r="AY479" s="150">
        <v>0</v>
      </c>
      <c r="AZ479" s="150"/>
      <c r="BA479" s="150">
        <f t="shared" si="281"/>
        <v>0.21956666666666669</v>
      </c>
      <c r="BB479" s="150"/>
      <c r="BC479" s="522">
        <f t="shared" si="282"/>
        <v>22.176233333333332</v>
      </c>
      <c r="BD479" s="175"/>
      <c r="BE479" s="527">
        <f t="shared" si="262"/>
        <v>994.49043333333327</v>
      </c>
      <c r="BF479" s="181">
        <f t="shared" si="263"/>
        <v>0.97818731147540983</v>
      </c>
      <c r="BG479" s="520" t="b">
        <f t="shared" si="275"/>
        <v>0</v>
      </c>
      <c r="BI479" s="528" t="s">
        <v>2181</v>
      </c>
      <c r="BL479" s="151" t="str">
        <f t="shared" si="265"/>
        <v>EoKMetro - Nationaal</v>
      </c>
      <c r="BM479" s="529">
        <v>0</v>
      </c>
      <c r="BN479" s="180">
        <f>BM479/INDEX(Parameters!$B:$B,MATCH("AfschrijftermijnVVE"&amp;12*$C479,Parameters!$A:$A,0))</f>
        <v>0</v>
      </c>
      <c r="BO479" s="184">
        <f>INDEX('inkoop ULL tbv EVPN'!I:I,MATCH(BL479,'inkoop ULL tbv EVPN'!H:H,0))</f>
        <v>2</v>
      </c>
      <c r="BP479" s="184">
        <f t="shared" si="266"/>
        <v>2</v>
      </c>
      <c r="BR479" s="180">
        <f>Parameters!$B$12*AG479</f>
        <v>101.66666666666667</v>
      </c>
      <c r="BS479" s="180">
        <f>SUM(Distributievergoedingen!$F$12,Distributievergoedingen!$I$12,Distributievergoedingen!$L$12,Distributievergoedingen!$O$12)*AF479+SUM(Distributievergoedingen!$O$12*AA479+Distributievergoedingen!$R$12+Distributievergoedingen!$U$12+Distributievergoedingen!$X$12)/(MAX(36,12*C479))</f>
        <v>111.66666666666667</v>
      </c>
      <c r="BT479" s="150"/>
      <c r="BU479" s="150">
        <f t="shared" si="267"/>
        <v>213.33333333333334</v>
      </c>
      <c r="BW479" s="522">
        <f t="shared" si="268"/>
        <v>215.33333333333334</v>
      </c>
      <c r="BY479" s="527">
        <f t="shared" si="269"/>
        <v>801.33333333333326</v>
      </c>
      <c r="BZ479" s="181">
        <f t="shared" si="270"/>
        <v>0.78819672131147533</v>
      </c>
      <c r="CA479" s="520" t="b">
        <f t="shared" si="271"/>
        <v>0</v>
      </c>
    </row>
    <row r="480" spans="1:79" s="151" customFormat="1">
      <c r="A480" s="151" t="str">
        <f t="shared" si="250"/>
        <v>5EoKEntryRegionaal2</v>
      </c>
      <c r="B480" s="520" t="str">
        <f t="shared" si="272"/>
        <v>5EoKEntryRegionaal2</v>
      </c>
      <c r="C480" s="179">
        <v>5</v>
      </c>
      <c r="D480" s="179" t="s">
        <v>303</v>
      </c>
      <c r="E480" s="178" t="s">
        <v>45</v>
      </c>
      <c r="F480" s="178" t="s">
        <v>265</v>
      </c>
      <c r="G480" s="185" t="s">
        <v>363</v>
      </c>
      <c r="J480" s="520" t="str">
        <f t="shared" si="273"/>
        <v>EntryRegionaal2</v>
      </c>
      <c r="L480" s="204">
        <f>INDEX(Mapping!$H:$H,MATCH(C$3&amp;C480,Mapping!$B:$B,0))</f>
        <v>1</v>
      </c>
      <c r="M480" s="204" t="str">
        <f>INDEX(Mapping!$H:$H,MATCH(D$3&amp;$D480,Mapping!$B:$B,0))</f>
        <v>EoK</v>
      </c>
      <c r="N480" s="204" t="str">
        <f>INDEX(Mapping!$H:$H,MATCH(E$3&amp;E480,Mapping!$B:$B,0))</f>
        <v>Lite</v>
      </c>
      <c r="O480" s="204" t="str">
        <f>INDEX(Mapping!$H:$H,MATCH(F$3&amp;F480,Mapping!$B:$B,0))</f>
        <v>Metro</v>
      </c>
      <c r="P480" s="204">
        <f>INDEX(Mapping!$H:$H,MATCH(G$3&amp;G480,Mapping!$B:$B,0))</f>
        <v>2</v>
      </c>
      <c r="Q480" s="204" t="str">
        <f>INDEX(Mapping!$H:$H,MATCH(Q$3&amp;$F480,Mapping!$B:$B,0))</f>
        <v>Metro - Nationaal</v>
      </c>
      <c r="R480" s="204" t="str">
        <f>INDEX(Mapping!$H:$H,MATCH("ZM VPN Service Level"&amp;E480,Mapping!$B:$B,0))</f>
        <v>Advanced</v>
      </c>
      <c r="S480" s="139" t="b">
        <f>IF($D480="EoK",INDEX(Mapping!$I:$I,MATCH($G$3&amp;$G480,Mapping!B:B,0)),FALSE)</f>
        <v>1</v>
      </c>
      <c r="T480" s="139"/>
      <c r="U480" s="520" t="str">
        <f t="shared" si="274"/>
        <v>LiteMetro2</v>
      </c>
      <c r="W480" s="521">
        <f>MATCH($J480,'Tarieven ZM'!$B:$B,0)</f>
        <v>28</v>
      </c>
      <c r="X480" s="204">
        <f>INDEX('Tarieven ZM'!$H:$H,$W480)</f>
        <v>1000</v>
      </c>
      <c r="Y480" s="198">
        <f>-INDEX(Parameters!$B:$B,MATCH(Y$3&amp;$C480,Parameters!$A:$A,0))*$X480</f>
        <v>0</v>
      </c>
      <c r="Z480" s="198">
        <f>-INDEX(Parameters!$B:$B,MATCH(Z$3&amp;$C480,Parameters!$A:$A,0))*$X480</f>
        <v>0</v>
      </c>
      <c r="AA480" s="139">
        <f t="shared" si="276"/>
        <v>1000</v>
      </c>
      <c r="AB480" s="205">
        <f>AA480/INDEX(Parameters!$B:$B,MATCH("AfschrijftermijnVVE"&amp;12*$C480,Parameters!$A:$A,0))</f>
        <v>16.666666666666668</v>
      </c>
      <c r="AC480" s="204">
        <f>INDEX('Tarieven ZM'!$G:$G,$W480)</f>
        <v>1000</v>
      </c>
      <c r="AD480" s="198">
        <f>-INDEX(Parameters!$B:$B,MATCH(AD$3&amp;$C480,Parameters!$A:$A,0))*$AC480</f>
        <v>0</v>
      </c>
      <c r="AE480" s="198">
        <f>-INDEX(Parameters!$B:$B,MATCH(AE$3,Parameters!$A:$A,0))*$AC480</f>
        <v>0</v>
      </c>
      <c r="AF480" s="139">
        <f t="shared" si="277"/>
        <v>1000</v>
      </c>
      <c r="AG480" s="522">
        <f t="shared" si="278"/>
        <v>1016.6666666666666</v>
      </c>
      <c r="AH480" s="175"/>
      <c r="AI480" s="523">
        <f>MATCH($U480,'Tarieven W&amp;O'!$B:$B,0)</f>
        <v>37</v>
      </c>
      <c r="AJ480" s="204">
        <f>IF(AI480&lt;&gt;"nvt",INDEX('Tarieven W&amp;O'!$H:$H,$AI480),0)</f>
        <v>0</v>
      </c>
      <c r="AK480" s="204">
        <f>IF(AI480&lt;&gt;"nvt",INDEX('Tarieven W&amp;O'!$I:$I,$AI480),0)</f>
        <v>25</v>
      </c>
      <c r="AL480" s="524">
        <f>IF(AI480&lt;&gt;"nvt",-INDEX(Parameters!$B:$B,MATCH(AL$3,Parameters!$A:$A,0))*(AJ480+AK480),0)</f>
        <v>0</v>
      </c>
      <c r="AM480" s="525"/>
      <c r="AN480" s="139">
        <f t="shared" si="279"/>
        <v>25</v>
      </c>
      <c r="AO480" s="205">
        <f>AN480/INDEX(Parameters!$B:$B,MATCH("AfschrijftermijnVVE"&amp;12*$C480,Parameters!$A:$A,0))</f>
        <v>0.41666666666666669</v>
      </c>
      <c r="AP480" s="139">
        <f t="shared" si="280"/>
        <v>37</v>
      </c>
      <c r="AQ480" s="526">
        <f>IF(AP480&lt;&gt;"nvt",INDEX('Tarieven W&amp;O'!$G:$G,$AP480),0)</f>
        <v>16.55</v>
      </c>
      <c r="AR480" s="251">
        <f>IF($S480,INDEX('Tarieven W&amp;O'!$G:$G,MATCH(N480&amp;R480,'Tarieven W&amp;O'!$B:$B,0)),0)</f>
        <v>5.25</v>
      </c>
      <c r="AS480" s="205">
        <f>-INDEX(Parameters!$B:$B,MATCH(AS$3,Parameters!$A:$A,0))*(AQ480+AR480)</f>
        <v>0</v>
      </c>
      <c r="AT480" s="205">
        <f>INDEX(hulpblad!$E:$E,MATCH(M480&amp;Q480,hulpblad!$B:$B,0))</f>
        <v>2</v>
      </c>
      <c r="AU480" s="150">
        <f t="shared" si="258"/>
        <v>23.8</v>
      </c>
      <c r="AV480" s="150">
        <f t="shared" si="259"/>
        <v>24.216666666666669</v>
      </c>
      <c r="AX480" s="526">
        <f>Parameters!$B$6*AV480</f>
        <v>0.2421666666666667</v>
      </c>
      <c r="AY480" s="150">
        <v>0</v>
      </c>
      <c r="AZ480" s="150"/>
      <c r="BA480" s="150">
        <f t="shared" si="281"/>
        <v>0.2421666666666667</v>
      </c>
      <c r="BB480" s="150"/>
      <c r="BC480" s="522">
        <f t="shared" si="282"/>
        <v>24.458833333333335</v>
      </c>
      <c r="BD480" s="175"/>
      <c r="BE480" s="527">
        <f t="shared" si="262"/>
        <v>992.20783333333327</v>
      </c>
      <c r="BF480" s="181">
        <f t="shared" si="263"/>
        <v>0.97594213114754091</v>
      </c>
      <c r="BG480" s="520" t="b">
        <f t="shared" si="275"/>
        <v>0</v>
      </c>
      <c r="BI480" s="528" t="s">
        <v>2181</v>
      </c>
      <c r="BL480" s="151" t="str">
        <f t="shared" si="265"/>
        <v>EoKMetro - Nationaal</v>
      </c>
      <c r="BM480" s="529">
        <v>0</v>
      </c>
      <c r="BN480" s="180">
        <f>BM480/INDEX(Parameters!$B:$B,MATCH("AfschrijftermijnVVE"&amp;12*$C480,Parameters!$A:$A,0))</f>
        <v>0</v>
      </c>
      <c r="BO480" s="184">
        <f>INDEX('inkoop ULL tbv EVPN'!I:I,MATCH(BL480,'inkoop ULL tbv EVPN'!H:H,0))</f>
        <v>2</v>
      </c>
      <c r="BP480" s="184">
        <f t="shared" si="266"/>
        <v>2</v>
      </c>
      <c r="BR480" s="180">
        <f>Parameters!$B$12*AG480</f>
        <v>101.66666666666667</v>
      </c>
      <c r="BS480" s="180">
        <f>SUM(Distributievergoedingen!$F$12,Distributievergoedingen!$I$12,Distributievergoedingen!$L$12,Distributievergoedingen!$O$12)*AF480+SUM(Distributievergoedingen!$O$12*AA480+Distributievergoedingen!$R$12+Distributievergoedingen!$U$12+Distributievergoedingen!$X$12)/(MAX(36,12*C480))</f>
        <v>111.66666666666667</v>
      </c>
      <c r="BT480" s="150"/>
      <c r="BU480" s="150">
        <f t="shared" si="267"/>
        <v>213.33333333333334</v>
      </c>
      <c r="BW480" s="522">
        <f t="shared" si="268"/>
        <v>215.33333333333334</v>
      </c>
      <c r="BY480" s="527">
        <f t="shared" si="269"/>
        <v>801.33333333333326</v>
      </c>
      <c r="BZ480" s="181">
        <f t="shared" si="270"/>
        <v>0.78819672131147533</v>
      </c>
      <c r="CA480" s="520" t="b">
        <f t="shared" si="271"/>
        <v>0</v>
      </c>
    </row>
    <row r="481" spans="1:79" s="151" customFormat="1">
      <c r="A481" s="151" t="str">
        <f t="shared" si="250"/>
        <v>5EoKEntryRegionaal3</v>
      </c>
      <c r="B481" s="520" t="str">
        <f t="shared" si="272"/>
        <v>5EoKEntryRegionaal3</v>
      </c>
      <c r="C481" s="179">
        <v>5</v>
      </c>
      <c r="D481" s="179" t="s">
        <v>303</v>
      </c>
      <c r="E481" s="178" t="s">
        <v>45</v>
      </c>
      <c r="F481" s="178" t="s">
        <v>265</v>
      </c>
      <c r="G481" s="185" t="s">
        <v>407</v>
      </c>
      <c r="J481" s="520" t="str">
        <f t="shared" si="273"/>
        <v>EntryRegionaal3</v>
      </c>
      <c r="L481" s="204">
        <f>INDEX(Mapping!$H:$H,MATCH(C$3&amp;C481,Mapping!$B:$B,0))</f>
        <v>1</v>
      </c>
      <c r="M481" s="204" t="str">
        <f>INDEX(Mapping!$H:$H,MATCH(D$3&amp;$D481,Mapping!$B:$B,0))</f>
        <v>EoK</v>
      </c>
      <c r="N481" s="204" t="str">
        <f>INDEX(Mapping!$H:$H,MATCH(E$3&amp;E481,Mapping!$B:$B,0))</f>
        <v>Lite</v>
      </c>
      <c r="O481" s="204" t="str">
        <f>INDEX(Mapping!$H:$H,MATCH(F$3&amp;F481,Mapping!$B:$B,0))</f>
        <v>Metro</v>
      </c>
      <c r="P481" s="204">
        <f>INDEX(Mapping!$H:$H,MATCH(G$3&amp;G481,Mapping!$B:$B,0))</f>
        <v>3</v>
      </c>
      <c r="Q481" s="204" t="str">
        <f>INDEX(Mapping!$H:$H,MATCH(Q$3&amp;$F481,Mapping!$B:$B,0))</f>
        <v>Metro - Nationaal</v>
      </c>
      <c r="R481" s="204" t="str">
        <f>INDEX(Mapping!$H:$H,MATCH("ZM VPN Service Level"&amp;E481,Mapping!$B:$B,0))</f>
        <v>Advanced</v>
      </c>
      <c r="S481" s="139" t="b">
        <f>IF($D481="EoK",INDEX(Mapping!$I:$I,MATCH($G$3&amp;$G481,Mapping!B:B,0)),FALSE)</f>
        <v>0</v>
      </c>
      <c r="T481" s="139"/>
      <c r="U481" s="520" t="str">
        <f t="shared" si="274"/>
        <v>LiteMetro3</v>
      </c>
      <c r="W481" s="521">
        <f>MATCH($J481,'Tarieven ZM'!$B:$B,0)</f>
        <v>29</v>
      </c>
      <c r="X481" s="204">
        <f>INDEX('Tarieven ZM'!$H:$H,$W481)</f>
        <v>1000</v>
      </c>
      <c r="Y481" s="198">
        <f>-INDEX(Parameters!$B:$B,MATCH(Y$3&amp;$C481,Parameters!$A:$A,0))*$X481</f>
        <v>0</v>
      </c>
      <c r="Z481" s="198">
        <f>-INDEX(Parameters!$B:$B,MATCH(Z$3&amp;$C481,Parameters!$A:$A,0))*$X481</f>
        <v>0</v>
      </c>
      <c r="AA481" s="139">
        <f t="shared" si="276"/>
        <v>1000</v>
      </c>
      <c r="AB481" s="205">
        <f>AA481/INDEX(Parameters!$B:$B,MATCH("AfschrijftermijnVVE"&amp;12*$C481,Parameters!$A:$A,0))</f>
        <v>16.666666666666668</v>
      </c>
      <c r="AC481" s="204">
        <f>INDEX('Tarieven ZM'!$G:$G,$W481)</f>
        <v>1000</v>
      </c>
      <c r="AD481" s="198">
        <f>-INDEX(Parameters!$B:$B,MATCH(AD$3&amp;$C481,Parameters!$A:$A,0))*$AC481</f>
        <v>0</v>
      </c>
      <c r="AE481" s="198">
        <f>-INDEX(Parameters!$B:$B,MATCH(AE$3,Parameters!$A:$A,0))*$AC481</f>
        <v>0</v>
      </c>
      <c r="AF481" s="139">
        <f t="shared" si="277"/>
        <v>1000</v>
      </c>
      <c r="AG481" s="522">
        <f t="shared" si="278"/>
        <v>1016.6666666666666</v>
      </c>
      <c r="AH481" s="175"/>
      <c r="AI481" s="523">
        <f>MATCH($U481,'Tarieven W&amp;O'!$B:$B,0)</f>
        <v>38</v>
      </c>
      <c r="AJ481" s="204">
        <f>IF(AI481&lt;&gt;"nvt",INDEX('Tarieven W&amp;O'!$H:$H,$AI481),0)</f>
        <v>0</v>
      </c>
      <c r="AK481" s="204">
        <f>IF(AI481&lt;&gt;"nvt",INDEX('Tarieven W&amp;O'!$I:$I,$AI481),0)</f>
        <v>25</v>
      </c>
      <c r="AL481" s="524">
        <f>IF(AI481&lt;&gt;"nvt",-INDEX(Parameters!$B:$B,MATCH(AL$3,Parameters!$A:$A,0))*(AJ481+AK481),0)</f>
        <v>0</v>
      </c>
      <c r="AM481" s="525"/>
      <c r="AN481" s="139">
        <f t="shared" si="279"/>
        <v>25</v>
      </c>
      <c r="AO481" s="205">
        <f>AN481/INDEX(Parameters!$B:$B,MATCH("AfschrijftermijnVVE"&amp;12*$C481,Parameters!$A:$A,0))</f>
        <v>0.41666666666666669</v>
      </c>
      <c r="AP481" s="139">
        <f t="shared" si="280"/>
        <v>38</v>
      </c>
      <c r="AQ481" s="526">
        <f>IF(AP481&lt;&gt;"nvt",INDEX('Tarieven W&amp;O'!$G:$G,$AP481),0)</f>
        <v>18.47</v>
      </c>
      <c r="AR481" s="251">
        <f>IF($S481,INDEX('Tarieven W&amp;O'!$G:$G,MATCH(N481&amp;R481,'Tarieven W&amp;O'!$B:$B,0)),0)</f>
        <v>0</v>
      </c>
      <c r="AS481" s="205">
        <f>-INDEX(Parameters!$B:$B,MATCH(AS$3,Parameters!$A:$A,0))*(AQ481+AR481)</f>
        <v>0</v>
      </c>
      <c r="AT481" s="205">
        <f>INDEX(hulpblad!$E:$E,MATCH(M481&amp;Q481,hulpblad!$B:$B,0))</f>
        <v>2</v>
      </c>
      <c r="AU481" s="150">
        <f t="shared" si="258"/>
        <v>20.47</v>
      </c>
      <c r="AV481" s="150">
        <f t="shared" si="259"/>
        <v>20.886666666666667</v>
      </c>
      <c r="AX481" s="526">
        <f>Parameters!$B$6*AV481</f>
        <v>0.20886666666666667</v>
      </c>
      <c r="AY481" s="150">
        <v>0</v>
      </c>
      <c r="AZ481" s="150"/>
      <c r="BA481" s="150">
        <f t="shared" si="281"/>
        <v>0.20886666666666667</v>
      </c>
      <c r="BB481" s="150"/>
      <c r="BC481" s="522">
        <f t="shared" si="282"/>
        <v>21.095533333333332</v>
      </c>
      <c r="BD481" s="175"/>
      <c r="BE481" s="527">
        <f t="shared" si="262"/>
        <v>995.57113333333325</v>
      </c>
      <c r="BF481" s="181">
        <f t="shared" si="263"/>
        <v>0.97925029508196715</v>
      </c>
      <c r="BG481" s="520" t="b">
        <f t="shared" si="275"/>
        <v>0</v>
      </c>
      <c r="BI481" s="528" t="s">
        <v>2181</v>
      </c>
      <c r="BL481" s="151" t="str">
        <f t="shared" si="265"/>
        <v>EoKMetro - Nationaal</v>
      </c>
      <c r="BM481" s="529">
        <v>0</v>
      </c>
      <c r="BN481" s="180">
        <f>BM481/INDEX(Parameters!$B:$B,MATCH("AfschrijftermijnVVE"&amp;12*$C481,Parameters!$A:$A,0))</f>
        <v>0</v>
      </c>
      <c r="BO481" s="184">
        <f>INDEX('inkoop ULL tbv EVPN'!I:I,MATCH(BL481,'inkoop ULL tbv EVPN'!H:H,0))</f>
        <v>2</v>
      </c>
      <c r="BP481" s="184">
        <f t="shared" si="266"/>
        <v>2</v>
      </c>
      <c r="BR481" s="180">
        <f>Parameters!$B$12*AG481</f>
        <v>101.66666666666667</v>
      </c>
      <c r="BS481" s="180">
        <f>SUM(Distributievergoedingen!$F$12,Distributievergoedingen!$I$12,Distributievergoedingen!$L$12,Distributievergoedingen!$O$12)*AF481+SUM(Distributievergoedingen!$O$12*AA481+Distributievergoedingen!$R$12+Distributievergoedingen!$U$12+Distributievergoedingen!$X$12)/(MAX(36,12*C481))</f>
        <v>111.66666666666667</v>
      </c>
      <c r="BT481" s="150"/>
      <c r="BU481" s="150">
        <f t="shared" si="267"/>
        <v>213.33333333333334</v>
      </c>
      <c r="BW481" s="522">
        <f t="shared" si="268"/>
        <v>215.33333333333334</v>
      </c>
      <c r="BY481" s="527">
        <f t="shared" si="269"/>
        <v>801.33333333333326</v>
      </c>
      <c r="BZ481" s="181">
        <f t="shared" si="270"/>
        <v>0.78819672131147533</v>
      </c>
      <c r="CA481" s="520" t="b">
        <f t="shared" si="271"/>
        <v>0</v>
      </c>
    </row>
    <row r="482" spans="1:79" s="151" customFormat="1">
      <c r="A482" s="151" t="str">
        <f t="shared" si="250"/>
        <v>5EoKEntryRegionaal4</v>
      </c>
      <c r="B482" s="520" t="str">
        <f t="shared" si="272"/>
        <v>5EoKEntryRegionaal4</v>
      </c>
      <c r="C482" s="179">
        <v>5</v>
      </c>
      <c r="D482" s="179" t="s">
        <v>303</v>
      </c>
      <c r="E482" s="178" t="s">
        <v>45</v>
      </c>
      <c r="F482" s="178" t="s">
        <v>265</v>
      </c>
      <c r="G482" s="185" t="s">
        <v>408</v>
      </c>
      <c r="J482" s="520" t="str">
        <f t="shared" si="273"/>
        <v>EntryRegionaal4</v>
      </c>
      <c r="L482" s="204">
        <f>INDEX(Mapping!$H:$H,MATCH(C$3&amp;C482,Mapping!$B:$B,0))</f>
        <v>1</v>
      </c>
      <c r="M482" s="204" t="str">
        <f>INDEX(Mapping!$H:$H,MATCH(D$3&amp;$D482,Mapping!$B:$B,0))</f>
        <v>EoK</v>
      </c>
      <c r="N482" s="204" t="str">
        <f>INDEX(Mapping!$H:$H,MATCH(E$3&amp;E482,Mapping!$B:$B,0))</f>
        <v>Lite</v>
      </c>
      <c r="O482" s="204" t="str">
        <f>INDEX(Mapping!$H:$H,MATCH(F$3&amp;F482,Mapping!$B:$B,0))</f>
        <v>Metro</v>
      </c>
      <c r="P482" s="204">
        <f>INDEX(Mapping!$H:$H,MATCH(G$3&amp;G482,Mapping!$B:$B,0))</f>
        <v>4</v>
      </c>
      <c r="Q482" s="204" t="str">
        <f>INDEX(Mapping!$H:$H,MATCH(Q$3&amp;$F482,Mapping!$B:$B,0))</f>
        <v>Metro - Nationaal</v>
      </c>
      <c r="R482" s="204" t="str">
        <f>INDEX(Mapping!$H:$H,MATCH("ZM VPN Service Level"&amp;E482,Mapping!$B:$B,0))</f>
        <v>Advanced</v>
      </c>
      <c r="S482" s="139" t="b">
        <f>IF($D482="EoK",INDEX(Mapping!$I:$I,MATCH($G$3&amp;$G482,Mapping!B:B,0)),FALSE)</f>
        <v>0</v>
      </c>
      <c r="T482" s="139"/>
      <c r="U482" s="520" t="str">
        <f t="shared" si="274"/>
        <v>LiteMetro4</v>
      </c>
      <c r="W482" s="521">
        <f>MATCH($J482,'Tarieven ZM'!$B:$B,0)</f>
        <v>30</v>
      </c>
      <c r="X482" s="204">
        <f>INDEX('Tarieven ZM'!$H:$H,$W482)</f>
        <v>1000</v>
      </c>
      <c r="Y482" s="198">
        <f>-INDEX(Parameters!$B:$B,MATCH(Y$3&amp;$C482,Parameters!$A:$A,0))*$X482</f>
        <v>0</v>
      </c>
      <c r="Z482" s="198">
        <f>-INDEX(Parameters!$B:$B,MATCH(Z$3&amp;$C482,Parameters!$A:$A,0))*$X482</f>
        <v>0</v>
      </c>
      <c r="AA482" s="139">
        <f t="shared" si="276"/>
        <v>1000</v>
      </c>
      <c r="AB482" s="205">
        <f>AA482/INDEX(Parameters!$B:$B,MATCH("AfschrijftermijnVVE"&amp;12*$C482,Parameters!$A:$A,0))</f>
        <v>16.666666666666668</v>
      </c>
      <c r="AC482" s="204">
        <f>INDEX('Tarieven ZM'!$G:$G,$W482)</f>
        <v>1000</v>
      </c>
      <c r="AD482" s="198">
        <f>-INDEX(Parameters!$B:$B,MATCH(AD$3&amp;$C482,Parameters!$A:$A,0))*$AC482</f>
        <v>0</v>
      </c>
      <c r="AE482" s="198">
        <f>-INDEX(Parameters!$B:$B,MATCH(AE$3,Parameters!$A:$A,0))*$AC482</f>
        <v>0</v>
      </c>
      <c r="AF482" s="139">
        <f t="shared" si="277"/>
        <v>1000</v>
      </c>
      <c r="AG482" s="522">
        <f t="shared" si="278"/>
        <v>1016.6666666666666</v>
      </c>
      <c r="AH482" s="175"/>
      <c r="AI482" s="523">
        <f>MATCH($U482,'Tarieven W&amp;O'!$B:$B,0)</f>
        <v>39</v>
      </c>
      <c r="AJ482" s="204">
        <f>IF(AI482&lt;&gt;"nvt",INDEX('Tarieven W&amp;O'!$H:$H,$AI482),0)</f>
        <v>0</v>
      </c>
      <c r="AK482" s="204">
        <f>IF(AI482&lt;&gt;"nvt",INDEX('Tarieven W&amp;O'!$I:$I,$AI482),0)</f>
        <v>25</v>
      </c>
      <c r="AL482" s="524">
        <f>IF(AI482&lt;&gt;"nvt",-INDEX(Parameters!$B:$B,MATCH(AL$3,Parameters!$A:$A,0))*(AJ482+AK482),0)</f>
        <v>0</v>
      </c>
      <c r="AM482" s="525"/>
      <c r="AN482" s="139">
        <f t="shared" si="279"/>
        <v>25</v>
      </c>
      <c r="AO482" s="205">
        <f>AN482/INDEX(Parameters!$B:$B,MATCH("AfschrijftermijnVVE"&amp;12*$C482,Parameters!$A:$A,0))</f>
        <v>0.41666666666666669</v>
      </c>
      <c r="AP482" s="139">
        <f t="shared" si="280"/>
        <v>39</v>
      </c>
      <c r="AQ482" s="526">
        <f>IF(AP482&lt;&gt;"nvt",INDEX('Tarieven W&amp;O'!$G:$G,$AP482),0)</f>
        <v>18.47</v>
      </c>
      <c r="AR482" s="251">
        <f>IF($S482,INDEX('Tarieven W&amp;O'!$G:$G,MATCH(N482&amp;R482,'Tarieven W&amp;O'!$B:$B,0)),0)</f>
        <v>0</v>
      </c>
      <c r="AS482" s="205">
        <f>-INDEX(Parameters!$B:$B,MATCH(AS$3,Parameters!$A:$A,0))*(AQ482+AR482)</f>
        <v>0</v>
      </c>
      <c r="AT482" s="205">
        <f>INDEX(hulpblad!$E:$E,MATCH(M482&amp;Q482,hulpblad!$B:$B,0))</f>
        <v>2</v>
      </c>
      <c r="AU482" s="150">
        <f t="shared" si="258"/>
        <v>20.47</v>
      </c>
      <c r="AV482" s="150">
        <f t="shared" si="259"/>
        <v>20.886666666666667</v>
      </c>
      <c r="AX482" s="526">
        <f>Parameters!$B$6*AV482</f>
        <v>0.20886666666666667</v>
      </c>
      <c r="AY482" s="150">
        <v>0</v>
      </c>
      <c r="AZ482" s="150"/>
      <c r="BA482" s="150">
        <f t="shared" si="281"/>
        <v>0.20886666666666667</v>
      </c>
      <c r="BB482" s="150"/>
      <c r="BC482" s="522">
        <f t="shared" si="282"/>
        <v>21.095533333333332</v>
      </c>
      <c r="BD482" s="175"/>
      <c r="BE482" s="527">
        <f t="shared" si="262"/>
        <v>995.57113333333325</v>
      </c>
      <c r="BF482" s="181">
        <f t="shared" si="263"/>
        <v>0.97925029508196715</v>
      </c>
      <c r="BG482" s="520" t="b">
        <f t="shared" si="275"/>
        <v>0</v>
      </c>
      <c r="BI482" s="528" t="s">
        <v>2181</v>
      </c>
      <c r="BL482" s="151" t="str">
        <f t="shared" si="265"/>
        <v>EoKMetro - Nationaal</v>
      </c>
      <c r="BM482" s="529">
        <v>0</v>
      </c>
      <c r="BN482" s="180">
        <f>BM482/INDEX(Parameters!$B:$B,MATCH("AfschrijftermijnVVE"&amp;12*$C482,Parameters!$A:$A,0))</f>
        <v>0</v>
      </c>
      <c r="BO482" s="184">
        <f>INDEX('inkoop ULL tbv EVPN'!I:I,MATCH(BL482,'inkoop ULL tbv EVPN'!H:H,0))</f>
        <v>2</v>
      </c>
      <c r="BP482" s="184">
        <f t="shared" si="266"/>
        <v>2</v>
      </c>
      <c r="BR482" s="180">
        <f>Parameters!$B$12*AG482</f>
        <v>101.66666666666667</v>
      </c>
      <c r="BS482" s="180">
        <f>SUM(Distributievergoedingen!$F$12,Distributievergoedingen!$I$12,Distributievergoedingen!$L$12,Distributievergoedingen!$O$12)*AF482+SUM(Distributievergoedingen!$O$12*AA482+Distributievergoedingen!$R$12+Distributievergoedingen!$U$12+Distributievergoedingen!$X$12)/(MAX(36,12*C482))</f>
        <v>111.66666666666667</v>
      </c>
      <c r="BT482" s="150"/>
      <c r="BU482" s="150">
        <f t="shared" si="267"/>
        <v>213.33333333333334</v>
      </c>
      <c r="BW482" s="522">
        <f t="shared" si="268"/>
        <v>215.33333333333334</v>
      </c>
      <c r="BY482" s="527">
        <f t="shared" si="269"/>
        <v>801.33333333333326</v>
      </c>
      <c r="BZ482" s="181">
        <f t="shared" si="270"/>
        <v>0.78819672131147533</v>
      </c>
      <c r="CA482" s="520" t="b">
        <f t="shared" si="271"/>
        <v>0</v>
      </c>
    </row>
    <row r="483" spans="1:79" s="151" customFormat="1">
      <c r="A483" s="151" t="str">
        <f t="shared" si="250"/>
        <v>5EoKEntryRegionaal5</v>
      </c>
      <c r="B483" s="520" t="str">
        <f t="shared" si="272"/>
        <v>5EoKEntryRegionaal5</v>
      </c>
      <c r="C483" s="179">
        <v>5</v>
      </c>
      <c r="D483" s="179" t="s">
        <v>303</v>
      </c>
      <c r="E483" s="178" t="s">
        <v>45</v>
      </c>
      <c r="F483" s="178" t="s">
        <v>265</v>
      </c>
      <c r="G483" s="185" t="s">
        <v>409</v>
      </c>
      <c r="J483" s="520" t="str">
        <f t="shared" si="273"/>
        <v>EntryRegionaal5</v>
      </c>
      <c r="L483" s="204">
        <f>INDEX(Mapping!$H:$H,MATCH(C$3&amp;C483,Mapping!$B:$B,0))</f>
        <v>1</v>
      </c>
      <c r="M483" s="204" t="str">
        <f>INDEX(Mapping!$H:$H,MATCH(D$3&amp;$D483,Mapping!$B:$B,0))</f>
        <v>EoK</v>
      </c>
      <c r="N483" s="204" t="str">
        <f>INDEX(Mapping!$H:$H,MATCH(E$3&amp;E483,Mapping!$B:$B,0))</f>
        <v>Lite</v>
      </c>
      <c r="O483" s="204" t="str">
        <f>INDEX(Mapping!$H:$H,MATCH(F$3&amp;F483,Mapping!$B:$B,0))</f>
        <v>Metro</v>
      </c>
      <c r="P483" s="204">
        <f>INDEX(Mapping!$H:$H,MATCH(G$3&amp;G483,Mapping!$B:$B,0))</f>
        <v>5</v>
      </c>
      <c r="Q483" s="204" t="str">
        <f>INDEX(Mapping!$H:$H,MATCH(Q$3&amp;$F483,Mapping!$B:$B,0))</f>
        <v>Metro - Nationaal</v>
      </c>
      <c r="R483" s="204" t="str">
        <f>INDEX(Mapping!$H:$H,MATCH("ZM VPN Service Level"&amp;E483,Mapping!$B:$B,0))</f>
        <v>Advanced</v>
      </c>
      <c r="S483" s="139" t="b">
        <f>IF($D483="EoK",INDEX(Mapping!$I:$I,MATCH($G$3&amp;$G483,Mapping!B:B,0)),FALSE)</f>
        <v>0</v>
      </c>
      <c r="T483" s="139"/>
      <c r="U483" s="520" t="str">
        <f t="shared" si="274"/>
        <v>LiteMetro5</v>
      </c>
      <c r="W483" s="521">
        <f>MATCH($J483,'Tarieven ZM'!$B:$B,0)</f>
        <v>31</v>
      </c>
      <c r="X483" s="204">
        <f>INDEX('Tarieven ZM'!$H:$H,$W483)</f>
        <v>1000</v>
      </c>
      <c r="Y483" s="198">
        <f>-INDEX(Parameters!$B:$B,MATCH(Y$3&amp;$C483,Parameters!$A:$A,0))*$X483</f>
        <v>0</v>
      </c>
      <c r="Z483" s="198">
        <f>-INDEX(Parameters!$B:$B,MATCH(Z$3&amp;$C483,Parameters!$A:$A,0))*$X483</f>
        <v>0</v>
      </c>
      <c r="AA483" s="139">
        <f t="shared" si="276"/>
        <v>1000</v>
      </c>
      <c r="AB483" s="205">
        <f>AA483/INDEX(Parameters!$B:$B,MATCH("AfschrijftermijnVVE"&amp;12*$C483,Parameters!$A:$A,0))</f>
        <v>16.666666666666668</v>
      </c>
      <c r="AC483" s="204">
        <f>INDEX('Tarieven ZM'!$G:$G,$W483)</f>
        <v>1000</v>
      </c>
      <c r="AD483" s="198">
        <f>-INDEX(Parameters!$B:$B,MATCH(AD$3&amp;$C483,Parameters!$A:$A,0))*$AC483</f>
        <v>0</v>
      </c>
      <c r="AE483" s="198">
        <f>-INDEX(Parameters!$B:$B,MATCH(AE$3,Parameters!$A:$A,0))*$AC483</f>
        <v>0</v>
      </c>
      <c r="AF483" s="139">
        <f t="shared" si="277"/>
        <v>1000</v>
      </c>
      <c r="AG483" s="522">
        <f t="shared" si="278"/>
        <v>1016.6666666666666</v>
      </c>
      <c r="AH483" s="175"/>
      <c r="AI483" s="523">
        <f>MATCH($U483,'Tarieven W&amp;O'!$B:$B,0)</f>
        <v>40</v>
      </c>
      <c r="AJ483" s="204">
        <f>IF(AI483&lt;&gt;"nvt",INDEX('Tarieven W&amp;O'!$H:$H,$AI483),0)</f>
        <v>0</v>
      </c>
      <c r="AK483" s="204">
        <f>IF(AI483&lt;&gt;"nvt",INDEX('Tarieven W&amp;O'!$I:$I,$AI483),0)</f>
        <v>25</v>
      </c>
      <c r="AL483" s="524">
        <f>IF(AI483&lt;&gt;"nvt",-INDEX(Parameters!$B:$B,MATCH(AL$3,Parameters!$A:$A,0))*(AJ483+AK483),0)</f>
        <v>0</v>
      </c>
      <c r="AM483" s="525"/>
      <c r="AN483" s="139">
        <f t="shared" si="279"/>
        <v>25</v>
      </c>
      <c r="AO483" s="205">
        <f>AN483/INDEX(Parameters!$B:$B,MATCH("AfschrijftermijnVVE"&amp;12*$C483,Parameters!$A:$A,0))</f>
        <v>0.41666666666666669</v>
      </c>
      <c r="AP483" s="139">
        <f t="shared" si="280"/>
        <v>40</v>
      </c>
      <c r="AQ483" s="526">
        <f>IF(AP483&lt;&gt;"nvt",INDEX('Tarieven W&amp;O'!$G:$G,$AP483),0)</f>
        <v>18.47</v>
      </c>
      <c r="AR483" s="251">
        <f>IF($S483,INDEX('Tarieven W&amp;O'!$G:$G,MATCH(N483&amp;R483,'Tarieven W&amp;O'!$B:$B,0)),0)</f>
        <v>0</v>
      </c>
      <c r="AS483" s="205">
        <f>-INDEX(Parameters!$B:$B,MATCH(AS$3,Parameters!$A:$A,0))*(AQ483+AR483)</f>
        <v>0</v>
      </c>
      <c r="AT483" s="205">
        <f>INDEX(hulpblad!$E:$E,MATCH(M483&amp;Q483,hulpblad!$B:$B,0))</f>
        <v>2</v>
      </c>
      <c r="AU483" s="150">
        <f t="shared" si="258"/>
        <v>20.47</v>
      </c>
      <c r="AV483" s="150">
        <f t="shared" si="259"/>
        <v>20.886666666666667</v>
      </c>
      <c r="AX483" s="526">
        <f>Parameters!$B$6*AV483</f>
        <v>0.20886666666666667</v>
      </c>
      <c r="AY483" s="150">
        <v>0</v>
      </c>
      <c r="AZ483" s="150"/>
      <c r="BA483" s="150">
        <f t="shared" si="281"/>
        <v>0.20886666666666667</v>
      </c>
      <c r="BB483" s="150"/>
      <c r="BC483" s="522">
        <f t="shared" si="282"/>
        <v>21.095533333333332</v>
      </c>
      <c r="BD483" s="175"/>
      <c r="BE483" s="527">
        <f t="shared" si="262"/>
        <v>995.57113333333325</v>
      </c>
      <c r="BF483" s="181">
        <f t="shared" si="263"/>
        <v>0.97925029508196715</v>
      </c>
      <c r="BG483" s="520" t="b">
        <f t="shared" si="275"/>
        <v>0</v>
      </c>
      <c r="BI483" s="528" t="s">
        <v>2181</v>
      </c>
      <c r="BL483" s="151" t="str">
        <f t="shared" si="265"/>
        <v>EoKMetro - Nationaal</v>
      </c>
      <c r="BM483" s="529">
        <v>0</v>
      </c>
      <c r="BN483" s="180">
        <f>BM483/INDEX(Parameters!$B:$B,MATCH("AfschrijftermijnVVE"&amp;12*$C483,Parameters!$A:$A,0))</f>
        <v>0</v>
      </c>
      <c r="BO483" s="184">
        <f>INDEX('inkoop ULL tbv EVPN'!I:I,MATCH(BL483,'inkoop ULL tbv EVPN'!H:H,0))</f>
        <v>2</v>
      </c>
      <c r="BP483" s="184">
        <f t="shared" si="266"/>
        <v>2</v>
      </c>
      <c r="BR483" s="180">
        <f>Parameters!$B$12*AG483</f>
        <v>101.66666666666667</v>
      </c>
      <c r="BS483" s="180">
        <f>SUM(Distributievergoedingen!$F$12,Distributievergoedingen!$I$12,Distributievergoedingen!$L$12,Distributievergoedingen!$O$12)*AF483+SUM(Distributievergoedingen!$O$12*AA483+Distributievergoedingen!$R$12+Distributievergoedingen!$U$12+Distributievergoedingen!$X$12)/(MAX(36,12*C483))</f>
        <v>111.66666666666667</v>
      </c>
      <c r="BT483" s="150"/>
      <c r="BU483" s="150">
        <f t="shared" si="267"/>
        <v>213.33333333333334</v>
      </c>
      <c r="BW483" s="522">
        <f t="shared" si="268"/>
        <v>215.33333333333334</v>
      </c>
      <c r="BY483" s="527">
        <f t="shared" si="269"/>
        <v>801.33333333333326</v>
      </c>
      <c r="BZ483" s="181">
        <f t="shared" si="270"/>
        <v>0.78819672131147533</v>
      </c>
      <c r="CA483" s="520" t="b">
        <f t="shared" si="271"/>
        <v>0</v>
      </c>
    </row>
    <row r="484" spans="1:79" s="151" customFormat="1">
      <c r="A484" s="151" t="str">
        <f t="shared" si="250"/>
        <v>5EoKEntryRegionaal6</v>
      </c>
      <c r="B484" s="520" t="str">
        <f t="shared" si="272"/>
        <v>5EoKEntryRegionaal6</v>
      </c>
      <c r="C484" s="179">
        <v>5</v>
      </c>
      <c r="D484" s="179" t="s">
        <v>303</v>
      </c>
      <c r="E484" s="178" t="s">
        <v>45</v>
      </c>
      <c r="F484" s="178" t="s">
        <v>265</v>
      </c>
      <c r="G484" s="185" t="s">
        <v>410</v>
      </c>
      <c r="J484" s="520" t="str">
        <f t="shared" si="273"/>
        <v>EntryRegionaal6</v>
      </c>
      <c r="L484" s="204">
        <f>INDEX(Mapping!$H:$H,MATCH(C$3&amp;C484,Mapping!$B:$B,0))</f>
        <v>1</v>
      </c>
      <c r="M484" s="204" t="str">
        <f>INDEX(Mapping!$H:$H,MATCH(D$3&amp;$D484,Mapping!$B:$B,0))</f>
        <v>EoK</v>
      </c>
      <c r="N484" s="204" t="str">
        <f>INDEX(Mapping!$H:$H,MATCH(E$3&amp;E484,Mapping!$B:$B,0))</f>
        <v>Lite</v>
      </c>
      <c r="O484" s="204" t="str">
        <f>INDEX(Mapping!$H:$H,MATCH(F$3&amp;F484,Mapping!$B:$B,0))</f>
        <v>Metro</v>
      </c>
      <c r="P484" s="204">
        <f>INDEX(Mapping!$H:$H,MATCH(G$3&amp;G484,Mapping!$B:$B,0))</f>
        <v>6</v>
      </c>
      <c r="Q484" s="204" t="str">
        <f>INDEX(Mapping!$H:$H,MATCH(Q$3&amp;$F484,Mapping!$B:$B,0))</f>
        <v>Metro - Nationaal</v>
      </c>
      <c r="R484" s="204" t="str">
        <f>INDEX(Mapping!$H:$H,MATCH("ZM VPN Service Level"&amp;E484,Mapping!$B:$B,0))</f>
        <v>Advanced</v>
      </c>
      <c r="S484" s="139" t="b">
        <f>IF($D484="EoK",INDEX(Mapping!$I:$I,MATCH($G$3&amp;$G484,Mapping!B:B,0)),FALSE)</f>
        <v>0</v>
      </c>
      <c r="T484" s="139"/>
      <c r="U484" s="520" t="str">
        <f t="shared" si="274"/>
        <v>LiteMetro6</v>
      </c>
      <c r="W484" s="521">
        <f>MATCH($J484,'Tarieven ZM'!$B:$B,0)</f>
        <v>32</v>
      </c>
      <c r="X484" s="204">
        <f>INDEX('Tarieven ZM'!$H:$H,$W484)</f>
        <v>1000</v>
      </c>
      <c r="Y484" s="198">
        <f>-INDEX(Parameters!$B:$B,MATCH(Y$3&amp;$C484,Parameters!$A:$A,0))*$X484</f>
        <v>0</v>
      </c>
      <c r="Z484" s="198">
        <f>-INDEX(Parameters!$B:$B,MATCH(Z$3&amp;$C484,Parameters!$A:$A,0))*$X484</f>
        <v>0</v>
      </c>
      <c r="AA484" s="139">
        <f t="shared" si="276"/>
        <v>1000</v>
      </c>
      <c r="AB484" s="205">
        <f>AA484/INDEX(Parameters!$B:$B,MATCH("AfschrijftermijnVVE"&amp;12*$C484,Parameters!$A:$A,0))</f>
        <v>16.666666666666668</v>
      </c>
      <c r="AC484" s="204">
        <f>INDEX('Tarieven ZM'!$G:$G,$W484)</f>
        <v>1000</v>
      </c>
      <c r="AD484" s="198">
        <f>-INDEX(Parameters!$B:$B,MATCH(AD$3&amp;$C484,Parameters!$A:$A,0))*$AC484</f>
        <v>0</v>
      </c>
      <c r="AE484" s="198">
        <f>-INDEX(Parameters!$B:$B,MATCH(AE$3,Parameters!$A:$A,0))*$AC484</f>
        <v>0</v>
      </c>
      <c r="AF484" s="139">
        <f t="shared" si="277"/>
        <v>1000</v>
      </c>
      <c r="AG484" s="522">
        <f t="shared" si="278"/>
        <v>1016.6666666666666</v>
      </c>
      <c r="AH484" s="175"/>
      <c r="AI484" s="523">
        <f>MATCH($U484,'Tarieven W&amp;O'!$B:$B,0)</f>
        <v>41</v>
      </c>
      <c r="AJ484" s="204">
        <f>IF(AI484&lt;&gt;"nvt",INDEX('Tarieven W&amp;O'!$H:$H,$AI484),0)</f>
        <v>0</v>
      </c>
      <c r="AK484" s="204">
        <f>IF(AI484&lt;&gt;"nvt",INDEX('Tarieven W&amp;O'!$I:$I,$AI484),0)</f>
        <v>25</v>
      </c>
      <c r="AL484" s="524">
        <f>IF(AI484&lt;&gt;"nvt",-INDEX(Parameters!$B:$B,MATCH(AL$3,Parameters!$A:$A,0))*(AJ484+AK484),0)</f>
        <v>0</v>
      </c>
      <c r="AM484" s="525"/>
      <c r="AN484" s="139">
        <f t="shared" si="279"/>
        <v>25</v>
      </c>
      <c r="AO484" s="205">
        <f>AN484/INDEX(Parameters!$B:$B,MATCH("AfschrijftermijnVVE"&amp;12*$C484,Parameters!$A:$A,0))</f>
        <v>0.41666666666666669</v>
      </c>
      <c r="AP484" s="139">
        <f t="shared" si="280"/>
        <v>41</v>
      </c>
      <c r="AQ484" s="526">
        <f>IF(AP484&lt;&gt;"nvt",INDEX('Tarieven W&amp;O'!$G:$G,$AP484),0)</f>
        <v>18.47</v>
      </c>
      <c r="AR484" s="251">
        <f>IF($S484,INDEX('Tarieven W&amp;O'!$G:$G,MATCH(N484&amp;R484,'Tarieven W&amp;O'!$B:$B,0)),0)</f>
        <v>0</v>
      </c>
      <c r="AS484" s="205">
        <f>-INDEX(Parameters!$B:$B,MATCH(AS$3,Parameters!$A:$A,0))*(AQ484+AR484)</f>
        <v>0</v>
      </c>
      <c r="AT484" s="205">
        <f>INDEX(hulpblad!$E:$E,MATCH(M484&amp;Q484,hulpblad!$B:$B,0))</f>
        <v>2</v>
      </c>
      <c r="AU484" s="150">
        <f t="shared" si="258"/>
        <v>20.47</v>
      </c>
      <c r="AV484" s="150">
        <f t="shared" si="259"/>
        <v>20.886666666666667</v>
      </c>
      <c r="AX484" s="526">
        <f>Parameters!$B$6*AV484</f>
        <v>0.20886666666666667</v>
      </c>
      <c r="AY484" s="150">
        <v>0</v>
      </c>
      <c r="AZ484" s="150"/>
      <c r="BA484" s="150">
        <f t="shared" si="281"/>
        <v>0.20886666666666667</v>
      </c>
      <c r="BB484" s="150"/>
      <c r="BC484" s="522">
        <f t="shared" si="282"/>
        <v>21.095533333333332</v>
      </c>
      <c r="BD484" s="175"/>
      <c r="BE484" s="527">
        <f t="shared" si="262"/>
        <v>995.57113333333325</v>
      </c>
      <c r="BF484" s="181">
        <f t="shared" si="263"/>
        <v>0.97925029508196715</v>
      </c>
      <c r="BG484" s="520" t="b">
        <f t="shared" si="275"/>
        <v>0</v>
      </c>
      <c r="BI484" s="528" t="s">
        <v>2181</v>
      </c>
      <c r="BL484" s="151" t="str">
        <f t="shared" si="265"/>
        <v>EoKMetro - Nationaal</v>
      </c>
      <c r="BM484" s="529">
        <v>0</v>
      </c>
      <c r="BN484" s="180">
        <f>BM484/INDEX(Parameters!$B:$B,MATCH("AfschrijftermijnVVE"&amp;12*$C484,Parameters!$A:$A,0))</f>
        <v>0</v>
      </c>
      <c r="BO484" s="184">
        <f>INDEX('inkoop ULL tbv EVPN'!I:I,MATCH(BL484,'inkoop ULL tbv EVPN'!H:H,0))</f>
        <v>2</v>
      </c>
      <c r="BP484" s="184">
        <f t="shared" si="266"/>
        <v>2</v>
      </c>
      <c r="BR484" s="180">
        <f>Parameters!$B$12*AG484</f>
        <v>101.66666666666667</v>
      </c>
      <c r="BS484" s="180">
        <f>SUM(Distributievergoedingen!$F$12,Distributievergoedingen!$I$12,Distributievergoedingen!$L$12,Distributievergoedingen!$O$12)*AF484+SUM(Distributievergoedingen!$O$12*AA484+Distributievergoedingen!$R$12+Distributievergoedingen!$U$12+Distributievergoedingen!$X$12)/(MAX(36,12*C484))</f>
        <v>111.66666666666667</v>
      </c>
      <c r="BT484" s="150"/>
      <c r="BU484" s="150">
        <f t="shared" si="267"/>
        <v>213.33333333333334</v>
      </c>
      <c r="BW484" s="522">
        <f t="shared" si="268"/>
        <v>215.33333333333334</v>
      </c>
      <c r="BY484" s="527">
        <f t="shared" si="269"/>
        <v>801.33333333333326</v>
      </c>
      <c r="BZ484" s="181">
        <f t="shared" si="270"/>
        <v>0.78819672131147533</v>
      </c>
      <c r="CA484" s="520" t="b">
        <f t="shared" si="271"/>
        <v>0</v>
      </c>
    </row>
    <row r="485" spans="1:79" s="151" customFormat="1">
      <c r="A485" s="151" t="str">
        <f t="shared" si="250"/>
        <v>5EoKEntryRegionaal8</v>
      </c>
      <c r="B485" s="520" t="str">
        <f t="shared" si="272"/>
        <v>5EoKEntryRegionaal8</v>
      </c>
      <c r="C485" s="179">
        <v>5</v>
      </c>
      <c r="D485" s="179" t="s">
        <v>303</v>
      </c>
      <c r="E485" s="178" t="s">
        <v>45</v>
      </c>
      <c r="F485" s="178" t="s">
        <v>265</v>
      </c>
      <c r="G485" s="185" t="s">
        <v>411</v>
      </c>
      <c r="J485" s="520" t="str">
        <f t="shared" si="273"/>
        <v>EntryRegionaal8</v>
      </c>
      <c r="L485" s="204">
        <f>INDEX(Mapping!$H:$H,MATCH(C$3&amp;C485,Mapping!$B:$B,0))</f>
        <v>1</v>
      </c>
      <c r="M485" s="204" t="str">
        <f>INDEX(Mapping!$H:$H,MATCH(D$3&amp;$D485,Mapping!$B:$B,0))</f>
        <v>EoK</v>
      </c>
      <c r="N485" s="204" t="str">
        <f>INDEX(Mapping!$H:$H,MATCH(E$3&amp;E485,Mapping!$B:$B,0))</f>
        <v>Lite</v>
      </c>
      <c r="O485" s="204" t="str">
        <f>INDEX(Mapping!$H:$H,MATCH(F$3&amp;F485,Mapping!$B:$B,0))</f>
        <v>Metro</v>
      </c>
      <c r="P485" s="204">
        <f>INDEX(Mapping!$H:$H,MATCH(G$3&amp;G485,Mapping!$B:$B,0))</f>
        <v>8</v>
      </c>
      <c r="Q485" s="204" t="str">
        <f>INDEX(Mapping!$H:$H,MATCH(Q$3&amp;$F485,Mapping!$B:$B,0))</f>
        <v>Metro - Nationaal</v>
      </c>
      <c r="R485" s="204" t="str">
        <f>INDEX(Mapping!$H:$H,MATCH("ZM VPN Service Level"&amp;E485,Mapping!$B:$B,0))</f>
        <v>Advanced</v>
      </c>
      <c r="S485" s="139" t="b">
        <f>IF($D485="EoK",INDEX(Mapping!$I:$I,MATCH($G$3&amp;$G485,Mapping!B:B,0)),FALSE)</f>
        <v>0</v>
      </c>
      <c r="T485" s="139"/>
      <c r="U485" s="520" t="str">
        <f t="shared" si="274"/>
        <v>LiteMetro8</v>
      </c>
      <c r="W485" s="521">
        <f>MATCH($J485,'Tarieven ZM'!$B:$B,0)</f>
        <v>33</v>
      </c>
      <c r="X485" s="204">
        <f>INDEX('Tarieven ZM'!$H:$H,$W485)</f>
        <v>1000</v>
      </c>
      <c r="Y485" s="198">
        <f>-INDEX(Parameters!$B:$B,MATCH(Y$3&amp;$C485,Parameters!$A:$A,0))*$X485</f>
        <v>0</v>
      </c>
      <c r="Z485" s="198">
        <f>-INDEX(Parameters!$B:$B,MATCH(Z$3&amp;$C485,Parameters!$A:$A,0))*$X485</f>
        <v>0</v>
      </c>
      <c r="AA485" s="139">
        <f t="shared" si="276"/>
        <v>1000</v>
      </c>
      <c r="AB485" s="205">
        <f>AA485/INDEX(Parameters!$B:$B,MATCH("AfschrijftermijnVVE"&amp;12*$C485,Parameters!$A:$A,0))</f>
        <v>16.666666666666668</v>
      </c>
      <c r="AC485" s="204">
        <f>INDEX('Tarieven ZM'!$G:$G,$W485)</f>
        <v>1000</v>
      </c>
      <c r="AD485" s="198">
        <f>-INDEX(Parameters!$B:$B,MATCH(AD$3&amp;$C485,Parameters!$A:$A,0))*$AC485</f>
        <v>0</v>
      </c>
      <c r="AE485" s="198">
        <f>-INDEX(Parameters!$B:$B,MATCH(AE$3,Parameters!$A:$A,0))*$AC485</f>
        <v>0</v>
      </c>
      <c r="AF485" s="139">
        <f t="shared" si="277"/>
        <v>1000</v>
      </c>
      <c r="AG485" s="522">
        <f t="shared" si="278"/>
        <v>1016.6666666666666</v>
      </c>
      <c r="AH485" s="175"/>
      <c r="AI485" s="523">
        <f>MATCH($U485,'Tarieven W&amp;O'!$B:$B,0)</f>
        <v>42</v>
      </c>
      <c r="AJ485" s="204">
        <f>IF(AI485&lt;&gt;"nvt",INDEX('Tarieven W&amp;O'!$H:$H,$AI485),0)</f>
        <v>0</v>
      </c>
      <c r="AK485" s="204">
        <f>IF(AI485&lt;&gt;"nvt",INDEX('Tarieven W&amp;O'!$I:$I,$AI485),0)</f>
        <v>25</v>
      </c>
      <c r="AL485" s="524">
        <f>IF(AI485&lt;&gt;"nvt",-INDEX(Parameters!$B:$B,MATCH(AL$3,Parameters!$A:$A,0))*(AJ485+AK485),0)</f>
        <v>0</v>
      </c>
      <c r="AM485" s="525"/>
      <c r="AN485" s="139">
        <f t="shared" si="279"/>
        <v>25</v>
      </c>
      <c r="AO485" s="205">
        <f>AN485/INDEX(Parameters!$B:$B,MATCH("AfschrijftermijnVVE"&amp;12*$C485,Parameters!$A:$A,0))</f>
        <v>0.41666666666666669</v>
      </c>
      <c r="AP485" s="139">
        <f t="shared" si="280"/>
        <v>42</v>
      </c>
      <c r="AQ485" s="526">
        <f>IF(AP485&lt;&gt;"nvt",INDEX('Tarieven W&amp;O'!$G:$G,$AP485),0)</f>
        <v>18.47</v>
      </c>
      <c r="AR485" s="251">
        <f>IF($S485,INDEX('Tarieven W&amp;O'!$G:$G,MATCH(N485&amp;R485,'Tarieven W&amp;O'!$B:$B,0)),0)</f>
        <v>0</v>
      </c>
      <c r="AS485" s="205">
        <f>-INDEX(Parameters!$B:$B,MATCH(AS$3,Parameters!$A:$A,0))*(AQ485+AR485)</f>
        <v>0</v>
      </c>
      <c r="AT485" s="205">
        <f>INDEX(hulpblad!$E:$E,MATCH(M485&amp;Q485,hulpblad!$B:$B,0))</f>
        <v>2</v>
      </c>
      <c r="AU485" s="150">
        <f t="shared" si="258"/>
        <v>20.47</v>
      </c>
      <c r="AV485" s="150">
        <f t="shared" si="259"/>
        <v>20.886666666666667</v>
      </c>
      <c r="AX485" s="526">
        <f>Parameters!$B$6*AV485</f>
        <v>0.20886666666666667</v>
      </c>
      <c r="AY485" s="150">
        <v>0</v>
      </c>
      <c r="AZ485" s="150"/>
      <c r="BA485" s="150">
        <f t="shared" si="281"/>
        <v>0.20886666666666667</v>
      </c>
      <c r="BB485" s="150"/>
      <c r="BC485" s="522">
        <f t="shared" si="282"/>
        <v>21.095533333333332</v>
      </c>
      <c r="BD485" s="175"/>
      <c r="BE485" s="527">
        <f t="shared" si="262"/>
        <v>995.57113333333325</v>
      </c>
      <c r="BF485" s="181">
        <f t="shared" si="263"/>
        <v>0.97925029508196715</v>
      </c>
      <c r="BG485" s="520" t="b">
        <f t="shared" si="275"/>
        <v>0</v>
      </c>
      <c r="BI485" s="528" t="s">
        <v>2181</v>
      </c>
      <c r="BL485" s="151" t="str">
        <f t="shared" si="265"/>
        <v>EoKMetro - Nationaal</v>
      </c>
      <c r="BM485" s="529">
        <v>0</v>
      </c>
      <c r="BN485" s="180">
        <f>BM485/INDEX(Parameters!$B:$B,MATCH("AfschrijftermijnVVE"&amp;12*$C485,Parameters!$A:$A,0))</f>
        <v>0</v>
      </c>
      <c r="BO485" s="184">
        <f>INDEX('inkoop ULL tbv EVPN'!I:I,MATCH(BL485,'inkoop ULL tbv EVPN'!H:H,0))</f>
        <v>2</v>
      </c>
      <c r="BP485" s="184">
        <f t="shared" si="266"/>
        <v>2</v>
      </c>
      <c r="BR485" s="180">
        <f>Parameters!$B$12*AG485</f>
        <v>101.66666666666667</v>
      </c>
      <c r="BS485" s="180">
        <f>SUM(Distributievergoedingen!$F$12,Distributievergoedingen!$I$12,Distributievergoedingen!$L$12,Distributievergoedingen!$O$12)*AF485+SUM(Distributievergoedingen!$O$12*AA485+Distributievergoedingen!$R$12+Distributievergoedingen!$U$12+Distributievergoedingen!$X$12)/(MAX(36,12*C485))</f>
        <v>111.66666666666667</v>
      </c>
      <c r="BT485" s="150"/>
      <c r="BU485" s="150">
        <f t="shared" si="267"/>
        <v>213.33333333333334</v>
      </c>
      <c r="BW485" s="522">
        <f t="shared" si="268"/>
        <v>215.33333333333334</v>
      </c>
      <c r="BY485" s="527">
        <f t="shared" si="269"/>
        <v>801.33333333333326</v>
      </c>
      <c r="BZ485" s="181">
        <f t="shared" si="270"/>
        <v>0.78819672131147533</v>
      </c>
      <c r="CA485" s="520" t="b">
        <f t="shared" si="271"/>
        <v>0</v>
      </c>
    </row>
    <row r="486" spans="1:79" s="151" customFormat="1">
      <c r="A486" s="151" t="str">
        <f t="shared" si="250"/>
        <v>5EoKEntryRegionaal10</v>
      </c>
      <c r="B486" s="520" t="str">
        <f t="shared" si="272"/>
        <v>5EoKEntryRegionaal10</v>
      </c>
      <c r="C486" s="179">
        <v>5</v>
      </c>
      <c r="D486" s="179" t="s">
        <v>303</v>
      </c>
      <c r="E486" s="178" t="s">
        <v>45</v>
      </c>
      <c r="F486" s="178" t="s">
        <v>265</v>
      </c>
      <c r="G486" s="185" t="s">
        <v>412</v>
      </c>
      <c r="J486" s="520" t="str">
        <f t="shared" si="273"/>
        <v>EntryRegionaal10</v>
      </c>
      <c r="L486" s="204">
        <f>INDEX(Mapping!$H:$H,MATCH(C$3&amp;C486,Mapping!$B:$B,0))</f>
        <v>1</v>
      </c>
      <c r="M486" s="204" t="str">
        <f>INDEX(Mapping!$H:$H,MATCH(D$3&amp;$D486,Mapping!$B:$B,0))</f>
        <v>EoK</v>
      </c>
      <c r="N486" s="204" t="str">
        <f>INDEX(Mapping!$H:$H,MATCH(E$3&amp;E486,Mapping!$B:$B,0))</f>
        <v>Lite</v>
      </c>
      <c r="O486" s="204" t="str">
        <f>INDEX(Mapping!$H:$H,MATCH(F$3&amp;F486,Mapping!$B:$B,0))</f>
        <v>Metro</v>
      </c>
      <c r="P486" s="204">
        <f>INDEX(Mapping!$H:$H,MATCH(G$3&amp;G486,Mapping!$B:$B,0))</f>
        <v>10</v>
      </c>
      <c r="Q486" s="204" t="str">
        <f>INDEX(Mapping!$H:$H,MATCH(Q$3&amp;$F486,Mapping!$B:$B,0))</f>
        <v>Metro - Nationaal</v>
      </c>
      <c r="R486" s="204" t="str">
        <f>INDEX(Mapping!$H:$H,MATCH("ZM VPN Service Level"&amp;E486,Mapping!$B:$B,0))</f>
        <v>Advanced</v>
      </c>
      <c r="S486" s="139" t="b">
        <f>IF($D486="EoK",INDEX(Mapping!$I:$I,MATCH($G$3&amp;$G486,Mapping!B:B,0)),FALSE)</f>
        <v>0</v>
      </c>
      <c r="T486" s="139"/>
      <c r="U486" s="520" t="str">
        <f t="shared" si="274"/>
        <v>LiteMetro10</v>
      </c>
      <c r="W486" s="521">
        <f>MATCH($J486,'Tarieven ZM'!$B:$B,0)</f>
        <v>34</v>
      </c>
      <c r="X486" s="204">
        <f>INDEX('Tarieven ZM'!$H:$H,$W486)</f>
        <v>1000</v>
      </c>
      <c r="Y486" s="198">
        <f>-INDEX(Parameters!$B:$B,MATCH(Y$3&amp;$C486,Parameters!$A:$A,0))*$X486</f>
        <v>0</v>
      </c>
      <c r="Z486" s="198">
        <f>-INDEX(Parameters!$B:$B,MATCH(Z$3&amp;$C486,Parameters!$A:$A,0))*$X486</f>
        <v>0</v>
      </c>
      <c r="AA486" s="139">
        <f t="shared" si="276"/>
        <v>1000</v>
      </c>
      <c r="AB486" s="205">
        <f>AA486/INDEX(Parameters!$B:$B,MATCH("AfschrijftermijnVVE"&amp;12*$C486,Parameters!$A:$A,0))</f>
        <v>16.666666666666668</v>
      </c>
      <c r="AC486" s="204">
        <f>INDEX('Tarieven ZM'!$G:$G,$W486)</f>
        <v>1000</v>
      </c>
      <c r="AD486" s="198">
        <f>-INDEX(Parameters!$B:$B,MATCH(AD$3&amp;$C486,Parameters!$A:$A,0))*$AC486</f>
        <v>0</v>
      </c>
      <c r="AE486" s="198">
        <f>-INDEX(Parameters!$B:$B,MATCH(AE$3,Parameters!$A:$A,0))*$AC486</f>
        <v>0</v>
      </c>
      <c r="AF486" s="139">
        <f t="shared" si="277"/>
        <v>1000</v>
      </c>
      <c r="AG486" s="522">
        <f t="shared" si="278"/>
        <v>1016.6666666666666</v>
      </c>
      <c r="AH486" s="175"/>
      <c r="AI486" s="523">
        <f>MATCH($U486,'Tarieven W&amp;O'!$B:$B,0)</f>
        <v>43</v>
      </c>
      <c r="AJ486" s="204">
        <f>IF(AI486&lt;&gt;"nvt",INDEX('Tarieven W&amp;O'!$H:$H,$AI486),0)</f>
        <v>0</v>
      </c>
      <c r="AK486" s="204">
        <f>IF(AI486&lt;&gt;"nvt",INDEX('Tarieven W&amp;O'!$I:$I,$AI486),0)</f>
        <v>25</v>
      </c>
      <c r="AL486" s="524">
        <f>IF(AI486&lt;&gt;"nvt",-INDEX(Parameters!$B:$B,MATCH(AL$3,Parameters!$A:$A,0))*(AJ486+AK486),0)</f>
        <v>0</v>
      </c>
      <c r="AM486" s="525"/>
      <c r="AN486" s="139">
        <f t="shared" si="279"/>
        <v>25</v>
      </c>
      <c r="AO486" s="205">
        <f>AN486/INDEX(Parameters!$B:$B,MATCH("AfschrijftermijnVVE"&amp;12*$C486,Parameters!$A:$A,0))</f>
        <v>0.41666666666666669</v>
      </c>
      <c r="AP486" s="139">
        <f t="shared" si="280"/>
        <v>43</v>
      </c>
      <c r="AQ486" s="526">
        <f>IF(AP486&lt;&gt;"nvt",INDEX('Tarieven W&amp;O'!$G:$G,$AP486),0)</f>
        <v>18.47</v>
      </c>
      <c r="AR486" s="251">
        <f>IF($S486,INDEX('Tarieven W&amp;O'!$G:$G,MATCH(N486&amp;R486,'Tarieven W&amp;O'!$B:$B,0)),0)</f>
        <v>0</v>
      </c>
      <c r="AS486" s="205">
        <f>-INDEX(Parameters!$B:$B,MATCH(AS$3,Parameters!$A:$A,0))*(AQ486+AR486)</f>
        <v>0</v>
      </c>
      <c r="AT486" s="205">
        <f>INDEX(hulpblad!$E:$E,MATCH(M486&amp;Q486,hulpblad!$B:$B,0))</f>
        <v>2</v>
      </c>
      <c r="AU486" s="150">
        <f t="shared" si="258"/>
        <v>20.47</v>
      </c>
      <c r="AV486" s="150">
        <f t="shared" si="259"/>
        <v>20.886666666666667</v>
      </c>
      <c r="AX486" s="526">
        <f>Parameters!$B$6*AV486</f>
        <v>0.20886666666666667</v>
      </c>
      <c r="AY486" s="150">
        <v>0</v>
      </c>
      <c r="AZ486" s="150"/>
      <c r="BA486" s="150">
        <f t="shared" si="281"/>
        <v>0.20886666666666667</v>
      </c>
      <c r="BB486" s="150"/>
      <c r="BC486" s="522">
        <f t="shared" si="282"/>
        <v>21.095533333333332</v>
      </c>
      <c r="BD486" s="175"/>
      <c r="BE486" s="527">
        <f t="shared" si="262"/>
        <v>995.57113333333325</v>
      </c>
      <c r="BF486" s="181">
        <f t="shared" si="263"/>
        <v>0.97925029508196715</v>
      </c>
      <c r="BG486" s="520" t="b">
        <f t="shared" si="275"/>
        <v>0</v>
      </c>
      <c r="BI486" s="528" t="s">
        <v>2181</v>
      </c>
      <c r="BL486" s="151" t="str">
        <f t="shared" si="265"/>
        <v>EoKMetro - Nationaal</v>
      </c>
      <c r="BM486" s="529">
        <v>0</v>
      </c>
      <c r="BN486" s="180">
        <f>BM486/INDEX(Parameters!$B:$B,MATCH("AfschrijftermijnVVE"&amp;12*$C486,Parameters!$A:$A,0))</f>
        <v>0</v>
      </c>
      <c r="BO486" s="184">
        <f>INDEX('inkoop ULL tbv EVPN'!I:I,MATCH(BL486,'inkoop ULL tbv EVPN'!H:H,0))</f>
        <v>2</v>
      </c>
      <c r="BP486" s="184">
        <f t="shared" si="266"/>
        <v>2</v>
      </c>
      <c r="BR486" s="180">
        <f>Parameters!$B$12*AG486</f>
        <v>101.66666666666667</v>
      </c>
      <c r="BS486" s="180">
        <f>SUM(Distributievergoedingen!$F$12,Distributievergoedingen!$I$12,Distributievergoedingen!$L$12,Distributievergoedingen!$O$12)*AF486+SUM(Distributievergoedingen!$O$12*AA486+Distributievergoedingen!$R$12+Distributievergoedingen!$U$12+Distributievergoedingen!$X$12)/(MAX(36,12*C486))</f>
        <v>111.66666666666667</v>
      </c>
      <c r="BT486" s="150"/>
      <c r="BU486" s="150">
        <f t="shared" si="267"/>
        <v>213.33333333333334</v>
      </c>
      <c r="BW486" s="522">
        <f t="shared" si="268"/>
        <v>215.33333333333334</v>
      </c>
      <c r="BY486" s="527">
        <f t="shared" si="269"/>
        <v>801.33333333333326</v>
      </c>
      <c r="BZ486" s="181">
        <f t="shared" si="270"/>
        <v>0.78819672131147533</v>
      </c>
      <c r="CA486" s="520" t="b">
        <f t="shared" si="271"/>
        <v>0</v>
      </c>
    </row>
    <row r="487" spans="1:79" s="151" customFormat="1">
      <c r="A487" s="151" t="str">
        <f t="shared" si="250"/>
        <v>5EoKEntryRegionaal15</v>
      </c>
      <c r="B487" s="520" t="str">
        <f t="shared" si="272"/>
        <v>5EoKEntryRegionaal15</v>
      </c>
      <c r="C487" s="179">
        <v>5</v>
      </c>
      <c r="D487" s="179" t="s">
        <v>303</v>
      </c>
      <c r="E487" s="178" t="s">
        <v>45</v>
      </c>
      <c r="F487" s="178" t="s">
        <v>265</v>
      </c>
      <c r="G487" s="185" t="s">
        <v>413</v>
      </c>
      <c r="J487" s="520" t="str">
        <f t="shared" si="273"/>
        <v>EntryRegionaal15</v>
      </c>
      <c r="L487" s="204">
        <f>INDEX(Mapping!$H:$H,MATCH(C$3&amp;C487,Mapping!$B:$B,0))</f>
        <v>1</v>
      </c>
      <c r="M487" s="204" t="str">
        <f>INDEX(Mapping!$H:$H,MATCH(D$3&amp;$D487,Mapping!$B:$B,0))</f>
        <v>EoK</v>
      </c>
      <c r="N487" s="204" t="str">
        <f>INDEX(Mapping!$H:$H,MATCH(E$3&amp;E487,Mapping!$B:$B,0))</f>
        <v>Lite</v>
      </c>
      <c r="O487" s="204" t="str">
        <f>INDEX(Mapping!$H:$H,MATCH(F$3&amp;F487,Mapping!$B:$B,0))</f>
        <v>Metro</v>
      </c>
      <c r="P487" s="204">
        <f>INDEX(Mapping!$H:$H,MATCH(G$3&amp;G487,Mapping!$B:$B,0))</f>
        <v>15</v>
      </c>
      <c r="Q487" s="204" t="str">
        <f>INDEX(Mapping!$H:$H,MATCH(Q$3&amp;$F487,Mapping!$B:$B,0))</f>
        <v>Metro - Nationaal</v>
      </c>
      <c r="R487" s="204" t="str">
        <f>INDEX(Mapping!$H:$H,MATCH("ZM VPN Service Level"&amp;E487,Mapping!$B:$B,0))</f>
        <v>Advanced</v>
      </c>
      <c r="S487" s="139" t="b">
        <f>IF($D487="EoK",INDEX(Mapping!$I:$I,MATCH($G$3&amp;$G487,Mapping!B:B,0)),FALSE)</f>
        <v>0</v>
      </c>
      <c r="T487" s="139"/>
      <c r="U487" s="520" t="str">
        <f t="shared" si="274"/>
        <v>LiteMetro15</v>
      </c>
      <c r="W487" s="521">
        <f>MATCH($J487,'Tarieven ZM'!$B:$B,0)</f>
        <v>35</v>
      </c>
      <c r="X487" s="204">
        <f>INDEX('Tarieven ZM'!$H:$H,$W487)</f>
        <v>1000</v>
      </c>
      <c r="Y487" s="198">
        <f>-INDEX(Parameters!$B:$B,MATCH(Y$3&amp;$C487,Parameters!$A:$A,0))*$X487</f>
        <v>0</v>
      </c>
      <c r="Z487" s="198">
        <f>-INDEX(Parameters!$B:$B,MATCH(Z$3&amp;$C487,Parameters!$A:$A,0))*$X487</f>
        <v>0</v>
      </c>
      <c r="AA487" s="139">
        <f t="shared" si="276"/>
        <v>1000</v>
      </c>
      <c r="AB487" s="205">
        <f>AA487/INDEX(Parameters!$B:$B,MATCH("AfschrijftermijnVVE"&amp;12*$C487,Parameters!$A:$A,0))</f>
        <v>16.666666666666668</v>
      </c>
      <c r="AC487" s="204">
        <f>INDEX('Tarieven ZM'!$G:$G,$W487)</f>
        <v>1000</v>
      </c>
      <c r="AD487" s="198">
        <f>-INDEX(Parameters!$B:$B,MATCH(AD$3&amp;$C487,Parameters!$A:$A,0))*$AC487</f>
        <v>0</v>
      </c>
      <c r="AE487" s="198">
        <f>-INDEX(Parameters!$B:$B,MATCH(AE$3,Parameters!$A:$A,0))*$AC487</f>
        <v>0</v>
      </c>
      <c r="AF487" s="139">
        <f t="shared" si="277"/>
        <v>1000</v>
      </c>
      <c r="AG487" s="522">
        <f t="shared" si="278"/>
        <v>1016.6666666666666</v>
      </c>
      <c r="AH487" s="175"/>
      <c r="AI487" s="523">
        <f>MATCH($U487,'Tarieven W&amp;O'!$B:$B,0)</f>
        <v>44</v>
      </c>
      <c r="AJ487" s="204">
        <f>IF(AI487&lt;&gt;"nvt",INDEX('Tarieven W&amp;O'!$H:$H,$AI487),0)</f>
        <v>0</v>
      </c>
      <c r="AK487" s="204">
        <f>IF(AI487&lt;&gt;"nvt",INDEX('Tarieven W&amp;O'!$I:$I,$AI487),0)</f>
        <v>25</v>
      </c>
      <c r="AL487" s="524">
        <f>IF(AI487&lt;&gt;"nvt",-INDEX(Parameters!$B:$B,MATCH(AL$3,Parameters!$A:$A,0))*(AJ487+AK487),0)</f>
        <v>0</v>
      </c>
      <c r="AM487" s="525"/>
      <c r="AN487" s="139">
        <f t="shared" si="279"/>
        <v>25</v>
      </c>
      <c r="AO487" s="205">
        <f>AN487/INDEX(Parameters!$B:$B,MATCH("AfschrijftermijnVVE"&amp;12*$C487,Parameters!$A:$A,0))</f>
        <v>0.41666666666666669</v>
      </c>
      <c r="AP487" s="139">
        <f t="shared" si="280"/>
        <v>44</v>
      </c>
      <c r="AQ487" s="526">
        <f>IF(AP487&lt;&gt;"nvt",INDEX('Tarieven W&amp;O'!$G:$G,$AP487),0)</f>
        <v>22.24</v>
      </c>
      <c r="AR487" s="251">
        <f>IF($S487,INDEX('Tarieven W&amp;O'!$G:$G,MATCH(N487&amp;R487,'Tarieven W&amp;O'!$B:$B,0)),0)</f>
        <v>0</v>
      </c>
      <c r="AS487" s="205">
        <f>-INDEX(Parameters!$B:$B,MATCH(AS$3,Parameters!$A:$A,0))*(AQ487+AR487)</f>
        <v>0</v>
      </c>
      <c r="AT487" s="205">
        <f>INDEX(hulpblad!$E:$E,MATCH(M487&amp;Q487,hulpblad!$B:$B,0))</f>
        <v>2</v>
      </c>
      <c r="AU487" s="150">
        <f t="shared" si="258"/>
        <v>24.24</v>
      </c>
      <c r="AV487" s="150">
        <f t="shared" si="259"/>
        <v>24.656666666666666</v>
      </c>
      <c r="AX487" s="526">
        <f>Parameters!$B$6*AV487</f>
        <v>0.24656666666666666</v>
      </c>
      <c r="AY487" s="150">
        <v>0</v>
      </c>
      <c r="AZ487" s="150"/>
      <c r="BA487" s="150">
        <f t="shared" si="281"/>
        <v>0.24656666666666666</v>
      </c>
      <c r="BB487" s="150"/>
      <c r="BC487" s="522">
        <f t="shared" si="282"/>
        <v>24.903233333333333</v>
      </c>
      <c r="BD487" s="175"/>
      <c r="BE487" s="527">
        <f t="shared" si="262"/>
        <v>991.7634333333333</v>
      </c>
      <c r="BF487" s="181">
        <f t="shared" si="263"/>
        <v>0.97550501639344267</v>
      </c>
      <c r="BG487" s="520" t="b">
        <f t="shared" si="275"/>
        <v>0</v>
      </c>
      <c r="BI487" s="528" t="s">
        <v>2181</v>
      </c>
      <c r="BL487" s="151" t="str">
        <f t="shared" si="265"/>
        <v>EoKMetro - Nationaal</v>
      </c>
      <c r="BM487" s="529">
        <v>0</v>
      </c>
      <c r="BN487" s="180">
        <f>BM487/INDEX(Parameters!$B:$B,MATCH("AfschrijftermijnVVE"&amp;12*$C487,Parameters!$A:$A,0))</f>
        <v>0</v>
      </c>
      <c r="BO487" s="184">
        <f>INDEX('inkoop ULL tbv EVPN'!I:I,MATCH(BL487,'inkoop ULL tbv EVPN'!H:H,0))</f>
        <v>2</v>
      </c>
      <c r="BP487" s="184">
        <f t="shared" si="266"/>
        <v>2</v>
      </c>
      <c r="BR487" s="180">
        <f>Parameters!$B$12*AG487</f>
        <v>101.66666666666667</v>
      </c>
      <c r="BS487" s="180">
        <f>SUM(Distributievergoedingen!$F$12,Distributievergoedingen!$I$12,Distributievergoedingen!$L$12,Distributievergoedingen!$O$12)*AF487+SUM(Distributievergoedingen!$O$12*AA487+Distributievergoedingen!$R$12+Distributievergoedingen!$U$12+Distributievergoedingen!$X$12)/(MAX(36,12*C487))</f>
        <v>111.66666666666667</v>
      </c>
      <c r="BT487" s="150"/>
      <c r="BU487" s="150">
        <f t="shared" si="267"/>
        <v>213.33333333333334</v>
      </c>
      <c r="BW487" s="522">
        <f t="shared" si="268"/>
        <v>215.33333333333334</v>
      </c>
      <c r="BY487" s="527">
        <f t="shared" si="269"/>
        <v>801.33333333333326</v>
      </c>
      <c r="BZ487" s="181">
        <f t="shared" si="270"/>
        <v>0.78819672131147533</v>
      </c>
      <c r="CA487" s="520" t="b">
        <f t="shared" si="271"/>
        <v>0</v>
      </c>
    </row>
    <row r="488" spans="1:79" s="151" customFormat="1">
      <c r="A488" s="151" t="str">
        <f t="shared" si="250"/>
        <v>5EoKEntryRegionaal20</v>
      </c>
      <c r="B488" s="520" t="str">
        <f t="shared" si="272"/>
        <v>5EoKEntryRegionaal20</v>
      </c>
      <c r="C488" s="179">
        <v>5</v>
      </c>
      <c r="D488" s="179" t="s">
        <v>303</v>
      </c>
      <c r="E488" s="178" t="s">
        <v>45</v>
      </c>
      <c r="F488" s="178" t="s">
        <v>265</v>
      </c>
      <c r="G488" s="185" t="s">
        <v>414</v>
      </c>
      <c r="J488" s="520" t="str">
        <f t="shared" si="273"/>
        <v>EntryRegionaal20</v>
      </c>
      <c r="L488" s="204">
        <f>INDEX(Mapping!$H:$H,MATCH(C$3&amp;C488,Mapping!$B:$B,0))</f>
        <v>1</v>
      </c>
      <c r="M488" s="204" t="str">
        <f>INDEX(Mapping!$H:$H,MATCH(D$3&amp;$D488,Mapping!$B:$B,0))</f>
        <v>EoK</v>
      </c>
      <c r="N488" s="204" t="str">
        <f>INDEX(Mapping!$H:$H,MATCH(E$3&amp;E488,Mapping!$B:$B,0))</f>
        <v>Lite</v>
      </c>
      <c r="O488" s="204" t="str">
        <f>INDEX(Mapping!$H:$H,MATCH(F$3&amp;F488,Mapping!$B:$B,0))</f>
        <v>Metro</v>
      </c>
      <c r="P488" s="204">
        <f>INDEX(Mapping!$H:$H,MATCH(G$3&amp;G488,Mapping!$B:$B,0))</f>
        <v>20</v>
      </c>
      <c r="Q488" s="204" t="str">
        <f>INDEX(Mapping!$H:$H,MATCH(Q$3&amp;$F488,Mapping!$B:$B,0))</f>
        <v>Metro - Nationaal</v>
      </c>
      <c r="R488" s="204" t="str">
        <f>INDEX(Mapping!$H:$H,MATCH("ZM VPN Service Level"&amp;E488,Mapping!$B:$B,0))</f>
        <v>Advanced</v>
      </c>
      <c r="S488" s="139" t="b">
        <f>IF($D488="EoK",INDEX(Mapping!$I:$I,MATCH($G$3&amp;$G488,Mapping!B:B,0)),FALSE)</f>
        <v>0</v>
      </c>
      <c r="T488" s="139"/>
      <c r="U488" s="520" t="str">
        <f t="shared" si="274"/>
        <v>LiteMetro20</v>
      </c>
      <c r="W488" s="521">
        <f>MATCH($J488,'Tarieven ZM'!$B:$B,0)</f>
        <v>36</v>
      </c>
      <c r="X488" s="204">
        <f>INDEX('Tarieven ZM'!$H:$H,$W488)</f>
        <v>1000</v>
      </c>
      <c r="Y488" s="198">
        <f>-INDEX(Parameters!$B:$B,MATCH(Y$3&amp;$C488,Parameters!$A:$A,0))*$X488</f>
        <v>0</v>
      </c>
      <c r="Z488" s="198">
        <f>-INDEX(Parameters!$B:$B,MATCH(Z$3&amp;$C488,Parameters!$A:$A,0))*$X488</f>
        <v>0</v>
      </c>
      <c r="AA488" s="139">
        <f t="shared" si="276"/>
        <v>1000</v>
      </c>
      <c r="AB488" s="205">
        <f>AA488/INDEX(Parameters!$B:$B,MATCH("AfschrijftermijnVVE"&amp;12*$C488,Parameters!$A:$A,0))</f>
        <v>16.666666666666668</v>
      </c>
      <c r="AC488" s="204">
        <f>INDEX('Tarieven ZM'!$G:$G,$W488)</f>
        <v>1000</v>
      </c>
      <c r="AD488" s="198">
        <f>-INDEX(Parameters!$B:$B,MATCH(AD$3&amp;$C488,Parameters!$A:$A,0))*$AC488</f>
        <v>0</v>
      </c>
      <c r="AE488" s="198">
        <f>-INDEX(Parameters!$B:$B,MATCH(AE$3,Parameters!$A:$A,0))*$AC488</f>
        <v>0</v>
      </c>
      <c r="AF488" s="139">
        <f t="shared" si="277"/>
        <v>1000</v>
      </c>
      <c r="AG488" s="522">
        <f t="shared" si="278"/>
        <v>1016.6666666666666</v>
      </c>
      <c r="AH488" s="175"/>
      <c r="AI488" s="523">
        <f>MATCH($U488,'Tarieven W&amp;O'!$B:$B,0)</f>
        <v>45</v>
      </c>
      <c r="AJ488" s="204">
        <f>IF(AI488&lt;&gt;"nvt",INDEX('Tarieven W&amp;O'!$H:$H,$AI488),0)</f>
        <v>0</v>
      </c>
      <c r="AK488" s="204">
        <f>IF(AI488&lt;&gt;"nvt",INDEX('Tarieven W&amp;O'!$I:$I,$AI488),0)</f>
        <v>25</v>
      </c>
      <c r="AL488" s="524">
        <f>IF(AI488&lt;&gt;"nvt",-INDEX(Parameters!$B:$B,MATCH(AL$3,Parameters!$A:$A,0))*(AJ488+AK488),0)</f>
        <v>0</v>
      </c>
      <c r="AM488" s="525"/>
      <c r="AN488" s="139">
        <f t="shared" si="279"/>
        <v>25</v>
      </c>
      <c r="AO488" s="205">
        <f>AN488/INDEX(Parameters!$B:$B,MATCH("AfschrijftermijnVVE"&amp;12*$C488,Parameters!$A:$A,0))</f>
        <v>0.41666666666666669</v>
      </c>
      <c r="AP488" s="139">
        <f t="shared" si="280"/>
        <v>45</v>
      </c>
      <c r="AQ488" s="526">
        <f>IF(AP488&lt;&gt;"nvt",INDEX('Tarieven W&amp;O'!$G:$G,$AP488),0)</f>
        <v>29.78</v>
      </c>
      <c r="AR488" s="251">
        <f>IF($S488,INDEX('Tarieven W&amp;O'!$G:$G,MATCH(N488&amp;R488,'Tarieven W&amp;O'!$B:$B,0)),0)</f>
        <v>0</v>
      </c>
      <c r="AS488" s="205">
        <f>-INDEX(Parameters!$B:$B,MATCH(AS$3,Parameters!$A:$A,0))*(AQ488+AR488)</f>
        <v>0</v>
      </c>
      <c r="AT488" s="205">
        <f>INDEX(hulpblad!$E:$E,MATCH(M488&amp;Q488,hulpblad!$B:$B,0))</f>
        <v>2</v>
      </c>
      <c r="AU488" s="150">
        <f t="shared" si="258"/>
        <v>31.78</v>
      </c>
      <c r="AV488" s="150">
        <f t="shared" si="259"/>
        <v>32.196666666666665</v>
      </c>
      <c r="AX488" s="526">
        <f>Parameters!$B$6*AV488</f>
        <v>0.32196666666666668</v>
      </c>
      <c r="AY488" s="150">
        <v>0</v>
      </c>
      <c r="AZ488" s="150"/>
      <c r="BA488" s="150">
        <f t="shared" si="281"/>
        <v>0.32196666666666668</v>
      </c>
      <c r="BB488" s="150"/>
      <c r="BC488" s="522">
        <f t="shared" si="282"/>
        <v>32.518633333333334</v>
      </c>
      <c r="BD488" s="175"/>
      <c r="BE488" s="527">
        <f t="shared" si="262"/>
        <v>984.14803333333327</v>
      </c>
      <c r="BF488" s="181">
        <f t="shared" si="263"/>
        <v>0.96801445901639338</v>
      </c>
      <c r="BG488" s="520" t="b">
        <f t="shared" si="275"/>
        <v>0</v>
      </c>
      <c r="BI488" s="528" t="s">
        <v>2181</v>
      </c>
      <c r="BL488" s="151" t="str">
        <f t="shared" si="265"/>
        <v>EoKMetro - Nationaal</v>
      </c>
      <c r="BM488" s="529">
        <v>0</v>
      </c>
      <c r="BN488" s="180">
        <f>BM488/INDEX(Parameters!$B:$B,MATCH("AfschrijftermijnVVE"&amp;12*$C488,Parameters!$A:$A,0))</f>
        <v>0</v>
      </c>
      <c r="BO488" s="184">
        <f>INDEX('inkoop ULL tbv EVPN'!I:I,MATCH(BL488,'inkoop ULL tbv EVPN'!H:H,0))</f>
        <v>2</v>
      </c>
      <c r="BP488" s="184">
        <f t="shared" si="266"/>
        <v>2</v>
      </c>
      <c r="BR488" s="180">
        <f>Parameters!$B$12*AG488</f>
        <v>101.66666666666667</v>
      </c>
      <c r="BS488" s="180">
        <f>SUM(Distributievergoedingen!$F$12,Distributievergoedingen!$I$12,Distributievergoedingen!$L$12,Distributievergoedingen!$O$12)*AF488+SUM(Distributievergoedingen!$O$12*AA488+Distributievergoedingen!$R$12+Distributievergoedingen!$U$12+Distributievergoedingen!$X$12)/(MAX(36,12*C488))</f>
        <v>111.66666666666667</v>
      </c>
      <c r="BT488" s="150"/>
      <c r="BU488" s="150">
        <f t="shared" si="267"/>
        <v>213.33333333333334</v>
      </c>
      <c r="BW488" s="522">
        <f t="shared" si="268"/>
        <v>215.33333333333334</v>
      </c>
      <c r="BY488" s="527">
        <f t="shared" si="269"/>
        <v>801.33333333333326</v>
      </c>
      <c r="BZ488" s="181">
        <f t="shared" si="270"/>
        <v>0.78819672131147533</v>
      </c>
      <c r="CA488" s="520" t="b">
        <f t="shared" si="271"/>
        <v>0</v>
      </c>
    </row>
    <row r="489" spans="1:79" s="151" customFormat="1">
      <c r="A489" s="151" t="str">
        <f t="shared" si="250"/>
        <v>5EoKEntryRegionaal30</v>
      </c>
      <c r="B489" s="520" t="str">
        <f t="shared" si="272"/>
        <v>5EoKEntryRegionaal30</v>
      </c>
      <c r="C489" s="179">
        <v>5</v>
      </c>
      <c r="D489" s="179" t="s">
        <v>303</v>
      </c>
      <c r="E489" s="178" t="s">
        <v>45</v>
      </c>
      <c r="F489" s="178" t="s">
        <v>265</v>
      </c>
      <c r="G489" s="185" t="s">
        <v>415</v>
      </c>
      <c r="J489" s="520" t="str">
        <f t="shared" si="273"/>
        <v>EntryRegionaal30</v>
      </c>
      <c r="L489" s="204">
        <f>INDEX(Mapping!$H:$H,MATCH(C$3&amp;C489,Mapping!$B:$B,0))</f>
        <v>1</v>
      </c>
      <c r="M489" s="204" t="str">
        <f>INDEX(Mapping!$H:$H,MATCH(D$3&amp;$D489,Mapping!$B:$B,0))</f>
        <v>EoK</v>
      </c>
      <c r="N489" s="204" t="str">
        <f>INDEX(Mapping!$H:$H,MATCH(E$3&amp;E489,Mapping!$B:$B,0))</f>
        <v>Lite</v>
      </c>
      <c r="O489" s="204" t="str">
        <f>INDEX(Mapping!$H:$H,MATCH(F$3&amp;F489,Mapping!$B:$B,0))</f>
        <v>Metro</v>
      </c>
      <c r="P489" s="204">
        <f>INDEX(Mapping!$H:$H,MATCH(G$3&amp;G489,Mapping!$B:$B,0))</f>
        <v>30</v>
      </c>
      <c r="Q489" s="204" t="str">
        <f>INDEX(Mapping!$H:$H,MATCH(Q$3&amp;$F489,Mapping!$B:$B,0))</f>
        <v>Metro - Nationaal</v>
      </c>
      <c r="R489" s="204" t="str">
        <f>INDEX(Mapping!$H:$H,MATCH("ZM VPN Service Level"&amp;E489,Mapping!$B:$B,0))</f>
        <v>Advanced</v>
      </c>
      <c r="S489" s="139" t="b">
        <f>IF($D489="EoK",INDEX(Mapping!$I:$I,MATCH($G$3&amp;$G489,Mapping!B:B,0)),FALSE)</f>
        <v>0</v>
      </c>
      <c r="T489" s="139"/>
      <c r="U489" s="520" t="str">
        <f t="shared" si="274"/>
        <v>LiteMetro30</v>
      </c>
      <c r="W489" s="521">
        <f>MATCH($J489,'Tarieven ZM'!$B:$B,0)</f>
        <v>37</v>
      </c>
      <c r="X489" s="204">
        <f>INDEX('Tarieven ZM'!$H:$H,$W489)</f>
        <v>1000</v>
      </c>
      <c r="Y489" s="198">
        <f>-INDEX(Parameters!$B:$B,MATCH(Y$3&amp;$C489,Parameters!$A:$A,0))*$X489</f>
        <v>0</v>
      </c>
      <c r="Z489" s="198">
        <f>-INDEX(Parameters!$B:$B,MATCH(Z$3&amp;$C489,Parameters!$A:$A,0))*$X489</f>
        <v>0</v>
      </c>
      <c r="AA489" s="139">
        <f t="shared" si="276"/>
        <v>1000</v>
      </c>
      <c r="AB489" s="205">
        <f>AA489/INDEX(Parameters!$B:$B,MATCH("AfschrijftermijnVVE"&amp;12*$C489,Parameters!$A:$A,0))</f>
        <v>16.666666666666668</v>
      </c>
      <c r="AC489" s="204">
        <f>INDEX('Tarieven ZM'!$G:$G,$W489)</f>
        <v>1000</v>
      </c>
      <c r="AD489" s="198">
        <f>-INDEX(Parameters!$B:$B,MATCH(AD$3&amp;$C489,Parameters!$A:$A,0))*$AC489</f>
        <v>0</v>
      </c>
      <c r="AE489" s="198">
        <f>-INDEX(Parameters!$B:$B,MATCH(AE$3,Parameters!$A:$A,0))*$AC489</f>
        <v>0</v>
      </c>
      <c r="AF489" s="139">
        <f t="shared" si="277"/>
        <v>1000</v>
      </c>
      <c r="AG489" s="522">
        <f t="shared" si="278"/>
        <v>1016.6666666666666</v>
      </c>
      <c r="AH489" s="175"/>
      <c r="AI489" s="523">
        <f>MATCH($U489,'Tarieven W&amp;O'!$B:$B,0)</f>
        <v>46</v>
      </c>
      <c r="AJ489" s="204">
        <f>IF(AI489&lt;&gt;"nvt",INDEX('Tarieven W&amp;O'!$H:$H,$AI489),0)</f>
        <v>0</v>
      </c>
      <c r="AK489" s="204">
        <f>IF(AI489&lt;&gt;"nvt",INDEX('Tarieven W&amp;O'!$I:$I,$AI489),0)</f>
        <v>25</v>
      </c>
      <c r="AL489" s="524">
        <f>IF(AI489&lt;&gt;"nvt",-INDEX(Parameters!$B:$B,MATCH(AL$3,Parameters!$A:$A,0))*(AJ489+AK489),0)</f>
        <v>0</v>
      </c>
      <c r="AM489" s="525"/>
      <c r="AN489" s="139">
        <f t="shared" si="279"/>
        <v>25</v>
      </c>
      <c r="AO489" s="205">
        <f>AN489/INDEX(Parameters!$B:$B,MATCH("AfschrijftermijnVVE"&amp;12*$C489,Parameters!$A:$A,0))</f>
        <v>0.41666666666666669</v>
      </c>
      <c r="AP489" s="139">
        <f t="shared" si="280"/>
        <v>46</v>
      </c>
      <c r="AQ489" s="526">
        <f>IF(AP489&lt;&gt;"nvt",INDEX('Tarieven W&amp;O'!$G:$G,$AP489),0)</f>
        <v>33.54</v>
      </c>
      <c r="AR489" s="251">
        <f>IF($S489,INDEX('Tarieven W&amp;O'!$G:$G,MATCH(N489&amp;R489,'Tarieven W&amp;O'!$B:$B,0)),0)</f>
        <v>0</v>
      </c>
      <c r="AS489" s="205">
        <f>-INDEX(Parameters!$B:$B,MATCH(AS$3,Parameters!$A:$A,0))*(AQ489+AR489)</f>
        <v>0</v>
      </c>
      <c r="AT489" s="205">
        <f>INDEX(hulpblad!$E:$E,MATCH(M489&amp;Q489,hulpblad!$B:$B,0))</f>
        <v>2</v>
      </c>
      <c r="AU489" s="150">
        <f t="shared" si="258"/>
        <v>35.54</v>
      </c>
      <c r="AV489" s="150">
        <f t="shared" si="259"/>
        <v>35.956666666666663</v>
      </c>
      <c r="AX489" s="526">
        <f>Parameters!$B$6*AV489</f>
        <v>0.35956666666666665</v>
      </c>
      <c r="AY489" s="150">
        <v>0</v>
      </c>
      <c r="AZ489" s="150"/>
      <c r="BA489" s="150">
        <f t="shared" si="281"/>
        <v>0.35956666666666665</v>
      </c>
      <c r="BB489" s="150"/>
      <c r="BC489" s="522">
        <f t="shared" si="282"/>
        <v>36.316233333333329</v>
      </c>
      <c r="BD489" s="175"/>
      <c r="BE489" s="527">
        <f t="shared" si="262"/>
        <v>980.35043333333329</v>
      </c>
      <c r="BF489" s="181">
        <f t="shared" si="263"/>
        <v>0.96427911475409833</v>
      </c>
      <c r="BG489" s="520" t="b">
        <f t="shared" si="275"/>
        <v>0</v>
      </c>
      <c r="BI489" s="528" t="s">
        <v>2181</v>
      </c>
      <c r="BL489" s="151" t="str">
        <f t="shared" si="265"/>
        <v>EoKMetro - Nationaal</v>
      </c>
      <c r="BM489" s="529">
        <v>0</v>
      </c>
      <c r="BN489" s="180">
        <f>BM489/INDEX(Parameters!$B:$B,MATCH("AfschrijftermijnVVE"&amp;12*$C489,Parameters!$A:$A,0))</f>
        <v>0</v>
      </c>
      <c r="BO489" s="184">
        <f>INDEX('inkoop ULL tbv EVPN'!I:I,MATCH(BL489,'inkoop ULL tbv EVPN'!H:H,0))</f>
        <v>2</v>
      </c>
      <c r="BP489" s="184">
        <f t="shared" si="266"/>
        <v>2</v>
      </c>
      <c r="BR489" s="180">
        <f>Parameters!$B$12*AG489</f>
        <v>101.66666666666667</v>
      </c>
      <c r="BS489" s="180">
        <f>SUM(Distributievergoedingen!$F$12,Distributievergoedingen!$I$12,Distributievergoedingen!$L$12,Distributievergoedingen!$O$12)*AF489+SUM(Distributievergoedingen!$O$12*AA489+Distributievergoedingen!$R$12+Distributievergoedingen!$U$12+Distributievergoedingen!$X$12)/(MAX(36,12*C489))</f>
        <v>111.66666666666667</v>
      </c>
      <c r="BT489" s="150"/>
      <c r="BU489" s="150">
        <f t="shared" si="267"/>
        <v>213.33333333333334</v>
      </c>
      <c r="BW489" s="522">
        <f t="shared" si="268"/>
        <v>215.33333333333334</v>
      </c>
      <c r="BY489" s="527">
        <f t="shared" si="269"/>
        <v>801.33333333333326</v>
      </c>
      <c r="BZ489" s="181">
        <f t="shared" si="270"/>
        <v>0.78819672131147533</v>
      </c>
      <c r="CA489" s="520" t="b">
        <f t="shared" si="271"/>
        <v>0</v>
      </c>
    </row>
    <row r="490" spans="1:79" s="151" customFormat="1">
      <c r="A490" s="151" t="str">
        <f t="shared" si="250"/>
        <v>5EoKEntryRegionaal50</v>
      </c>
      <c r="B490" s="520" t="str">
        <f t="shared" si="272"/>
        <v>5EoKEntryRegionaal50</v>
      </c>
      <c r="C490" s="179">
        <v>5</v>
      </c>
      <c r="D490" s="179" t="s">
        <v>303</v>
      </c>
      <c r="E490" s="178" t="s">
        <v>45</v>
      </c>
      <c r="F490" s="178" t="s">
        <v>265</v>
      </c>
      <c r="G490" s="185" t="s">
        <v>416</v>
      </c>
      <c r="J490" s="520" t="str">
        <f t="shared" si="273"/>
        <v>EntryRegionaal50</v>
      </c>
      <c r="L490" s="204">
        <f>INDEX(Mapping!$H:$H,MATCH(C$3&amp;C490,Mapping!$B:$B,0))</f>
        <v>1</v>
      </c>
      <c r="M490" s="204" t="str">
        <f>INDEX(Mapping!$H:$H,MATCH(D$3&amp;$D490,Mapping!$B:$B,0))</f>
        <v>EoK</v>
      </c>
      <c r="N490" s="204" t="str">
        <f>INDEX(Mapping!$H:$H,MATCH(E$3&amp;E490,Mapping!$B:$B,0))</f>
        <v>Lite</v>
      </c>
      <c r="O490" s="204" t="str">
        <f>INDEX(Mapping!$H:$H,MATCH(F$3&amp;F490,Mapping!$B:$B,0))</f>
        <v>Metro</v>
      </c>
      <c r="P490" s="204">
        <f>INDEX(Mapping!$H:$H,MATCH(G$3&amp;G490,Mapping!$B:$B,0))</f>
        <v>50</v>
      </c>
      <c r="Q490" s="204" t="str">
        <f>INDEX(Mapping!$H:$H,MATCH(Q$3&amp;$F490,Mapping!$B:$B,0))</f>
        <v>Metro - Nationaal</v>
      </c>
      <c r="R490" s="204" t="str">
        <f>INDEX(Mapping!$H:$H,MATCH("ZM VPN Service Level"&amp;E490,Mapping!$B:$B,0))</f>
        <v>Advanced</v>
      </c>
      <c r="S490" s="139" t="b">
        <f>IF($D490="EoK",INDEX(Mapping!$I:$I,MATCH($G$3&amp;$G490,Mapping!B:B,0)),FALSE)</f>
        <v>0</v>
      </c>
      <c r="T490" s="139"/>
      <c r="U490" s="520" t="str">
        <f t="shared" si="274"/>
        <v>LiteMetro50</v>
      </c>
      <c r="W490" s="521">
        <f>MATCH($J490,'Tarieven ZM'!$B:$B,0)</f>
        <v>38</v>
      </c>
      <c r="X490" s="204">
        <f>INDEX('Tarieven ZM'!$H:$H,$W490)</f>
        <v>1000</v>
      </c>
      <c r="Y490" s="198">
        <f>-INDEX(Parameters!$B:$B,MATCH(Y$3&amp;$C490,Parameters!$A:$A,0))*$X490</f>
        <v>0</v>
      </c>
      <c r="Z490" s="198">
        <f>-INDEX(Parameters!$B:$B,MATCH(Z$3&amp;$C490,Parameters!$A:$A,0))*$X490</f>
        <v>0</v>
      </c>
      <c r="AA490" s="139">
        <f t="shared" si="276"/>
        <v>1000</v>
      </c>
      <c r="AB490" s="205">
        <f>AA490/INDEX(Parameters!$B:$B,MATCH("AfschrijftermijnVVE"&amp;12*$C490,Parameters!$A:$A,0))</f>
        <v>16.666666666666668</v>
      </c>
      <c r="AC490" s="204">
        <f>INDEX('Tarieven ZM'!$G:$G,$W490)</f>
        <v>1000</v>
      </c>
      <c r="AD490" s="198">
        <f>-INDEX(Parameters!$B:$B,MATCH(AD$3&amp;$C490,Parameters!$A:$A,0))*$AC490</f>
        <v>0</v>
      </c>
      <c r="AE490" s="198">
        <f>-INDEX(Parameters!$B:$B,MATCH(AE$3,Parameters!$A:$A,0))*$AC490</f>
        <v>0</v>
      </c>
      <c r="AF490" s="139">
        <f t="shared" si="277"/>
        <v>1000</v>
      </c>
      <c r="AG490" s="522">
        <f t="shared" si="278"/>
        <v>1016.6666666666666</v>
      </c>
      <c r="AH490" s="175"/>
      <c r="AI490" s="523">
        <f>MATCH($U490,'Tarieven W&amp;O'!$B:$B,0)</f>
        <v>47</v>
      </c>
      <c r="AJ490" s="204">
        <f>IF(AI490&lt;&gt;"nvt",INDEX('Tarieven W&amp;O'!$H:$H,$AI490),0)</f>
        <v>0</v>
      </c>
      <c r="AK490" s="204">
        <f>IF(AI490&lt;&gt;"nvt",INDEX('Tarieven W&amp;O'!$I:$I,$AI490),0)</f>
        <v>25</v>
      </c>
      <c r="AL490" s="524">
        <f>IF(AI490&lt;&gt;"nvt",-INDEX(Parameters!$B:$B,MATCH(AL$3,Parameters!$A:$A,0))*(AJ490+AK490),0)</f>
        <v>0</v>
      </c>
      <c r="AM490" s="525"/>
      <c r="AN490" s="139">
        <f t="shared" si="279"/>
        <v>25</v>
      </c>
      <c r="AO490" s="205">
        <f>AN490/INDEX(Parameters!$B:$B,MATCH("AfschrijftermijnVVE"&amp;12*$C490,Parameters!$A:$A,0))</f>
        <v>0.41666666666666669</v>
      </c>
      <c r="AP490" s="139">
        <f t="shared" si="280"/>
        <v>47</v>
      </c>
      <c r="AQ490" s="526">
        <f>IF(AP490&lt;&gt;"nvt",INDEX('Tarieven W&amp;O'!$G:$G,$AP490),0)</f>
        <v>48.62</v>
      </c>
      <c r="AR490" s="251">
        <f>IF($S490,INDEX('Tarieven W&amp;O'!$G:$G,MATCH(N490&amp;R490,'Tarieven W&amp;O'!$B:$B,0)),0)</f>
        <v>0</v>
      </c>
      <c r="AS490" s="205">
        <f>-INDEX(Parameters!$B:$B,MATCH(AS$3,Parameters!$A:$A,0))*(AQ490+AR490)</f>
        <v>0</v>
      </c>
      <c r="AT490" s="205">
        <f>INDEX(hulpblad!$E:$E,MATCH(M490&amp;Q490,hulpblad!$B:$B,0))</f>
        <v>2</v>
      </c>
      <c r="AU490" s="150">
        <f t="shared" si="258"/>
        <v>50.62</v>
      </c>
      <c r="AV490" s="150">
        <f t="shared" si="259"/>
        <v>51.036666666666662</v>
      </c>
      <c r="AX490" s="526">
        <f>Parameters!$B$6*AV490</f>
        <v>0.51036666666666664</v>
      </c>
      <c r="AY490" s="150">
        <v>0</v>
      </c>
      <c r="AZ490" s="150"/>
      <c r="BA490" s="150">
        <f t="shared" si="281"/>
        <v>0.51036666666666664</v>
      </c>
      <c r="BB490" s="150"/>
      <c r="BC490" s="522">
        <f t="shared" si="282"/>
        <v>51.547033333333331</v>
      </c>
      <c r="BD490" s="175"/>
      <c r="BE490" s="527">
        <f t="shared" si="262"/>
        <v>965.11963333333324</v>
      </c>
      <c r="BF490" s="181">
        <f t="shared" si="263"/>
        <v>0.94929799999999998</v>
      </c>
      <c r="BG490" s="520" t="b">
        <f t="shared" si="275"/>
        <v>0</v>
      </c>
      <c r="BI490" s="528" t="s">
        <v>2181</v>
      </c>
      <c r="BL490" s="151" t="str">
        <f t="shared" si="265"/>
        <v>EoKMetro - Nationaal</v>
      </c>
      <c r="BM490" s="529">
        <v>0</v>
      </c>
      <c r="BN490" s="180">
        <f>BM490/INDEX(Parameters!$B:$B,MATCH("AfschrijftermijnVVE"&amp;12*$C490,Parameters!$A:$A,0))</f>
        <v>0</v>
      </c>
      <c r="BO490" s="184">
        <f>INDEX('inkoop ULL tbv EVPN'!I:I,MATCH(BL490,'inkoop ULL tbv EVPN'!H:H,0))</f>
        <v>2</v>
      </c>
      <c r="BP490" s="184">
        <f t="shared" si="266"/>
        <v>2</v>
      </c>
      <c r="BR490" s="180">
        <f>Parameters!$B$12*AG490</f>
        <v>101.66666666666667</v>
      </c>
      <c r="BS490" s="180">
        <f>SUM(Distributievergoedingen!$F$12,Distributievergoedingen!$I$12,Distributievergoedingen!$L$12,Distributievergoedingen!$O$12)*AF490+SUM(Distributievergoedingen!$O$12*AA490+Distributievergoedingen!$R$12+Distributievergoedingen!$U$12+Distributievergoedingen!$X$12)/(MAX(36,12*C490))</f>
        <v>111.66666666666667</v>
      </c>
      <c r="BT490" s="150"/>
      <c r="BU490" s="150">
        <f t="shared" si="267"/>
        <v>213.33333333333334</v>
      </c>
      <c r="BW490" s="522">
        <f t="shared" si="268"/>
        <v>215.33333333333334</v>
      </c>
      <c r="BY490" s="527">
        <f t="shared" si="269"/>
        <v>801.33333333333326</v>
      </c>
      <c r="BZ490" s="181">
        <f t="shared" si="270"/>
        <v>0.78819672131147533</v>
      </c>
      <c r="CA490" s="520" t="b">
        <f t="shared" si="271"/>
        <v>0</v>
      </c>
    </row>
    <row r="491" spans="1:79" s="151" customFormat="1">
      <c r="A491" s="151" t="str">
        <f t="shared" si="250"/>
        <v>5EoKEntryRegionaal80</v>
      </c>
      <c r="B491" s="520" t="str">
        <f t="shared" si="272"/>
        <v>5EoKEntryRegionaal80</v>
      </c>
      <c r="C491" s="179">
        <v>5</v>
      </c>
      <c r="D491" s="179" t="s">
        <v>303</v>
      </c>
      <c r="E491" s="178" t="s">
        <v>45</v>
      </c>
      <c r="F491" s="178" t="s">
        <v>265</v>
      </c>
      <c r="G491" s="185" t="s">
        <v>417</v>
      </c>
      <c r="J491" s="520" t="str">
        <f t="shared" si="273"/>
        <v>EntryRegionaal80</v>
      </c>
      <c r="L491" s="204">
        <f>INDEX(Mapping!$H:$H,MATCH(C$3&amp;C491,Mapping!$B:$B,0))</f>
        <v>1</v>
      </c>
      <c r="M491" s="204" t="str">
        <f>INDEX(Mapping!$H:$H,MATCH(D$3&amp;$D491,Mapping!$B:$B,0))</f>
        <v>EoK</v>
      </c>
      <c r="N491" s="204" t="str">
        <f>INDEX(Mapping!$H:$H,MATCH(E$3&amp;E491,Mapping!$B:$B,0))</f>
        <v>Lite</v>
      </c>
      <c r="O491" s="204" t="str">
        <f>INDEX(Mapping!$H:$H,MATCH(F$3&amp;F491,Mapping!$B:$B,0))</f>
        <v>Metro</v>
      </c>
      <c r="P491" s="204">
        <f>INDEX(Mapping!$H:$H,MATCH(G$3&amp;G491,Mapping!$B:$B,0))</f>
        <v>80</v>
      </c>
      <c r="Q491" s="204" t="str">
        <f>INDEX(Mapping!$H:$H,MATCH(Q$3&amp;$F491,Mapping!$B:$B,0))</f>
        <v>Metro - Nationaal</v>
      </c>
      <c r="R491" s="204" t="str">
        <f>INDEX(Mapping!$H:$H,MATCH("ZM VPN Service Level"&amp;E491,Mapping!$B:$B,0))</f>
        <v>Advanced</v>
      </c>
      <c r="S491" s="139" t="b">
        <f>IF($D491="EoK",INDEX(Mapping!$I:$I,MATCH($G$3&amp;$G491,Mapping!B:B,0)),FALSE)</f>
        <v>0</v>
      </c>
      <c r="T491" s="139"/>
      <c r="U491" s="520" t="str">
        <f t="shared" si="274"/>
        <v>LiteMetro80</v>
      </c>
      <c r="W491" s="521">
        <f>MATCH($J491,'Tarieven ZM'!$B:$B,0)</f>
        <v>39</v>
      </c>
      <c r="X491" s="204">
        <f>INDEX('Tarieven ZM'!$H:$H,$W491)</f>
        <v>1000</v>
      </c>
      <c r="Y491" s="198">
        <f>-INDEX(Parameters!$B:$B,MATCH(Y$3&amp;$C491,Parameters!$A:$A,0))*$X491</f>
        <v>0</v>
      </c>
      <c r="Z491" s="198">
        <f>-INDEX(Parameters!$B:$B,MATCH(Z$3&amp;$C491,Parameters!$A:$A,0))*$X491</f>
        <v>0</v>
      </c>
      <c r="AA491" s="139">
        <f t="shared" si="276"/>
        <v>1000</v>
      </c>
      <c r="AB491" s="205">
        <f>AA491/INDEX(Parameters!$B:$B,MATCH("AfschrijftermijnVVE"&amp;12*$C491,Parameters!$A:$A,0))</f>
        <v>16.666666666666668</v>
      </c>
      <c r="AC491" s="204">
        <f>INDEX('Tarieven ZM'!$G:$G,$W491)</f>
        <v>1000</v>
      </c>
      <c r="AD491" s="198">
        <f>-INDEX(Parameters!$B:$B,MATCH(AD$3&amp;$C491,Parameters!$A:$A,0))*$AC491</f>
        <v>0</v>
      </c>
      <c r="AE491" s="198">
        <f>-INDEX(Parameters!$B:$B,MATCH(AE$3,Parameters!$A:$A,0))*$AC491</f>
        <v>0</v>
      </c>
      <c r="AF491" s="139">
        <f t="shared" si="277"/>
        <v>1000</v>
      </c>
      <c r="AG491" s="522">
        <f t="shared" si="278"/>
        <v>1016.6666666666666</v>
      </c>
      <c r="AH491" s="175"/>
      <c r="AI491" s="523">
        <f>MATCH($U491,'Tarieven W&amp;O'!$B:$B,0)</f>
        <v>48</v>
      </c>
      <c r="AJ491" s="204">
        <f>IF(AI491&lt;&gt;"nvt",INDEX('Tarieven W&amp;O'!$H:$H,$AI491),0)</f>
        <v>0</v>
      </c>
      <c r="AK491" s="204">
        <f>IF(AI491&lt;&gt;"nvt",INDEX('Tarieven W&amp;O'!$I:$I,$AI491),0)</f>
        <v>25</v>
      </c>
      <c r="AL491" s="524">
        <f>IF(AI491&lt;&gt;"nvt",-INDEX(Parameters!$B:$B,MATCH(AL$3,Parameters!$A:$A,0))*(AJ491+AK491),0)</f>
        <v>0</v>
      </c>
      <c r="AM491" s="525"/>
      <c r="AN491" s="139">
        <f t="shared" si="279"/>
        <v>25</v>
      </c>
      <c r="AO491" s="205">
        <f>AN491/INDEX(Parameters!$B:$B,MATCH("AfschrijftermijnVVE"&amp;12*$C491,Parameters!$A:$A,0))</f>
        <v>0.41666666666666669</v>
      </c>
      <c r="AP491" s="139">
        <f t="shared" si="280"/>
        <v>48</v>
      </c>
      <c r="AQ491" s="526">
        <f>IF(AP491&lt;&gt;"nvt",INDEX('Tarieven W&amp;O'!$G:$G,$AP491),0)</f>
        <v>63.7</v>
      </c>
      <c r="AR491" s="251">
        <f>IF($S491,INDEX('Tarieven W&amp;O'!$G:$G,MATCH(N491&amp;R491,'Tarieven W&amp;O'!$B:$B,0)),0)</f>
        <v>0</v>
      </c>
      <c r="AS491" s="205">
        <f>-INDEX(Parameters!$B:$B,MATCH(AS$3,Parameters!$A:$A,0))*(AQ491+AR491)</f>
        <v>0</v>
      </c>
      <c r="AT491" s="205">
        <f>INDEX(hulpblad!$E:$E,MATCH(M491&amp;Q491,hulpblad!$B:$B,0))</f>
        <v>2</v>
      </c>
      <c r="AU491" s="150">
        <f t="shared" si="258"/>
        <v>65.7</v>
      </c>
      <c r="AV491" s="150">
        <f t="shared" si="259"/>
        <v>66.116666666666674</v>
      </c>
      <c r="AX491" s="526">
        <f>Parameters!$B$6*AV491</f>
        <v>0.66116666666666679</v>
      </c>
      <c r="AY491" s="150">
        <v>0</v>
      </c>
      <c r="AZ491" s="150"/>
      <c r="BA491" s="150">
        <f t="shared" si="281"/>
        <v>0.66116666666666679</v>
      </c>
      <c r="BB491" s="150"/>
      <c r="BC491" s="522">
        <f t="shared" si="282"/>
        <v>66.777833333333348</v>
      </c>
      <c r="BD491" s="175"/>
      <c r="BE491" s="527">
        <f t="shared" si="262"/>
        <v>949.88883333333331</v>
      </c>
      <c r="BF491" s="181">
        <f t="shared" si="263"/>
        <v>0.93431688524590162</v>
      </c>
      <c r="BG491" s="520" t="b">
        <f t="shared" si="275"/>
        <v>0</v>
      </c>
      <c r="BI491" s="528" t="s">
        <v>2181</v>
      </c>
      <c r="BL491" s="151" t="str">
        <f t="shared" si="265"/>
        <v>EoKMetro - Nationaal</v>
      </c>
      <c r="BM491" s="529">
        <v>0</v>
      </c>
      <c r="BN491" s="180">
        <f>BM491/INDEX(Parameters!$B:$B,MATCH("AfschrijftermijnVVE"&amp;12*$C491,Parameters!$A:$A,0))</f>
        <v>0</v>
      </c>
      <c r="BO491" s="184">
        <f>INDEX('inkoop ULL tbv EVPN'!I:I,MATCH(BL491,'inkoop ULL tbv EVPN'!H:H,0))</f>
        <v>2</v>
      </c>
      <c r="BP491" s="184">
        <f t="shared" si="266"/>
        <v>2</v>
      </c>
      <c r="BR491" s="180">
        <f>Parameters!$B$12*AG491</f>
        <v>101.66666666666667</v>
      </c>
      <c r="BS491" s="180">
        <f>SUM(Distributievergoedingen!$F$12,Distributievergoedingen!$I$12,Distributievergoedingen!$L$12,Distributievergoedingen!$O$12)*AF491+SUM(Distributievergoedingen!$O$12*AA491+Distributievergoedingen!$R$12+Distributievergoedingen!$U$12+Distributievergoedingen!$X$12)/(MAX(36,12*C491))</f>
        <v>111.66666666666667</v>
      </c>
      <c r="BT491" s="150"/>
      <c r="BU491" s="150">
        <f t="shared" si="267"/>
        <v>213.33333333333334</v>
      </c>
      <c r="BW491" s="522">
        <f t="shared" si="268"/>
        <v>215.33333333333334</v>
      </c>
      <c r="BY491" s="527">
        <f t="shared" si="269"/>
        <v>801.33333333333326</v>
      </c>
      <c r="BZ491" s="181">
        <f t="shared" si="270"/>
        <v>0.78819672131147533</v>
      </c>
      <c r="CA491" s="520" t="b">
        <f t="shared" si="271"/>
        <v>0</v>
      </c>
    </row>
    <row r="492" spans="1:79" s="151" customFormat="1">
      <c r="A492" s="151" t="str">
        <f t="shared" si="250"/>
        <v>5EoKEntryRegionaal100</v>
      </c>
      <c r="B492" s="520" t="str">
        <f t="shared" si="272"/>
        <v>5EoKEntryRegionaal100</v>
      </c>
      <c r="C492" s="179">
        <v>5</v>
      </c>
      <c r="D492" s="179" t="s">
        <v>303</v>
      </c>
      <c r="E492" s="178" t="s">
        <v>45</v>
      </c>
      <c r="F492" s="178" t="s">
        <v>265</v>
      </c>
      <c r="G492" s="185" t="s">
        <v>418</v>
      </c>
      <c r="J492" s="520" t="str">
        <f t="shared" si="273"/>
        <v>EntryRegionaal100</v>
      </c>
      <c r="L492" s="204">
        <f>INDEX(Mapping!$H:$H,MATCH(C$3&amp;C492,Mapping!$B:$B,0))</f>
        <v>1</v>
      </c>
      <c r="M492" s="204" t="str">
        <f>INDEX(Mapping!$H:$H,MATCH(D$3&amp;$D492,Mapping!$B:$B,0))</f>
        <v>EoK</v>
      </c>
      <c r="N492" s="204" t="str">
        <f>INDEX(Mapping!$H:$H,MATCH(E$3&amp;E492,Mapping!$B:$B,0))</f>
        <v>Lite</v>
      </c>
      <c r="O492" s="204" t="str">
        <f>INDEX(Mapping!$H:$H,MATCH(F$3&amp;F492,Mapping!$B:$B,0))</f>
        <v>Metro</v>
      </c>
      <c r="P492" s="204">
        <f>INDEX(Mapping!$H:$H,MATCH(G$3&amp;G492,Mapping!$B:$B,0))</f>
        <v>100</v>
      </c>
      <c r="Q492" s="204" t="str">
        <f>INDEX(Mapping!$H:$H,MATCH(Q$3&amp;$F492,Mapping!$B:$B,0))</f>
        <v>Metro - Nationaal</v>
      </c>
      <c r="R492" s="204" t="str">
        <f>INDEX(Mapping!$H:$H,MATCH("ZM VPN Service Level"&amp;E492,Mapping!$B:$B,0))</f>
        <v>Advanced</v>
      </c>
      <c r="S492" s="139" t="b">
        <f>IF($D492="EoK",INDEX(Mapping!$I:$I,MATCH($G$3&amp;$G492,Mapping!B:B,0)),FALSE)</f>
        <v>0</v>
      </c>
      <c r="T492" s="139"/>
      <c r="U492" s="520" t="str">
        <f t="shared" si="274"/>
        <v>LiteMetro100</v>
      </c>
      <c r="W492" s="521">
        <f>MATCH($J492,'Tarieven ZM'!$B:$B,0)</f>
        <v>40</v>
      </c>
      <c r="X492" s="204">
        <f>INDEX('Tarieven ZM'!$H:$H,$W492)</f>
        <v>1000</v>
      </c>
      <c r="Y492" s="198">
        <f>-INDEX(Parameters!$B:$B,MATCH(Y$3&amp;$C492,Parameters!$A:$A,0))*$X492</f>
        <v>0</v>
      </c>
      <c r="Z492" s="198">
        <f>-INDEX(Parameters!$B:$B,MATCH(Z$3&amp;$C492,Parameters!$A:$A,0))*$X492</f>
        <v>0</v>
      </c>
      <c r="AA492" s="139">
        <f t="shared" si="276"/>
        <v>1000</v>
      </c>
      <c r="AB492" s="205">
        <f>AA492/INDEX(Parameters!$B:$B,MATCH("AfschrijftermijnVVE"&amp;12*$C492,Parameters!$A:$A,0))</f>
        <v>16.666666666666668</v>
      </c>
      <c r="AC492" s="204">
        <f>INDEX('Tarieven ZM'!$G:$G,$W492)</f>
        <v>1000</v>
      </c>
      <c r="AD492" s="198">
        <f>-INDEX(Parameters!$B:$B,MATCH(AD$3&amp;$C492,Parameters!$A:$A,0))*$AC492</f>
        <v>0</v>
      </c>
      <c r="AE492" s="198">
        <f>-INDEX(Parameters!$B:$B,MATCH(AE$3,Parameters!$A:$A,0))*$AC492</f>
        <v>0</v>
      </c>
      <c r="AF492" s="139">
        <f t="shared" si="277"/>
        <v>1000</v>
      </c>
      <c r="AG492" s="522">
        <f t="shared" si="278"/>
        <v>1016.6666666666666</v>
      </c>
      <c r="AH492" s="175"/>
      <c r="AI492" s="523">
        <f>MATCH($U492,'Tarieven W&amp;O'!$B:$B,0)</f>
        <v>49</v>
      </c>
      <c r="AJ492" s="204">
        <f>IF(AI492&lt;&gt;"nvt",INDEX('Tarieven W&amp;O'!$H:$H,$AI492),0)</f>
        <v>0</v>
      </c>
      <c r="AK492" s="204">
        <f>IF(AI492&lt;&gt;"nvt",INDEX('Tarieven W&amp;O'!$I:$I,$AI492),0)</f>
        <v>25</v>
      </c>
      <c r="AL492" s="524">
        <f>IF(AI492&lt;&gt;"nvt",-INDEX(Parameters!$B:$B,MATCH(AL$3,Parameters!$A:$A,0))*(AJ492+AK492),0)</f>
        <v>0</v>
      </c>
      <c r="AM492" s="525"/>
      <c r="AN492" s="139">
        <f t="shared" si="279"/>
        <v>25</v>
      </c>
      <c r="AO492" s="205">
        <f>AN492/INDEX(Parameters!$B:$B,MATCH("AfschrijftermijnVVE"&amp;12*$C492,Parameters!$A:$A,0))</f>
        <v>0.41666666666666669</v>
      </c>
      <c r="AP492" s="139">
        <f t="shared" si="280"/>
        <v>49</v>
      </c>
      <c r="AQ492" s="526">
        <f>IF(AP492&lt;&gt;"nvt",INDEX('Tarieven W&amp;O'!$G:$G,$AP492),0)</f>
        <v>71.239999999999995</v>
      </c>
      <c r="AR492" s="251">
        <f>IF($S492,INDEX('Tarieven W&amp;O'!$G:$G,MATCH(N492&amp;R492,'Tarieven W&amp;O'!$B:$B,0)),0)</f>
        <v>0</v>
      </c>
      <c r="AS492" s="205">
        <f>-INDEX(Parameters!$B:$B,MATCH(AS$3,Parameters!$A:$A,0))*(AQ492+AR492)</f>
        <v>0</v>
      </c>
      <c r="AT492" s="205">
        <f>INDEX(hulpblad!$E:$E,MATCH(M492&amp;Q492,hulpblad!$B:$B,0))</f>
        <v>2</v>
      </c>
      <c r="AU492" s="150">
        <f t="shared" si="258"/>
        <v>73.239999999999995</v>
      </c>
      <c r="AV492" s="150">
        <f t="shared" si="259"/>
        <v>73.656666666666666</v>
      </c>
      <c r="AX492" s="526">
        <f>Parameters!$B$6*AV492</f>
        <v>0.7365666666666667</v>
      </c>
      <c r="AY492" s="150">
        <v>0</v>
      </c>
      <c r="AZ492" s="150"/>
      <c r="BA492" s="150">
        <f t="shared" si="281"/>
        <v>0.7365666666666667</v>
      </c>
      <c r="BB492" s="150"/>
      <c r="BC492" s="522">
        <f t="shared" si="282"/>
        <v>74.393233333333328</v>
      </c>
      <c r="BD492" s="175"/>
      <c r="BE492" s="527">
        <f t="shared" si="262"/>
        <v>942.27343333333329</v>
      </c>
      <c r="BF492" s="181">
        <f t="shared" si="263"/>
        <v>0.92682632786885244</v>
      </c>
      <c r="BG492" s="520" t="b">
        <f t="shared" si="275"/>
        <v>0</v>
      </c>
      <c r="BI492" s="528" t="s">
        <v>2181</v>
      </c>
      <c r="BL492" s="151" t="str">
        <f t="shared" si="265"/>
        <v>EoKMetro - Nationaal</v>
      </c>
      <c r="BM492" s="529">
        <v>0</v>
      </c>
      <c r="BN492" s="180">
        <f>BM492/INDEX(Parameters!$B:$B,MATCH("AfschrijftermijnVVE"&amp;12*$C492,Parameters!$A:$A,0))</f>
        <v>0</v>
      </c>
      <c r="BO492" s="184">
        <f>INDEX('inkoop ULL tbv EVPN'!I:I,MATCH(BL492,'inkoop ULL tbv EVPN'!H:H,0))</f>
        <v>2</v>
      </c>
      <c r="BP492" s="184">
        <f t="shared" si="266"/>
        <v>2</v>
      </c>
      <c r="BR492" s="180">
        <f>Parameters!$B$12*AG492</f>
        <v>101.66666666666667</v>
      </c>
      <c r="BS492" s="180">
        <f>SUM(Distributievergoedingen!$F$12,Distributievergoedingen!$I$12,Distributievergoedingen!$L$12,Distributievergoedingen!$O$12)*AF492+SUM(Distributievergoedingen!$O$12*AA492+Distributievergoedingen!$R$12+Distributievergoedingen!$U$12+Distributievergoedingen!$X$12)/(MAX(36,12*C492))</f>
        <v>111.66666666666667</v>
      </c>
      <c r="BT492" s="150"/>
      <c r="BU492" s="150">
        <f t="shared" si="267"/>
        <v>213.33333333333334</v>
      </c>
      <c r="BW492" s="522">
        <f t="shared" si="268"/>
        <v>215.33333333333334</v>
      </c>
      <c r="BY492" s="527">
        <f t="shared" si="269"/>
        <v>801.33333333333326</v>
      </c>
      <c r="BZ492" s="181">
        <f t="shared" si="270"/>
        <v>0.78819672131147533</v>
      </c>
      <c r="CA492" s="520" t="b">
        <f t="shared" si="271"/>
        <v>0</v>
      </c>
    </row>
    <row r="493" spans="1:79" s="151" customFormat="1">
      <c r="A493" s="151" t="str">
        <f t="shared" si="250"/>
        <v>5EoKEntryRegionaal200</v>
      </c>
      <c r="B493" s="520" t="str">
        <f t="shared" si="272"/>
        <v>5EoKEntryRegionaal200</v>
      </c>
      <c r="C493" s="179">
        <v>5</v>
      </c>
      <c r="D493" s="179" t="s">
        <v>303</v>
      </c>
      <c r="E493" s="178" t="s">
        <v>45</v>
      </c>
      <c r="F493" s="178" t="s">
        <v>265</v>
      </c>
      <c r="G493" s="185" t="s">
        <v>419</v>
      </c>
      <c r="J493" s="520" t="str">
        <f t="shared" si="273"/>
        <v>EntryRegionaal200</v>
      </c>
      <c r="L493" s="204">
        <f>INDEX(Mapping!$H:$H,MATCH(C$3&amp;C493,Mapping!$B:$B,0))</f>
        <v>1</v>
      </c>
      <c r="M493" s="204" t="str">
        <f>INDEX(Mapping!$H:$H,MATCH(D$3&amp;$D493,Mapping!$B:$B,0))</f>
        <v>EoK</v>
      </c>
      <c r="N493" s="204" t="str">
        <f>INDEX(Mapping!$H:$H,MATCH(E$3&amp;E493,Mapping!$B:$B,0))</f>
        <v>Lite</v>
      </c>
      <c r="O493" s="204" t="str">
        <f>INDEX(Mapping!$H:$H,MATCH(F$3&amp;F493,Mapping!$B:$B,0))</f>
        <v>Metro</v>
      </c>
      <c r="P493" s="204">
        <f>INDEX(Mapping!$H:$H,MATCH(G$3&amp;G493,Mapping!$B:$B,0))</f>
        <v>200</v>
      </c>
      <c r="Q493" s="204" t="str">
        <f>INDEX(Mapping!$H:$H,MATCH(Q$3&amp;$F493,Mapping!$B:$B,0))</f>
        <v>Metro - Nationaal</v>
      </c>
      <c r="R493" s="204" t="str">
        <f>INDEX(Mapping!$H:$H,MATCH("ZM VPN Service Level"&amp;E493,Mapping!$B:$B,0))</f>
        <v>Advanced</v>
      </c>
      <c r="S493" s="139" t="b">
        <f>IF($D493="EoK",INDEX(Mapping!$I:$I,MATCH($G$3&amp;$G493,Mapping!B:B,0)),FALSE)</f>
        <v>0</v>
      </c>
      <c r="T493" s="139"/>
      <c r="U493" s="520" t="str">
        <f t="shared" si="274"/>
        <v>LiteMetro200</v>
      </c>
      <c r="W493" s="521">
        <f>MATCH($J493,'Tarieven ZM'!$B:$B,0)</f>
        <v>41</v>
      </c>
      <c r="X493" s="204">
        <f>INDEX('Tarieven ZM'!$H:$H,$W493)</f>
        <v>1000</v>
      </c>
      <c r="Y493" s="198">
        <f>-INDEX(Parameters!$B:$B,MATCH(Y$3&amp;$C493,Parameters!$A:$A,0))*$X493</f>
        <v>0</v>
      </c>
      <c r="Z493" s="198">
        <f>-INDEX(Parameters!$B:$B,MATCH(Z$3&amp;$C493,Parameters!$A:$A,0))*$X493</f>
        <v>0</v>
      </c>
      <c r="AA493" s="139">
        <f t="shared" si="276"/>
        <v>1000</v>
      </c>
      <c r="AB493" s="205">
        <f>AA493/INDEX(Parameters!$B:$B,MATCH("AfschrijftermijnVVE"&amp;12*$C493,Parameters!$A:$A,0))</f>
        <v>16.666666666666668</v>
      </c>
      <c r="AC493" s="204">
        <f>INDEX('Tarieven ZM'!$G:$G,$W493)</f>
        <v>1000</v>
      </c>
      <c r="AD493" s="198">
        <f>-INDEX(Parameters!$B:$B,MATCH(AD$3&amp;$C493,Parameters!$A:$A,0))*$AC493</f>
        <v>0</v>
      </c>
      <c r="AE493" s="198">
        <f>-INDEX(Parameters!$B:$B,MATCH(AE$3,Parameters!$A:$A,0))*$AC493</f>
        <v>0</v>
      </c>
      <c r="AF493" s="139">
        <f t="shared" si="277"/>
        <v>1000</v>
      </c>
      <c r="AG493" s="522">
        <f t="shared" si="278"/>
        <v>1016.6666666666666</v>
      </c>
      <c r="AH493" s="175"/>
      <c r="AI493" s="523">
        <f>MATCH($U493,'Tarieven W&amp;O'!$B:$B,0)</f>
        <v>50</v>
      </c>
      <c r="AJ493" s="204">
        <f>IF(AI493&lt;&gt;"nvt",INDEX('Tarieven W&amp;O'!$H:$H,$AI493),0)</f>
        <v>0</v>
      </c>
      <c r="AK493" s="204">
        <f>IF(AI493&lt;&gt;"nvt",INDEX('Tarieven W&amp;O'!$I:$I,$AI493),0)</f>
        <v>25</v>
      </c>
      <c r="AL493" s="524">
        <f>IF(AI493&lt;&gt;"nvt",-INDEX(Parameters!$B:$B,MATCH(AL$3,Parameters!$A:$A,0))*(AJ493+AK493),0)</f>
        <v>0</v>
      </c>
      <c r="AM493" s="525"/>
      <c r="AN493" s="139">
        <f t="shared" si="279"/>
        <v>25</v>
      </c>
      <c r="AO493" s="205">
        <f>AN493/INDEX(Parameters!$B:$B,MATCH("AfschrijftermijnVVE"&amp;12*$C493,Parameters!$A:$A,0))</f>
        <v>0.41666666666666669</v>
      </c>
      <c r="AP493" s="139">
        <f t="shared" si="280"/>
        <v>50</v>
      </c>
      <c r="AQ493" s="526">
        <f>IF(AP493&lt;&gt;"nvt",INDEX('Tarieven W&amp;O'!$G:$G,$AP493),0)</f>
        <v>108.93</v>
      </c>
      <c r="AR493" s="251">
        <f>IF($S493,INDEX('Tarieven W&amp;O'!$G:$G,MATCH(N493&amp;R493,'Tarieven W&amp;O'!$B:$B,0)),0)</f>
        <v>0</v>
      </c>
      <c r="AS493" s="205">
        <f>-INDEX(Parameters!$B:$B,MATCH(AS$3,Parameters!$A:$A,0))*(AQ493+AR493)</f>
        <v>0</v>
      </c>
      <c r="AT493" s="205">
        <f>INDEX(hulpblad!$E:$E,MATCH(M493&amp;Q493,hulpblad!$B:$B,0))</f>
        <v>2</v>
      </c>
      <c r="AU493" s="150">
        <f t="shared" si="258"/>
        <v>110.93</v>
      </c>
      <c r="AV493" s="150">
        <f t="shared" si="259"/>
        <v>111.34666666666668</v>
      </c>
      <c r="AX493" s="526">
        <f>Parameters!$B$6*AV493</f>
        <v>1.1134666666666668</v>
      </c>
      <c r="AY493" s="150">
        <v>0</v>
      </c>
      <c r="AZ493" s="150"/>
      <c r="BA493" s="150">
        <f t="shared" si="281"/>
        <v>1.1134666666666668</v>
      </c>
      <c r="BB493" s="150"/>
      <c r="BC493" s="522">
        <f t="shared" si="282"/>
        <v>112.46013333333335</v>
      </c>
      <c r="BD493" s="175"/>
      <c r="BE493" s="527">
        <f t="shared" si="262"/>
        <v>904.20653333333325</v>
      </c>
      <c r="BF493" s="181">
        <f t="shared" si="263"/>
        <v>0.88938347540983598</v>
      </c>
      <c r="BG493" s="520" t="b">
        <f t="shared" si="275"/>
        <v>0</v>
      </c>
      <c r="BI493" s="528" t="s">
        <v>2181</v>
      </c>
      <c r="BL493" s="151" t="str">
        <f t="shared" si="265"/>
        <v>EoKMetro - Nationaal</v>
      </c>
      <c r="BM493" s="529">
        <v>0</v>
      </c>
      <c r="BN493" s="180">
        <f>BM493/INDEX(Parameters!$B:$B,MATCH("AfschrijftermijnVVE"&amp;12*$C493,Parameters!$A:$A,0))</f>
        <v>0</v>
      </c>
      <c r="BO493" s="184">
        <f>INDEX('inkoop ULL tbv EVPN'!I:I,MATCH(BL493,'inkoop ULL tbv EVPN'!H:H,0))</f>
        <v>2</v>
      </c>
      <c r="BP493" s="184">
        <f t="shared" si="266"/>
        <v>2</v>
      </c>
      <c r="BR493" s="180">
        <f>Parameters!$B$12*AG493</f>
        <v>101.66666666666667</v>
      </c>
      <c r="BS493" s="180">
        <f>SUM(Distributievergoedingen!$F$12,Distributievergoedingen!$I$12,Distributievergoedingen!$L$12,Distributievergoedingen!$O$12)*AF493+SUM(Distributievergoedingen!$O$12*AA493+Distributievergoedingen!$R$12+Distributievergoedingen!$U$12+Distributievergoedingen!$X$12)/(MAX(36,12*C493))</f>
        <v>111.66666666666667</v>
      </c>
      <c r="BT493" s="150"/>
      <c r="BU493" s="150">
        <f t="shared" si="267"/>
        <v>213.33333333333334</v>
      </c>
      <c r="BW493" s="522">
        <f t="shared" si="268"/>
        <v>215.33333333333334</v>
      </c>
      <c r="BY493" s="527">
        <f t="shared" si="269"/>
        <v>801.33333333333326</v>
      </c>
      <c r="BZ493" s="181">
        <f t="shared" si="270"/>
        <v>0.78819672131147533</v>
      </c>
      <c r="CA493" s="520" t="b">
        <f t="shared" si="271"/>
        <v>0</v>
      </c>
    </row>
    <row r="494" spans="1:79" s="151" customFormat="1">
      <c r="A494" s="151" t="str">
        <f t="shared" si="250"/>
        <v>5EoKEntryRegionaal300</v>
      </c>
      <c r="B494" s="520" t="str">
        <f t="shared" si="272"/>
        <v>5EoKEntryRegionaal300</v>
      </c>
      <c r="C494" s="179">
        <v>5</v>
      </c>
      <c r="D494" s="179" t="s">
        <v>303</v>
      </c>
      <c r="E494" s="178" t="s">
        <v>45</v>
      </c>
      <c r="F494" s="178" t="s">
        <v>265</v>
      </c>
      <c r="G494" s="185" t="s">
        <v>420</v>
      </c>
      <c r="J494" s="520" t="str">
        <f t="shared" si="273"/>
        <v>EntryRegionaal300</v>
      </c>
      <c r="L494" s="204">
        <f>INDEX(Mapping!$H:$H,MATCH(C$3&amp;C494,Mapping!$B:$B,0))</f>
        <v>1</v>
      </c>
      <c r="M494" s="204" t="str">
        <f>INDEX(Mapping!$H:$H,MATCH(D$3&amp;$D494,Mapping!$B:$B,0))</f>
        <v>EoK</v>
      </c>
      <c r="N494" s="204" t="str">
        <f>INDEX(Mapping!$H:$H,MATCH(E$3&amp;E494,Mapping!$B:$B,0))</f>
        <v>Lite</v>
      </c>
      <c r="O494" s="204" t="str">
        <f>INDEX(Mapping!$H:$H,MATCH(F$3&amp;F494,Mapping!$B:$B,0))</f>
        <v>Metro</v>
      </c>
      <c r="P494" s="204">
        <f>INDEX(Mapping!$H:$H,MATCH(G$3&amp;G494,Mapping!$B:$B,0))</f>
        <v>300</v>
      </c>
      <c r="Q494" s="204" t="str">
        <f>INDEX(Mapping!$H:$H,MATCH(Q$3&amp;$F494,Mapping!$B:$B,0))</f>
        <v>Metro - Nationaal</v>
      </c>
      <c r="R494" s="204" t="str">
        <f>INDEX(Mapping!$H:$H,MATCH("ZM VPN Service Level"&amp;E494,Mapping!$B:$B,0))</f>
        <v>Advanced</v>
      </c>
      <c r="S494" s="139" t="b">
        <f>IF($D494="EoK",INDEX(Mapping!$I:$I,MATCH($G$3&amp;$G494,Mapping!B:B,0)),FALSE)</f>
        <v>0</v>
      </c>
      <c r="T494" s="139"/>
      <c r="U494" s="520" t="str">
        <f t="shared" si="274"/>
        <v>LiteMetro300</v>
      </c>
      <c r="W494" s="521">
        <f>MATCH($J494,'Tarieven ZM'!$B:$B,0)</f>
        <v>42</v>
      </c>
      <c r="X494" s="204">
        <f>INDEX('Tarieven ZM'!$H:$H,$W494)</f>
        <v>1000</v>
      </c>
      <c r="Y494" s="198">
        <f>-INDEX(Parameters!$B:$B,MATCH(Y$3&amp;$C494,Parameters!$A:$A,0))*$X494</f>
        <v>0</v>
      </c>
      <c r="Z494" s="198">
        <f>-INDEX(Parameters!$B:$B,MATCH(Z$3&amp;$C494,Parameters!$A:$A,0))*$X494</f>
        <v>0</v>
      </c>
      <c r="AA494" s="139">
        <f t="shared" si="276"/>
        <v>1000</v>
      </c>
      <c r="AB494" s="205">
        <f>AA494/INDEX(Parameters!$B:$B,MATCH("AfschrijftermijnVVE"&amp;12*$C494,Parameters!$A:$A,0))</f>
        <v>16.666666666666668</v>
      </c>
      <c r="AC494" s="204">
        <f>INDEX('Tarieven ZM'!$G:$G,$W494)</f>
        <v>1000</v>
      </c>
      <c r="AD494" s="198">
        <f>-INDEX(Parameters!$B:$B,MATCH(AD$3&amp;$C494,Parameters!$A:$A,0))*$AC494</f>
        <v>0</v>
      </c>
      <c r="AE494" s="198">
        <f>-INDEX(Parameters!$B:$B,MATCH(AE$3,Parameters!$A:$A,0))*$AC494</f>
        <v>0</v>
      </c>
      <c r="AF494" s="139">
        <f t="shared" si="277"/>
        <v>1000</v>
      </c>
      <c r="AG494" s="522">
        <f t="shared" si="278"/>
        <v>1016.6666666666666</v>
      </c>
      <c r="AH494" s="175"/>
      <c r="AI494" s="523">
        <f>MATCH($U494,'Tarieven W&amp;O'!$B:$B,0)</f>
        <v>51</v>
      </c>
      <c r="AJ494" s="204">
        <f>IF(AI494&lt;&gt;"nvt",INDEX('Tarieven W&amp;O'!$H:$H,$AI494),0)</f>
        <v>0</v>
      </c>
      <c r="AK494" s="204">
        <f>IF(AI494&lt;&gt;"nvt",INDEX('Tarieven W&amp;O'!$I:$I,$AI494),0)</f>
        <v>25</v>
      </c>
      <c r="AL494" s="524">
        <f>IF(AI494&lt;&gt;"nvt",-INDEX(Parameters!$B:$B,MATCH(AL$3,Parameters!$A:$A,0))*(AJ494+AK494),0)</f>
        <v>0</v>
      </c>
      <c r="AM494" s="525"/>
      <c r="AN494" s="139">
        <f t="shared" si="279"/>
        <v>25</v>
      </c>
      <c r="AO494" s="205">
        <f>AN494/INDEX(Parameters!$B:$B,MATCH("AfschrijftermijnVVE"&amp;12*$C494,Parameters!$A:$A,0))</f>
        <v>0.41666666666666669</v>
      </c>
      <c r="AP494" s="139">
        <f t="shared" si="280"/>
        <v>51</v>
      </c>
      <c r="AQ494" s="526">
        <f>IF(AP494&lt;&gt;"nvt",INDEX('Tarieven W&amp;O'!$G:$G,$AP494),0)</f>
        <v>127.77</v>
      </c>
      <c r="AR494" s="251">
        <f>IF($S494,INDEX('Tarieven W&amp;O'!$G:$G,MATCH(N494&amp;R494,'Tarieven W&amp;O'!$B:$B,0)),0)</f>
        <v>0</v>
      </c>
      <c r="AS494" s="205">
        <f>-INDEX(Parameters!$B:$B,MATCH(AS$3,Parameters!$A:$A,0))*(AQ494+AR494)</f>
        <v>0</v>
      </c>
      <c r="AT494" s="205">
        <f>INDEX(hulpblad!$E:$E,MATCH(M494&amp;Q494,hulpblad!$B:$B,0))</f>
        <v>2</v>
      </c>
      <c r="AU494" s="150">
        <f t="shared" si="258"/>
        <v>129.76999999999998</v>
      </c>
      <c r="AV494" s="150">
        <f t="shared" si="259"/>
        <v>130.18666666666664</v>
      </c>
      <c r="AX494" s="526">
        <f>Parameters!$B$6*AV494</f>
        <v>1.3018666666666665</v>
      </c>
      <c r="AY494" s="150">
        <v>0</v>
      </c>
      <c r="AZ494" s="150"/>
      <c r="BA494" s="150">
        <f t="shared" si="281"/>
        <v>1.3018666666666665</v>
      </c>
      <c r="BB494" s="150"/>
      <c r="BC494" s="522">
        <f t="shared" si="282"/>
        <v>131.48853333333329</v>
      </c>
      <c r="BD494" s="175"/>
      <c r="BE494" s="527">
        <f t="shared" si="262"/>
        <v>885.17813333333334</v>
      </c>
      <c r="BF494" s="181">
        <f t="shared" si="263"/>
        <v>0.87066701639344268</v>
      </c>
      <c r="BG494" s="520" t="b">
        <f t="shared" si="275"/>
        <v>0</v>
      </c>
      <c r="BI494" s="528" t="s">
        <v>2181</v>
      </c>
      <c r="BL494" s="151" t="str">
        <f t="shared" si="265"/>
        <v>EoKMetro - Nationaal</v>
      </c>
      <c r="BM494" s="529">
        <v>0</v>
      </c>
      <c r="BN494" s="180">
        <f>BM494/INDEX(Parameters!$B:$B,MATCH("AfschrijftermijnVVE"&amp;12*$C494,Parameters!$A:$A,0))</f>
        <v>0</v>
      </c>
      <c r="BO494" s="184">
        <f>INDEX('inkoop ULL tbv EVPN'!I:I,MATCH(BL494,'inkoop ULL tbv EVPN'!H:H,0))</f>
        <v>2</v>
      </c>
      <c r="BP494" s="184">
        <f t="shared" si="266"/>
        <v>2</v>
      </c>
      <c r="BR494" s="180">
        <f>Parameters!$B$12*AG494</f>
        <v>101.66666666666667</v>
      </c>
      <c r="BS494" s="180">
        <f>SUM(Distributievergoedingen!$F$12,Distributievergoedingen!$I$12,Distributievergoedingen!$L$12,Distributievergoedingen!$O$12)*AF494+SUM(Distributievergoedingen!$O$12*AA494+Distributievergoedingen!$R$12+Distributievergoedingen!$U$12+Distributievergoedingen!$X$12)/(MAX(36,12*C494))</f>
        <v>111.66666666666667</v>
      </c>
      <c r="BT494" s="150"/>
      <c r="BU494" s="150">
        <f t="shared" si="267"/>
        <v>213.33333333333334</v>
      </c>
      <c r="BW494" s="522">
        <f t="shared" si="268"/>
        <v>215.33333333333334</v>
      </c>
      <c r="BY494" s="527">
        <f t="shared" si="269"/>
        <v>801.33333333333326</v>
      </c>
      <c r="BZ494" s="181">
        <f t="shared" si="270"/>
        <v>0.78819672131147533</v>
      </c>
      <c r="CA494" s="520" t="b">
        <f t="shared" si="271"/>
        <v>0</v>
      </c>
    </row>
    <row r="495" spans="1:79" s="151" customFormat="1">
      <c r="A495" s="151" t="str">
        <f t="shared" si="250"/>
        <v>5EoKEntryRegionaal500</v>
      </c>
      <c r="B495" s="520" t="str">
        <f t="shared" si="272"/>
        <v>5EoKEntryRegionaal500</v>
      </c>
      <c r="C495" s="179">
        <v>5</v>
      </c>
      <c r="D495" s="179" t="s">
        <v>303</v>
      </c>
      <c r="E495" s="178" t="s">
        <v>45</v>
      </c>
      <c r="F495" s="178" t="s">
        <v>265</v>
      </c>
      <c r="G495" s="185" t="s">
        <v>421</v>
      </c>
      <c r="J495" s="520" t="str">
        <f t="shared" si="273"/>
        <v>EntryRegionaal500</v>
      </c>
      <c r="L495" s="204">
        <f>INDEX(Mapping!$H:$H,MATCH(C$3&amp;C495,Mapping!$B:$B,0))</f>
        <v>1</v>
      </c>
      <c r="M495" s="204" t="str">
        <f>INDEX(Mapping!$H:$H,MATCH(D$3&amp;$D495,Mapping!$B:$B,0))</f>
        <v>EoK</v>
      </c>
      <c r="N495" s="204" t="str">
        <f>INDEX(Mapping!$H:$H,MATCH(E$3&amp;E495,Mapping!$B:$B,0))</f>
        <v>Lite</v>
      </c>
      <c r="O495" s="204" t="str">
        <f>INDEX(Mapping!$H:$H,MATCH(F$3&amp;F495,Mapping!$B:$B,0))</f>
        <v>Metro</v>
      </c>
      <c r="P495" s="204">
        <f>INDEX(Mapping!$H:$H,MATCH(G$3&amp;G495,Mapping!$B:$B,0))</f>
        <v>500</v>
      </c>
      <c r="Q495" s="204" t="str">
        <f>INDEX(Mapping!$H:$H,MATCH(Q$3&amp;$F495,Mapping!$B:$B,0))</f>
        <v>Metro - Nationaal</v>
      </c>
      <c r="R495" s="204" t="str">
        <f>INDEX(Mapping!$H:$H,MATCH("ZM VPN Service Level"&amp;E495,Mapping!$B:$B,0))</f>
        <v>Advanced</v>
      </c>
      <c r="S495" s="139" t="b">
        <f>IF($D495="EoK",INDEX(Mapping!$I:$I,MATCH($G$3&amp;$G495,Mapping!B:B,0)),FALSE)</f>
        <v>0</v>
      </c>
      <c r="T495" s="139"/>
      <c r="U495" s="520" t="str">
        <f t="shared" si="274"/>
        <v>LiteMetro500</v>
      </c>
      <c r="W495" s="521">
        <f>MATCH($J495,'Tarieven ZM'!$B:$B,0)</f>
        <v>43</v>
      </c>
      <c r="X495" s="204">
        <f>INDEX('Tarieven ZM'!$H:$H,$W495)</f>
        <v>1000</v>
      </c>
      <c r="Y495" s="198">
        <f>-INDEX(Parameters!$B:$B,MATCH(Y$3&amp;$C495,Parameters!$A:$A,0))*$X495</f>
        <v>0</v>
      </c>
      <c r="Z495" s="198">
        <f>-INDEX(Parameters!$B:$B,MATCH(Z$3&amp;$C495,Parameters!$A:$A,0))*$X495</f>
        <v>0</v>
      </c>
      <c r="AA495" s="139">
        <f t="shared" si="276"/>
        <v>1000</v>
      </c>
      <c r="AB495" s="205">
        <f>AA495/INDEX(Parameters!$B:$B,MATCH("AfschrijftermijnVVE"&amp;12*$C495,Parameters!$A:$A,0))</f>
        <v>16.666666666666668</v>
      </c>
      <c r="AC495" s="204">
        <f>INDEX('Tarieven ZM'!$G:$G,$W495)</f>
        <v>1000</v>
      </c>
      <c r="AD495" s="198">
        <f>-INDEX(Parameters!$B:$B,MATCH(AD$3&amp;$C495,Parameters!$A:$A,0))*$AC495</f>
        <v>0</v>
      </c>
      <c r="AE495" s="198">
        <f>-INDEX(Parameters!$B:$B,MATCH(AE$3,Parameters!$A:$A,0))*$AC495</f>
        <v>0</v>
      </c>
      <c r="AF495" s="139">
        <f t="shared" si="277"/>
        <v>1000</v>
      </c>
      <c r="AG495" s="522">
        <f t="shared" si="278"/>
        <v>1016.6666666666666</v>
      </c>
      <c r="AH495" s="175"/>
      <c r="AI495" s="523">
        <f>MATCH($U495,'Tarieven W&amp;O'!$B:$B,0)</f>
        <v>52</v>
      </c>
      <c r="AJ495" s="204">
        <f>IF(AI495&lt;&gt;"nvt",INDEX('Tarieven W&amp;O'!$H:$H,$AI495),0)</f>
        <v>0</v>
      </c>
      <c r="AK495" s="204">
        <f>IF(AI495&lt;&gt;"nvt",INDEX('Tarieven W&amp;O'!$I:$I,$AI495),0)</f>
        <v>25</v>
      </c>
      <c r="AL495" s="524">
        <f>IF(AI495&lt;&gt;"nvt",-INDEX(Parameters!$B:$B,MATCH(AL$3,Parameters!$A:$A,0))*(AJ495+AK495),0)</f>
        <v>0</v>
      </c>
      <c r="AM495" s="525"/>
      <c r="AN495" s="139">
        <f t="shared" si="279"/>
        <v>25</v>
      </c>
      <c r="AO495" s="205">
        <f>AN495/INDEX(Parameters!$B:$B,MATCH("AfschrijftermijnVVE"&amp;12*$C495,Parameters!$A:$A,0))</f>
        <v>0.41666666666666669</v>
      </c>
      <c r="AP495" s="139">
        <f t="shared" si="280"/>
        <v>52</v>
      </c>
      <c r="AQ495" s="526">
        <f>IF(AP495&lt;&gt;"nvt",INDEX('Tarieven W&amp;O'!$G:$G,$AP495),0)</f>
        <v>161.69</v>
      </c>
      <c r="AR495" s="251">
        <f>IF($S495,INDEX('Tarieven W&amp;O'!$G:$G,MATCH(N495&amp;R495,'Tarieven W&amp;O'!$B:$B,0)),0)</f>
        <v>0</v>
      </c>
      <c r="AS495" s="205">
        <f>-INDEX(Parameters!$B:$B,MATCH(AS$3,Parameters!$A:$A,0))*(AQ495+AR495)</f>
        <v>0</v>
      </c>
      <c r="AT495" s="205">
        <f>INDEX(hulpblad!$E:$E,MATCH(M495&amp;Q495,hulpblad!$B:$B,0))</f>
        <v>2</v>
      </c>
      <c r="AU495" s="150">
        <f t="shared" si="258"/>
        <v>163.69</v>
      </c>
      <c r="AV495" s="150">
        <f t="shared" si="259"/>
        <v>164.10666666666665</v>
      </c>
      <c r="AX495" s="526">
        <f>Parameters!$B$6*AV495</f>
        <v>1.6410666666666667</v>
      </c>
      <c r="AY495" s="150">
        <v>0</v>
      </c>
      <c r="AZ495" s="150"/>
      <c r="BA495" s="150">
        <f t="shared" si="281"/>
        <v>1.6410666666666667</v>
      </c>
      <c r="BB495" s="150"/>
      <c r="BC495" s="522">
        <f t="shared" si="282"/>
        <v>165.74773333333331</v>
      </c>
      <c r="BD495" s="175"/>
      <c r="BE495" s="527">
        <f t="shared" si="262"/>
        <v>850.91893333333337</v>
      </c>
      <c r="BF495" s="181">
        <f t="shared" si="263"/>
        <v>0.83696944262295092</v>
      </c>
      <c r="BG495" s="520" t="b">
        <f t="shared" si="275"/>
        <v>0</v>
      </c>
      <c r="BI495" s="528" t="s">
        <v>2181</v>
      </c>
      <c r="BL495" s="151" t="str">
        <f t="shared" si="265"/>
        <v>EoKMetro - Nationaal</v>
      </c>
      <c r="BM495" s="529">
        <v>0</v>
      </c>
      <c r="BN495" s="180">
        <f>BM495/INDEX(Parameters!$B:$B,MATCH("AfschrijftermijnVVE"&amp;12*$C495,Parameters!$A:$A,0))</f>
        <v>0</v>
      </c>
      <c r="BO495" s="184">
        <f>INDEX('inkoop ULL tbv EVPN'!I:I,MATCH(BL495,'inkoop ULL tbv EVPN'!H:H,0))</f>
        <v>2</v>
      </c>
      <c r="BP495" s="184">
        <f t="shared" si="266"/>
        <v>2</v>
      </c>
      <c r="BR495" s="180">
        <f>Parameters!$B$12*AG495</f>
        <v>101.66666666666667</v>
      </c>
      <c r="BS495" s="180">
        <f>SUM(Distributievergoedingen!$F$12,Distributievergoedingen!$I$12,Distributievergoedingen!$L$12,Distributievergoedingen!$O$12)*AF495+SUM(Distributievergoedingen!$O$12*AA495+Distributievergoedingen!$R$12+Distributievergoedingen!$U$12+Distributievergoedingen!$X$12)/(MAX(36,12*C495))</f>
        <v>111.66666666666667</v>
      </c>
      <c r="BT495" s="150"/>
      <c r="BU495" s="150">
        <f t="shared" si="267"/>
        <v>213.33333333333334</v>
      </c>
      <c r="BW495" s="522">
        <f t="shared" si="268"/>
        <v>215.33333333333334</v>
      </c>
      <c r="BY495" s="527">
        <f t="shared" si="269"/>
        <v>801.33333333333326</v>
      </c>
      <c r="BZ495" s="181">
        <f t="shared" si="270"/>
        <v>0.78819672131147533</v>
      </c>
      <c r="CA495" s="520" t="b">
        <f t="shared" si="271"/>
        <v>0</v>
      </c>
    </row>
    <row r="496" spans="1:79" s="151" customFormat="1">
      <c r="A496" s="151" t="str">
        <f t="shared" si="250"/>
        <v>5EoKEntryRegionaal800</v>
      </c>
      <c r="B496" s="520" t="str">
        <f t="shared" si="272"/>
        <v>5EoKEntryRegionaal800</v>
      </c>
      <c r="C496" s="179">
        <v>5</v>
      </c>
      <c r="D496" s="179" t="s">
        <v>303</v>
      </c>
      <c r="E496" s="178" t="s">
        <v>45</v>
      </c>
      <c r="F496" s="178" t="s">
        <v>265</v>
      </c>
      <c r="G496" s="185" t="s">
        <v>422</v>
      </c>
      <c r="J496" s="520" t="str">
        <f t="shared" si="273"/>
        <v>EntryRegionaal800</v>
      </c>
      <c r="L496" s="204">
        <f>INDEX(Mapping!$H:$H,MATCH(C$3&amp;C496,Mapping!$B:$B,0))</f>
        <v>1</v>
      </c>
      <c r="M496" s="204" t="str">
        <f>INDEX(Mapping!$H:$H,MATCH(D$3&amp;$D496,Mapping!$B:$B,0))</f>
        <v>EoK</v>
      </c>
      <c r="N496" s="204" t="str">
        <f>INDEX(Mapping!$H:$H,MATCH(E$3&amp;E496,Mapping!$B:$B,0))</f>
        <v>Lite</v>
      </c>
      <c r="O496" s="204" t="str">
        <f>INDEX(Mapping!$H:$H,MATCH(F$3&amp;F496,Mapping!$B:$B,0))</f>
        <v>Metro</v>
      </c>
      <c r="P496" s="204">
        <f>INDEX(Mapping!$H:$H,MATCH(G$3&amp;G496,Mapping!$B:$B,0))</f>
        <v>800</v>
      </c>
      <c r="Q496" s="204" t="str">
        <f>INDEX(Mapping!$H:$H,MATCH(Q$3&amp;$F496,Mapping!$B:$B,0))</f>
        <v>Metro - Nationaal</v>
      </c>
      <c r="R496" s="204" t="str">
        <f>INDEX(Mapping!$H:$H,MATCH("ZM VPN Service Level"&amp;E496,Mapping!$B:$B,0))</f>
        <v>Advanced</v>
      </c>
      <c r="S496" s="139" t="b">
        <f>IF($D496="EoK",INDEX(Mapping!$I:$I,MATCH($G$3&amp;$G496,Mapping!B:B,0)),FALSE)</f>
        <v>0</v>
      </c>
      <c r="T496" s="139"/>
      <c r="U496" s="520" t="str">
        <f t="shared" si="274"/>
        <v>LiteMetro800</v>
      </c>
      <c r="W496" s="521">
        <f>MATCH($J496,'Tarieven ZM'!$B:$B,0)</f>
        <v>44</v>
      </c>
      <c r="X496" s="204">
        <f>INDEX('Tarieven ZM'!$H:$H,$W496)</f>
        <v>1000</v>
      </c>
      <c r="Y496" s="198">
        <f>-INDEX(Parameters!$B:$B,MATCH(Y$3&amp;$C496,Parameters!$A:$A,0))*$X496</f>
        <v>0</v>
      </c>
      <c r="Z496" s="198">
        <f>-INDEX(Parameters!$B:$B,MATCH(Z$3&amp;$C496,Parameters!$A:$A,0))*$X496</f>
        <v>0</v>
      </c>
      <c r="AA496" s="139">
        <f t="shared" si="276"/>
        <v>1000</v>
      </c>
      <c r="AB496" s="205">
        <f>AA496/INDEX(Parameters!$B:$B,MATCH("AfschrijftermijnVVE"&amp;12*$C496,Parameters!$A:$A,0))</f>
        <v>16.666666666666668</v>
      </c>
      <c r="AC496" s="204">
        <f>INDEX('Tarieven ZM'!$G:$G,$W496)</f>
        <v>1000</v>
      </c>
      <c r="AD496" s="198">
        <f>-INDEX(Parameters!$B:$B,MATCH(AD$3&amp;$C496,Parameters!$A:$A,0))*$AC496</f>
        <v>0</v>
      </c>
      <c r="AE496" s="198">
        <f>-INDEX(Parameters!$B:$B,MATCH(AE$3,Parameters!$A:$A,0))*$AC496</f>
        <v>0</v>
      </c>
      <c r="AF496" s="139">
        <f t="shared" si="277"/>
        <v>1000</v>
      </c>
      <c r="AG496" s="522">
        <f t="shared" si="278"/>
        <v>1016.6666666666666</v>
      </c>
      <c r="AH496" s="175"/>
      <c r="AI496" s="523">
        <f>MATCH($U496,'Tarieven W&amp;O'!$B:$B,0)</f>
        <v>53</v>
      </c>
      <c r="AJ496" s="204">
        <f>IF(AI496&lt;&gt;"nvt",INDEX('Tarieven W&amp;O'!$H:$H,$AI496),0)</f>
        <v>0</v>
      </c>
      <c r="AK496" s="204">
        <f>IF(AI496&lt;&gt;"nvt",INDEX('Tarieven W&amp;O'!$I:$I,$AI496),0)</f>
        <v>25</v>
      </c>
      <c r="AL496" s="524">
        <f>IF(AI496&lt;&gt;"nvt",-INDEX(Parameters!$B:$B,MATCH(AL$3,Parameters!$A:$A,0))*(AJ496+AK496),0)</f>
        <v>0</v>
      </c>
      <c r="AM496" s="525"/>
      <c r="AN496" s="139">
        <f t="shared" si="279"/>
        <v>25</v>
      </c>
      <c r="AO496" s="205">
        <f>AN496/INDEX(Parameters!$B:$B,MATCH("AfschrijftermijnVVE"&amp;12*$C496,Parameters!$A:$A,0))</f>
        <v>0.41666666666666669</v>
      </c>
      <c r="AP496" s="139">
        <f t="shared" si="280"/>
        <v>53</v>
      </c>
      <c r="AQ496" s="526">
        <f>IF(AP496&lt;&gt;"nvt",INDEX('Tarieven W&amp;O'!$G:$G,$AP496),0)</f>
        <v>184.31</v>
      </c>
      <c r="AR496" s="251">
        <f>IF($S496,INDEX('Tarieven W&amp;O'!$G:$G,MATCH(N496&amp;R496,'Tarieven W&amp;O'!$B:$B,0)),0)</f>
        <v>0</v>
      </c>
      <c r="AS496" s="205">
        <f>-INDEX(Parameters!$B:$B,MATCH(AS$3,Parameters!$A:$A,0))*(AQ496+AR496)</f>
        <v>0</v>
      </c>
      <c r="AT496" s="205">
        <f>INDEX(hulpblad!$E:$E,MATCH(M496&amp;Q496,hulpblad!$B:$B,0))</f>
        <v>2</v>
      </c>
      <c r="AU496" s="150">
        <f t="shared" si="258"/>
        <v>186.31</v>
      </c>
      <c r="AV496" s="150">
        <f t="shared" si="259"/>
        <v>186.72666666666666</v>
      </c>
      <c r="AX496" s="526">
        <f>Parameters!$B$6*AV496</f>
        <v>1.8672666666666666</v>
      </c>
      <c r="AY496" s="150">
        <v>0</v>
      </c>
      <c r="AZ496" s="150"/>
      <c r="BA496" s="150">
        <f t="shared" si="281"/>
        <v>1.8672666666666666</v>
      </c>
      <c r="BB496" s="150"/>
      <c r="BC496" s="522">
        <f t="shared" si="282"/>
        <v>188.59393333333333</v>
      </c>
      <c r="BD496" s="175"/>
      <c r="BE496" s="527">
        <f t="shared" si="262"/>
        <v>828.0727333333333</v>
      </c>
      <c r="BF496" s="181">
        <f t="shared" si="263"/>
        <v>0.81449777049180327</v>
      </c>
      <c r="BG496" s="520" t="b">
        <f t="shared" si="275"/>
        <v>0</v>
      </c>
      <c r="BI496" s="528" t="s">
        <v>2181</v>
      </c>
      <c r="BL496" s="151" t="str">
        <f t="shared" si="265"/>
        <v>EoKMetro - Nationaal</v>
      </c>
      <c r="BM496" s="529">
        <v>0</v>
      </c>
      <c r="BN496" s="180">
        <f>BM496/INDEX(Parameters!$B:$B,MATCH("AfschrijftermijnVVE"&amp;12*$C496,Parameters!$A:$A,0))</f>
        <v>0</v>
      </c>
      <c r="BO496" s="184">
        <f>INDEX('inkoop ULL tbv EVPN'!I:I,MATCH(BL496,'inkoop ULL tbv EVPN'!H:H,0))</f>
        <v>2</v>
      </c>
      <c r="BP496" s="184">
        <f t="shared" si="266"/>
        <v>2</v>
      </c>
      <c r="BR496" s="180">
        <f>Parameters!$B$12*AG496</f>
        <v>101.66666666666667</v>
      </c>
      <c r="BS496" s="180">
        <f>SUM(Distributievergoedingen!$F$12,Distributievergoedingen!$I$12,Distributievergoedingen!$L$12,Distributievergoedingen!$O$12)*AF496+SUM(Distributievergoedingen!$O$12*AA496+Distributievergoedingen!$R$12+Distributievergoedingen!$U$12+Distributievergoedingen!$X$12)/(MAX(36,12*C496))</f>
        <v>111.66666666666667</v>
      </c>
      <c r="BT496" s="150"/>
      <c r="BU496" s="150">
        <f t="shared" si="267"/>
        <v>213.33333333333334</v>
      </c>
      <c r="BW496" s="522">
        <f t="shared" si="268"/>
        <v>215.33333333333334</v>
      </c>
      <c r="BY496" s="527">
        <f t="shared" si="269"/>
        <v>801.33333333333326</v>
      </c>
      <c r="BZ496" s="181">
        <f t="shared" si="270"/>
        <v>0.78819672131147533</v>
      </c>
      <c r="CA496" s="520" t="b">
        <f t="shared" si="271"/>
        <v>0</v>
      </c>
    </row>
    <row r="497" spans="1:79" s="151" customFormat="1">
      <c r="A497" s="151" t="str">
        <f t="shared" si="250"/>
        <v>5EoKEntryRegionaal1000</v>
      </c>
      <c r="B497" s="520" t="str">
        <f t="shared" si="272"/>
        <v>5EoKEntryRegionaal1000</v>
      </c>
      <c r="C497" s="179">
        <v>5</v>
      </c>
      <c r="D497" s="179" t="s">
        <v>303</v>
      </c>
      <c r="E497" s="178" t="s">
        <v>45</v>
      </c>
      <c r="F497" s="178" t="s">
        <v>265</v>
      </c>
      <c r="G497" s="185" t="s">
        <v>423</v>
      </c>
      <c r="J497" s="520" t="str">
        <f t="shared" si="273"/>
        <v>EntryRegionaal1000</v>
      </c>
      <c r="L497" s="204">
        <f>INDEX(Mapping!$H:$H,MATCH(C$3&amp;C497,Mapping!$B:$B,0))</f>
        <v>1</v>
      </c>
      <c r="M497" s="204" t="str">
        <f>INDEX(Mapping!$H:$H,MATCH(D$3&amp;$D497,Mapping!$B:$B,0))</f>
        <v>EoK</v>
      </c>
      <c r="N497" s="204" t="str">
        <f>INDEX(Mapping!$H:$H,MATCH(E$3&amp;E497,Mapping!$B:$B,0))</f>
        <v>Lite</v>
      </c>
      <c r="O497" s="204" t="str">
        <f>INDEX(Mapping!$H:$H,MATCH(F$3&amp;F497,Mapping!$B:$B,0))</f>
        <v>Metro</v>
      </c>
      <c r="P497" s="204">
        <f>INDEX(Mapping!$H:$H,MATCH(G$3&amp;G497,Mapping!$B:$B,0))</f>
        <v>1000</v>
      </c>
      <c r="Q497" s="204" t="str">
        <f>INDEX(Mapping!$H:$H,MATCH(Q$3&amp;$F497,Mapping!$B:$B,0))</f>
        <v>Metro - Nationaal</v>
      </c>
      <c r="R497" s="204" t="str">
        <f>INDEX(Mapping!$H:$H,MATCH("ZM VPN Service Level"&amp;E497,Mapping!$B:$B,0))</f>
        <v>Advanced</v>
      </c>
      <c r="S497" s="139" t="b">
        <f>IF($D497="EoK",INDEX(Mapping!$I:$I,MATCH($G$3&amp;$G497,Mapping!B:B,0)),FALSE)</f>
        <v>0</v>
      </c>
      <c r="T497" s="139"/>
      <c r="U497" s="520" t="str">
        <f t="shared" si="274"/>
        <v>LiteMetro1000</v>
      </c>
      <c r="W497" s="521">
        <f>MATCH($J497,'Tarieven ZM'!$B:$B,0)</f>
        <v>45</v>
      </c>
      <c r="X497" s="204">
        <f>INDEX('Tarieven ZM'!$H:$H,$W497)</f>
        <v>1000</v>
      </c>
      <c r="Y497" s="198">
        <f>-INDEX(Parameters!$B:$B,MATCH(Y$3&amp;$C497,Parameters!$A:$A,0))*$X497</f>
        <v>0</v>
      </c>
      <c r="Z497" s="198">
        <f>-INDEX(Parameters!$B:$B,MATCH(Z$3&amp;$C497,Parameters!$A:$A,0))*$X497</f>
        <v>0</v>
      </c>
      <c r="AA497" s="139">
        <f t="shared" si="276"/>
        <v>1000</v>
      </c>
      <c r="AB497" s="205">
        <f>AA497/INDEX(Parameters!$B:$B,MATCH("AfschrijftermijnVVE"&amp;12*$C497,Parameters!$A:$A,0))</f>
        <v>16.666666666666668</v>
      </c>
      <c r="AC497" s="204">
        <f>INDEX('Tarieven ZM'!$G:$G,$W497)</f>
        <v>1000</v>
      </c>
      <c r="AD497" s="198">
        <f>-INDEX(Parameters!$B:$B,MATCH(AD$3&amp;$C497,Parameters!$A:$A,0))*$AC497</f>
        <v>0</v>
      </c>
      <c r="AE497" s="198">
        <f>-INDEX(Parameters!$B:$B,MATCH(AE$3,Parameters!$A:$A,0))*$AC497</f>
        <v>0</v>
      </c>
      <c r="AF497" s="139">
        <f t="shared" si="277"/>
        <v>1000</v>
      </c>
      <c r="AG497" s="522">
        <f t="shared" si="278"/>
        <v>1016.6666666666666</v>
      </c>
      <c r="AH497" s="175"/>
      <c r="AI497" s="523">
        <f>MATCH($U497,'Tarieven W&amp;O'!$B:$B,0)</f>
        <v>54</v>
      </c>
      <c r="AJ497" s="204">
        <f>IF(AI497&lt;&gt;"nvt",INDEX('Tarieven W&amp;O'!$H:$H,$AI497),0)</f>
        <v>0</v>
      </c>
      <c r="AK497" s="204">
        <f>IF(AI497&lt;&gt;"nvt",INDEX('Tarieven W&amp;O'!$I:$I,$AI497),0)</f>
        <v>25</v>
      </c>
      <c r="AL497" s="524">
        <f>IF(AI497&lt;&gt;"nvt",-INDEX(Parameters!$B:$B,MATCH(AL$3,Parameters!$A:$A,0))*(AJ497+AK497),0)</f>
        <v>0</v>
      </c>
      <c r="AM497" s="525"/>
      <c r="AN497" s="139">
        <f t="shared" si="279"/>
        <v>25</v>
      </c>
      <c r="AO497" s="205">
        <f>AN497/INDEX(Parameters!$B:$B,MATCH("AfschrijftermijnVVE"&amp;12*$C497,Parameters!$A:$A,0))</f>
        <v>0.41666666666666669</v>
      </c>
      <c r="AP497" s="139">
        <f t="shared" si="280"/>
        <v>54</v>
      </c>
      <c r="AQ497" s="526">
        <f>IF(AP497&lt;&gt;"nvt",INDEX('Tarieven W&amp;O'!$G:$G,$AP497),0)</f>
        <v>203.15</v>
      </c>
      <c r="AR497" s="251">
        <f>IF($S497,INDEX('Tarieven W&amp;O'!$G:$G,MATCH(N497&amp;R497,'Tarieven W&amp;O'!$B:$B,0)),0)</f>
        <v>0</v>
      </c>
      <c r="AS497" s="205">
        <f>-INDEX(Parameters!$B:$B,MATCH(AS$3,Parameters!$A:$A,0))*(AQ497+AR497)</f>
        <v>0</v>
      </c>
      <c r="AT497" s="205">
        <f>INDEX(hulpblad!$E:$E,MATCH(M497&amp;Q497,hulpblad!$B:$B,0))</f>
        <v>2</v>
      </c>
      <c r="AU497" s="150">
        <f t="shared" si="258"/>
        <v>205.15</v>
      </c>
      <c r="AV497" s="150">
        <f t="shared" si="259"/>
        <v>205.56666666666666</v>
      </c>
      <c r="AX497" s="526">
        <f>Parameters!$B$6*AV497</f>
        <v>2.0556666666666668</v>
      </c>
      <c r="AY497" s="150">
        <v>0</v>
      </c>
      <c r="AZ497" s="150"/>
      <c r="BA497" s="150">
        <f t="shared" si="281"/>
        <v>2.0556666666666668</v>
      </c>
      <c r="BB497" s="150"/>
      <c r="BC497" s="522">
        <f t="shared" si="282"/>
        <v>207.62233333333333</v>
      </c>
      <c r="BD497" s="175"/>
      <c r="BE497" s="527">
        <f t="shared" si="262"/>
        <v>809.04433333333327</v>
      </c>
      <c r="BF497" s="181">
        <f t="shared" si="263"/>
        <v>0.79578131147540976</v>
      </c>
      <c r="BG497" s="520" t="b">
        <f t="shared" si="275"/>
        <v>0</v>
      </c>
      <c r="BI497" s="528" t="s">
        <v>2181</v>
      </c>
      <c r="BL497" s="151" t="str">
        <f t="shared" si="265"/>
        <v>EoKMetro - Nationaal</v>
      </c>
      <c r="BM497" s="529">
        <v>0</v>
      </c>
      <c r="BN497" s="180">
        <f>BM497/INDEX(Parameters!$B:$B,MATCH("AfschrijftermijnVVE"&amp;12*$C497,Parameters!$A:$A,0))</f>
        <v>0</v>
      </c>
      <c r="BO497" s="184">
        <f>INDEX('inkoop ULL tbv EVPN'!I:I,MATCH(BL497,'inkoop ULL tbv EVPN'!H:H,0))</f>
        <v>2</v>
      </c>
      <c r="BP497" s="184">
        <f t="shared" si="266"/>
        <v>2</v>
      </c>
      <c r="BR497" s="180">
        <f>Parameters!$B$12*AG497</f>
        <v>101.66666666666667</v>
      </c>
      <c r="BS497" s="180">
        <f>SUM(Distributievergoedingen!$F$12,Distributievergoedingen!$I$12,Distributievergoedingen!$L$12,Distributievergoedingen!$O$12)*AF497+SUM(Distributievergoedingen!$O$12*AA497+Distributievergoedingen!$R$12+Distributievergoedingen!$U$12+Distributievergoedingen!$X$12)/(MAX(36,12*C497))</f>
        <v>111.66666666666667</v>
      </c>
      <c r="BT497" s="150"/>
      <c r="BU497" s="150">
        <f t="shared" si="267"/>
        <v>213.33333333333334</v>
      </c>
      <c r="BW497" s="522">
        <f t="shared" si="268"/>
        <v>215.33333333333334</v>
      </c>
      <c r="BY497" s="527">
        <f t="shared" si="269"/>
        <v>801.33333333333326</v>
      </c>
      <c r="BZ497" s="181">
        <f t="shared" si="270"/>
        <v>0.78819672131147533</v>
      </c>
      <c r="CA497" s="520" t="b">
        <f t="shared" si="271"/>
        <v>0</v>
      </c>
    </row>
    <row r="498" spans="1:79" s="151" customFormat="1">
      <c r="A498" s="151" t="str">
        <f t="shared" si="250"/>
        <v>5EoKEntryNationaal1</v>
      </c>
      <c r="B498" s="520" t="str">
        <f t="shared" si="272"/>
        <v>5EoKEntryNationaal1</v>
      </c>
      <c r="C498" s="179">
        <v>5</v>
      </c>
      <c r="D498" s="179" t="s">
        <v>303</v>
      </c>
      <c r="E498" s="178" t="s">
        <v>45</v>
      </c>
      <c r="F498" s="178" t="s">
        <v>266</v>
      </c>
      <c r="G498" s="185" t="s">
        <v>362</v>
      </c>
      <c r="J498" s="520" t="str">
        <f t="shared" si="273"/>
        <v>EntryNationaal1</v>
      </c>
      <c r="L498" s="204">
        <f>INDEX(Mapping!$H:$H,MATCH(C$3&amp;C498,Mapping!$B:$B,0))</f>
        <v>1</v>
      </c>
      <c r="M498" s="204" t="str">
        <f>INDEX(Mapping!$H:$H,MATCH(D$3&amp;$D498,Mapping!$B:$B,0))</f>
        <v>EoK</v>
      </c>
      <c r="N498" s="204" t="str">
        <f>INDEX(Mapping!$H:$H,MATCH(E$3&amp;E498,Mapping!$B:$B,0))</f>
        <v>Lite</v>
      </c>
      <c r="O498" s="204" t="str">
        <f>INDEX(Mapping!$H:$H,MATCH(F$3&amp;F498,Mapping!$B:$B,0))</f>
        <v>Metro</v>
      </c>
      <c r="P498" s="204">
        <f>INDEX(Mapping!$H:$H,MATCH(G$3&amp;G498,Mapping!$B:$B,0))</f>
        <v>1</v>
      </c>
      <c r="Q498" s="204" t="str">
        <f>INDEX(Mapping!$H:$H,MATCH(Q$3&amp;$F498,Mapping!$B:$B,0))</f>
        <v>Metro - Nationaal</v>
      </c>
      <c r="R498" s="204" t="str">
        <f>INDEX(Mapping!$H:$H,MATCH("ZM VPN Service Level"&amp;E498,Mapping!$B:$B,0))</f>
        <v>Advanced</v>
      </c>
      <c r="S498" s="139" t="b">
        <f>IF($D498="EoK",INDEX(Mapping!$I:$I,MATCH($G$3&amp;$G498,Mapping!B:B,0)),FALSE)</f>
        <v>1</v>
      </c>
      <c r="T498" s="139"/>
      <c r="U498" s="520" t="str">
        <f t="shared" si="274"/>
        <v>LiteMetro1</v>
      </c>
      <c r="W498" s="521">
        <f>MATCH($J498,'Tarieven ZM'!$B:$B,0)</f>
        <v>46</v>
      </c>
      <c r="X498" s="204">
        <f>INDEX('Tarieven ZM'!$H:$H,$W498)</f>
        <v>1000</v>
      </c>
      <c r="Y498" s="198">
        <f>-INDEX(Parameters!$B:$B,MATCH(Y$3&amp;$C498,Parameters!$A:$A,0))*$X498</f>
        <v>0</v>
      </c>
      <c r="Z498" s="198">
        <f>-INDEX(Parameters!$B:$B,MATCH(Z$3&amp;$C498,Parameters!$A:$A,0))*$X498</f>
        <v>0</v>
      </c>
      <c r="AA498" s="139">
        <f t="shared" si="276"/>
        <v>1000</v>
      </c>
      <c r="AB498" s="205">
        <f>AA498/INDEX(Parameters!$B:$B,MATCH("AfschrijftermijnVVE"&amp;12*$C498,Parameters!$A:$A,0))</f>
        <v>16.666666666666668</v>
      </c>
      <c r="AC498" s="204">
        <f>INDEX('Tarieven ZM'!$G:$G,$W498)</f>
        <v>1000</v>
      </c>
      <c r="AD498" s="198">
        <f>-INDEX(Parameters!$B:$B,MATCH(AD$3&amp;$C498,Parameters!$A:$A,0))*$AC498</f>
        <v>0</v>
      </c>
      <c r="AE498" s="198">
        <f>-INDEX(Parameters!$B:$B,MATCH(AE$3,Parameters!$A:$A,0))*$AC498</f>
        <v>0</v>
      </c>
      <c r="AF498" s="139">
        <f t="shared" si="277"/>
        <v>1000</v>
      </c>
      <c r="AG498" s="522">
        <f t="shared" si="278"/>
        <v>1016.6666666666666</v>
      </c>
      <c r="AH498" s="175"/>
      <c r="AI498" s="523">
        <f>MATCH($U498,'Tarieven W&amp;O'!$B:$B,0)</f>
        <v>36</v>
      </c>
      <c r="AJ498" s="204">
        <f>IF(AI498&lt;&gt;"nvt",INDEX('Tarieven W&amp;O'!$H:$H,$AI498),0)</f>
        <v>0</v>
      </c>
      <c r="AK498" s="204">
        <f>IF(AI498&lt;&gt;"nvt",INDEX('Tarieven W&amp;O'!$I:$I,$AI498),0)</f>
        <v>25</v>
      </c>
      <c r="AL498" s="524">
        <f>IF(AI498&lt;&gt;"nvt",-INDEX(Parameters!$B:$B,MATCH(AL$3,Parameters!$A:$A,0))*(AJ498+AK498),0)</f>
        <v>0</v>
      </c>
      <c r="AM498" s="525"/>
      <c r="AN498" s="139">
        <f t="shared" si="279"/>
        <v>25</v>
      </c>
      <c r="AO498" s="205">
        <f>AN498/INDEX(Parameters!$B:$B,MATCH("AfschrijftermijnVVE"&amp;12*$C498,Parameters!$A:$A,0))</f>
        <v>0.41666666666666669</v>
      </c>
      <c r="AP498" s="139">
        <f t="shared" si="280"/>
        <v>36</v>
      </c>
      <c r="AQ498" s="526">
        <f>IF(AP498&lt;&gt;"nvt",INDEX('Tarieven W&amp;O'!$G:$G,$AP498),0)</f>
        <v>14.29</v>
      </c>
      <c r="AR498" s="251">
        <f>IF($S498,INDEX('Tarieven W&amp;O'!$G:$G,MATCH(N498&amp;R498,'Tarieven W&amp;O'!$B:$B,0)),0)</f>
        <v>5.25</v>
      </c>
      <c r="AS498" s="205">
        <f>-INDEX(Parameters!$B:$B,MATCH(AS$3,Parameters!$A:$A,0))*(AQ498+AR498)</f>
        <v>0</v>
      </c>
      <c r="AT498" s="205">
        <f>INDEX(hulpblad!$E:$E,MATCH(M498&amp;Q498,hulpblad!$B:$B,0))</f>
        <v>2</v>
      </c>
      <c r="AU498" s="150">
        <f t="shared" si="258"/>
        <v>21.54</v>
      </c>
      <c r="AV498" s="150">
        <f t="shared" si="259"/>
        <v>21.956666666666667</v>
      </c>
      <c r="AX498" s="526">
        <f>Parameters!$B$6*AV498</f>
        <v>0.21956666666666669</v>
      </c>
      <c r="AY498" s="150">
        <v>0</v>
      </c>
      <c r="AZ498" s="150"/>
      <c r="BA498" s="150">
        <f t="shared" si="281"/>
        <v>0.21956666666666669</v>
      </c>
      <c r="BB498" s="150"/>
      <c r="BC498" s="522">
        <f t="shared" si="282"/>
        <v>22.176233333333332</v>
      </c>
      <c r="BD498" s="175"/>
      <c r="BE498" s="527">
        <f t="shared" si="262"/>
        <v>994.49043333333327</v>
      </c>
      <c r="BF498" s="181">
        <f t="shared" si="263"/>
        <v>0.97818731147540983</v>
      </c>
      <c r="BG498" s="520" t="b">
        <f t="shared" si="275"/>
        <v>0</v>
      </c>
      <c r="BI498" s="528" t="s">
        <v>2181</v>
      </c>
      <c r="BL498" s="151" t="str">
        <f t="shared" si="265"/>
        <v>EoKMetro - Nationaal</v>
      </c>
      <c r="BM498" s="529">
        <v>0</v>
      </c>
      <c r="BN498" s="180">
        <f>BM498/INDEX(Parameters!$B:$B,MATCH("AfschrijftermijnVVE"&amp;12*$C498,Parameters!$A:$A,0))</f>
        <v>0</v>
      </c>
      <c r="BO498" s="184">
        <f>INDEX('inkoop ULL tbv EVPN'!I:I,MATCH(BL498,'inkoop ULL tbv EVPN'!H:H,0))</f>
        <v>2</v>
      </c>
      <c r="BP498" s="184">
        <f t="shared" si="266"/>
        <v>2</v>
      </c>
      <c r="BR498" s="180">
        <f>Parameters!$B$12*AG498</f>
        <v>101.66666666666667</v>
      </c>
      <c r="BS498" s="180">
        <f>SUM(Distributievergoedingen!$F$12,Distributievergoedingen!$I$12,Distributievergoedingen!$L$12,Distributievergoedingen!$O$12)*AF498+SUM(Distributievergoedingen!$O$12*AA498+Distributievergoedingen!$R$12+Distributievergoedingen!$U$12+Distributievergoedingen!$X$12)/(MAX(36,12*C498))</f>
        <v>111.66666666666667</v>
      </c>
      <c r="BT498" s="150"/>
      <c r="BU498" s="150">
        <f t="shared" si="267"/>
        <v>213.33333333333334</v>
      </c>
      <c r="BW498" s="522">
        <f t="shared" si="268"/>
        <v>215.33333333333334</v>
      </c>
      <c r="BY498" s="527">
        <f t="shared" si="269"/>
        <v>801.33333333333326</v>
      </c>
      <c r="BZ498" s="181">
        <f t="shared" si="270"/>
        <v>0.78819672131147533</v>
      </c>
      <c r="CA498" s="520" t="b">
        <f t="shared" si="271"/>
        <v>0</v>
      </c>
    </row>
    <row r="499" spans="1:79" s="151" customFormat="1">
      <c r="A499" s="151" t="str">
        <f t="shared" si="250"/>
        <v>5EoKEntryNationaal2</v>
      </c>
      <c r="B499" s="520" t="str">
        <f t="shared" si="272"/>
        <v>5EoKEntryNationaal2</v>
      </c>
      <c r="C499" s="179">
        <v>5</v>
      </c>
      <c r="D499" s="179" t="s">
        <v>303</v>
      </c>
      <c r="E499" s="178" t="s">
        <v>45</v>
      </c>
      <c r="F499" s="178" t="s">
        <v>266</v>
      </c>
      <c r="G499" s="185" t="s">
        <v>363</v>
      </c>
      <c r="J499" s="520" t="str">
        <f t="shared" si="273"/>
        <v>EntryNationaal2</v>
      </c>
      <c r="L499" s="204">
        <f>INDEX(Mapping!$H:$H,MATCH(C$3&amp;C499,Mapping!$B:$B,0))</f>
        <v>1</v>
      </c>
      <c r="M499" s="204" t="str">
        <f>INDEX(Mapping!$H:$H,MATCH(D$3&amp;$D499,Mapping!$B:$B,0))</f>
        <v>EoK</v>
      </c>
      <c r="N499" s="204" t="str">
        <f>INDEX(Mapping!$H:$H,MATCH(E$3&amp;E499,Mapping!$B:$B,0))</f>
        <v>Lite</v>
      </c>
      <c r="O499" s="204" t="str">
        <f>INDEX(Mapping!$H:$H,MATCH(F$3&amp;F499,Mapping!$B:$B,0))</f>
        <v>Metro</v>
      </c>
      <c r="P499" s="204">
        <f>INDEX(Mapping!$H:$H,MATCH(G$3&amp;G499,Mapping!$B:$B,0))</f>
        <v>2</v>
      </c>
      <c r="Q499" s="204" t="str">
        <f>INDEX(Mapping!$H:$H,MATCH(Q$3&amp;$F499,Mapping!$B:$B,0))</f>
        <v>Metro - Nationaal</v>
      </c>
      <c r="R499" s="204" t="str">
        <f>INDEX(Mapping!$H:$H,MATCH("ZM VPN Service Level"&amp;E499,Mapping!$B:$B,0))</f>
        <v>Advanced</v>
      </c>
      <c r="S499" s="139" t="b">
        <f>IF($D499="EoK",INDEX(Mapping!$I:$I,MATCH($G$3&amp;$G499,Mapping!B:B,0)),FALSE)</f>
        <v>1</v>
      </c>
      <c r="T499" s="139"/>
      <c r="U499" s="520" t="str">
        <f t="shared" si="274"/>
        <v>LiteMetro2</v>
      </c>
      <c r="W499" s="521">
        <f>MATCH($J499,'Tarieven ZM'!$B:$B,0)</f>
        <v>47</v>
      </c>
      <c r="X499" s="204">
        <f>INDEX('Tarieven ZM'!$H:$H,$W499)</f>
        <v>1000</v>
      </c>
      <c r="Y499" s="198">
        <f>-INDEX(Parameters!$B:$B,MATCH(Y$3&amp;$C499,Parameters!$A:$A,0))*$X499</f>
        <v>0</v>
      </c>
      <c r="Z499" s="198">
        <f>-INDEX(Parameters!$B:$B,MATCH(Z$3&amp;$C499,Parameters!$A:$A,0))*$X499</f>
        <v>0</v>
      </c>
      <c r="AA499" s="139">
        <f t="shared" si="276"/>
        <v>1000</v>
      </c>
      <c r="AB499" s="205">
        <f>AA499/INDEX(Parameters!$B:$B,MATCH("AfschrijftermijnVVE"&amp;12*$C499,Parameters!$A:$A,0))</f>
        <v>16.666666666666668</v>
      </c>
      <c r="AC499" s="204">
        <f>INDEX('Tarieven ZM'!$G:$G,$W499)</f>
        <v>1000</v>
      </c>
      <c r="AD499" s="198">
        <f>-INDEX(Parameters!$B:$B,MATCH(AD$3&amp;$C499,Parameters!$A:$A,0))*$AC499</f>
        <v>0</v>
      </c>
      <c r="AE499" s="198">
        <f>-INDEX(Parameters!$B:$B,MATCH(AE$3,Parameters!$A:$A,0))*$AC499</f>
        <v>0</v>
      </c>
      <c r="AF499" s="139">
        <f t="shared" si="277"/>
        <v>1000</v>
      </c>
      <c r="AG499" s="522">
        <f t="shared" si="278"/>
        <v>1016.6666666666666</v>
      </c>
      <c r="AH499" s="175"/>
      <c r="AI499" s="523">
        <f>MATCH($U499,'Tarieven W&amp;O'!$B:$B,0)</f>
        <v>37</v>
      </c>
      <c r="AJ499" s="204">
        <f>IF(AI499&lt;&gt;"nvt",INDEX('Tarieven W&amp;O'!$H:$H,$AI499),0)</f>
        <v>0</v>
      </c>
      <c r="AK499" s="204">
        <f>IF(AI499&lt;&gt;"nvt",INDEX('Tarieven W&amp;O'!$I:$I,$AI499),0)</f>
        <v>25</v>
      </c>
      <c r="AL499" s="524">
        <f>IF(AI499&lt;&gt;"nvt",-INDEX(Parameters!$B:$B,MATCH(AL$3,Parameters!$A:$A,0))*(AJ499+AK499),0)</f>
        <v>0</v>
      </c>
      <c r="AM499" s="525"/>
      <c r="AN499" s="139">
        <f t="shared" si="279"/>
        <v>25</v>
      </c>
      <c r="AO499" s="205">
        <f>AN499/INDEX(Parameters!$B:$B,MATCH("AfschrijftermijnVVE"&amp;12*$C499,Parameters!$A:$A,0))</f>
        <v>0.41666666666666669</v>
      </c>
      <c r="AP499" s="139">
        <f t="shared" si="280"/>
        <v>37</v>
      </c>
      <c r="AQ499" s="526">
        <f>IF(AP499&lt;&gt;"nvt",INDEX('Tarieven W&amp;O'!$G:$G,$AP499),0)</f>
        <v>16.55</v>
      </c>
      <c r="AR499" s="251">
        <f>IF($S499,INDEX('Tarieven W&amp;O'!$G:$G,MATCH(N499&amp;R499,'Tarieven W&amp;O'!$B:$B,0)),0)</f>
        <v>5.25</v>
      </c>
      <c r="AS499" s="205">
        <f>-INDEX(Parameters!$B:$B,MATCH(AS$3,Parameters!$A:$A,0))*(AQ499+AR499)</f>
        <v>0</v>
      </c>
      <c r="AT499" s="205">
        <f>INDEX(hulpblad!$E:$E,MATCH(M499&amp;Q499,hulpblad!$B:$B,0))</f>
        <v>2</v>
      </c>
      <c r="AU499" s="150">
        <f t="shared" si="258"/>
        <v>23.8</v>
      </c>
      <c r="AV499" s="150">
        <f t="shared" si="259"/>
        <v>24.216666666666669</v>
      </c>
      <c r="AX499" s="526">
        <f>Parameters!$B$6*AV499</f>
        <v>0.2421666666666667</v>
      </c>
      <c r="AY499" s="150">
        <v>0</v>
      </c>
      <c r="AZ499" s="150"/>
      <c r="BA499" s="150">
        <f t="shared" si="281"/>
        <v>0.2421666666666667</v>
      </c>
      <c r="BB499" s="150"/>
      <c r="BC499" s="522">
        <f t="shared" si="282"/>
        <v>24.458833333333335</v>
      </c>
      <c r="BD499" s="175"/>
      <c r="BE499" s="527">
        <f t="shared" si="262"/>
        <v>992.20783333333327</v>
      </c>
      <c r="BF499" s="181">
        <f t="shared" si="263"/>
        <v>0.97594213114754091</v>
      </c>
      <c r="BG499" s="520" t="b">
        <f t="shared" si="275"/>
        <v>0</v>
      </c>
      <c r="BI499" s="528" t="s">
        <v>2181</v>
      </c>
      <c r="BL499" s="151" t="str">
        <f t="shared" si="265"/>
        <v>EoKMetro - Nationaal</v>
      </c>
      <c r="BM499" s="529">
        <v>0</v>
      </c>
      <c r="BN499" s="180">
        <f>BM499/INDEX(Parameters!$B:$B,MATCH("AfschrijftermijnVVE"&amp;12*$C499,Parameters!$A:$A,0))</f>
        <v>0</v>
      </c>
      <c r="BO499" s="184">
        <f>INDEX('inkoop ULL tbv EVPN'!I:I,MATCH(BL499,'inkoop ULL tbv EVPN'!H:H,0))</f>
        <v>2</v>
      </c>
      <c r="BP499" s="184">
        <f t="shared" si="266"/>
        <v>2</v>
      </c>
      <c r="BR499" s="180">
        <f>Parameters!$B$12*AG499</f>
        <v>101.66666666666667</v>
      </c>
      <c r="BS499" s="180">
        <f>SUM(Distributievergoedingen!$F$12,Distributievergoedingen!$I$12,Distributievergoedingen!$L$12,Distributievergoedingen!$O$12)*AF499+SUM(Distributievergoedingen!$O$12*AA499+Distributievergoedingen!$R$12+Distributievergoedingen!$U$12+Distributievergoedingen!$X$12)/(MAX(36,12*C499))</f>
        <v>111.66666666666667</v>
      </c>
      <c r="BT499" s="150"/>
      <c r="BU499" s="150">
        <f t="shared" si="267"/>
        <v>213.33333333333334</v>
      </c>
      <c r="BW499" s="522">
        <f t="shared" si="268"/>
        <v>215.33333333333334</v>
      </c>
      <c r="BY499" s="527">
        <f t="shared" si="269"/>
        <v>801.33333333333326</v>
      </c>
      <c r="BZ499" s="181">
        <f t="shared" si="270"/>
        <v>0.78819672131147533</v>
      </c>
      <c r="CA499" s="520" t="b">
        <f t="shared" si="271"/>
        <v>0</v>
      </c>
    </row>
    <row r="500" spans="1:79" s="151" customFormat="1">
      <c r="A500" s="151" t="str">
        <f t="shared" si="250"/>
        <v>5EoKEntryNationaal3</v>
      </c>
      <c r="B500" s="520" t="str">
        <f t="shared" si="272"/>
        <v>5EoKEntryNationaal3</v>
      </c>
      <c r="C500" s="179">
        <v>5</v>
      </c>
      <c r="D500" s="179" t="s">
        <v>303</v>
      </c>
      <c r="E500" s="178" t="s">
        <v>45</v>
      </c>
      <c r="F500" s="178" t="s">
        <v>266</v>
      </c>
      <c r="G500" s="185" t="s">
        <v>407</v>
      </c>
      <c r="J500" s="520" t="str">
        <f t="shared" si="273"/>
        <v>EntryNationaal3</v>
      </c>
      <c r="L500" s="204">
        <f>INDEX(Mapping!$H:$H,MATCH(C$3&amp;C500,Mapping!$B:$B,0))</f>
        <v>1</v>
      </c>
      <c r="M500" s="204" t="str">
        <f>INDEX(Mapping!$H:$H,MATCH(D$3&amp;$D500,Mapping!$B:$B,0))</f>
        <v>EoK</v>
      </c>
      <c r="N500" s="204" t="str">
        <f>INDEX(Mapping!$H:$H,MATCH(E$3&amp;E500,Mapping!$B:$B,0))</f>
        <v>Lite</v>
      </c>
      <c r="O500" s="204" t="str">
        <f>INDEX(Mapping!$H:$H,MATCH(F$3&amp;F500,Mapping!$B:$B,0))</f>
        <v>Metro</v>
      </c>
      <c r="P500" s="204">
        <f>INDEX(Mapping!$H:$H,MATCH(G$3&amp;G500,Mapping!$B:$B,0))</f>
        <v>3</v>
      </c>
      <c r="Q500" s="204" t="str">
        <f>INDEX(Mapping!$H:$H,MATCH(Q$3&amp;$F500,Mapping!$B:$B,0))</f>
        <v>Metro - Nationaal</v>
      </c>
      <c r="R500" s="204" t="str">
        <f>INDEX(Mapping!$H:$H,MATCH("ZM VPN Service Level"&amp;E500,Mapping!$B:$B,0))</f>
        <v>Advanced</v>
      </c>
      <c r="S500" s="139" t="b">
        <f>IF($D500="EoK",INDEX(Mapping!$I:$I,MATCH($G$3&amp;$G500,Mapping!B:B,0)),FALSE)</f>
        <v>0</v>
      </c>
      <c r="T500" s="139"/>
      <c r="U500" s="520" t="str">
        <f t="shared" si="274"/>
        <v>LiteMetro3</v>
      </c>
      <c r="W500" s="521">
        <f>MATCH($J500,'Tarieven ZM'!$B:$B,0)</f>
        <v>48</v>
      </c>
      <c r="X500" s="204">
        <f>INDEX('Tarieven ZM'!$H:$H,$W500)</f>
        <v>1000</v>
      </c>
      <c r="Y500" s="198">
        <f>-INDEX(Parameters!$B:$B,MATCH(Y$3&amp;$C500,Parameters!$A:$A,0))*$X500</f>
        <v>0</v>
      </c>
      <c r="Z500" s="198">
        <f>-INDEX(Parameters!$B:$B,MATCH(Z$3&amp;$C500,Parameters!$A:$A,0))*$X500</f>
        <v>0</v>
      </c>
      <c r="AA500" s="139">
        <f t="shared" si="276"/>
        <v>1000</v>
      </c>
      <c r="AB500" s="205">
        <f>AA500/INDEX(Parameters!$B:$B,MATCH("AfschrijftermijnVVE"&amp;12*$C500,Parameters!$A:$A,0))</f>
        <v>16.666666666666668</v>
      </c>
      <c r="AC500" s="204">
        <f>INDEX('Tarieven ZM'!$G:$G,$W500)</f>
        <v>1000</v>
      </c>
      <c r="AD500" s="198">
        <f>-INDEX(Parameters!$B:$B,MATCH(AD$3&amp;$C500,Parameters!$A:$A,0))*$AC500</f>
        <v>0</v>
      </c>
      <c r="AE500" s="198">
        <f>-INDEX(Parameters!$B:$B,MATCH(AE$3,Parameters!$A:$A,0))*$AC500</f>
        <v>0</v>
      </c>
      <c r="AF500" s="139">
        <f t="shared" si="277"/>
        <v>1000</v>
      </c>
      <c r="AG500" s="522">
        <f t="shared" si="278"/>
        <v>1016.6666666666666</v>
      </c>
      <c r="AH500" s="175"/>
      <c r="AI500" s="523">
        <f>MATCH($U500,'Tarieven W&amp;O'!$B:$B,0)</f>
        <v>38</v>
      </c>
      <c r="AJ500" s="204">
        <f>IF(AI500&lt;&gt;"nvt",INDEX('Tarieven W&amp;O'!$H:$H,$AI500),0)</f>
        <v>0</v>
      </c>
      <c r="AK500" s="204">
        <f>IF(AI500&lt;&gt;"nvt",INDEX('Tarieven W&amp;O'!$I:$I,$AI500),0)</f>
        <v>25</v>
      </c>
      <c r="AL500" s="524">
        <f>IF(AI500&lt;&gt;"nvt",-INDEX(Parameters!$B:$B,MATCH(AL$3,Parameters!$A:$A,0))*(AJ500+AK500),0)</f>
        <v>0</v>
      </c>
      <c r="AM500" s="525"/>
      <c r="AN500" s="139">
        <f t="shared" si="279"/>
        <v>25</v>
      </c>
      <c r="AO500" s="205">
        <f>AN500/INDEX(Parameters!$B:$B,MATCH("AfschrijftermijnVVE"&amp;12*$C500,Parameters!$A:$A,0))</f>
        <v>0.41666666666666669</v>
      </c>
      <c r="AP500" s="139">
        <f t="shared" si="280"/>
        <v>38</v>
      </c>
      <c r="AQ500" s="526">
        <f>IF(AP500&lt;&gt;"nvt",INDEX('Tarieven W&amp;O'!$G:$G,$AP500),0)</f>
        <v>18.47</v>
      </c>
      <c r="AR500" s="251">
        <f>IF($S500,INDEX('Tarieven W&amp;O'!$G:$G,MATCH(N500&amp;R500,'Tarieven W&amp;O'!$B:$B,0)),0)</f>
        <v>0</v>
      </c>
      <c r="AS500" s="205">
        <f>-INDEX(Parameters!$B:$B,MATCH(AS$3,Parameters!$A:$A,0))*(AQ500+AR500)</f>
        <v>0</v>
      </c>
      <c r="AT500" s="205">
        <f>INDEX(hulpblad!$E:$E,MATCH(M500&amp;Q500,hulpblad!$B:$B,0))</f>
        <v>2</v>
      </c>
      <c r="AU500" s="150">
        <f t="shared" si="258"/>
        <v>20.47</v>
      </c>
      <c r="AV500" s="150">
        <f t="shared" si="259"/>
        <v>20.886666666666667</v>
      </c>
      <c r="AX500" s="526">
        <f>Parameters!$B$6*AV500</f>
        <v>0.20886666666666667</v>
      </c>
      <c r="AY500" s="150">
        <v>0</v>
      </c>
      <c r="AZ500" s="150"/>
      <c r="BA500" s="150">
        <f t="shared" si="281"/>
        <v>0.20886666666666667</v>
      </c>
      <c r="BB500" s="150"/>
      <c r="BC500" s="522">
        <f t="shared" si="282"/>
        <v>21.095533333333332</v>
      </c>
      <c r="BD500" s="175"/>
      <c r="BE500" s="527">
        <f t="shared" si="262"/>
        <v>995.57113333333325</v>
      </c>
      <c r="BF500" s="181">
        <f t="shared" si="263"/>
        <v>0.97925029508196715</v>
      </c>
      <c r="BG500" s="520" t="b">
        <f t="shared" si="275"/>
        <v>0</v>
      </c>
      <c r="BI500" s="528" t="s">
        <v>2181</v>
      </c>
      <c r="BL500" s="151" t="str">
        <f t="shared" si="265"/>
        <v>EoKMetro - Nationaal</v>
      </c>
      <c r="BM500" s="529">
        <v>0</v>
      </c>
      <c r="BN500" s="180">
        <f>BM500/INDEX(Parameters!$B:$B,MATCH("AfschrijftermijnVVE"&amp;12*$C500,Parameters!$A:$A,0))</f>
        <v>0</v>
      </c>
      <c r="BO500" s="184">
        <f>INDEX('inkoop ULL tbv EVPN'!I:I,MATCH(BL500,'inkoop ULL tbv EVPN'!H:H,0))</f>
        <v>2</v>
      </c>
      <c r="BP500" s="184">
        <f t="shared" si="266"/>
        <v>2</v>
      </c>
      <c r="BR500" s="180">
        <f>Parameters!$B$12*AG500</f>
        <v>101.66666666666667</v>
      </c>
      <c r="BS500" s="180">
        <f>SUM(Distributievergoedingen!$F$12,Distributievergoedingen!$I$12,Distributievergoedingen!$L$12,Distributievergoedingen!$O$12)*AF500+SUM(Distributievergoedingen!$O$12*AA500+Distributievergoedingen!$R$12+Distributievergoedingen!$U$12+Distributievergoedingen!$X$12)/(MAX(36,12*C500))</f>
        <v>111.66666666666667</v>
      </c>
      <c r="BT500" s="150"/>
      <c r="BU500" s="150">
        <f t="shared" si="267"/>
        <v>213.33333333333334</v>
      </c>
      <c r="BW500" s="522">
        <f t="shared" si="268"/>
        <v>215.33333333333334</v>
      </c>
      <c r="BY500" s="527">
        <f t="shared" si="269"/>
        <v>801.33333333333326</v>
      </c>
      <c r="BZ500" s="181">
        <f t="shared" si="270"/>
        <v>0.78819672131147533</v>
      </c>
      <c r="CA500" s="520" t="b">
        <f t="shared" si="271"/>
        <v>0</v>
      </c>
    </row>
    <row r="501" spans="1:79" s="151" customFormat="1">
      <c r="A501" s="151" t="str">
        <f t="shared" si="250"/>
        <v>5EoKEntryNationaal4</v>
      </c>
      <c r="B501" s="520" t="str">
        <f t="shared" si="272"/>
        <v>5EoKEntryNationaal4</v>
      </c>
      <c r="C501" s="179">
        <v>5</v>
      </c>
      <c r="D501" s="179" t="s">
        <v>303</v>
      </c>
      <c r="E501" s="178" t="s">
        <v>45</v>
      </c>
      <c r="F501" s="178" t="s">
        <v>266</v>
      </c>
      <c r="G501" s="185" t="s">
        <v>408</v>
      </c>
      <c r="J501" s="520" t="str">
        <f t="shared" si="273"/>
        <v>EntryNationaal4</v>
      </c>
      <c r="L501" s="204">
        <f>INDEX(Mapping!$H:$H,MATCH(C$3&amp;C501,Mapping!$B:$B,0))</f>
        <v>1</v>
      </c>
      <c r="M501" s="204" t="str">
        <f>INDEX(Mapping!$H:$H,MATCH(D$3&amp;$D501,Mapping!$B:$B,0))</f>
        <v>EoK</v>
      </c>
      <c r="N501" s="204" t="str">
        <f>INDEX(Mapping!$H:$H,MATCH(E$3&amp;E501,Mapping!$B:$B,0))</f>
        <v>Lite</v>
      </c>
      <c r="O501" s="204" t="str">
        <f>INDEX(Mapping!$H:$H,MATCH(F$3&amp;F501,Mapping!$B:$B,0))</f>
        <v>Metro</v>
      </c>
      <c r="P501" s="204">
        <f>INDEX(Mapping!$H:$H,MATCH(G$3&amp;G501,Mapping!$B:$B,0))</f>
        <v>4</v>
      </c>
      <c r="Q501" s="204" t="str">
        <f>INDEX(Mapping!$H:$H,MATCH(Q$3&amp;$F501,Mapping!$B:$B,0))</f>
        <v>Metro - Nationaal</v>
      </c>
      <c r="R501" s="204" t="str">
        <f>INDEX(Mapping!$H:$H,MATCH("ZM VPN Service Level"&amp;E501,Mapping!$B:$B,0))</f>
        <v>Advanced</v>
      </c>
      <c r="S501" s="139" t="b">
        <f>IF($D501="EoK",INDEX(Mapping!$I:$I,MATCH($G$3&amp;$G501,Mapping!B:B,0)),FALSE)</f>
        <v>0</v>
      </c>
      <c r="T501" s="139"/>
      <c r="U501" s="520" t="str">
        <f t="shared" si="274"/>
        <v>LiteMetro4</v>
      </c>
      <c r="W501" s="521">
        <f>MATCH($J501,'Tarieven ZM'!$B:$B,0)</f>
        <v>49</v>
      </c>
      <c r="X501" s="204">
        <f>INDEX('Tarieven ZM'!$H:$H,$W501)</f>
        <v>1000</v>
      </c>
      <c r="Y501" s="198">
        <f>-INDEX(Parameters!$B:$B,MATCH(Y$3&amp;$C501,Parameters!$A:$A,0))*$X501</f>
        <v>0</v>
      </c>
      <c r="Z501" s="198">
        <f>-INDEX(Parameters!$B:$B,MATCH(Z$3&amp;$C501,Parameters!$A:$A,0))*$X501</f>
        <v>0</v>
      </c>
      <c r="AA501" s="139">
        <f t="shared" si="276"/>
        <v>1000</v>
      </c>
      <c r="AB501" s="205">
        <f>AA501/INDEX(Parameters!$B:$B,MATCH("AfschrijftermijnVVE"&amp;12*$C501,Parameters!$A:$A,0))</f>
        <v>16.666666666666668</v>
      </c>
      <c r="AC501" s="204">
        <f>INDEX('Tarieven ZM'!$G:$G,$W501)</f>
        <v>1000</v>
      </c>
      <c r="AD501" s="198">
        <f>-INDEX(Parameters!$B:$B,MATCH(AD$3&amp;$C501,Parameters!$A:$A,0))*$AC501</f>
        <v>0</v>
      </c>
      <c r="AE501" s="198">
        <f>-INDEX(Parameters!$B:$B,MATCH(AE$3,Parameters!$A:$A,0))*$AC501</f>
        <v>0</v>
      </c>
      <c r="AF501" s="139">
        <f t="shared" si="277"/>
        <v>1000</v>
      </c>
      <c r="AG501" s="522">
        <f t="shared" si="278"/>
        <v>1016.6666666666666</v>
      </c>
      <c r="AH501" s="175"/>
      <c r="AI501" s="523">
        <f>MATCH($U501,'Tarieven W&amp;O'!$B:$B,0)</f>
        <v>39</v>
      </c>
      <c r="AJ501" s="204">
        <f>IF(AI501&lt;&gt;"nvt",INDEX('Tarieven W&amp;O'!$H:$H,$AI501),0)</f>
        <v>0</v>
      </c>
      <c r="AK501" s="204">
        <f>IF(AI501&lt;&gt;"nvt",INDEX('Tarieven W&amp;O'!$I:$I,$AI501),0)</f>
        <v>25</v>
      </c>
      <c r="AL501" s="524">
        <f>IF(AI501&lt;&gt;"nvt",-INDEX(Parameters!$B:$B,MATCH(AL$3,Parameters!$A:$A,0))*(AJ501+AK501),0)</f>
        <v>0</v>
      </c>
      <c r="AM501" s="525"/>
      <c r="AN501" s="139">
        <f t="shared" si="279"/>
        <v>25</v>
      </c>
      <c r="AO501" s="205">
        <f>AN501/INDEX(Parameters!$B:$B,MATCH("AfschrijftermijnVVE"&amp;12*$C501,Parameters!$A:$A,0))</f>
        <v>0.41666666666666669</v>
      </c>
      <c r="AP501" s="139">
        <f t="shared" si="280"/>
        <v>39</v>
      </c>
      <c r="AQ501" s="526">
        <f>IF(AP501&lt;&gt;"nvt",INDEX('Tarieven W&amp;O'!$G:$G,$AP501),0)</f>
        <v>18.47</v>
      </c>
      <c r="AR501" s="251">
        <f>IF($S501,INDEX('Tarieven W&amp;O'!$G:$G,MATCH(N501&amp;R501,'Tarieven W&amp;O'!$B:$B,0)),0)</f>
        <v>0</v>
      </c>
      <c r="AS501" s="205">
        <f>-INDEX(Parameters!$B:$B,MATCH(AS$3,Parameters!$A:$A,0))*(AQ501+AR501)</f>
        <v>0</v>
      </c>
      <c r="AT501" s="205">
        <f>INDEX(hulpblad!$E:$E,MATCH(M501&amp;Q501,hulpblad!$B:$B,0))</f>
        <v>2</v>
      </c>
      <c r="AU501" s="150">
        <f t="shared" si="258"/>
        <v>20.47</v>
      </c>
      <c r="AV501" s="150">
        <f t="shared" si="259"/>
        <v>20.886666666666667</v>
      </c>
      <c r="AX501" s="526">
        <f>Parameters!$B$6*AV501</f>
        <v>0.20886666666666667</v>
      </c>
      <c r="AY501" s="150">
        <v>0</v>
      </c>
      <c r="AZ501" s="150"/>
      <c r="BA501" s="150">
        <f t="shared" si="281"/>
        <v>0.20886666666666667</v>
      </c>
      <c r="BB501" s="150"/>
      <c r="BC501" s="522">
        <f t="shared" si="282"/>
        <v>21.095533333333332</v>
      </c>
      <c r="BD501" s="175"/>
      <c r="BE501" s="527">
        <f t="shared" si="262"/>
        <v>995.57113333333325</v>
      </c>
      <c r="BF501" s="181">
        <f t="shared" si="263"/>
        <v>0.97925029508196715</v>
      </c>
      <c r="BG501" s="520" t="b">
        <f t="shared" si="275"/>
        <v>0</v>
      </c>
      <c r="BI501" s="528" t="s">
        <v>2181</v>
      </c>
      <c r="BL501" s="151" t="str">
        <f t="shared" si="265"/>
        <v>EoKMetro - Nationaal</v>
      </c>
      <c r="BM501" s="529">
        <v>0</v>
      </c>
      <c r="BN501" s="180">
        <f>BM501/INDEX(Parameters!$B:$B,MATCH("AfschrijftermijnVVE"&amp;12*$C501,Parameters!$A:$A,0))</f>
        <v>0</v>
      </c>
      <c r="BO501" s="184">
        <f>INDEX('inkoop ULL tbv EVPN'!I:I,MATCH(BL501,'inkoop ULL tbv EVPN'!H:H,0))</f>
        <v>2</v>
      </c>
      <c r="BP501" s="184">
        <f t="shared" si="266"/>
        <v>2</v>
      </c>
      <c r="BR501" s="180">
        <f>Parameters!$B$12*AG501</f>
        <v>101.66666666666667</v>
      </c>
      <c r="BS501" s="180">
        <f>SUM(Distributievergoedingen!$F$12,Distributievergoedingen!$I$12,Distributievergoedingen!$L$12,Distributievergoedingen!$O$12)*AF501+SUM(Distributievergoedingen!$O$12*AA501+Distributievergoedingen!$R$12+Distributievergoedingen!$U$12+Distributievergoedingen!$X$12)/(MAX(36,12*C501))</f>
        <v>111.66666666666667</v>
      </c>
      <c r="BT501" s="150"/>
      <c r="BU501" s="150">
        <f t="shared" si="267"/>
        <v>213.33333333333334</v>
      </c>
      <c r="BW501" s="522">
        <f t="shared" si="268"/>
        <v>215.33333333333334</v>
      </c>
      <c r="BY501" s="527">
        <f t="shared" si="269"/>
        <v>801.33333333333326</v>
      </c>
      <c r="BZ501" s="181">
        <f t="shared" si="270"/>
        <v>0.78819672131147533</v>
      </c>
      <c r="CA501" s="520" t="b">
        <f t="shared" si="271"/>
        <v>0</v>
      </c>
    </row>
    <row r="502" spans="1:79" s="151" customFormat="1">
      <c r="A502" s="151" t="str">
        <f t="shared" si="250"/>
        <v>5EoKEntryNationaal5</v>
      </c>
      <c r="B502" s="520" t="str">
        <f t="shared" si="272"/>
        <v>5EoKEntryNationaal5</v>
      </c>
      <c r="C502" s="179">
        <v>5</v>
      </c>
      <c r="D502" s="179" t="s">
        <v>303</v>
      </c>
      <c r="E502" s="178" t="s">
        <v>45</v>
      </c>
      <c r="F502" s="178" t="s">
        <v>266</v>
      </c>
      <c r="G502" s="185" t="s">
        <v>409</v>
      </c>
      <c r="J502" s="520" t="str">
        <f t="shared" si="273"/>
        <v>EntryNationaal5</v>
      </c>
      <c r="L502" s="204">
        <f>INDEX(Mapping!$H:$H,MATCH(C$3&amp;C502,Mapping!$B:$B,0))</f>
        <v>1</v>
      </c>
      <c r="M502" s="204" t="str">
        <f>INDEX(Mapping!$H:$H,MATCH(D$3&amp;$D502,Mapping!$B:$B,0))</f>
        <v>EoK</v>
      </c>
      <c r="N502" s="204" t="str">
        <f>INDEX(Mapping!$H:$H,MATCH(E$3&amp;E502,Mapping!$B:$B,0))</f>
        <v>Lite</v>
      </c>
      <c r="O502" s="204" t="str">
        <f>INDEX(Mapping!$H:$H,MATCH(F$3&amp;F502,Mapping!$B:$B,0))</f>
        <v>Metro</v>
      </c>
      <c r="P502" s="204">
        <f>INDEX(Mapping!$H:$H,MATCH(G$3&amp;G502,Mapping!$B:$B,0))</f>
        <v>5</v>
      </c>
      <c r="Q502" s="204" t="str">
        <f>INDEX(Mapping!$H:$H,MATCH(Q$3&amp;$F502,Mapping!$B:$B,0))</f>
        <v>Metro - Nationaal</v>
      </c>
      <c r="R502" s="204" t="str">
        <f>INDEX(Mapping!$H:$H,MATCH("ZM VPN Service Level"&amp;E502,Mapping!$B:$B,0))</f>
        <v>Advanced</v>
      </c>
      <c r="S502" s="139" t="b">
        <f>IF($D502="EoK",INDEX(Mapping!$I:$I,MATCH($G$3&amp;$G502,Mapping!B:B,0)),FALSE)</f>
        <v>0</v>
      </c>
      <c r="T502" s="139"/>
      <c r="U502" s="520" t="str">
        <f t="shared" si="274"/>
        <v>LiteMetro5</v>
      </c>
      <c r="W502" s="521">
        <f>MATCH($J502,'Tarieven ZM'!$B:$B,0)</f>
        <v>50</v>
      </c>
      <c r="X502" s="204">
        <f>INDEX('Tarieven ZM'!$H:$H,$W502)</f>
        <v>1000</v>
      </c>
      <c r="Y502" s="198">
        <f>-INDEX(Parameters!$B:$B,MATCH(Y$3&amp;$C502,Parameters!$A:$A,0))*$X502</f>
        <v>0</v>
      </c>
      <c r="Z502" s="198">
        <f>-INDEX(Parameters!$B:$B,MATCH(Z$3&amp;$C502,Parameters!$A:$A,0))*$X502</f>
        <v>0</v>
      </c>
      <c r="AA502" s="139">
        <f t="shared" si="276"/>
        <v>1000</v>
      </c>
      <c r="AB502" s="205">
        <f>AA502/INDEX(Parameters!$B:$B,MATCH("AfschrijftermijnVVE"&amp;12*$C502,Parameters!$A:$A,0))</f>
        <v>16.666666666666668</v>
      </c>
      <c r="AC502" s="204">
        <f>INDEX('Tarieven ZM'!$G:$G,$W502)</f>
        <v>1000</v>
      </c>
      <c r="AD502" s="198">
        <f>-INDEX(Parameters!$B:$B,MATCH(AD$3&amp;$C502,Parameters!$A:$A,0))*$AC502</f>
        <v>0</v>
      </c>
      <c r="AE502" s="198">
        <f>-INDEX(Parameters!$B:$B,MATCH(AE$3,Parameters!$A:$A,0))*$AC502</f>
        <v>0</v>
      </c>
      <c r="AF502" s="139">
        <f t="shared" si="277"/>
        <v>1000</v>
      </c>
      <c r="AG502" s="522">
        <f t="shared" si="278"/>
        <v>1016.6666666666666</v>
      </c>
      <c r="AH502" s="175"/>
      <c r="AI502" s="523">
        <f>MATCH($U502,'Tarieven W&amp;O'!$B:$B,0)</f>
        <v>40</v>
      </c>
      <c r="AJ502" s="204">
        <f>IF(AI502&lt;&gt;"nvt",INDEX('Tarieven W&amp;O'!$H:$H,$AI502),0)</f>
        <v>0</v>
      </c>
      <c r="AK502" s="204">
        <f>IF(AI502&lt;&gt;"nvt",INDEX('Tarieven W&amp;O'!$I:$I,$AI502),0)</f>
        <v>25</v>
      </c>
      <c r="AL502" s="524">
        <f>IF(AI502&lt;&gt;"nvt",-INDEX(Parameters!$B:$B,MATCH(AL$3,Parameters!$A:$A,0))*(AJ502+AK502),0)</f>
        <v>0</v>
      </c>
      <c r="AM502" s="525"/>
      <c r="AN502" s="139">
        <f t="shared" si="279"/>
        <v>25</v>
      </c>
      <c r="AO502" s="205">
        <f>AN502/INDEX(Parameters!$B:$B,MATCH("AfschrijftermijnVVE"&amp;12*$C502,Parameters!$A:$A,0))</f>
        <v>0.41666666666666669</v>
      </c>
      <c r="AP502" s="139">
        <f t="shared" si="280"/>
        <v>40</v>
      </c>
      <c r="AQ502" s="526">
        <f>IF(AP502&lt;&gt;"nvt",INDEX('Tarieven W&amp;O'!$G:$G,$AP502),0)</f>
        <v>18.47</v>
      </c>
      <c r="AR502" s="251">
        <f>IF($S502,INDEX('Tarieven W&amp;O'!$G:$G,MATCH(N502&amp;R502,'Tarieven W&amp;O'!$B:$B,0)),0)</f>
        <v>0</v>
      </c>
      <c r="AS502" s="205">
        <f>-INDEX(Parameters!$B:$B,MATCH(AS$3,Parameters!$A:$A,0))*(AQ502+AR502)</f>
        <v>0</v>
      </c>
      <c r="AT502" s="205">
        <f>INDEX(hulpblad!$E:$E,MATCH(M502&amp;Q502,hulpblad!$B:$B,0))</f>
        <v>2</v>
      </c>
      <c r="AU502" s="150">
        <f t="shared" si="258"/>
        <v>20.47</v>
      </c>
      <c r="AV502" s="150">
        <f t="shared" si="259"/>
        <v>20.886666666666667</v>
      </c>
      <c r="AX502" s="526">
        <f>Parameters!$B$6*AV502</f>
        <v>0.20886666666666667</v>
      </c>
      <c r="AY502" s="150">
        <v>0</v>
      </c>
      <c r="AZ502" s="150"/>
      <c r="BA502" s="150">
        <f t="shared" si="281"/>
        <v>0.20886666666666667</v>
      </c>
      <c r="BB502" s="150"/>
      <c r="BC502" s="522">
        <f t="shared" si="282"/>
        <v>21.095533333333332</v>
      </c>
      <c r="BD502" s="175"/>
      <c r="BE502" s="527">
        <f t="shared" si="262"/>
        <v>995.57113333333325</v>
      </c>
      <c r="BF502" s="181">
        <f t="shared" si="263"/>
        <v>0.97925029508196715</v>
      </c>
      <c r="BG502" s="520" t="b">
        <f t="shared" si="275"/>
        <v>0</v>
      </c>
      <c r="BI502" s="528" t="s">
        <v>2181</v>
      </c>
      <c r="BL502" s="151" t="str">
        <f t="shared" si="265"/>
        <v>EoKMetro - Nationaal</v>
      </c>
      <c r="BM502" s="529">
        <v>0</v>
      </c>
      <c r="BN502" s="180">
        <f>BM502/INDEX(Parameters!$B:$B,MATCH("AfschrijftermijnVVE"&amp;12*$C502,Parameters!$A:$A,0))</f>
        <v>0</v>
      </c>
      <c r="BO502" s="184">
        <f>INDEX('inkoop ULL tbv EVPN'!I:I,MATCH(BL502,'inkoop ULL tbv EVPN'!H:H,0))</f>
        <v>2</v>
      </c>
      <c r="BP502" s="184">
        <f t="shared" si="266"/>
        <v>2</v>
      </c>
      <c r="BR502" s="180">
        <f>Parameters!$B$12*AG502</f>
        <v>101.66666666666667</v>
      </c>
      <c r="BS502" s="180">
        <f>SUM(Distributievergoedingen!$F$12,Distributievergoedingen!$I$12,Distributievergoedingen!$L$12,Distributievergoedingen!$O$12)*AF502+SUM(Distributievergoedingen!$O$12*AA502+Distributievergoedingen!$R$12+Distributievergoedingen!$U$12+Distributievergoedingen!$X$12)/(MAX(36,12*C502))</f>
        <v>111.66666666666667</v>
      </c>
      <c r="BT502" s="150"/>
      <c r="BU502" s="150">
        <f t="shared" si="267"/>
        <v>213.33333333333334</v>
      </c>
      <c r="BW502" s="522">
        <f t="shared" si="268"/>
        <v>215.33333333333334</v>
      </c>
      <c r="BY502" s="527">
        <f t="shared" si="269"/>
        <v>801.33333333333326</v>
      </c>
      <c r="BZ502" s="181">
        <f t="shared" si="270"/>
        <v>0.78819672131147533</v>
      </c>
      <c r="CA502" s="520" t="b">
        <f t="shared" si="271"/>
        <v>0</v>
      </c>
    </row>
    <row r="503" spans="1:79" s="151" customFormat="1">
      <c r="A503" s="151" t="str">
        <f t="shared" si="250"/>
        <v>5EoKEntryNationaal6</v>
      </c>
      <c r="B503" s="520" t="str">
        <f t="shared" si="272"/>
        <v>5EoKEntryNationaal6</v>
      </c>
      <c r="C503" s="179">
        <v>5</v>
      </c>
      <c r="D503" s="179" t="s">
        <v>303</v>
      </c>
      <c r="E503" s="178" t="s">
        <v>45</v>
      </c>
      <c r="F503" s="178" t="s">
        <v>266</v>
      </c>
      <c r="G503" s="185" t="s">
        <v>410</v>
      </c>
      <c r="J503" s="520" t="str">
        <f t="shared" si="273"/>
        <v>EntryNationaal6</v>
      </c>
      <c r="L503" s="204">
        <f>INDEX(Mapping!$H:$H,MATCH(C$3&amp;C503,Mapping!$B:$B,0))</f>
        <v>1</v>
      </c>
      <c r="M503" s="204" t="str">
        <f>INDEX(Mapping!$H:$H,MATCH(D$3&amp;$D503,Mapping!$B:$B,0))</f>
        <v>EoK</v>
      </c>
      <c r="N503" s="204" t="str">
        <f>INDEX(Mapping!$H:$H,MATCH(E$3&amp;E503,Mapping!$B:$B,0))</f>
        <v>Lite</v>
      </c>
      <c r="O503" s="204" t="str">
        <f>INDEX(Mapping!$H:$H,MATCH(F$3&amp;F503,Mapping!$B:$B,0))</f>
        <v>Metro</v>
      </c>
      <c r="P503" s="204">
        <f>INDEX(Mapping!$H:$H,MATCH(G$3&amp;G503,Mapping!$B:$B,0))</f>
        <v>6</v>
      </c>
      <c r="Q503" s="204" t="str">
        <f>INDEX(Mapping!$H:$H,MATCH(Q$3&amp;$F503,Mapping!$B:$B,0))</f>
        <v>Metro - Nationaal</v>
      </c>
      <c r="R503" s="204" t="str">
        <f>INDEX(Mapping!$H:$H,MATCH("ZM VPN Service Level"&amp;E503,Mapping!$B:$B,0))</f>
        <v>Advanced</v>
      </c>
      <c r="S503" s="139" t="b">
        <f>IF($D503="EoK",INDEX(Mapping!$I:$I,MATCH($G$3&amp;$G503,Mapping!B:B,0)),FALSE)</f>
        <v>0</v>
      </c>
      <c r="T503" s="139"/>
      <c r="U503" s="520" t="str">
        <f t="shared" si="274"/>
        <v>LiteMetro6</v>
      </c>
      <c r="W503" s="521">
        <f>MATCH($J503,'Tarieven ZM'!$B:$B,0)</f>
        <v>51</v>
      </c>
      <c r="X503" s="204">
        <f>INDEX('Tarieven ZM'!$H:$H,$W503)</f>
        <v>1000</v>
      </c>
      <c r="Y503" s="198">
        <f>-INDEX(Parameters!$B:$B,MATCH(Y$3&amp;$C503,Parameters!$A:$A,0))*$X503</f>
        <v>0</v>
      </c>
      <c r="Z503" s="198">
        <f>-INDEX(Parameters!$B:$B,MATCH(Z$3&amp;$C503,Parameters!$A:$A,0))*$X503</f>
        <v>0</v>
      </c>
      <c r="AA503" s="139">
        <f t="shared" si="276"/>
        <v>1000</v>
      </c>
      <c r="AB503" s="205">
        <f>AA503/INDEX(Parameters!$B:$B,MATCH("AfschrijftermijnVVE"&amp;12*$C503,Parameters!$A:$A,0))</f>
        <v>16.666666666666668</v>
      </c>
      <c r="AC503" s="204">
        <f>INDEX('Tarieven ZM'!$G:$G,$W503)</f>
        <v>1000</v>
      </c>
      <c r="AD503" s="198">
        <f>-INDEX(Parameters!$B:$B,MATCH(AD$3&amp;$C503,Parameters!$A:$A,0))*$AC503</f>
        <v>0</v>
      </c>
      <c r="AE503" s="198">
        <f>-INDEX(Parameters!$B:$B,MATCH(AE$3,Parameters!$A:$A,0))*$AC503</f>
        <v>0</v>
      </c>
      <c r="AF503" s="139">
        <f t="shared" si="277"/>
        <v>1000</v>
      </c>
      <c r="AG503" s="522">
        <f t="shared" si="278"/>
        <v>1016.6666666666666</v>
      </c>
      <c r="AH503" s="175"/>
      <c r="AI503" s="523">
        <f>MATCH($U503,'Tarieven W&amp;O'!$B:$B,0)</f>
        <v>41</v>
      </c>
      <c r="AJ503" s="204">
        <f>IF(AI503&lt;&gt;"nvt",INDEX('Tarieven W&amp;O'!$H:$H,$AI503),0)</f>
        <v>0</v>
      </c>
      <c r="AK503" s="204">
        <f>IF(AI503&lt;&gt;"nvt",INDEX('Tarieven W&amp;O'!$I:$I,$AI503),0)</f>
        <v>25</v>
      </c>
      <c r="AL503" s="524">
        <f>IF(AI503&lt;&gt;"nvt",-INDEX(Parameters!$B:$B,MATCH(AL$3,Parameters!$A:$A,0))*(AJ503+AK503),0)</f>
        <v>0</v>
      </c>
      <c r="AM503" s="525"/>
      <c r="AN503" s="139">
        <f t="shared" si="279"/>
        <v>25</v>
      </c>
      <c r="AO503" s="205">
        <f>AN503/INDEX(Parameters!$B:$B,MATCH("AfschrijftermijnVVE"&amp;12*$C503,Parameters!$A:$A,0))</f>
        <v>0.41666666666666669</v>
      </c>
      <c r="AP503" s="139">
        <f t="shared" si="280"/>
        <v>41</v>
      </c>
      <c r="AQ503" s="526">
        <f>IF(AP503&lt;&gt;"nvt",INDEX('Tarieven W&amp;O'!$G:$G,$AP503),0)</f>
        <v>18.47</v>
      </c>
      <c r="AR503" s="251">
        <f>IF($S503,INDEX('Tarieven W&amp;O'!$G:$G,MATCH(N503&amp;R503,'Tarieven W&amp;O'!$B:$B,0)),0)</f>
        <v>0</v>
      </c>
      <c r="AS503" s="205">
        <f>-INDEX(Parameters!$B:$B,MATCH(AS$3,Parameters!$A:$A,0))*(AQ503+AR503)</f>
        <v>0</v>
      </c>
      <c r="AT503" s="205">
        <f>INDEX(hulpblad!$E:$E,MATCH(M503&amp;Q503,hulpblad!$B:$B,0))</f>
        <v>2</v>
      </c>
      <c r="AU503" s="150">
        <f t="shared" si="258"/>
        <v>20.47</v>
      </c>
      <c r="AV503" s="150">
        <f t="shared" si="259"/>
        <v>20.886666666666667</v>
      </c>
      <c r="AX503" s="526">
        <f>Parameters!$B$6*AV503</f>
        <v>0.20886666666666667</v>
      </c>
      <c r="AY503" s="150">
        <v>0</v>
      </c>
      <c r="AZ503" s="150"/>
      <c r="BA503" s="150">
        <f t="shared" si="281"/>
        <v>0.20886666666666667</v>
      </c>
      <c r="BB503" s="150"/>
      <c r="BC503" s="522">
        <f t="shared" si="282"/>
        <v>21.095533333333332</v>
      </c>
      <c r="BD503" s="175"/>
      <c r="BE503" s="527">
        <f t="shared" si="262"/>
        <v>995.57113333333325</v>
      </c>
      <c r="BF503" s="181">
        <f t="shared" si="263"/>
        <v>0.97925029508196715</v>
      </c>
      <c r="BG503" s="520" t="b">
        <f t="shared" si="275"/>
        <v>0</v>
      </c>
      <c r="BI503" s="528" t="s">
        <v>2181</v>
      </c>
      <c r="BL503" s="151" t="str">
        <f t="shared" si="265"/>
        <v>EoKMetro - Nationaal</v>
      </c>
      <c r="BM503" s="529">
        <v>0</v>
      </c>
      <c r="BN503" s="180">
        <f>BM503/INDEX(Parameters!$B:$B,MATCH("AfschrijftermijnVVE"&amp;12*$C503,Parameters!$A:$A,0))</f>
        <v>0</v>
      </c>
      <c r="BO503" s="184">
        <f>INDEX('inkoop ULL tbv EVPN'!I:I,MATCH(BL503,'inkoop ULL tbv EVPN'!H:H,0))</f>
        <v>2</v>
      </c>
      <c r="BP503" s="184">
        <f t="shared" si="266"/>
        <v>2</v>
      </c>
      <c r="BR503" s="180">
        <f>Parameters!$B$12*AG503</f>
        <v>101.66666666666667</v>
      </c>
      <c r="BS503" s="180">
        <f>SUM(Distributievergoedingen!$F$12,Distributievergoedingen!$I$12,Distributievergoedingen!$L$12,Distributievergoedingen!$O$12)*AF503+SUM(Distributievergoedingen!$O$12*AA503+Distributievergoedingen!$R$12+Distributievergoedingen!$U$12+Distributievergoedingen!$X$12)/(MAX(36,12*C503))</f>
        <v>111.66666666666667</v>
      </c>
      <c r="BT503" s="150"/>
      <c r="BU503" s="150">
        <f t="shared" si="267"/>
        <v>213.33333333333334</v>
      </c>
      <c r="BW503" s="522">
        <f t="shared" si="268"/>
        <v>215.33333333333334</v>
      </c>
      <c r="BY503" s="527">
        <f t="shared" si="269"/>
        <v>801.33333333333326</v>
      </c>
      <c r="BZ503" s="181">
        <f t="shared" si="270"/>
        <v>0.78819672131147533</v>
      </c>
      <c r="CA503" s="520" t="b">
        <f t="shared" si="271"/>
        <v>0</v>
      </c>
    </row>
    <row r="504" spans="1:79" s="151" customFormat="1">
      <c r="A504" s="151" t="str">
        <f t="shared" si="250"/>
        <v>5EoKEntryNationaal8</v>
      </c>
      <c r="B504" s="520" t="str">
        <f t="shared" si="272"/>
        <v>5EoKEntryNationaal8</v>
      </c>
      <c r="C504" s="179">
        <v>5</v>
      </c>
      <c r="D504" s="179" t="s">
        <v>303</v>
      </c>
      <c r="E504" s="178" t="s">
        <v>45</v>
      </c>
      <c r="F504" s="178" t="s">
        <v>266</v>
      </c>
      <c r="G504" s="185" t="s">
        <v>411</v>
      </c>
      <c r="J504" s="520" t="str">
        <f t="shared" si="273"/>
        <v>EntryNationaal8</v>
      </c>
      <c r="L504" s="204">
        <f>INDEX(Mapping!$H:$H,MATCH(C$3&amp;C504,Mapping!$B:$B,0))</f>
        <v>1</v>
      </c>
      <c r="M504" s="204" t="str">
        <f>INDEX(Mapping!$H:$H,MATCH(D$3&amp;$D504,Mapping!$B:$B,0))</f>
        <v>EoK</v>
      </c>
      <c r="N504" s="204" t="str">
        <f>INDEX(Mapping!$H:$H,MATCH(E$3&amp;E504,Mapping!$B:$B,0))</f>
        <v>Lite</v>
      </c>
      <c r="O504" s="204" t="str">
        <f>INDEX(Mapping!$H:$H,MATCH(F$3&amp;F504,Mapping!$B:$B,0))</f>
        <v>Metro</v>
      </c>
      <c r="P504" s="204">
        <f>INDEX(Mapping!$H:$H,MATCH(G$3&amp;G504,Mapping!$B:$B,0))</f>
        <v>8</v>
      </c>
      <c r="Q504" s="204" t="str">
        <f>INDEX(Mapping!$H:$H,MATCH(Q$3&amp;$F504,Mapping!$B:$B,0))</f>
        <v>Metro - Nationaal</v>
      </c>
      <c r="R504" s="204" t="str">
        <f>INDEX(Mapping!$H:$H,MATCH("ZM VPN Service Level"&amp;E504,Mapping!$B:$B,0))</f>
        <v>Advanced</v>
      </c>
      <c r="S504" s="139" t="b">
        <f>IF($D504="EoK",INDEX(Mapping!$I:$I,MATCH($G$3&amp;$G504,Mapping!B:B,0)),FALSE)</f>
        <v>0</v>
      </c>
      <c r="T504" s="139"/>
      <c r="U504" s="520" t="str">
        <f t="shared" si="274"/>
        <v>LiteMetro8</v>
      </c>
      <c r="W504" s="521">
        <f>MATCH($J504,'Tarieven ZM'!$B:$B,0)</f>
        <v>52</v>
      </c>
      <c r="X504" s="204">
        <f>INDEX('Tarieven ZM'!$H:$H,$W504)</f>
        <v>1000</v>
      </c>
      <c r="Y504" s="198">
        <f>-INDEX(Parameters!$B:$B,MATCH(Y$3&amp;$C504,Parameters!$A:$A,0))*$X504</f>
        <v>0</v>
      </c>
      <c r="Z504" s="198">
        <f>-INDEX(Parameters!$B:$B,MATCH(Z$3&amp;$C504,Parameters!$A:$A,0))*$X504</f>
        <v>0</v>
      </c>
      <c r="AA504" s="139">
        <f t="shared" si="276"/>
        <v>1000</v>
      </c>
      <c r="AB504" s="205">
        <f>AA504/INDEX(Parameters!$B:$B,MATCH("AfschrijftermijnVVE"&amp;12*$C504,Parameters!$A:$A,0))</f>
        <v>16.666666666666668</v>
      </c>
      <c r="AC504" s="204">
        <f>INDEX('Tarieven ZM'!$G:$G,$W504)</f>
        <v>1000</v>
      </c>
      <c r="AD504" s="198">
        <f>-INDEX(Parameters!$B:$B,MATCH(AD$3&amp;$C504,Parameters!$A:$A,0))*$AC504</f>
        <v>0</v>
      </c>
      <c r="AE504" s="198">
        <f>-INDEX(Parameters!$B:$B,MATCH(AE$3,Parameters!$A:$A,0))*$AC504</f>
        <v>0</v>
      </c>
      <c r="AF504" s="139">
        <f t="shared" si="277"/>
        <v>1000</v>
      </c>
      <c r="AG504" s="522">
        <f t="shared" si="278"/>
        <v>1016.6666666666666</v>
      </c>
      <c r="AH504" s="175"/>
      <c r="AI504" s="523">
        <f>MATCH($U504,'Tarieven W&amp;O'!$B:$B,0)</f>
        <v>42</v>
      </c>
      <c r="AJ504" s="204">
        <f>IF(AI504&lt;&gt;"nvt",INDEX('Tarieven W&amp;O'!$H:$H,$AI504),0)</f>
        <v>0</v>
      </c>
      <c r="AK504" s="204">
        <f>IF(AI504&lt;&gt;"nvt",INDEX('Tarieven W&amp;O'!$I:$I,$AI504),0)</f>
        <v>25</v>
      </c>
      <c r="AL504" s="524">
        <f>IF(AI504&lt;&gt;"nvt",-INDEX(Parameters!$B:$B,MATCH(AL$3,Parameters!$A:$A,0))*(AJ504+AK504),0)</f>
        <v>0</v>
      </c>
      <c r="AM504" s="525"/>
      <c r="AN504" s="139">
        <f t="shared" si="279"/>
        <v>25</v>
      </c>
      <c r="AO504" s="205">
        <f>AN504/INDEX(Parameters!$B:$B,MATCH("AfschrijftermijnVVE"&amp;12*$C504,Parameters!$A:$A,0))</f>
        <v>0.41666666666666669</v>
      </c>
      <c r="AP504" s="139">
        <f t="shared" si="280"/>
        <v>42</v>
      </c>
      <c r="AQ504" s="526">
        <f>IF(AP504&lt;&gt;"nvt",INDEX('Tarieven W&amp;O'!$G:$G,$AP504),0)</f>
        <v>18.47</v>
      </c>
      <c r="AR504" s="251">
        <f>IF($S504,INDEX('Tarieven W&amp;O'!$G:$G,MATCH(N504&amp;R504,'Tarieven W&amp;O'!$B:$B,0)),0)</f>
        <v>0</v>
      </c>
      <c r="AS504" s="205">
        <f>-INDEX(Parameters!$B:$B,MATCH(AS$3,Parameters!$A:$A,0))*(AQ504+AR504)</f>
        <v>0</v>
      </c>
      <c r="AT504" s="205">
        <f>INDEX(hulpblad!$E:$E,MATCH(M504&amp;Q504,hulpblad!$B:$B,0))</f>
        <v>2</v>
      </c>
      <c r="AU504" s="150">
        <f t="shared" si="258"/>
        <v>20.47</v>
      </c>
      <c r="AV504" s="150">
        <f t="shared" si="259"/>
        <v>20.886666666666667</v>
      </c>
      <c r="AX504" s="526">
        <f>Parameters!$B$6*AV504</f>
        <v>0.20886666666666667</v>
      </c>
      <c r="AY504" s="150">
        <v>0</v>
      </c>
      <c r="AZ504" s="150"/>
      <c r="BA504" s="150">
        <f t="shared" si="281"/>
        <v>0.20886666666666667</v>
      </c>
      <c r="BB504" s="150"/>
      <c r="BC504" s="522">
        <f t="shared" si="282"/>
        <v>21.095533333333332</v>
      </c>
      <c r="BD504" s="175"/>
      <c r="BE504" s="527">
        <f t="shared" si="262"/>
        <v>995.57113333333325</v>
      </c>
      <c r="BF504" s="181">
        <f t="shared" si="263"/>
        <v>0.97925029508196715</v>
      </c>
      <c r="BG504" s="520" t="b">
        <f t="shared" si="275"/>
        <v>0</v>
      </c>
      <c r="BI504" s="528" t="s">
        <v>2181</v>
      </c>
      <c r="BL504" s="151" t="str">
        <f t="shared" si="265"/>
        <v>EoKMetro - Nationaal</v>
      </c>
      <c r="BM504" s="529">
        <v>0</v>
      </c>
      <c r="BN504" s="180">
        <f>BM504/INDEX(Parameters!$B:$B,MATCH("AfschrijftermijnVVE"&amp;12*$C504,Parameters!$A:$A,0))</f>
        <v>0</v>
      </c>
      <c r="BO504" s="184">
        <f>INDEX('inkoop ULL tbv EVPN'!I:I,MATCH(BL504,'inkoop ULL tbv EVPN'!H:H,0))</f>
        <v>2</v>
      </c>
      <c r="BP504" s="184">
        <f t="shared" si="266"/>
        <v>2</v>
      </c>
      <c r="BR504" s="180">
        <f>Parameters!$B$12*AG504</f>
        <v>101.66666666666667</v>
      </c>
      <c r="BS504" s="180">
        <f>SUM(Distributievergoedingen!$F$12,Distributievergoedingen!$I$12,Distributievergoedingen!$L$12,Distributievergoedingen!$O$12)*AF504+SUM(Distributievergoedingen!$O$12*AA504+Distributievergoedingen!$R$12+Distributievergoedingen!$U$12+Distributievergoedingen!$X$12)/(MAX(36,12*C504))</f>
        <v>111.66666666666667</v>
      </c>
      <c r="BT504" s="150"/>
      <c r="BU504" s="150">
        <f t="shared" si="267"/>
        <v>213.33333333333334</v>
      </c>
      <c r="BW504" s="522">
        <f t="shared" si="268"/>
        <v>215.33333333333334</v>
      </c>
      <c r="BY504" s="527">
        <f t="shared" si="269"/>
        <v>801.33333333333326</v>
      </c>
      <c r="BZ504" s="181">
        <f t="shared" si="270"/>
        <v>0.78819672131147533</v>
      </c>
      <c r="CA504" s="520" t="b">
        <f t="shared" si="271"/>
        <v>0</v>
      </c>
    </row>
    <row r="505" spans="1:79" s="151" customFormat="1">
      <c r="A505" s="151" t="str">
        <f t="shared" si="250"/>
        <v>5EoKEntryNationaal10</v>
      </c>
      <c r="B505" s="520" t="str">
        <f t="shared" si="272"/>
        <v>5EoKEntryNationaal10</v>
      </c>
      <c r="C505" s="179">
        <v>5</v>
      </c>
      <c r="D505" s="179" t="s">
        <v>303</v>
      </c>
      <c r="E505" s="178" t="s">
        <v>45</v>
      </c>
      <c r="F505" s="178" t="s">
        <v>266</v>
      </c>
      <c r="G505" s="185" t="s">
        <v>412</v>
      </c>
      <c r="J505" s="520" t="str">
        <f t="shared" si="273"/>
        <v>EntryNationaal10</v>
      </c>
      <c r="L505" s="204">
        <f>INDEX(Mapping!$H:$H,MATCH(C$3&amp;C505,Mapping!$B:$B,0))</f>
        <v>1</v>
      </c>
      <c r="M505" s="204" t="str">
        <f>INDEX(Mapping!$H:$H,MATCH(D$3&amp;$D505,Mapping!$B:$B,0))</f>
        <v>EoK</v>
      </c>
      <c r="N505" s="204" t="str">
        <f>INDEX(Mapping!$H:$H,MATCH(E$3&amp;E505,Mapping!$B:$B,0))</f>
        <v>Lite</v>
      </c>
      <c r="O505" s="204" t="str">
        <f>INDEX(Mapping!$H:$H,MATCH(F$3&amp;F505,Mapping!$B:$B,0))</f>
        <v>Metro</v>
      </c>
      <c r="P505" s="204">
        <f>INDEX(Mapping!$H:$H,MATCH(G$3&amp;G505,Mapping!$B:$B,0))</f>
        <v>10</v>
      </c>
      <c r="Q505" s="204" t="str">
        <f>INDEX(Mapping!$H:$H,MATCH(Q$3&amp;$F505,Mapping!$B:$B,0))</f>
        <v>Metro - Nationaal</v>
      </c>
      <c r="R505" s="204" t="str">
        <f>INDEX(Mapping!$H:$H,MATCH("ZM VPN Service Level"&amp;E505,Mapping!$B:$B,0))</f>
        <v>Advanced</v>
      </c>
      <c r="S505" s="139" t="b">
        <f>IF($D505="EoK",INDEX(Mapping!$I:$I,MATCH($G$3&amp;$G505,Mapping!B:B,0)),FALSE)</f>
        <v>0</v>
      </c>
      <c r="T505" s="139"/>
      <c r="U505" s="520" t="str">
        <f t="shared" si="274"/>
        <v>LiteMetro10</v>
      </c>
      <c r="W505" s="521">
        <f>MATCH($J505,'Tarieven ZM'!$B:$B,0)</f>
        <v>53</v>
      </c>
      <c r="X505" s="204">
        <f>INDEX('Tarieven ZM'!$H:$H,$W505)</f>
        <v>1000</v>
      </c>
      <c r="Y505" s="198">
        <f>-INDEX(Parameters!$B:$B,MATCH(Y$3&amp;$C505,Parameters!$A:$A,0))*$X505</f>
        <v>0</v>
      </c>
      <c r="Z505" s="198">
        <f>-INDEX(Parameters!$B:$B,MATCH(Z$3&amp;$C505,Parameters!$A:$A,0))*$X505</f>
        <v>0</v>
      </c>
      <c r="AA505" s="139">
        <f t="shared" si="276"/>
        <v>1000</v>
      </c>
      <c r="AB505" s="205">
        <f>AA505/INDEX(Parameters!$B:$B,MATCH("AfschrijftermijnVVE"&amp;12*$C505,Parameters!$A:$A,0))</f>
        <v>16.666666666666668</v>
      </c>
      <c r="AC505" s="204">
        <f>INDEX('Tarieven ZM'!$G:$G,$W505)</f>
        <v>1000</v>
      </c>
      <c r="AD505" s="198">
        <f>-INDEX(Parameters!$B:$B,MATCH(AD$3&amp;$C505,Parameters!$A:$A,0))*$AC505</f>
        <v>0</v>
      </c>
      <c r="AE505" s="198">
        <f>-INDEX(Parameters!$B:$B,MATCH(AE$3,Parameters!$A:$A,0))*$AC505</f>
        <v>0</v>
      </c>
      <c r="AF505" s="139">
        <f t="shared" si="277"/>
        <v>1000</v>
      </c>
      <c r="AG505" s="522">
        <f t="shared" si="278"/>
        <v>1016.6666666666666</v>
      </c>
      <c r="AH505" s="175"/>
      <c r="AI505" s="523">
        <f>MATCH($U505,'Tarieven W&amp;O'!$B:$B,0)</f>
        <v>43</v>
      </c>
      <c r="AJ505" s="204">
        <f>IF(AI505&lt;&gt;"nvt",INDEX('Tarieven W&amp;O'!$H:$H,$AI505),0)</f>
        <v>0</v>
      </c>
      <c r="AK505" s="204">
        <f>IF(AI505&lt;&gt;"nvt",INDEX('Tarieven W&amp;O'!$I:$I,$AI505),0)</f>
        <v>25</v>
      </c>
      <c r="AL505" s="524">
        <f>IF(AI505&lt;&gt;"nvt",-INDEX(Parameters!$B:$B,MATCH(AL$3,Parameters!$A:$A,0))*(AJ505+AK505),0)</f>
        <v>0</v>
      </c>
      <c r="AM505" s="525"/>
      <c r="AN505" s="139">
        <f t="shared" si="279"/>
        <v>25</v>
      </c>
      <c r="AO505" s="205">
        <f>AN505/INDEX(Parameters!$B:$B,MATCH("AfschrijftermijnVVE"&amp;12*$C505,Parameters!$A:$A,0))</f>
        <v>0.41666666666666669</v>
      </c>
      <c r="AP505" s="139">
        <f t="shared" si="280"/>
        <v>43</v>
      </c>
      <c r="AQ505" s="526">
        <f>IF(AP505&lt;&gt;"nvt",INDEX('Tarieven W&amp;O'!$G:$G,$AP505),0)</f>
        <v>18.47</v>
      </c>
      <c r="AR505" s="251">
        <f>IF($S505,INDEX('Tarieven W&amp;O'!$G:$G,MATCH(N505&amp;R505,'Tarieven W&amp;O'!$B:$B,0)),0)</f>
        <v>0</v>
      </c>
      <c r="AS505" s="205">
        <f>-INDEX(Parameters!$B:$B,MATCH(AS$3,Parameters!$A:$A,0))*(AQ505+AR505)</f>
        <v>0</v>
      </c>
      <c r="AT505" s="205">
        <f>INDEX(hulpblad!$E:$E,MATCH(M505&amp;Q505,hulpblad!$B:$B,0))</f>
        <v>2</v>
      </c>
      <c r="AU505" s="150">
        <f t="shared" si="258"/>
        <v>20.47</v>
      </c>
      <c r="AV505" s="150">
        <f t="shared" si="259"/>
        <v>20.886666666666667</v>
      </c>
      <c r="AX505" s="526">
        <f>Parameters!$B$6*AV505</f>
        <v>0.20886666666666667</v>
      </c>
      <c r="AY505" s="150">
        <v>0</v>
      </c>
      <c r="AZ505" s="150"/>
      <c r="BA505" s="150">
        <f t="shared" si="281"/>
        <v>0.20886666666666667</v>
      </c>
      <c r="BB505" s="150"/>
      <c r="BC505" s="522">
        <f t="shared" si="282"/>
        <v>21.095533333333332</v>
      </c>
      <c r="BD505" s="175"/>
      <c r="BE505" s="527">
        <f t="shared" si="262"/>
        <v>995.57113333333325</v>
      </c>
      <c r="BF505" s="181">
        <f t="shared" si="263"/>
        <v>0.97925029508196715</v>
      </c>
      <c r="BG505" s="520" t="b">
        <f t="shared" si="275"/>
        <v>0</v>
      </c>
      <c r="BI505" s="528" t="s">
        <v>2181</v>
      </c>
      <c r="BL505" s="151" t="str">
        <f t="shared" si="265"/>
        <v>EoKMetro - Nationaal</v>
      </c>
      <c r="BM505" s="529">
        <v>0</v>
      </c>
      <c r="BN505" s="180">
        <f>BM505/INDEX(Parameters!$B:$B,MATCH("AfschrijftermijnVVE"&amp;12*$C505,Parameters!$A:$A,0))</f>
        <v>0</v>
      </c>
      <c r="BO505" s="184">
        <f>INDEX('inkoop ULL tbv EVPN'!I:I,MATCH(BL505,'inkoop ULL tbv EVPN'!H:H,0))</f>
        <v>2</v>
      </c>
      <c r="BP505" s="184">
        <f t="shared" si="266"/>
        <v>2</v>
      </c>
      <c r="BR505" s="180">
        <f>Parameters!$B$12*AG505</f>
        <v>101.66666666666667</v>
      </c>
      <c r="BS505" s="180">
        <f>SUM(Distributievergoedingen!$F$12,Distributievergoedingen!$I$12,Distributievergoedingen!$L$12,Distributievergoedingen!$O$12)*AF505+SUM(Distributievergoedingen!$O$12*AA505+Distributievergoedingen!$R$12+Distributievergoedingen!$U$12+Distributievergoedingen!$X$12)/(MAX(36,12*C505))</f>
        <v>111.66666666666667</v>
      </c>
      <c r="BT505" s="150"/>
      <c r="BU505" s="150">
        <f t="shared" si="267"/>
        <v>213.33333333333334</v>
      </c>
      <c r="BW505" s="522">
        <f t="shared" si="268"/>
        <v>215.33333333333334</v>
      </c>
      <c r="BY505" s="527">
        <f t="shared" si="269"/>
        <v>801.33333333333326</v>
      </c>
      <c r="BZ505" s="181">
        <f t="shared" si="270"/>
        <v>0.78819672131147533</v>
      </c>
      <c r="CA505" s="520" t="b">
        <f t="shared" si="271"/>
        <v>0</v>
      </c>
    </row>
    <row r="506" spans="1:79" s="151" customFormat="1">
      <c r="A506" s="151" t="str">
        <f t="shared" si="250"/>
        <v>5EoKEntryNationaal15</v>
      </c>
      <c r="B506" s="520" t="str">
        <f t="shared" si="272"/>
        <v>5EoKEntryNationaal15</v>
      </c>
      <c r="C506" s="179">
        <v>5</v>
      </c>
      <c r="D506" s="179" t="s">
        <v>303</v>
      </c>
      <c r="E506" s="178" t="s">
        <v>45</v>
      </c>
      <c r="F506" s="178" t="s">
        <v>266</v>
      </c>
      <c r="G506" s="185" t="s">
        <v>413</v>
      </c>
      <c r="J506" s="520" t="str">
        <f t="shared" si="273"/>
        <v>EntryNationaal15</v>
      </c>
      <c r="L506" s="204">
        <f>INDEX(Mapping!$H:$H,MATCH(C$3&amp;C506,Mapping!$B:$B,0))</f>
        <v>1</v>
      </c>
      <c r="M506" s="204" t="str">
        <f>INDEX(Mapping!$H:$H,MATCH(D$3&amp;$D506,Mapping!$B:$B,0))</f>
        <v>EoK</v>
      </c>
      <c r="N506" s="204" t="str">
        <f>INDEX(Mapping!$H:$H,MATCH(E$3&amp;E506,Mapping!$B:$B,0))</f>
        <v>Lite</v>
      </c>
      <c r="O506" s="204" t="str">
        <f>INDEX(Mapping!$H:$H,MATCH(F$3&amp;F506,Mapping!$B:$B,0))</f>
        <v>Metro</v>
      </c>
      <c r="P506" s="204">
        <f>INDEX(Mapping!$H:$H,MATCH(G$3&amp;G506,Mapping!$B:$B,0))</f>
        <v>15</v>
      </c>
      <c r="Q506" s="204" t="str">
        <f>INDEX(Mapping!$H:$H,MATCH(Q$3&amp;$F506,Mapping!$B:$B,0))</f>
        <v>Metro - Nationaal</v>
      </c>
      <c r="R506" s="204" t="str">
        <f>INDEX(Mapping!$H:$H,MATCH("ZM VPN Service Level"&amp;E506,Mapping!$B:$B,0))</f>
        <v>Advanced</v>
      </c>
      <c r="S506" s="139" t="b">
        <f>IF($D506="EoK",INDEX(Mapping!$I:$I,MATCH($G$3&amp;$G506,Mapping!B:B,0)),FALSE)</f>
        <v>0</v>
      </c>
      <c r="T506" s="139"/>
      <c r="U506" s="520" t="str">
        <f t="shared" si="274"/>
        <v>LiteMetro15</v>
      </c>
      <c r="W506" s="521">
        <f>MATCH($J506,'Tarieven ZM'!$B:$B,0)</f>
        <v>54</v>
      </c>
      <c r="X506" s="204">
        <f>INDEX('Tarieven ZM'!$H:$H,$W506)</f>
        <v>1000</v>
      </c>
      <c r="Y506" s="198">
        <f>-INDEX(Parameters!$B:$B,MATCH(Y$3&amp;$C506,Parameters!$A:$A,0))*$X506</f>
        <v>0</v>
      </c>
      <c r="Z506" s="198">
        <f>-INDEX(Parameters!$B:$B,MATCH(Z$3&amp;$C506,Parameters!$A:$A,0))*$X506</f>
        <v>0</v>
      </c>
      <c r="AA506" s="139">
        <f t="shared" si="276"/>
        <v>1000</v>
      </c>
      <c r="AB506" s="205">
        <f>AA506/INDEX(Parameters!$B:$B,MATCH("AfschrijftermijnVVE"&amp;12*$C506,Parameters!$A:$A,0))</f>
        <v>16.666666666666668</v>
      </c>
      <c r="AC506" s="204">
        <f>INDEX('Tarieven ZM'!$G:$G,$W506)</f>
        <v>1000</v>
      </c>
      <c r="AD506" s="198">
        <f>-INDEX(Parameters!$B:$B,MATCH(AD$3&amp;$C506,Parameters!$A:$A,0))*$AC506</f>
        <v>0</v>
      </c>
      <c r="AE506" s="198">
        <f>-INDEX(Parameters!$B:$B,MATCH(AE$3,Parameters!$A:$A,0))*$AC506</f>
        <v>0</v>
      </c>
      <c r="AF506" s="139">
        <f t="shared" si="277"/>
        <v>1000</v>
      </c>
      <c r="AG506" s="522">
        <f t="shared" si="278"/>
        <v>1016.6666666666666</v>
      </c>
      <c r="AH506" s="175"/>
      <c r="AI506" s="523">
        <f>MATCH($U506,'Tarieven W&amp;O'!$B:$B,0)</f>
        <v>44</v>
      </c>
      <c r="AJ506" s="204">
        <f>IF(AI506&lt;&gt;"nvt",INDEX('Tarieven W&amp;O'!$H:$H,$AI506),0)</f>
        <v>0</v>
      </c>
      <c r="AK506" s="204">
        <f>IF(AI506&lt;&gt;"nvt",INDEX('Tarieven W&amp;O'!$I:$I,$AI506),0)</f>
        <v>25</v>
      </c>
      <c r="AL506" s="524">
        <f>IF(AI506&lt;&gt;"nvt",-INDEX(Parameters!$B:$B,MATCH(AL$3,Parameters!$A:$A,0))*(AJ506+AK506),0)</f>
        <v>0</v>
      </c>
      <c r="AM506" s="525"/>
      <c r="AN506" s="139">
        <f t="shared" si="279"/>
        <v>25</v>
      </c>
      <c r="AO506" s="205">
        <f>AN506/INDEX(Parameters!$B:$B,MATCH("AfschrijftermijnVVE"&amp;12*$C506,Parameters!$A:$A,0))</f>
        <v>0.41666666666666669</v>
      </c>
      <c r="AP506" s="139">
        <f t="shared" si="280"/>
        <v>44</v>
      </c>
      <c r="AQ506" s="526">
        <f>IF(AP506&lt;&gt;"nvt",INDEX('Tarieven W&amp;O'!$G:$G,$AP506),0)</f>
        <v>22.24</v>
      </c>
      <c r="AR506" s="251">
        <f>IF($S506,INDEX('Tarieven W&amp;O'!$G:$G,MATCH(N506&amp;R506,'Tarieven W&amp;O'!$B:$B,0)),0)</f>
        <v>0</v>
      </c>
      <c r="AS506" s="205">
        <f>-INDEX(Parameters!$B:$B,MATCH(AS$3,Parameters!$A:$A,0))*(AQ506+AR506)</f>
        <v>0</v>
      </c>
      <c r="AT506" s="205">
        <f>INDEX(hulpblad!$E:$E,MATCH(M506&amp;Q506,hulpblad!$B:$B,0))</f>
        <v>2</v>
      </c>
      <c r="AU506" s="150">
        <f t="shared" si="258"/>
        <v>24.24</v>
      </c>
      <c r="AV506" s="150">
        <f t="shared" si="259"/>
        <v>24.656666666666666</v>
      </c>
      <c r="AX506" s="526">
        <f>Parameters!$B$6*AV506</f>
        <v>0.24656666666666666</v>
      </c>
      <c r="AY506" s="150">
        <v>0</v>
      </c>
      <c r="AZ506" s="150"/>
      <c r="BA506" s="150">
        <f t="shared" si="281"/>
        <v>0.24656666666666666</v>
      </c>
      <c r="BB506" s="150"/>
      <c r="BC506" s="522">
        <f t="shared" si="282"/>
        <v>24.903233333333333</v>
      </c>
      <c r="BD506" s="175"/>
      <c r="BE506" s="527">
        <f t="shared" si="262"/>
        <v>991.7634333333333</v>
      </c>
      <c r="BF506" s="181">
        <f t="shared" si="263"/>
        <v>0.97550501639344267</v>
      </c>
      <c r="BG506" s="520" t="b">
        <f t="shared" si="275"/>
        <v>0</v>
      </c>
      <c r="BI506" s="528" t="s">
        <v>2181</v>
      </c>
      <c r="BL506" s="151" t="str">
        <f t="shared" si="265"/>
        <v>EoKMetro - Nationaal</v>
      </c>
      <c r="BM506" s="529">
        <v>0</v>
      </c>
      <c r="BN506" s="180">
        <f>BM506/INDEX(Parameters!$B:$B,MATCH("AfschrijftermijnVVE"&amp;12*$C506,Parameters!$A:$A,0))</f>
        <v>0</v>
      </c>
      <c r="BO506" s="184">
        <f>INDEX('inkoop ULL tbv EVPN'!I:I,MATCH(BL506,'inkoop ULL tbv EVPN'!H:H,0))</f>
        <v>2</v>
      </c>
      <c r="BP506" s="184">
        <f t="shared" si="266"/>
        <v>2</v>
      </c>
      <c r="BR506" s="180">
        <f>Parameters!$B$12*AG506</f>
        <v>101.66666666666667</v>
      </c>
      <c r="BS506" s="180">
        <f>SUM(Distributievergoedingen!$F$12,Distributievergoedingen!$I$12,Distributievergoedingen!$L$12,Distributievergoedingen!$O$12)*AF506+SUM(Distributievergoedingen!$O$12*AA506+Distributievergoedingen!$R$12+Distributievergoedingen!$U$12+Distributievergoedingen!$X$12)/(MAX(36,12*C506))</f>
        <v>111.66666666666667</v>
      </c>
      <c r="BT506" s="150"/>
      <c r="BU506" s="150">
        <f t="shared" si="267"/>
        <v>213.33333333333334</v>
      </c>
      <c r="BW506" s="522">
        <f t="shared" si="268"/>
        <v>215.33333333333334</v>
      </c>
      <c r="BY506" s="527">
        <f t="shared" si="269"/>
        <v>801.33333333333326</v>
      </c>
      <c r="BZ506" s="181">
        <f t="shared" si="270"/>
        <v>0.78819672131147533</v>
      </c>
      <c r="CA506" s="520" t="b">
        <f t="shared" si="271"/>
        <v>0</v>
      </c>
    </row>
    <row r="507" spans="1:79" s="151" customFormat="1">
      <c r="A507" s="151" t="str">
        <f t="shared" si="250"/>
        <v>5EoKEntryNationaal20</v>
      </c>
      <c r="B507" s="520" t="str">
        <f t="shared" si="272"/>
        <v>5EoKEntryNationaal20</v>
      </c>
      <c r="C507" s="179">
        <v>5</v>
      </c>
      <c r="D507" s="179" t="s">
        <v>303</v>
      </c>
      <c r="E507" s="178" t="s">
        <v>45</v>
      </c>
      <c r="F507" s="178" t="s">
        <v>266</v>
      </c>
      <c r="G507" s="185" t="s">
        <v>414</v>
      </c>
      <c r="J507" s="520" t="str">
        <f t="shared" si="273"/>
        <v>EntryNationaal20</v>
      </c>
      <c r="L507" s="204">
        <f>INDEX(Mapping!$H:$H,MATCH(C$3&amp;C507,Mapping!$B:$B,0))</f>
        <v>1</v>
      </c>
      <c r="M507" s="204" t="str">
        <f>INDEX(Mapping!$H:$H,MATCH(D$3&amp;$D507,Mapping!$B:$B,0))</f>
        <v>EoK</v>
      </c>
      <c r="N507" s="204" t="str">
        <f>INDEX(Mapping!$H:$H,MATCH(E$3&amp;E507,Mapping!$B:$B,0))</f>
        <v>Lite</v>
      </c>
      <c r="O507" s="204" t="str">
        <f>INDEX(Mapping!$H:$H,MATCH(F$3&amp;F507,Mapping!$B:$B,0))</f>
        <v>Metro</v>
      </c>
      <c r="P507" s="204">
        <f>INDEX(Mapping!$H:$H,MATCH(G$3&amp;G507,Mapping!$B:$B,0))</f>
        <v>20</v>
      </c>
      <c r="Q507" s="204" t="str">
        <f>INDEX(Mapping!$H:$H,MATCH(Q$3&amp;$F507,Mapping!$B:$B,0))</f>
        <v>Metro - Nationaal</v>
      </c>
      <c r="R507" s="204" t="str">
        <f>INDEX(Mapping!$H:$H,MATCH("ZM VPN Service Level"&amp;E507,Mapping!$B:$B,0))</f>
        <v>Advanced</v>
      </c>
      <c r="S507" s="139" t="b">
        <f>IF($D507="EoK",INDEX(Mapping!$I:$I,MATCH($G$3&amp;$G507,Mapping!B:B,0)),FALSE)</f>
        <v>0</v>
      </c>
      <c r="T507" s="139"/>
      <c r="U507" s="520" t="str">
        <f t="shared" si="274"/>
        <v>LiteMetro20</v>
      </c>
      <c r="W507" s="521">
        <f>MATCH($J507,'Tarieven ZM'!$B:$B,0)</f>
        <v>55</v>
      </c>
      <c r="X507" s="204">
        <f>INDEX('Tarieven ZM'!$H:$H,$W507)</f>
        <v>1000</v>
      </c>
      <c r="Y507" s="198">
        <f>-INDEX(Parameters!$B:$B,MATCH(Y$3&amp;$C507,Parameters!$A:$A,0))*$X507</f>
        <v>0</v>
      </c>
      <c r="Z507" s="198">
        <f>-INDEX(Parameters!$B:$B,MATCH(Z$3&amp;$C507,Parameters!$A:$A,0))*$X507</f>
        <v>0</v>
      </c>
      <c r="AA507" s="139">
        <f t="shared" si="276"/>
        <v>1000</v>
      </c>
      <c r="AB507" s="205">
        <f>AA507/INDEX(Parameters!$B:$B,MATCH("AfschrijftermijnVVE"&amp;12*$C507,Parameters!$A:$A,0))</f>
        <v>16.666666666666668</v>
      </c>
      <c r="AC507" s="204">
        <f>INDEX('Tarieven ZM'!$G:$G,$W507)</f>
        <v>1000</v>
      </c>
      <c r="AD507" s="198">
        <f>-INDEX(Parameters!$B:$B,MATCH(AD$3&amp;$C507,Parameters!$A:$A,0))*$AC507</f>
        <v>0</v>
      </c>
      <c r="AE507" s="198">
        <f>-INDEX(Parameters!$B:$B,MATCH(AE$3,Parameters!$A:$A,0))*$AC507</f>
        <v>0</v>
      </c>
      <c r="AF507" s="139">
        <f t="shared" si="277"/>
        <v>1000</v>
      </c>
      <c r="AG507" s="522">
        <f t="shared" si="278"/>
        <v>1016.6666666666666</v>
      </c>
      <c r="AH507" s="175"/>
      <c r="AI507" s="523">
        <f>MATCH($U507,'Tarieven W&amp;O'!$B:$B,0)</f>
        <v>45</v>
      </c>
      <c r="AJ507" s="204">
        <f>IF(AI507&lt;&gt;"nvt",INDEX('Tarieven W&amp;O'!$H:$H,$AI507),0)</f>
        <v>0</v>
      </c>
      <c r="AK507" s="204">
        <f>IF(AI507&lt;&gt;"nvt",INDEX('Tarieven W&amp;O'!$I:$I,$AI507),0)</f>
        <v>25</v>
      </c>
      <c r="AL507" s="524">
        <f>IF(AI507&lt;&gt;"nvt",-INDEX(Parameters!$B:$B,MATCH(AL$3,Parameters!$A:$A,0))*(AJ507+AK507),0)</f>
        <v>0</v>
      </c>
      <c r="AM507" s="525"/>
      <c r="AN507" s="139">
        <f t="shared" si="279"/>
        <v>25</v>
      </c>
      <c r="AO507" s="205">
        <f>AN507/INDEX(Parameters!$B:$B,MATCH("AfschrijftermijnVVE"&amp;12*$C507,Parameters!$A:$A,0))</f>
        <v>0.41666666666666669</v>
      </c>
      <c r="AP507" s="139">
        <f t="shared" si="280"/>
        <v>45</v>
      </c>
      <c r="AQ507" s="526">
        <f>IF(AP507&lt;&gt;"nvt",INDEX('Tarieven W&amp;O'!$G:$G,$AP507),0)</f>
        <v>29.78</v>
      </c>
      <c r="AR507" s="251">
        <f>IF($S507,INDEX('Tarieven W&amp;O'!$G:$G,MATCH(N507&amp;R507,'Tarieven W&amp;O'!$B:$B,0)),0)</f>
        <v>0</v>
      </c>
      <c r="AS507" s="205">
        <f>-INDEX(Parameters!$B:$B,MATCH(AS$3,Parameters!$A:$A,0))*(AQ507+AR507)</f>
        <v>0</v>
      </c>
      <c r="AT507" s="205">
        <f>INDEX(hulpblad!$E:$E,MATCH(M507&amp;Q507,hulpblad!$B:$B,0))</f>
        <v>2</v>
      </c>
      <c r="AU507" s="150">
        <f t="shared" si="258"/>
        <v>31.78</v>
      </c>
      <c r="AV507" s="150">
        <f t="shared" si="259"/>
        <v>32.196666666666665</v>
      </c>
      <c r="AX507" s="526">
        <f>Parameters!$B$6*AV507</f>
        <v>0.32196666666666668</v>
      </c>
      <c r="AY507" s="150">
        <v>0</v>
      </c>
      <c r="AZ507" s="150"/>
      <c r="BA507" s="150">
        <f t="shared" si="281"/>
        <v>0.32196666666666668</v>
      </c>
      <c r="BB507" s="150"/>
      <c r="BC507" s="522">
        <f t="shared" si="282"/>
        <v>32.518633333333334</v>
      </c>
      <c r="BD507" s="175"/>
      <c r="BE507" s="527">
        <f t="shared" si="262"/>
        <v>984.14803333333327</v>
      </c>
      <c r="BF507" s="181">
        <f t="shared" si="263"/>
        <v>0.96801445901639338</v>
      </c>
      <c r="BG507" s="520" t="b">
        <f t="shared" si="275"/>
        <v>0</v>
      </c>
      <c r="BI507" s="528" t="s">
        <v>2181</v>
      </c>
      <c r="BL507" s="151" t="str">
        <f t="shared" si="265"/>
        <v>EoKMetro - Nationaal</v>
      </c>
      <c r="BM507" s="529">
        <v>0</v>
      </c>
      <c r="BN507" s="180">
        <f>BM507/INDEX(Parameters!$B:$B,MATCH("AfschrijftermijnVVE"&amp;12*$C507,Parameters!$A:$A,0))</f>
        <v>0</v>
      </c>
      <c r="BO507" s="184">
        <f>INDEX('inkoop ULL tbv EVPN'!I:I,MATCH(BL507,'inkoop ULL tbv EVPN'!H:H,0))</f>
        <v>2</v>
      </c>
      <c r="BP507" s="184">
        <f t="shared" si="266"/>
        <v>2</v>
      </c>
      <c r="BR507" s="180">
        <f>Parameters!$B$12*AG507</f>
        <v>101.66666666666667</v>
      </c>
      <c r="BS507" s="180">
        <f>SUM(Distributievergoedingen!$F$12,Distributievergoedingen!$I$12,Distributievergoedingen!$L$12,Distributievergoedingen!$O$12)*AF507+SUM(Distributievergoedingen!$O$12*AA507+Distributievergoedingen!$R$12+Distributievergoedingen!$U$12+Distributievergoedingen!$X$12)/(MAX(36,12*C507))</f>
        <v>111.66666666666667</v>
      </c>
      <c r="BT507" s="150"/>
      <c r="BU507" s="150">
        <f t="shared" si="267"/>
        <v>213.33333333333334</v>
      </c>
      <c r="BW507" s="522">
        <f t="shared" si="268"/>
        <v>215.33333333333334</v>
      </c>
      <c r="BY507" s="527">
        <f t="shared" si="269"/>
        <v>801.33333333333326</v>
      </c>
      <c r="BZ507" s="181">
        <f t="shared" si="270"/>
        <v>0.78819672131147533</v>
      </c>
      <c r="CA507" s="520" t="b">
        <f t="shared" si="271"/>
        <v>0</v>
      </c>
    </row>
    <row r="508" spans="1:79" s="151" customFormat="1">
      <c r="A508" s="151" t="str">
        <f t="shared" si="250"/>
        <v>5EoKEntryNationaal30</v>
      </c>
      <c r="B508" s="520" t="str">
        <f t="shared" si="272"/>
        <v>5EoKEntryNationaal30</v>
      </c>
      <c r="C508" s="179">
        <v>5</v>
      </c>
      <c r="D508" s="179" t="s">
        <v>303</v>
      </c>
      <c r="E508" s="178" t="s">
        <v>45</v>
      </c>
      <c r="F508" s="178" t="s">
        <v>266</v>
      </c>
      <c r="G508" s="185" t="s">
        <v>415</v>
      </c>
      <c r="J508" s="520" t="str">
        <f t="shared" si="273"/>
        <v>EntryNationaal30</v>
      </c>
      <c r="L508" s="204">
        <f>INDEX(Mapping!$H:$H,MATCH(C$3&amp;C508,Mapping!$B:$B,0))</f>
        <v>1</v>
      </c>
      <c r="M508" s="204" t="str">
        <f>INDEX(Mapping!$H:$H,MATCH(D$3&amp;$D508,Mapping!$B:$B,0))</f>
        <v>EoK</v>
      </c>
      <c r="N508" s="204" t="str">
        <f>INDEX(Mapping!$H:$H,MATCH(E$3&amp;E508,Mapping!$B:$B,0))</f>
        <v>Lite</v>
      </c>
      <c r="O508" s="204" t="str">
        <f>INDEX(Mapping!$H:$H,MATCH(F$3&amp;F508,Mapping!$B:$B,0))</f>
        <v>Metro</v>
      </c>
      <c r="P508" s="204">
        <f>INDEX(Mapping!$H:$H,MATCH(G$3&amp;G508,Mapping!$B:$B,0))</f>
        <v>30</v>
      </c>
      <c r="Q508" s="204" t="str">
        <f>INDEX(Mapping!$H:$H,MATCH(Q$3&amp;$F508,Mapping!$B:$B,0))</f>
        <v>Metro - Nationaal</v>
      </c>
      <c r="R508" s="204" t="str">
        <f>INDEX(Mapping!$H:$H,MATCH("ZM VPN Service Level"&amp;E508,Mapping!$B:$B,0))</f>
        <v>Advanced</v>
      </c>
      <c r="S508" s="139" t="b">
        <f>IF($D508="EoK",INDEX(Mapping!$I:$I,MATCH($G$3&amp;$G508,Mapping!B:B,0)),FALSE)</f>
        <v>0</v>
      </c>
      <c r="T508" s="139"/>
      <c r="U508" s="520" t="str">
        <f t="shared" si="274"/>
        <v>LiteMetro30</v>
      </c>
      <c r="W508" s="521">
        <f>MATCH($J508,'Tarieven ZM'!$B:$B,0)</f>
        <v>56</v>
      </c>
      <c r="X508" s="204">
        <f>INDEX('Tarieven ZM'!$H:$H,$W508)</f>
        <v>1000</v>
      </c>
      <c r="Y508" s="198">
        <f>-INDEX(Parameters!$B:$B,MATCH(Y$3&amp;$C508,Parameters!$A:$A,0))*$X508</f>
        <v>0</v>
      </c>
      <c r="Z508" s="198">
        <f>-INDEX(Parameters!$B:$B,MATCH(Z$3&amp;$C508,Parameters!$A:$A,0))*$X508</f>
        <v>0</v>
      </c>
      <c r="AA508" s="139">
        <f t="shared" si="276"/>
        <v>1000</v>
      </c>
      <c r="AB508" s="205">
        <f>AA508/INDEX(Parameters!$B:$B,MATCH("AfschrijftermijnVVE"&amp;12*$C508,Parameters!$A:$A,0))</f>
        <v>16.666666666666668</v>
      </c>
      <c r="AC508" s="204">
        <f>INDEX('Tarieven ZM'!$G:$G,$W508)</f>
        <v>1000</v>
      </c>
      <c r="AD508" s="198">
        <f>-INDEX(Parameters!$B:$B,MATCH(AD$3&amp;$C508,Parameters!$A:$A,0))*$AC508</f>
        <v>0</v>
      </c>
      <c r="AE508" s="198">
        <f>-INDEX(Parameters!$B:$B,MATCH(AE$3,Parameters!$A:$A,0))*$AC508</f>
        <v>0</v>
      </c>
      <c r="AF508" s="139">
        <f t="shared" si="277"/>
        <v>1000</v>
      </c>
      <c r="AG508" s="522">
        <f t="shared" si="278"/>
        <v>1016.6666666666666</v>
      </c>
      <c r="AH508" s="175"/>
      <c r="AI508" s="523">
        <f>MATCH($U508,'Tarieven W&amp;O'!$B:$B,0)</f>
        <v>46</v>
      </c>
      <c r="AJ508" s="204">
        <f>IF(AI508&lt;&gt;"nvt",INDEX('Tarieven W&amp;O'!$H:$H,$AI508),0)</f>
        <v>0</v>
      </c>
      <c r="AK508" s="204">
        <f>IF(AI508&lt;&gt;"nvt",INDEX('Tarieven W&amp;O'!$I:$I,$AI508),0)</f>
        <v>25</v>
      </c>
      <c r="AL508" s="524">
        <f>IF(AI508&lt;&gt;"nvt",-INDEX(Parameters!$B:$B,MATCH(AL$3,Parameters!$A:$A,0))*(AJ508+AK508),0)</f>
        <v>0</v>
      </c>
      <c r="AM508" s="525"/>
      <c r="AN508" s="139">
        <f t="shared" si="279"/>
        <v>25</v>
      </c>
      <c r="AO508" s="205">
        <f>AN508/INDEX(Parameters!$B:$B,MATCH("AfschrijftermijnVVE"&amp;12*$C508,Parameters!$A:$A,0))</f>
        <v>0.41666666666666669</v>
      </c>
      <c r="AP508" s="139">
        <f t="shared" si="280"/>
        <v>46</v>
      </c>
      <c r="AQ508" s="526">
        <f>IF(AP508&lt;&gt;"nvt",INDEX('Tarieven W&amp;O'!$G:$G,$AP508),0)</f>
        <v>33.54</v>
      </c>
      <c r="AR508" s="251">
        <f>IF($S508,INDEX('Tarieven W&amp;O'!$G:$G,MATCH(N508&amp;R508,'Tarieven W&amp;O'!$B:$B,0)),0)</f>
        <v>0</v>
      </c>
      <c r="AS508" s="205">
        <f>-INDEX(Parameters!$B:$B,MATCH(AS$3,Parameters!$A:$A,0))*(AQ508+AR508)</f>
        <v>0</v>
      </c>
      <c r="AT508" s="205">
        <f>INDEX(hulpblad!$E:$E,MATCH(M508&amp;Q508,hulpblad!$B:$B,0))</f>
        <v>2</v>
      </c>
      <c r="AU508" s="150">
        <f t="shared" si="258"/>
        <v>35.54</v>
      </c>
      <c r="AV508" s="150">
        <f t="shared" si="259"/>
        <v>35.956666666666663</v>
      </c>
      <c r="AX508" s="526">
        <f>Parameters!$B$6*AV508</f>
        <v>0.35956666666666665</v>
      </c>
      <c r="AY508" s="150">
        <v>0</v>
      </c>
      <c r="AZ508" s="150"/>
      <c r="BA508" s="150">
        <f t="shared" si="281"/>
        <v>0.35956666666666665</v>
      </c>
      <c r="BB508" s="150"/>
      <c r="BC508" s="522">
        <f t="shared" si="282"/>
        <v>36.316233333333329</v>
      </c>
      <c r="BD508" s="175"/>
      <c r="BE508" s="527">
        <f t="shared" si="262"/>
        <v>980.35043333333329</v>
      </c>
      <c r="BF508" s="181">
        <f t="shared" si="263"/>
        <v>0.96427911475409833</v>
      </c>
      <c r="BG508" s="520" t="b">
        <f t="shared" si="275"/>
        <v>0</v>
      </c>
      <c r="BI508" s="528" t="s">
        <v>2181</v>
      </c>
      <c r="BL508" s="151" t="str">
        <f t="shared" si="265"/>
        <v>EoKMetro - Nationaal</v>
      </c>
      <c r="BM508" s="529">
        <v>0</v>
      </c>
      <c r="BN508" s="180">
        <f>BM508/INDEX(Parameters!$B:$B,MATCH("AfschrijftermijnVVE"&amp;12*$C508,Parameters!$A:$A,0))</f>
        <v>0</v>
      </c>
      <c r="BO508" s="184">
        <f>INDEX('inkoop ULL tbv EVPN'!I:I,MATCH(BL508,'inkoop ULL tbv EVPN'!H:H,0))</f>
        <v>2</v>
      </c>
      <c r="BP508" s="184">
        <f t="shared" si="266"/>
        <v>2</v>
      </c>
      <c r="BR508" s="180">
        <f>Parameters!$B$12*AG508</f>
        <v>101.66666666666667</v>
      </c>
      <c r="BS508" s="180">
        <f>SUM(Distributievergoedingen!$F$12,Distributievergoedingen!$I$12,Distributievergoedingen!$L$12,Distributievergoedingen!$O$12)*AF508+SUM(Distributievergoedingen!$O$12*AA508+Distributievergoedingen!$R$12+Distributievergoedingen!$U$12+Distributievergoedingen!$X$12)/(MAX(36,12*C508))</f>
        <v>111.66666666666667</v>
      </c>
      <c r="BT508" s="150"/>
      <c r="BU508" s="150">
        <f t="shared" si="267"/>
        <v>213.33333333333334</v>
      </c>
      <c r="BW508" s="522">
        <f t="shared" si="268"/>
        <v>215.33333333333334</v>
      </c>
      <c r="BY508" s="527">
        <f t="shared" si="269"/>
        <v>801.33333333333326</v>
      </c>
      <c r="BZ508" s="181">
        <f t="shared" si="270"/>
        <v>0.78819672131147533</v>
      </c>
      <c r="CA508" s="520" t="b">
        <f t="shared" si="271"/>
        <v>0</v>
      </c>
    </row>
    <row r="509" spans="1:79" s="151" customFormat="1">
      <c r="A509" s="151" t="str">
        <f t="shared" si="250"/>
        <v>5EoKEntryNationaal50</v>
      </c>
      <c r="B509" s="520" t="str">
        <f t="shared" si="272"/>
        <v>5EoKEntryNationaal50</v>
      </c>
      <c r="C509" s="179">
        <v>5</v>
      </c>
      <c r="D509" s="179" t="s">
        <v>303</v>
      </c>
      <c r="E509" s="178" t="s">
        <v>45</v>
      </c>
      <c r="F509" s="178" t="s">
        <v>266</v>
      </c>
      <c r="G509" s="185" t="s">
        <v>416</v>
      </c>
      <c r="J509" s="520" t="str">
        <f t="shared" si="273"/>
        <v>EntryNationaal50</v>
      </c>
      <c r="L509" s="204">
        <f>INDEX(Mapping!$H:$H,MATCH(C$3&amp;C509,Mapping!$B:$B,0))</f>
        <v>1</v>
      </c>
      <c r="M509" s="204" t="str">
        <f>INDEX(Mapping!$H:$H,MATCH(D$3&amp;$D509,Mapping!$B:$B,0))</f>
        <v>EoK</v>
      </c>
      <c r="N509" s="204" t="str">
        <f>INDEX(Mapping!$H:$H,MATCH(E$3&amp;E509,Mapping!$B:$B,0))</f>
        <v>Lite</v>
      </c>
      <c r="O509" s="204" t="str">
        <f>INDEX(Mapping!$H:$H,MATCH(F$3&amp;F509,Mapping!$B:$B,0))</f>
        <v>Metro</v>
      </c>
      <c r="P509" s="204">
        <f>INDEX(Mapping!$H:$H,MATCH(G$3&amp;G509,Mapping!$B:$B,0))</f>
        <v>50</v>
      </c>
      <c r="Q509" s="204" t="str">
        <f>INDEX(Mapping!$H:$H,MATCH(Q$3&amp;$F509,Mapping!$B:$B,0))</f>
        <v>Metro - Nationaal</v>
      </c>
      <c r="R509" s="204" t="str">
        <f>INDEX(Mapping!$H:$H,MATCH("ZM VPN Service Level"&amp;E509,Mapping!$B:$B,0))</f>
        <v>Advanced</v>
      </c>
      <c r="S509" s="139" t="b">
        <f>IF($D509="EoK",INDEX(Mapping!$I:$I,MATCH($G$3&amp;$G509,Mapping!B:B,0)),FALSE)</f>
        <v>0</v>
      </c>
      <c r="T509" s="139"/>
      <c r="U509" s="520" t="str">
        <f t="shared" si="274"/>
        <v>LiteMetro50</v>
      </c>
      <c r="W509" s="521">
        <f>MATCH($J509,'Tarieven ZM'!$B:$B,0)</f>
        <v>57</v>
      </c>
      <c r="X509" s="204">
        <f>INDEX('Tarieven ZM'!$H:$H,$W509)</f>
        <v>1000</v>
      </c>
      <c r="Y509" s="198">
        <f>-INDEX(Parameters!$B:$B,MATCH(Y$3&amp;$C509,Parameters!$A:$A,0))*$X509</f>
        <v>0</v>
      </c>
      <c r="Z509" s="198">
        <f>-INDEX(Parameters!$B:$B,MATCH(Z$3&amp;$C509,Parameters!$A:$A,0))*$X509</f>
        <v>0</v>
      </c>
      <c r="AA509" s="139">
        <f t="shared" si="276"/>
        <v>1000</v>
      </c>
      <c r="AB509" s="205">
        <f>AA509/INDEX(Parameters!$B:$B,MATCH("AfschrijftermijnVVE"&amp;12*$C509,Parameters!$A:$A,0))</f>
        <v>16.666666666666668</v>
      </c>
      <c r="AC509" s="204">
        <f>INDEX('Tarieven ZM'!$G:$G,$W509)</f>
        <v>1000</v>
      </c>
      <c r="AD509" s="198">
        <f>-INDEX(Parameters!$B:$B,MATCH(AD$3&amp;$C509,Parameters!$A:$A,0))*$AC509</f>
        <v>0</v>
      </c>
      <c r="AE509" s="198">
        <f>-INDEX(Parameters!$B:$B,MATCH(AE$3,Parameters!$A:$A,0))*$AC509</f>
        <v>0</v>
      </c>
      <c r="AF509" s="139">
        <f t="shared" si="277"/>
        <v>1000</v>
      </c>
      <c r="AG509" s="522">
        <f t="shared" si="278"/>
        <v>1016.6666666666666</v>
      </c>
      <c r="AH509" s="175"/>
      <c r="AI509" s="523">
        <f>MATCH($U509,'Tarieven W&amp;O'!$B:$B,0)</f>
        <v>47</v>
      </c>
      <c r="AJ509" s="204">
        <f>IF(AI509&lt;&gt;"nvt",INDEX('Tarieven W&amp;O'!$H:$H,$AI509),0)</f>
        <v>0</v>
      </c>
      <c r="AK509" s="204">
        <f>IF(AI509&lt;&gt;"nvt",INDEX('Tarieven W&amp;O'!$I:$I,$AI509),0)</f>
        <v>25</v>
      </c>
      <c r="AL509" s="524">
        <f>IF(AI509&lt;&gt;"nvt",-INDEX(Parameters!$B:$B,MATCH(AL$3,Parameters!$A:$A,0))*(AJ509+AK509),0)</f>
        <v>0</v>
      </c>
      <c r="AM509" s="525"/>
      <c r="AN509" s="139">
        <f t="shared" si="279"/>
        <v>25</v>
      </c>
      <c r="AO509" s="205">
        <f>AN509/INDEX(Parameters!$B:$B,MATCH("AfschrijftermijnVVE"&amp;12*$C509,Parameters!$A:$A,0))</f>
        <v>0.41666666666666669</v>
      </c>
      <c r="AP509" s="139">
        <f t="shared" si="280"/>
        <v>47</v>
      </c>
      <c r="AQ509" s="526">
        <f>IF(AP509&lt;&gt;"nvt",INDEX('Tarieven W&amp;O'!$G:$G,$AP509),0)</f>
        <v>48.62</v>
      </c>
      <c r="AR509" s="251">
        <f>IF($S509,INDEX('Tarieven W&amp;O'!$G:$G,MATCH(N509&amp;R509,'Tarieven W&amp;O'!$B:$B,0)),0)</f>
        <v>0</v>
      </c>
      <c r="AS509" s="205">
        <f>-INDEX(Parameters!$B:$B,MATCH(AS$3,Parameters!$A:$A,0))*(AQ509+AR509)</f>
        <v>0</v>
      </c>
      <c r="AT509" s="205">
        <f>INDEX(hulpblad!$E:$E,MATCH(M509&amp;Q509,hulpblad!$B:$B,0))</f>
        <v>2</v>
      </c>
      <c r="AU509" s="150">
        <f t="shared" si="258"/>
        <v>50.62</v>
      </c>
      <c r="AV509" s="150">
        <f t="shared" si="259"/>
        <v>51.036666666666662</v>
      </c>
      <c r="AX509" s="526">
        <f>Parameters!$B$6*AV509</f>
        <v>0.51036666666666664</v>
      </c>
      <c r="AY509" s="150">
        <v>0</v>
      </c>
      <c r="AZ509" s="150"/>
      <c r="BA509" s="150">
        <f t="shared" si="281"/>
        <v>0.51036666666666664</v>
      </c>
      <c r="BB509" s="150"/>
      <c r="BC509" s="522">
        <f t="shared" si="282"/>
        <v>51.547033333333331</v>
      </c>
      <c r="BD509" s="175"/>
      <c r="BE509" s="527">
        <f t="shared" si="262"/>
        <v>965.11963333333324</v>
      </c>
      <c r="BF509" s="181">
        <f t="shared" si="263"/>
        <v>0.94929799999999998</v>
      </c>
      <c r="BG509" s="520" t="b">
        <f t="shared" si="275"/>
        <v>0</v>
      </c>
      <c r="BI509" s="528" t="s">
        <v>2181</v>
      </c>
      <c r="BL509" s="151" t="str">
        <f t="shared" si="265"/>
        <v>EoKMetro - Nationaal</v>
      </c>
      <c r="BM509" s="529">
        <v>0</v>
      </c>
      <c r="BN509" s="180">
        <f>BM509/INDEX(Parameters!$B:$B,MATCH("AfschrijftermijnVVE"&amp;12*$C509,Parameters!$A:$A,0))</f>
        <v>0</v>
      </c>
      <c r="BO509" s="184">
        <f>INDEX('inkoop ULL tbv EVPN'!I:I,MATCH(BL509,'inkoop ULL tbv EVPN'!H:H,0))</f>
        <v>2</v>
      </c>
      <c r="BP509" s="184">
        <f t="shared" si="266"/>
        <v>2</v>
      </c>
      <c r="BR509" s="180">
        <f>Parameters!$B$12*AG509</f>
        <v>101.66666666666667</v>
      </c>
      <c r="BS509" s="180">
        <f>SUM(Distributievergoedingen!$F$12,Distributievergoedingen!$I$12,Distributievergoedingen!$L$12,Distributievergoedingen!$O$12)*AF509+SUM(Distributievergoedingen!$O$12*AA509+Distributievergoedingen!$R$12+Distributievergoedingen!$U$12+Distributievergoedingen!$X$12)/(MAX(36,12*C509))</f>
        <v>111.66666666666667</v>
      </c>
      <c r="BT509" s="150"/>
      <c r="BU509" s="150">
        <f t="shared" si="267"/>
        <v>213.33333333333334</v>
      </c>
      <c r="BW509" s="522">
        <f t="shared" si="268"/>
        <v>215.33333333333334</v>
      </c>
      <c r="BY509" s="527">
        <f t="shared" si="269"/>
        <v>801.33333333333326</v>
      </c>
      <c r="BZ509" s="181">
        <f t="shared" si="270"/>
        <v>0.78819672131147533</v>
      </c>
      <c r="CA509" s="520" t="b">
        <f t="shared" si="271"/>
        <v>0</v>
      </c>
    </row>
    <row r="510" spans="1:79" s="151" customFormat="1">
      <c r="A510" s="151" t="str">
        <f t="shared" si="250"/>
        <v>5EoKEntryNationaal80</v>
      </c>
      <c r="B510" s="520" t="str">
        <f t="shared" si="272"/>
        <v>5EoKEntryNationaal80</v>
      </c>
      <c r="C510" s="179">
        <v>5</v>
      </c>
      <c r="D510" s="179" t="s">
        <v>303</v>
      </c>
      <c r="E510" s="178" t="s">
        <v>45</v>
      </c>
      <c r="F510" s="178" t="s">
        <v>266</v>
      </c>
      <c r="G510" s="185" t="s">
        <v>417</v>
      </c>
      <c r="J510" s="520" t="str">
        <f t="shared" si="273"/>
        <v>EntryNationaal80</v>
      </c>
      <c r="L510" s="204">
        <f>INDEX(Mapping!$H:$H,MATCH(C$3&amp;C510,Mapping!$B:$B,0))</f>
        <v>1</v>
      </c>
      <c r="M510" s="204" t="str">
        <f>INDEX(Mapping!$H:$H,MATCH(D$3&amp;$D510,Mapping!$B:$B,0))</f>
        <v>EoK</v>
      </c>
      <c r="N510" s="204" t="str">
        <f>INDEX(Mapping!$H:$H,MATCH(E$3&amp;E510,Mapping!$B:$B,0))</f>
        <v>Lite</v>
      </c>
      <c r="O510" s="204" t="str">
        <f>INDEX(Mapping!$H:$H,MATCH(F$3&amp;F510,Mapping!$B:$B,0))</f>
        <v>Metro</v>
      </c>
      <c r="P510" s="204">
        <f>INDEX(Mapping!$H:$H,MATCH(G$3&amp;G510,Mapping!$B:$B,0))</f>
        <v>80</v>
      </c>
      <c r="Q510" s="204" t="str">
        <f>INDEX(Mapping!$H:$H,MATCH(Q$3&amp;$F510,Mapping!$B:$B,0))</f>
        <v>Metro - Nationaal</v>
      </c>
      <c r="R510" s="204" t="str">
        <f>INDEX(Mapping!$H:$H,MATCH("ZM VPN Service Level"&amp;E510,Mapping!$B:$B,0))</f>
        <v>Advanced</v>
      </c>
      <c r="S510" s="139" t="b">
        <f>IF($D510="EoK",INDEX(Mapping!$I:$I,MATCH($G$3&amp;$G510,Mapping!B:B,0)),FALSE)</f>
        <v>0</v>
      </c>
      <c r="T510" s="139"/>
      <c r="U510" s="520" t="str">
        <f t="shared" si="274"/>
        <v>LiteMetro80</v>
      </c>
      <c r="W510" s="521">
        <f>MATCH($J510,'Tarieven ZM'!$B:$B,0)</f>
        <v>58</v>
      </c>
      <c r="X510" s="204">
        <f>INDEX('Tarieven ZM'!$H:$H,$W510)</f>
        <v>1000</v>
      </c>
      <c r="Y510" s="198">
        <f>-INDEX(Parameters!$B:$B,MATCH(Y$3&amp;$C510,Parameters!$A:$A,0))*$X510</f>
        <v>0</v>
      </c>
      <c r="Z510" s="198">
        <f>-INDEX(Parameters!$B:$B,MATCH(Z$3&amp;$C510,Parameters!$A:$A,0))*$X510</f>
        <v>0</v>
      </c>
      <c r="AA510" s="139">
        <f t="shared" si="276"/>
        <v>1000</v>
      </c>
      <c r="AB510" s="205">
        <f>AA510/INDEX(Parameters!$B:$B,MATCH("AfschrijftermijnVVE"&amp;12*$C510,Parameters!$A:$A,0))</f>
        <v>16.666666666666668</v>
      </c>
      <c r="AC510" s="204">
        <f>INDEX('Tarieven ZM'!$G:$G,$W510)</f>
        <v>1000</v>
      </c>
      <c r="AD510" s="198">
        <f>-INDEX(Parameters!$B:$B,MATCH(AD$3&amp;$C510,Parameters!$A:$A,0))*$AC510</f>
        <v>0</v>
      </c>
      <c r="AE510" s="198">
        <f>-INDEX(Parameters!$B:$B,MATCH(AE$3,Parameters!$A:$A,0))*$AC510</f>
        <v>0</v>
      </c>
      <c r="AF510" s="139">
        <f t="shared" si="277"/>
        <v>1000</v>
      </c>
      <c r="AG510" s="522">
        <f t="shared" si="278"/>
        <v>1016.6666666666666</v>
      </c>
      <c r="AH510" s="175"/>
      <c r="AI510" s="523">
        <f>MATCH($U510,'Tarieven W&amp;O'!$B:$B,0)</f>
        <v>48</v>
      </c>
      <c r="AJ510" s="204">
        <f>IF(AI510&lt;&gt;"nvt",INDEX('Tarieven W&amp;O'!$H:$H,$AI510),0)</f>
        <v>0</v>
      </c>
      <c r="AK510" s="204">
        <f>IF(AI510&lt;&gt;"nvt",INDEX('Tarieven W&amp;O'!$I:$I,$AI510),0)</f>
        <v>25</v>
      </c>
      <c r="AL510" s="524">
        <f>IF(AI510&lt;&gt;"nvt",-INDEX(Parameters!$B:$B,MATCH(AL$3,Parameters!$A:$A,0))*(AJ510+AK510),0)</f>
        <v>0</v>
      </c>
      <c r="AM510" s="525"/>
      <c r="AN510" s="139">
        <f t="shared" si="279"/>
        <v>25</v>
      </c>
      <c r="AO510" s="205">
        <f>AN510/INDEX(Parameters!$B:$B,MATCH("AfschrijftermijnVVE"&amp;12*$C510,Parameters!$A:$A,0))</f>
        <v>0.41666666666666669</v>
      </c>
      <c r="AP510" s="139">
        <f t="shared" si="280"/>
        <v>48</v>
      </c>
      <c r="AQ510" s="526">
        <f>IF(AP510&lt;&gt;"nvt",INDEX('Tarieven W&amp;O'!$G:$G,$AP510),0)</f>
        <v>63.7</v>
      </c>
      <c r="AR510" s="251">
        <f>IF($S510,INDEX('Tarieven W&amp;O'!$G:$G,MATCH(N510&amp;R510,'Tarieven W&amp;O'!$B:$B,0)),0)</f>
        <v>0</v>
      </c>
      <c r="AS510" s="205">
        <f>-INDEX(Parameters!$B:$B,MATCH(AS$3,Parameters!$A:$A,0))*(AQ510+AR510)</f>
        <v>0</v>
      </c>
      <c r="AT510" s="205">
        <f>INDEX(hulpblad!$E:$E,MATCH(M510&amp;Q510,hulpblad!$B:$B,0))</f>
        <v>2</v>
      </c>
      <c r="AU510" s="150">
        <f t="shared" si="258"/>
        <v>65.7</v>
      </c>
      <c r="AV510" s="150">
        <f t="shared" si="259"/>
        <v>66.116666666666674</v>
      </c>
      <c r="AX510" s="526">
        <f>Parameters!$B$6*AV510</f>
        <v>0.66116666666666679</v>
      </c>
      <c r="AY510" s="150">
        <v>0</v>
      </c>
      <c r="AZ510" s="150"/>
      <c r="BA510" s="150">
        <f t="shared" si="281"/>
        <v>0.66116666666666679</v>
      </c>
      <c r="BB510" s="150"/>
      <c r="BC510" s="522">
        <f t="shared" si="282"/>
        <v>66.777833333333348</v>
      </c>
      <c r="BD510" s="175"/>
      <c r="BE510" s="527">
        <f t="shared" si="262"/>
        <v>949.88883333333331</v>
      </c>
      <c r="BF510" s="181">
        <f t="shared" si="263"/>
        <v>0.93431688524590162</v>
      </c>
      <c r="BG510" s="520" t="b">
        <f t="shared" si="275"/>
        <v>0</v>
      </c>
      <c r="BI510" s="528" t="s">
        <v>2181</v>
      </c>
      <c r="BL510" s="151" t="str">
        <f t="shared" si="265"/>
        <v>EoKMetro - Nationaal</v>
      </c>
      <c r="BM510" s="529">
        <v>0</v>
      </c>
      <c r="BN510" s="180">
        <f>BM510/INDEX(Parameters!$B:$B,MATCH("AfschrijftermijnVVE"&amp;12*$C510,Parameters!$A:$A,0))</f>
        <v>0</v>
      </c>
      <c r="BO510" s="184">
        <f>INDEX('inkoop ULL tbv EVPN'!I:I,MATCH(BL510,'inkoop ULL tbv EVPN'!H:H,0))</f>
        <v>2</v>
      </c>
      <c r="BP510" s="184">
        <f t="shared" si="266"/>
        <v>2</v>
      </c>
      <c r="BR510" s="180">
        <f>Parameters!$B$12*AG510</f>
        <v>101.66666666666667</v>
      </c>
      <c r="BS510" s="180">
        <f>SUM(Distributievergoedingen!$F$12,Distributievergoedingen!$I$12,Distributievergoedingen!$L$12,Distributievergoedingen!$O$12)*AF510+SUM(Distributievergoedingen!$O$12*AA510+Distributievergoedingen!$R$12+Distributievergoedingen!$U$12+Distributievergoedingen!$X$12)/(MAX(36,12*C510))</f>
        <v>111.66666666666667</v>
      </c>
      <c r="BT510" s="150"/>
      <c r="BU510" s="150">
        <f t="shared" si="267"/>
        <v>213.33333333333334</v>
      </c>
      <c r="BW510" s="522">
        <f t="shared" si="268"/>
        <v>215.33333333333334</v>
      </c>
      <c r="BY510" s="527">
        <f t="shared" si="269"/>
        <v>801.33333333333326</v>
      </c>
      <c r="BZ510" s="181">
        <f t="shared" si="270"/>
        <v>0.78819672131147533</v>
      </c>
      <c r="CA510" s="520" t="b">
        <f t="shared" si="271"/>
        <v>0</v>
      </c>
    </row>
    <row r="511" spans="1:79" s="151" customFormat="1">
      <c r="A511" s="151" t="str">
        <f t="shared" si="250"/>
        <v>5EoKEntryNationaal100</v>
      </c>
      <c r="B511" s="520" t="str">
        <f t="shared" si="272"/>
        <v>5EoKEntryNationaal100</v>
      </c>
      <c r="C511" s="179">
        <v>5</v>
      </c>
      <c r="D511" s="179" t="s">
        <v>303</v>
      </c>
      <c r="E511" s="178" t="s">
        <v>45</v>
      </c>
      <c r="F511" s="178" t="s">
        <v>266</v>
      </c>
      <c r="G511" s="185" t="s">
        <v>418</v>
      </c>
      <c r="J511" s="520" t="str">
        <f t="shared" si="273"/>
        <v>EntryNationaal100</v>
      </c>
      <c r="L511" s="204">
        <f>INDEX(Mapping!$H:$H,MATCH(C$3&amp;C511,Mapping!$B:$B,0))</f>
        <v>1</v>
      </c>
      <c r="M511" s="204" t="str">
        <f>INDEX(Mapping!$H:$H,MATCH(D$3&amp;$D511,Mapping!$B:$B,0))</f>
        <v>EoK</v>
      </c>
      <c r="N511" s="204" t="str">
        <f>INDEX(Mapping!$H:$H,MATCH(E$3&amp;E511,Mapping!$B:$B,0))</f>
        <v>Lite</v>
      </c>
      <c r="O511" s="204" t="str">
        <f>INDEX(Mapping!$H:$H,MATCH(F$3&amp;F511,Mapping!$B:$B,0))</f>
        <v>Metro</v>
      </c>
      <c r="P511" s="204">
        <f>INDEX(Mapping!$H:$H,MATCH(G$3&amp;G511,Mapping!$B:$B,0))</f>
        <v>100</v>
      </c>
      <c r="Q511" s="204" t="str">
        <f>INDEX(Mapping!$H:$H,MATCH(Q$3&amp;$F511,Mapping!$B:$B,0))</f>
        <v>Metro - Nationaal</v>
      </c>
      <c r="R511" s="204" t="str">
        <f>INDEX(Mapping!$H:$H,MATCH("ZM VPN Service Level"&amp;E511,Mapping!$B:$B,0))</f>
        <v>Advanced</v>
      </c>
      <c r="S511" s="139" t="b">
        <f>IF($D511="EoK",INDEX(Mapping!$I:$I,MATCH($G$3&amp;$G511,Mapping!B:B,0)),FALSE)</f>
        <v>0</v>
      </c>
      <c r="T511" s="139"/>
      <c r="U511" s="520" t="str">
        <f t="shared" si="274"/>
        <v>LiteMetro100</v>
      </c>
      <c r="W511" s="521">
        <f>MATCH($J511,'Tarieven ZM'!$B:$B,0)</f>
        <v>59</v>
      </c>
      <c r="X511" s="204">
        <f>INDEX('Tarieven ZM'!$H:$H,$W511)</f>
        <v>1000</v>
      </c>
      <c r="Y511" s="198">
        <f>-INDEX(Parameters!$B:$B,MATCH(Y$3&amp;$C511,Parameters!$A:$A,0))*$X511</f>
        <v>0</v>
      </c>
      <c r="Z511" s="198">
        <f>-INDEX(Parameters!$B:$B,MATCH(Z$3&amp;$C511,Parameters!$A:$A,0))*$X511</f>
        <v>0</v>
      </c>
      <c r="AA511" s="139">
        <f t="shared" si="276"/>
        <v>1000</v>
      </c>
      <c r="AB511" s="205">
        <f>AA511/INDEX(Parameters!$B:$B,MATCH("AfschrijftermijnVVE"&amp;12*$C511,Parameters!$A:$A,0))</f>
        <v>16.666666666666668</v>
      </c>
      <c r="AC511" s="204">
        <f>INDEX('Tarieven ZM'!$G:$G,$W511)</f>
        <v>1000</v>
      </c>
      <c r="AD511" s="198">
        <f>-INDEX(Parameters!$B:$B,MATCH(AD$3&amp;$C511,Parameters!$A:$A,0))*$AC511</f>
        <v>0</v>
      </c>
      <c r="AE511" s="198">
        <f>-INDEX(Parameters!$B:$B,MATCH(AE$3,Parameters!$A:$A,0))*$AC511</f>
        <v>0</v>
      </c>
      <c r="AF511" s="139">
        <f t="shared" si="277"/>
        <v>1000</v>
      </c>
      <c r="AG511" s="522">
        <f t="shared" si="278"/>
        <v>1016.6666666666666</v>
      </c>
      <c r="AH511" s="175"/>
      <c r="AI511" s="523">
        <f>MATCH($U511,'Tarieven W&amp;O'!$B:$B,0)</f>
        <v>49</v>
      </c>
      <c r="AJ511" s="204">
        <f>IF(AI511&lt;&gt;"nvt",INDEX('Tarieven W&amp;O'!$H:$H,$AI511),0)</f>
        <v>0</v>
      </c>
      <c r="AK511" s="204">
        <f>IF(AI511&lt;&gt;"nvt",INDEX('Tarieven W&amp;O'!$I:$I,$AI511),0)</f>
        <v>25</v>
      </c>
      <c r="AL511" s="524">
        <f>IF(AI511&lt;&gt;"nvt",-INDEX(Parameters!$B:$B,MATCH(AL$3,Parameters!$A:$A,0))*(AJ511+AK511),0)</f>
        <v>0</v>
      </c>
      <c r="AM511" s="525"/>
      <c r="AN511" s="139">
        <f t="shared" si="279"/>
        <v>25</v>
      </c>
      <c r="AO511" s="205">
        <f>AN511/INDEX(Parameters!$B:$B,MATCH("AfschrijftermijnVVE"&amp;12*$C511,Parameters!$A:$A,0))</f>
        <v>0.41666666666666669</v>
      </c>
      <c r="AP511" s="139">
        <f t="shared" si="280"/>
        <v>49</v>
      </c>
      <c r="AQ511" s="526">
        <f>IF(AP511&lt;&gt;"nvt",INDEX('Tarieven W&amp;O'!$G:$G,$AP511),0)</f>
        <v>71.239999999999995</v>
      </c>
      <c r="AR511" s="251">
        <f>IF($S511,INDEX('Tarieven W&amp;O'!$G:$G,MATCH(N511&amp;R511,'Tarieven W&amp;O'!$B:$B,0)),0)</f>
        <v>0</v>
      </c>
      <c r="AS511" s="205">
        <f>-INDEX(Parameters!$B:$B,MATCH(AS$3,Parameters!$A:$A,0))*(AQ511+AR511)</f>
        <v>0</v>
      </c>
      <c r="AT511" s="205">
        <f>INDEX(hulpblad!$E:$E,MATCH(M511&amp;Q511,hulpblad!$B:$B,0))</f>
        <v>2</v>
      </c>
      <c r="AU511" s="150">
        <f t="shared" si="258"/>
        <v>73.239999999999995</v>
      </c>
      <c r="AV511" s="150">
        <f t="shared" si="259"/>
        <v>73.656666666666666</v>
      </c>
      <c r="AX511" s="526">
        <f>Parameters!$B$6*AV511</f>
        <v>0.7365666666666667</v>
      </c>
      <c r="AY511" s="150">
        <v>0</v>
      </c>
      <c r="AZ511" s="150"/>
      <c r="BA511" s="150">
        <f t="shared" si="281"/>
        <v>0.7365666666666667</v>
      </c>
      <c r="BB511" s="150"/>
      <c r="BC511" s="522">
        <f t="shared" si="282"/>
        <v>74.393233333333328</v>
      </c>
      <c r="BD511" s="175"/>
      <c r="BE511" s="527">
        <f t="shared" si="262"/>
        <v>942.27343333333329</v>
      </c>
      <c r="BF511" s="181">
        <f t="shared" si="263"/>
        <v>0.92682632786885244</v>
      </c>
      <c r="BG511" s="520" t="b">
        <f t="shared" si="275"/>
        <v>0</v>
      </c>
      <c r="BI511" s="528" t="s">
        <v>2181</v>
      </c>
      <c r="BL511" s="151" t="str">
        <f t="shared" si="265"/>
        <v>EoKMetro - Nationaal</v>
      </c>
      <c r="BM511" s="529">
        <v>0</v>
      </c>
      <c r="BN511" s="180">
        <f>BM511/INDEX(Parameters!$B:$B,MATCH("AfschrijftermijnVVE"&amp;12*$C511,Parameters!$A:$A,0))</f>
        <v>0</v>
      </c>
      <c r="BO511" s="184">
        <f>INDEX('inkoop ULL tbv EVPN'!I:I,MATCH(BL511,'inkoop ULL tbv EVPN'!H:H,0))</f>
        <v>2</v>
      </c>
      <c r="BP511" s="184">
        <f t="shared" si="266"/>
        <v>2</v>
      </c>
      <c r="BR511" s="180">
        <f>Parameters!$B$12*AG511</f>
        <v>101.66666666666667</v>
      </c>
      <c r="BS511" s="180">
        <f>SUM(Distributievergoedingen!$F$12,Distributievergoedingen!$I$12,Distributievergoedingen!$L$12,Distributievergoedingen!$O$12)*AF511+SUM(Distributievergoedingen!$O$12*AA511+Distributievergoedingen!$R$12+Distributievergoedingen!$U$12+Distributievergoedingen!$X$12)/(MAX(36,12*C511))</f>
        <v>111.66666666666667</v>
      </c>
      <c r="BT511" s="150"/>
      <c r="BU511" s="150">
        <f t="shared" si="267"/>
        <v>213.33333333333334</v>
      </c>
      <c r="BW511" s="522">
        <f t="shared" si="268"/>
        <v>215.33333333333334</v>
      </c>
      <c r="BY511" s="527">
        <f t="shared" si="269"/>
        <v>801.33333333333326</v>
      </c>
      <c r="BZ511" s="181">
        <f t="shared" si="270"/>
        <v>0.78819672131147533</v>
      </c>
      <c r="CA511" s="520" t="b">
        <f t="shared" si="271"/>
        <v>0</v>
      </c>
    </row>
    <row r="512" spans="1:79" s="151" customFormat="1">
      <c r="A512" s="151" t="str">
        <f t="shared" si="250"/>
        <v>5EoKEntryNationaal200</v>
      </c>
      <c r="B512" s="520" t="str">
        <f t="shared" si="272"/>
        <v>5EoKEntryNationaal200</v>
      </c>
      <c r="C512" s="179">
        <v>5</v>
      </c>
      <c r="D512" s="179" t="s">
        <v>303</v>
      </c>
      <c r="E512" s="178" t="s">
        <v>45</v>
      </c>
      <c r="F512" s="178" t="s">
        <v>266</v>
      </c>
      <c r="G512" s="185" t="s">
        <v>419</v>
      </c>
      <c r="J512" s="520" t="str">
        <f t="shared" si="273"/>
        <v>EntryNationaal200</v>
      </c>
      <c r="L512" s="204">
        <f>INDEX(Mapping!$H:$H,MATCH(C$3&amp;C512,Mapping!$B:$B,0))</f>
        <v>1</v>
      </c>
      <c r="M512" s="204" t="str">
        <f>INDEX(Mapping!$H:$H,MATCH(D$3&amp;$D512,Mapping!$B:$B,0))</f>
        <v>EoK</v>
      </c>
      <c r="N512" s="204" t="str">
        <f>INDEX(Mapping!$H:$H,MATCH(E$3&amp;E512,Mapping!$B:$B,0))</f>
        <v>Lite</v>
      </c>
      <c r="O512" s="204" t="str">
        <f>INDEX(Mapping!$H:$H,MATCH(F$3&amp;F512,Mapping!$B:$B,0))</f>
        <v>Metro</v>
      </c>
      <c r="P512" s="204">
        <f>INDEX(Mapping!$H:$H,MATCH(G$3&amp;G512,Mapping!$B:$B,0))</f>
        <v>200</v>
      </c>
      <c r="Q512" s="204" t="str">
        <f>INDEX(Mapping!$H:$H,MATCH(Q$3&amp;$F512,Mapping!$B:$B,0))</f>
        <v>Metro - Nationaal</v>
      </c>
      <c r="R512" s="204" t="str">
        <f>INDEX(Mapping!$H:$H,MATCH("ZM VPN Service Level"&amp;E512,Mapping!$B:$B,0))</f>
        <v>Advanced</v>
      </c>
      <c r="S512" s="139" t="b">
        <f>IF($D512="EoK",INDEX(Mapping!$I:$I,MATCH($G$3&amp;$G512,Mapping!B:B,0)),FALSE)</f>
        <v>0</v>
      </c>
      <c r="T512" s="139"/>
      <c r="U512" s="520" t="str">
        <f t="shared" si="274"/>
        <v>LiteMetro200</v>
      </c>
      <c r="W512" s="521">
        <f>MATCH($J512,'Tarieven ZM'!$B:$B,0)</f>
        <v>60</v>
      </c>
      <c r="X512" s="204">
        <f>INDEX('Tarieven ZM'!$H:$H,$W512)</f>
        <v>1000</v>
      </c>
      <c r="Y512" s="198">
        <f>-INDEX(Parameters!$B:$B,MATCH(Y$3&amp;$C512,Parameters!$A:$A,0))*$X512</f>
        <v>0</v>
      </c>
      <c r="Z512" s="198">
        <f>-INDEX(Parameters!$B:$B,MATCH(Z$3&amp;$C512,Parameters!$A:$A,0))*$X512</f>
        <v>0</v>
      </c>
      <c r="AA512" s="139">
        <f t="shared" si="276"/>
        <v>1000</v>
      </c>
      <c r="AB512" s="205">
        <f>AA512/INDEX(Parameters!$B:$B,MATCH("AfschrijftermijnVVE"&amp;12*$C512,Parameters!$A:$A,0))</f>
        <v>16.666666666666668</v>
      </c>
      <c r="AC512" s="204">
        <f>INDEX('Tarieven ZM'!$G:$G,$W512)</f>
        <v>1000</v>
      </c>
      <c r="AD512" s="198">
        <f>-INDEX(Parameters!$B:$B,MATCH(AD$3&amp;$C512,Parameters!$A:$A,0))*$AC512</f>
        <v>0</v>
      </c>
      <c r="AE512" s="198">
        <f>-INDEX(Parameters!$B:$B,MATCH(AE$3,Parameters!$A:$A,0))*$AC512</f>
        <v>0</v>
      </c>
      <c r="AF512" s="139">
        <f t="shared" si="277"/>
        <v>1000</v>
      </c>
      <c r="AG512" s="522">
        <f t="shared" si="278"/>
        <v>1016.6666666666666</v>
      </c>
      <c r="AH512" s="175"/>
      <c r="AI512" s="523">
        <f>MATCH($U512,'Tarieven W&amp;O'!$B:$B,0)</f>
        <v>50</v>
      </c>
      <c r="AJ512" s="204">
        <f>IF(AI512&lt;&gt;"nvt",INDEX('Tarieven W&amp;O'!$H:$H,$AI512),0)</f>
        <v>0</v>
      </c>
      <c r="AK512" s="204">
        <f>IF(AI512&lt;&gt;"nvt",INDEX('Tarieven W&amp;O'!$I:$I,$AI512),0)</f>
        <v>25</v>
      </c>
      <c r="AL512" s="524">
        <f>IF(AI512&lt;&gt;"nvt",-INDEX(Parameters!$B:$B,MATCH(AL$3,Parameters!$A:$A,0))*(AJ512+AK512),0)</f>
        <v>0</v>
      </c>
      <c r="AM512" s="525"/>
      <c r="AN512" s="139">
        <f t="shared" si="279"/>
        <v>25</v>
      </c>
      <c r="AO512" s="205">
        <f>AN512/INDEX(Parameters!$B:$B,MATCH("AfschrijftermijnVVE"&amp;12*$C512,Parameters!$A:$A,0))</f>
        <v>0.41666666666666669</v>
      </c>
      <c r="AP512" s="139">
        <f t="shared" si="280"/>
        <v>50</v>
      </c>
      <c r="AQ512" s="526">
        <f>IF(AP512&lt;&gt;"nvt",INDEX('Tarieven W&amp;O'!$G:$G,$AP512),0)</f>
        <v>108.93</v>
      </c>
      <c r="AR512" s="251">
        <f>IF($S512,INDEX('Tarieven W&amp;O'!$G:$G,MATCH(N512&amp;R512,'Tarieven W&amp;O'!$B:$B,0)),0)</f>
        <v>0</v>
      </c>
      <c r="AS512" s="205">
        <f>-INDEX(Parameters!$B:$B,MATCH(AS$3,Parameters!$A:$A,0))*(AQ512+AR512)</f>
        <v>0</v>
      </c>
      <c r="AT512" s="205">
        <f>INDEX(hulpblad!$E:$E,MATCH(M512&amp;Q512,hulpblad!$B:$B,0))</f>
        <v>2</v>
      </c>
      <c r="AU512" s="150">
        <f t="shared" si="258"/>
        <v>110.93</v>
      </c>
      <c r="AV512" s="150">
        <f t="shared" si="259"/>
        <v>111.34666666666668</v>
      </c>
      <c r="AX512" s="526">
        <f>Parameters!$B$6*AV512</f>
        <v>1.1134666666666668</v>
      </c>
      <c r="AY512" s="150">
        <v>0</v>
      </c>
      <c r="AZ512" s="150"/>
      <c r="BA512" s="150">
        <f t="shared" si="281"/>
        <v>1.1134666666666668</v>
      </c>
      <c r="BB512" s="150"/>
      <c r="BC512" s="522">
        <f t="shared" si="282"/>
        <v>112.46013333333335</v>
      </c>
      <c r="BD512" s="175"/>
      <c r="BE512" s="527">
        <f t="shared" si="262"/>
        <v>904.20653333333325</v>
      </c>
      <c r="BF512" s="181">
        <f t="shared" si="263"/>
        <v>0.88938347540983598</v>
      </c>
      <c r="BG512" s="520" t="b">
        <f t="shared" si="275"/>
        <v>0</v>
      </c>
      <c r="BI512" s="528" t="s">
        <v>2181</v>
      </c>
      <c r="BL512" s="151" t="str">
        <f t="shared" si="265"/>
        <v>EoKMetro - Nationaal</v>
      </c>
      <c r="BM512" s="529">
        <v>0</v>
      </c>
      <c r="BN512" s="180">
        <f>BM512/INDEX(Parameters!$B:$B,MATCH("AfschrijftermijnVVE"&amp;12*$C512,Parameters!$A:$A,0))</f>
        <v>0</v>
      </c>
      <c r="BO512" s="184">
        <f>INDEX('inkoop ULL tbv EVPN'!I:I,MATCH(BL512,'inkoop ULL tbv EVPN'!H:H,0))</f>
        <v>2</v>
      </c>
      <c r="BP512" s="184">
        <f t="shared" si="266"/>
        <v>2</v>
      </c>
      <c r="BR512" s="180">
        <f>Parameters!$B$12*AG512</f>
        <v>101.66666666666667</v>
      </c>
      <c r="BS512" s="180">
        <f>SUM(Distributievergoedingen!$F$12,Distributievergoedingen!$I$12,Distributievergoedingen!$L$12,Distributievergoedingen!$O$12)*AF512+SUM(Distributievergoedingen!$O$12*AA512+Distributievergoedingen!$R$12+Distributievergoedingen!$U$12+Distributievergoedingen!$X$12)/(MAX(36,12*C512))</f>
        <v>111.66666666666667</v>
      </c>
      <c r="BT512" s="150"/>
      <c r="BU512" s="150">
        <f t="shared" si="267"/>
        <v>213.33333333333334</v>
      </c>
      <c r="BW512" s="522">
        <f t="shared" si="268"/>
        <v>215.33333333333334</v>
      </c>
      <c r="BY512" s="527">
        <f t="shared" si="269"/>
        <v>801.33333333333326</v>
      </c>
      <c r="BZ512" s="181">
        <f t="shared" si="270"/>
        <v>0.78819672131147533</v>
      </c>
      <c r="CA512" s="520" t="b">
        <f t="shared" si="271"/>
        <v>0</v>
      </c>
    </row>
    <row r="513" spans="1:79" s="151" customFormat="1">
      <c r="A513" s="151" t="str">
        <f t="shared" si="250"/>
        <v>5EoKEntryNationaal300</v>
      </c>
      <c r="B513" s="520" t="str">
        <f t="shared" si="272"/>
        <v>5EoKEntryNationaal300</v>
      </c>
      <c r="C513" s="179">
        <v>5</v>
      </c>
      <c r="D513" s="179" t="s">
        <v>303</v>
      </c>
      <c r="E513" s="178" t="s">
        <v>45</v>
      </c>
      <c r="F513" s="178" t="s">
        <v>266</v>
      </c>
      <c r="G513" s="185" t="s">
        <v>420</v>
      </c>
      <c r="J513" s="520" t="str">
        <f t="shared" si="273"/>
        <v>EntryNationaal300</v>
      </c>
      <c r="L513" s="204">
        <f>INDEX(Mapping!$H:$H,MATCH(C$3&amp;C513,Mapping!$B:$B,0))</f>
        <v>1</v>
      </c>
      <c r="M513" s="204" t="str">
        <f>INDEX(Mapping!$H:$H,MATCH(D$3&amp;$D513,Mapping!$B:$B,0))</f>
        <v>EoK</v>
      </c>
      <c r="N513" s="204" t="str">
        <f>INDEX(Mapping!$H:$H,MATCH(E$3&amp;E513,Mapping!$B:$B,0))</f>
        <v>Lite</v>
      </c>
      <c r="O513" s="204" t="str">
        <f>INDEX(Mapping!$H:$H,MATCH(F$3&amp;F513,Mapping!$B:$B,0))</f>
        <v>Metro</v>
      </c>
      <c r="P513" s="204">
        <f>INDEX(Mapping!$H:$H,MATCH(G$3&amp;G513,Mapping!$B:$B,0))</f>
        <v>300</v>
      </c>
      <c r="Q513" s="204" t="str">
        <f>INDEX(Mapping!$H:$H,MATCH(Q$3&amp;$F513,Mapping!$B:$B,0))</f>
        <v>Metro - Nationaal</v>
      </c>
      <c r="R513" s="204" t="str">
        <f>INDEX(Mapping!$H:$H,MATCH("ZM VPN Service Level"&amp;E513,Mapping!$B:$B,0))</f>
        <v>Advanced</v>
      </c>
      <c r="S513" s="139" t="b">
        <f>IF($D513="EoK",INDEX(Mapping!$I:$I,MATCH($G$3&amp;$G513,Mapping!B:B,0)),FALSE)</f>
        <v>0</v>
      </c>
      <c r="T513" s="139"/>
      <c r="U513" s="520" t="str">
        <f t="shared" si="274"/>
        <v>LiteMetro300</v>
      </c>
      <c r="W513" s="521">
        <f>MATCH($J513,'Tarieven ZM'!$B:$B,0)</f>
        <v>61</v>
      </c>
      <c r="X513" s="204">
        <f>INDEX('Tarieven ZM'!$H:$H,$W513)</f>
        <v>1000</v>
      </c>
      <c r="Y513" s="198">
        <f>-INDEX(Parameters!$B:$B,MATCH(Y$3&amp;$C513,Parameters!$A:$A,0))*$X513</f>
        <v>0</v>
      </c>
      <c r="Z513" s="198">
        <f>-INDEX(Parameters!$B:$B,MATCH(Z$3&amp;$C513,Parameters!$A:$A,0))*$X513</f>
        <v>0</v>
      </c>
      <c r="AA513" s="139">
        <f t="shared" si="276"/>
        <v>1000</v>
      </c>
      <c r="AB513" s="205">
        <f>AA513/INDEX(Parameters!$B:$B,MATCH("AfschrijftermijnVVE"&amp;12*$C513,Parameters!$A:$A,0))</f>
        <v>16.666666666666668</v>
      </c>
      <c r="AC513" s="204">
        <f>INDEX('Tarieven ZM'!$G:$G,$W513)</f>
        <v>1000</v>
      </c>
      <c r="AD513" s="198">
        <f>-INDEX(Parameters!$B:$B,MATCH(AD$3&amp;$C513,Parameters!$A:$A,0))*$AC513</f>
        <v>0</v>
      </c>
      <c r="AE513" s="198">
        <f>-INDEX(Parameters!$B:$B,MATCH(AE$3,Parameters!$A:$A,0))*$AC513</f>
        <v>0</v>
      </c>
      <c r="AF513" s="139">
        <f t="shared" si="277"/>
        <v>1000</v>
      </c>
      <c r="AG513" s="522">
        <f t="shared" si="278"/>
        <v>1016.6666666666666</v>
      </c>
      <c r="AH513" s="175"/>
      <c r="AI513" s="523">
        <f>MATCH($U513,'Tarieven W&amp;O'!$B:$B,0)</f>
        <v>51</v>
      </c>
      <c r="AJ513" s="204">
        <f>IF(AI513&lt;&gt;"nvt",INDEX('Tarieven W&amp;O'!$H:$H,$AI513),0)</f>
        <v>0</v>
      </c>
      <c r="AK513" s="204">
        <f>IF(AI513&lt;&gt;"nvt",INDEX('Tarieven W&amp;O'!$I:$I,$AI513),0)</f>
        <v>25</v>
      </c>
      <c r="AL513" s="524">
        <f>IF(AI513&lt;&gt;"nvt",-INDEX(Parameters!$B:$B,MATCH(AL$3,Parameters!$A:$A,0))*(AJ513+AK513),0)</f>
        <v>0</v>
      </c>
      <c r="AM513" s="525"/>
      <c r="AN513" s="139">
        <f t="shared" si="279"/>
        <v>25</v>
      </c>
      <c r="AO513" s="205">
        <f>AN513/INDEX(Parameters!$B:$B,MATCH("AfschrijftermijnVVE"&amp;12*$C513,Parameters!$A:$A,0))</f>
        <v>0.41666666666666669</v>
      </c>
      <c r="AP513" s="139">
        <f t="shared" si="280"/>
        <v>51</v>
      </c>
      <c r="AQ513" s="526">
        <f>IF(AP513&lt;&gt;"nvt",INDEX('Tarieven W&amp;O'!$G:$G,$AP513),0)</f>
        <v>127.77</v>
      </c>
      <c r="AR513" s="251">
        <f>IF($S513,INDEX('Tarieven W&amp;O'!$G:$G,MATCH(N513&amp;R513,'Tarieven W&amp;O'!$B:$B,0)),0)</f>
        <v>0</v>
      </c>
      <c r="AS513" s="205">
        <f>-INDEX(Parameters!$B:$B,MATCH(AS$3,Parameters!$A:$A,0))*(AQ513+AR513)</f>
        <v>0</v>
      </c>
      <c r="AT513" s="205">
        <f>INDEX(hulpblad!$E:$E,MATCH(M513&amp;Q513,hulpblad!$B:$B,0))</f>
        <v>2</v>
      </c>
      <c r="AU513" s="150">
        <f t="shared" si="258"/>
        <v>129.76999999999998</v>
      </c>
      <c r="AV513" s="150">
        <f t="shared" si="259"/>
        <v>130.18666666666664</v>
      </c>
      <c r="AX513" s="526">
        <f>Parameters!$B$6*AV513</f>
        <v>1.3018666666666665</v>
      </c>
      <c r="AY513" s="150">
        <v>0</v>
      </c>
      <c r="AZ513" s="150"/>
      <c r="BA513" s="150">
        <f t="shared" si="281"/>
        <v>1.3018666666666665</v>
      </c>
      <c r="BB513" s="150"/>
      <c r="BC513" s="522">
        <f t="shared" si="282"/>
        <v>131.48853333333329</v>
      </c>
      <c r="BD513" s="175"/>
      <c r="BE513" s="527">
        <f t="shared" si="262"/>
        <v>885.17813333333334</v>
      </c>
      <c r="BF513" s="181">
        <f t="shared" si="263"/>
        <v>0.87066701639344268</v>
      </c>
      <c r="BG513" s="520" t="b">
        <f t="shared" si="275"/>
        <v>0</v>
      </c>
      <c r="BI513" s="528" t="s">
        <v>2181</v>
      </c>
      <c r="BL513" s="151" t="str">
        <f t="shared" si="265"/>
        <v>EoKMetro - Nationaal</v>
      </c>
      <c r="BM513" s="529">
        <v>0</v>
      </c>
      <c r="BN513" s="180">
        <f>BM513/INDEX(Parameters!$B:$B,MATCH("AfschrijftermijnVVE"&amp;12*$C513,Parameters!$A:$A,0))</f>
        <v>0</v>
      </c>
      <c r="BO513" s="184">
        <f>INDEX('inkoop ULL tbv EVPN'!I:I,MATCH(BL513,'inkoop ULL tbv EVPN'!H:H,0))</f>
        <v>2</v>
      </c>
      <c r="BP513" s="184">
        <f t="shared" si="266"/>
        <v>2</v>
      </c>
      <c r="BR513" s="180">
        <f>Parameters!$B$12*AG513</f>
        <v>101.66666666666667</v>
      </c>
      <c r="BS513" s="180">
        <f>SUM(Distributievergoedingen!$F$12,Distributievergoedingen!$I$12,Distributievergoedingen!$L$12,Distributievergoedingen!$O$12)*AF513+SUM(Distributievergoedingen!$O$12*AA513+Distributievergoedingen!$R$12+Distributievergoedingen!$U$12+Distributievergoedingen!$X$12)/(MAX(36,12*C513))</f>
        <v>111.66666666666667</v>
      </c>
      <c r="BT513" s="150"/>
      <c r="BU513" s="150">
        <f t="shared" si="267"/>
        <v>213.33333333333334</v>
      </c>
      <c r="BW513" s="522">
        <f t="shared" si="268"/>
        <v>215.33333333333334</v>
      </c>
      <c r="BY513" s="527">
        <f t="shared" si="269"/>
        <v>801.33333333333326</v>
      </c>
      <c r="BZ513" s="181">
        <f t="shared" si="270"/>
        <v>0.78819672131147533</v>
      </c>
      <c r="CA513" s="520" t="b">
        <f t="shared" si="271"/>
        <v>0</v>
      </c>
    </row>
    <row r="514" spans="1:79" s="151" customFormat="1">
      <c r="A514" s="151" t="str">
        <f t="shared" si="250"/>
        <v>5EoKEntryNationaal500</v>
      </c>
      <c r="B514" s="520" t="str">
        <f t="shared" si="272"/>
        <v>5EoKEntryNationaal500</v>
      </c>
      <c r="C514" s="179">
        <v>5</v>
      </c>
      <c r="D514" s="179" t="s">
        <v>303</v>
      </c>
      <c r="E514" s="178" t="s">
        <v>45</v>
      </c>
      <c r="F514" s="178" t="s">
        <v>266</v>
      </c>
      <c r="G514" s="185" t="s">
        <v>421</v>
      </c>
      <c r="J514" s="520" t="str">
        <f t="shared" si="273"/>
        <v>EntryNationaal500</v>
      </c>
      <c r="L514" s="204">
        <f>INDEX(Mapping!$H:$H,MATCH(C$3&amp;C514,Mapping!$B:$B,0))</f>
        <v>1</v>
      </c>
      <c r="M514" s="204" t="str">
        <f>INDEX(Mapping!$H:$H,MATCH(D$3&amp;$D514,Mapping!$B:$B,0))</f>
        <v>EoK</v>
      </c>
      <c r="N514" s="204" t="str">
        <f>INDEX(Mapping!$H:$H,MATCH(E$3&amp;E514,Mapping!$B:$B,0))</f>
        <v>Lite</v>
      </c>
      <c r="O514" s="204" t="str">
        <f>INDEX(Mapping!$H:$H,MATCH(F$3&amp;F514,Mapping!$B:$B,0))</f>
        <v>Metro</v>
      </c>
      <c r="P514" s="204">
        <f>INDEX(Mapping!$H:$H,MATCH(G$3&amp;G514,Mapping!$B:$B,0))</f>
        <v>500</v>
      </c>
      <c r="Q514" s="204" t="str">
        <f>INDEX(Mapping!$H:$H,MATCH(Q$3&amp;$F514,Mapping!$B:$B,0))</f>
        <v>Metro - Nationaal</v>
      </c>
      <c r="R514" s="204" t="str">
        <f>INDEX(Mapping!$H:$H,MATCH("ZM VPN Service Level"&amp;E514,Mapping!$B:$B,0))</f>
        <v>Advanced</v>
      </c>
      <c r="S514" s="139" t="b">
        <f>IF($D514="EoK",INDEX(Mapping!$I:$I,MATCH($G$3&amp;$G514,Mapping!B:B,0)),FALSE)</f>
        <v>0</v>
      </c>
      <c r="T514" s="139"/>
      <c r="U514" s="520" t="str">
        <f t="shared" si="274"/>
        <v>LiteMetro500</v>
      </c>
      <c r="W514" s="521">
        <f>MATCH($J514,'Tarieven ZM'!$B:$B,0)</f>
        <v>62</v>
      </c>
      <c r="X514" s="204">
        <f>INDEX('Tarieven ZM'!$H:$H,$W514)</f>
        <v>1000</v>
      </c>
      <c r="Y514" s="198">
        <f>-INDEX(Parameters!$B:$B,MATCH(Y$3&amp;$C514,Parameters!$A:$A,0))*$X514</f>
        <v>0</v>
      </c>
      <c r="Z514" s="198">
        <f>-INDEX(Parameters!$B:$B,MATCH(Z$3&amp;$C514,Parameters!$A:$A,0))*$X514</f>
        <v>0</v>
      </c>
      <c r="AA514" s="139">
        <f t="shared" si="276"/>
        <v>1000</v>
      </c>
      <c r="AB514" s="205">
        <f>AA514/INDEX(Parameters!$B:$B,MATCH("AfschrijftermijnVVE"&amp;12*$C514,Parameters!$A:$A,0))</f>
        <v>16.666666666666668</v>
      </c>
      <c r="AC514" s="204">
        <f>INDEX('Tarieven ZM'!$G:$G,$W514)</f>
        <v>1000</v>
      </c>
      <c r="AD514" s="198">
        <f>-INDEX(Parameters!$B:$B,MATCH(AD$3&amp;$C514,Parameters!$A:$A,0))*$AC514</f>
        <v>0</v>
      </c>
      <c r="AE514" s="198">
        <f>-INDEX(Parameters!$B:$B,MATCH(AE$3,Parameters!$A:$A,0))*$AC514</f>
        <v>0</v>
      </c>
      <c r="AF514" s="139">
        <f t="shared" si="277"/>
        <v>1000</v>
      </c>
      <c r="AG514" s="522">
        <f t="shared" si="278"/>
        <v>1016.6666666666666</v>
      </c>
      <c r="AH514" s="175"/>
      <c r="AI514" s="523">
        <f>MATCH($U514,'Tarieven W&amp;O'!$B:$B,0)</f>
        <v>52</v>
      </c>
      <c r="AJ514" s="204">
        <f>IF(AI514&lt;&gt;"nvt",INDEX('Tarieven W&amp;O'!$H:$H,$AI514),0)</f>
        <v>0</v>
      </c>
      <c r="AK514" s="204">
        <f>IF(AI514&lt;&gt;"nvt",INDEX('Tarieven W&amp;O'!$I:$I,$AI514),0)</f>
        <v>25</v>
      </c>
      <c r="AL514" s="524">
        <f>IF(AI514&lt;&gt;"nvt",-INDEX(Parameters!$B:$B,MATCH(AL$3,Parameters!$A:$A,0))*(AJ514+AK514),0)</f>
        <v>0</v>
      </c>
      <c r="AM514" s="525"/>
      <c r="AN514" s="139">
        <f t="shared" si="279"/>
        <v>25</v>
      </c>
      <c r="AO514" s="205">
        <f>AN514/INDEX(Parameters!$B:$B,MATCH("AfschrijftermijnVVE"&amp;12*$C514,Parameters!$A:$A,0))</f>
        <v>0.41666666666666669</v>
      </c>
      <c r="AP514" s="139">
        <f t="shared" si="280"/>
        <v>52</v>
      </c>
      <c r="AQ514" s="526">
        <f>IF(AP514&lt;&gt;"nvt",INDEX('Tarieven W&amp;O'!$G:$G,$AP514),0)</f>
        <v>161.69</v>
      </c>
      <c r="AR514" s="251">
        <f>IF($S514,INDEX('Tarieven W&amp;O'!$G:$G,MATCH(N514&amp;R514,'Tarieven W&amp;O'!$B:$B,0)),0)</f>
        <v>0</v>
      </c>
      <c r="AS514" s="205">
        <f>-INDEX(Parameters!$B:$B,MATCH(AS$3,Parameters!$A:$A,0))*(AQ514+AR514)</f>
        <v>0</v>
      </c>
      <c r="AT514" s="205">
        <f>INDEX(hulpblad!$E:$E,MATCH(M514&amp;Q514,hulpblad!$B:$B,0))</f>
        <v>2</v>
      </c>
      <c r="AU514" s="150">
        <f t="shared" ref="AU514:AU573" si="283">SUM(AQ514:AT514)</f>
        <v>163.69</v>
      </c>
      <c r="AV514" s="150">
        <f t="shared" ref="AV514:AV573" si="284">SUM(AO514,AU514)</f>
        <v>164.10666666666665</v>
      </c>
      <c r="AX514" s="526">
        <f>Parameters!$B$6*AV514</f>
        <v>1.6410666666666667</v>
      </c>
      <c r="AY514" s="150">
        <v>0</v>
      </c>
      <c r="AZ514" s="150"/>
      <c r="BA514" s="150">
        <f t="shared" si="281"/>
        <v>1.6410666666666667</v>
      </c>
      <c r="BB514" s="150"/>
      <c r="BC514" s="522">
        <f t="shared" si="282"/>
        <v>165.74773333333331</v>
      </c>
      <c r="BD514" s="175"/>
      <c r="BE514" s="527">
        <f t="shared" ref="BE514:BE573" si="285">AG514-BC514</f>
        <v>850.91893333333337</v>
      </c>
      <c r="BF514" s="181">
        <f t="shared" ref="BF514:BF573" si="286">IF(AG514=0,-999%,BE514/AG514)</f>
        <v>0.83696944262295092</v>
      </c>
      <c r="BG514" s="520" t="b">
        <f t="shared" si="275"/>
        <v>0</v>
      </c>
      <c r="BI514" s="528" t="s">
        <v>2181</v>
      </c>
      <c r="BL514" s="151" t="str">
        <f t="shared" si="265"/>
        <v>EoKMetro - Nationaal</v>
      </c>
      <c r="BM514" s="529">
        <v>0</v>
      </c>
      <c r="BN514" s="180">
        <f>BM514/INDEX(Parameters!$B:$B,MATCH("AfschrijftermijnVVE"&amp;12*$C514,Parameters!$A:$A,0))</f>
        <v>0</v>
      </c>
      <c r="BO514" s="184">
        <f>INDEX('inkoop ULL tbv EVPN'!I:I,MATCH(BL514,'inkoop ULL tbv EVPN'!H:H,0))</f>
        <v>2</v>
      </c>
      <c r="BP514" s="184">
        <f t="shared" si="266"/>
        <v>2</v>
      </c>
      <c r="BR514" s="180">
        <f>Parameters!$B$12*AG514</f>
        <v>101.66666666666667</v>
      </c>
      <c r="BS514" s="180">
        <f>SUM(Distributievergoedingen!$F$12,Distributievergoedingen!$I$12,Distributievergoedingen!$L$12,Distributievergoedingen!$O$12)*AF514+SUM(Distributievergoedingen!$O$12*AA514+Distributievergoedingen!$R$12+Distributievergoedingen!$U$12+Distributievergoedingen!$X$12)/(MAX(36,12*C514))</f>
        <v>111.66666666666667</v>
      </c>
      <c r="BT514" s="150"/>
      <c r="BU514" s="150">
        <f t="shared" si="267"/>
        <v>213.33333333333334</v>
      </c>
      <c r="BW514" s="522">
        <f t="shared" si="268"/>
        <v>215.33333333333334</v>
      </c>
      <c r="BY514" s="527">
        <f t="shared" si="269"/>
        <v>801.33333333333326</v>
      </c>
      <c r="BZ514" s="181">
        <f t="shared" si="270"/>
        <v>0.78819672131147533</v>
      </c>
      <c r="CA514" s="520" t="b">
        <f t="shared" si="271"/>
        <v>0</v>
      </c>
    </row>
    <row r="515" spans="1:79" s="151" customFormat="1">
      <c r="A515" s="151" t="str">
        <f t="shared" ref="A515:A573" si="287">C515&amp;D515&amp;E515&amp;F515&amp;G515&amp;H515</f>
        <v>5EoKEntryNationaal800</v>
      </c>
      <c r="B515" s="520" t="str">
        <f t="shared" si="272"/>
        <v>5EoKEntryNationaal800</v>
      </c>
      <c r="C515" s="179">
        <v>5</v>
      </c>
      <c r="D515" s="179" t="s">
        <v>303</v>
      </c>
      <c r="E515" s="178" t="s">
        <v>45</v>
      </c>
      <c r="F515" s="178" t="s">
        <v>266</v>
      </c>
      <c r="G515" s="185" t="s">
        <v>422</v>
      </c>
      <c r="J515" s="520" t="str">
        <f t="shared" si="273"/>
        <v>EntryNationaal800</v>
      </c>
      <c r="L515" s="204">
        <f>INDEX(Mapping!$H:$H,MATCH(C$3&amp;C515,Mapping!$B:$B,0))</f>
        <v>1</v>
      </c>
      <c r="M515" s="204" t="str">
        <f>INDEX(Mapping!$H:$H,MATCH(D$3&amp;$D515,Mapping!$B:$B,0))</f>
        <v>EoK</v>
      </c>
      <c r="N515" s="204" t="str">
        <f>INDEX(Mapping!$H:$H,MATCH(E$3&amp;E515,Mapping!$B:$B,0))</f>
        <v>Lite</v>
      </c>
      <c r="O515" s="204" t="str">
        <f>INDEX(Mapping!$H:$H,MATCH(F$3&amp;F515,Mapping!$B:$B,0))</f>
        <v>Metro</v>
      </c>
      <c r="P515" s="204">
        <f>INDEX(Mapping!$H:$H,MATCH(G$3&amp;G515,Mapping!$B:$B,0))</f>
        <v>800</v>
      </c>
      <c r="Q515" s="204" t="str">
        <f>INDEX(Mapping!$H:$H,MATCH(Q$3&amp;$F515,Mapping!$B:$B,0))</f>
        <v>Metro - Nationaal</v>
      </c>
      <c r="R515" s="204" t="str">
        <f>INDEX(Mapping!$H:$H,MATCH("ZM VPN Service Level"&amp;E515,Mapping!$B:$B,0))</f>
        <v>Advanced</v>
      </c>
      <c r="S515" s="139" t="b">
        <f>IF($D515="EoK",INDEX(Mapping!$I:$I,MATCH($G$3&amp;$G515,Mapping!B:B,0)),FALSE)</f>
        <v>0</v>
      </c>
      <c r="T515" s="139"/>
      <c r="U515" s="520" t="str">
        <f t="shared" si="274"/>
        <v>LiteMetro800</v>
      </c>
      <c r="W515" s="521">
        <f>MATCH($J515,'Tarieven ZM'!$B:$B,0)</f>
        <v>63</v>
      </c>
      <c r="X515" s="204">
        <f>INDEX('Tarieven ZM'!$H:$H,$W515)</f>
        <v>1000</v>
      </c>
      <c r="Y515" s="198">
        <f>-INDEX(Parameters!$B:$B,MATCH(Y$3&amp;$C515,Parameters!$A:$A,0))*$X515</f>
        <v>0</v>
      </c>
      <c r="Z515" s="198">
        <f>-INDEX(Parameters!$B:$B,MATCH(Z$3&amp;$C515,Parameters!$A:$A,0))*$X515</f>
        <v>0</v>
      </c>
      <c r="AA515" s="139">
        <f t="shared" si="276"/>
        <v>1000</v>
      </c>
      <c r="AB515" s="205">
        <f>AA515/INDEX(Parameters!$B:$B,MATCH("AfschrijftermijnVVE"&amp;12*$C515,Parameters!$A:$A,0))</f>
        <v>16.666666666666668</v>
      </c>
      <c r="AC515" s="204">
        <f>INDEX('Tarieven ZM'!$G:$G,$W515)</f>
        <v>1000</v>
      </c>
      <c r="AD515" s="198">
        <f>-INDEX(Parameters!$B:$B,MATCH(AD$3&amp;$C515,Parameters!$A:$A,0))*$AC515</f>
        <v>0</v>
      </c>
      <c r="AE515" s="198">
        <f>-INDEX(Parameters!$B:$B,MATCH(AE$3,Parameters!$A:$A,0))*$AC515</f>
        <v>0</v>
      </c>
      <c r="AF515" s="139">
        <f t="shared" si="277"/>
        <v>1000</v>
      </c>
      <c r="AG515" s="522">
        <f t="shared" si="278"/>
        <v>1016.6666666666666</v>
      </c>
      <c r="AH515" s="175"/>
      <c r="AI515" s="523">
        <f>MATCH($U515,'Tarieven W&amp;O'!$B:$B,0)</f>
        <v>53</v>
      </c>
      <c r="AJ515" s="204">
        <f>IF(AI515&lt;&gt;"nvt",INDEX('Tarieven W&amp;O'!$H:$H,$AI515),0)</f>
        <v>0</v>
      </c>
      <c r="AK515" s="204">
        <f>IF(AI515&lt;&gt;"nvt",INDEX('Tarieven W&amp;O'!$I:$I,$AI515),0)</f>
        <v>25</v>
      </c>
      <c r="AL515" s="524">
        <f>IF(AI515&lt;&gt;"nvt",-INDEX(Parameters!$B:$B,MATCH(AL$3,Parameters!$A:$A,0))*(AJ515+AK515),0)</f>
        <v>0</v>
      </c>
      <c r="AM515" s="525"/>
      <c r="AN515" s="139">
        <f t="shared" si="279"/>
        <v>25</v>
      </c>
      <c r="AO515" s="205">
        <f>AN515/INDEX(Parameters!$B:$B,MATCH("AfschrijftermijnVVE"&amp;12*$C515,Parameters!$A:$A,0))</f>
        <v>0.41666666666666669</v>
      </c>
      <c r="AP515" s="139">
        <f t="shared" si="280"/>
        <v>53</v>
      </c>
      <c r="AQ515" s="526">
        <f>IF(AP515&lt;&gt;"nvt",INDEX('Tarieven W&amp;O'!$G:$G,$AP515),0)</f>
        <v>184.31</v>
      </c>
      <c r="AR515" s="251">
        <f>IF($S515,INDEX('Tarieven W&amp;O'!$G:$G,MATCH(N515&amp;R515,'Tarieven W&amp;O'!$B:$B,0)),0)</f>
        <v>0</v>
      </c>
      <c r="AS515" s="205">
        <f>-INDEX(Parameters!$B:$B,MATCH(AS$3,Parameters!$A:$A,0))*(AQ515+AR515)</f>
        <v>0</v>
      </c>
      <c r="AT515" s="205">
        <f>INDEX(hulpblad!$E:$E,MATCH(M515&amp;Q515,hulpblad!$B:$B,0))</f>
        <v>2</v>
      </c>
      <c r="AU515" s="150">
        <f t="shared" si="283"/>
        <v>186.31</v>
      </c>
      <c r="AV515" s="150">
        <f t="shared" si="284"/>
        <v>186.72666666666666</v>
      </c>
      <c r="AX515" s="526">
        <f>Parameters!$B$6*AV515</f>
        <v>1.8672666666666666</v>
      </c>
      <c r="AY515" s="150">
        <v>0</v>
      </c>
      <c r="AZ515" s="150"/>
      <c r="BA515" s="150">
        <f t="shared" si="281"/>
        <v>1.8672666666666666</v>
      </c>
      <c r="BB515" s="150"/>
      <c r="BC515" s="522">
        <f t="shared" si="282"/>
        <v>188.59393333333333</v>
      </c>
      <c r="BD515" s="175"/>
      <c r="BE515" s="527">
        <f t="shared" si="285"/>
        <v>828.0727333333333</v>
      </c>
      <c r="BF515" s="181">
        <f t="shared" si="286"/>
        <v>0.81449777049180327</v>
      </c>
      <c r="BG515" s="520" t="b">
        <f t="shared" si="275"/>
        <v>0</v>
      </c>
      <c r="BI515" s="528" t="s">
        <v>2181</v>
      </c>
      <c r="BL515" s="151" t="str">
        <f t="shared" ref="BL515:BL573" si="288">M515&amp;Q515</f>
        <v>EoKMetro - Nationaal</v>
      </c>
      <c r="BM515" s="529">
        <v>0</v>
      </c>
      <c r="BN515" s="180">
        <f>BM515/INDEX(Parameters!$B:$B,MATCH("AfschrijftermijnVVE"&amp;12*$C515,Parameters!$A:$A,0))</f>
        <v>0</v>
      </c>
      <c r="BO515" s="184">
        <f>INDEX('inkoop ULL tbv EVPN'!I:I,MATCH(BL515,'inkoop ULL tbv EVPN'!H:H,0))</f>
        <v>2</v>
      </c>
      <c r="BP515" s="184">
        <f t="shared" ref="BP515:BP573" si="289">BN515+BO515</f>
        <v>2</v>
      </c>
      <c r="BR515" s="180">
        <f>Parameters!$B$12*AG515</f>
        <v>101.66666666666667</v>
      </c>
      <c r="BS515" s="180">
        <f>SUM(Distributievergoedingen!$F$12,Distributievergoedingen!$I$12,Distributievergoedingen!$L$12,Distributievergoedingen!$O$12)*AF515+SUM(Distributievergoedingen!$O$12*AA515+Distributievergoedingen!$R$12+Distributievergoedingen!$U$12+Distributievergoedingen!$X$12)/(MAX(36,12*C515))</f>
        <v>111.66666666666667</v>
      </c>
      <c r="BT515" s="150"/>
      <c r="BU515" s="150">
        <f t="shared" ref="BU515:BU573" si="290">SUM(BR515:BT515)</f>
        <v>213.33333333333334</v>
      </c>
      <c r="BW515" s="522">
        <f t="shared" ref="BW515:BW573" si="291">SUM(BP515,BU515)</f>
        <v>215.33333333333334</v>
      </c>
      <c r="BY515" s="527">
        <f t="shared" ref="BY515:BY573" si="292">AG515-BW515</f>
        <v>801.33333333333326</v>
      </c>
      <c r="BZ515" s="181">
        <f t="shared" ref="BZ515:BZ573" si="293">IF(AG515=0,-999%,BY515/AG515)</f>
        <v>0.78819672131147533</v>
      </c>
      <c r="CA515" s="520" t="b">
        <f t="shared" ref="CA515:CA573" si="294">BZ515&lt;0</f>
        <v>0</v>
      </c>
    </row>
    <row r="516" spans="1:79" s="151" customFormat="1">
      <c r="A516" s="151" t="str">
        <f t="shared" si="287"/>
        <v>5EoKEntryNationaal1000</v>
      </c>
      <c r="B516" s="520" t="str">
        <f t="shared" si="272"/>
        <v>5EoKEntryNationaal1000</v>
      </c>
      <c r="C516" s="179">
        <v>5</v>
      </c>
      <c r="D516" s="179" t="s">
        <v>303</v>
      </c>
      <c r="E516" s="178" t="s">
        <v>45</v>
      </c>
      <c r="F516" s="178" t="s">
        <v>266</v>
      </c>
      <c r="G516" s="185" t="s">
        <v>423</v>
      </c>
      <c r="J516" s="520" t="str">
        <f t="shared" si="273"/>
        <v>EntryNationaal1000</v>
      </c>
      <c r="L516" s="204">
        <f>INDEX(Mapping!$H:$H,MATCH(C$3&amp;C516,Mapping!$B:$B,0))</f>
        <v>1</v>
      </c>
      <c r="M516" s="204" t="str">
        <f>INDEX(Mapping!$H:$H,MATCH(D$3&amp;$D516,Mapping!$B:$B,0))</f>
        <v>EoK</v>
      </c>
      <c r="N516" s="204" t="str">
        <f>INDEX(Mapping!$H:$H,MATCH(E$3&amp;E516,Mapping!$B:$B,0))</f>
        <v>Lite</v>
      </c>
      <c r="O516" s="204" t="str">
        <f>INDEX(Mapping!$H:$H,MATCH(F$3&amp;F516,Mapping!$B:$B,0))</f>
        <v>Metro</v>
      </c>
      <c r="P516" s="204">
        <f>INDEX(Mapping!$H:$H,MATCH(G$3&amp;G516,Mapping!$B:$B,0))</f>
        <v>1000</v>
      </c>
      <c r="Q516" s="204" t="str">
        <f>INDEX(Mapping!$H:$H,MATCH(Q$3&amp;$F516,Mapping!$B:$B,0))</f>
        <v>Metro - Nationaal</v>
      </c>
      <c r="R516" s="204" t="str">
        <f>INDEX(Mapping!$H:$H,MATCH("ZM VPN Service Level"&amp;E516,Mapping!$B:$B,0))</f>
        <v>Advanced</v>
      </c>
      <c r="S516" s="139" t="b">
        <f>IF($D516="EoK",INDEX(Mapping!$I:$I,MATCH($G$3&amp;$G516,Mapping!B:B,0)),FALSE)</f>
        <v>0</v>
      </c>
      <c r="T516" s="139"/>
      <c r="U516" s="520" t="str">
        <f t="shared" si="274"/>
        <v>LiteMetro1000</v>
      </c>
      <c r="W516" s="521">
        <f>MATCH($J516,'Tarieven ZM'!$B:$B,0)</f>
        <v>64</v>
      </c>
      <c r="X516" s="204">
        <f>INDEX('Tarieven ZM'!$H:$H,$W516)</f>
        <v>1000</v>
      </c>
      <c r="Y516" s="198">
        <f>-INDEX(Parameters!$B:$B,MATCH(Y$3&amp;$C516,Parameters!$A:$A,0))*$X516</f>
        <v>0</v>
      </c>
      <c r="Z516" s="198">
        <f>-INDEX(Parameters!$B:$B,MATCH(Z$3&amp;$C516,Parameters!$A:$A,0))*$X516</f>
        <v>0</v>
      </c>
      <c r="AA516" s="139">
        <f t="shared" si="276"/>
        <v>1000</v>
      </c>
      <c r="AB516" s="205">
        <f>AA516/INDEX(Parameters!$B:$B,MATCH("AfschrijftermijnVVE"&amp;12*$C516,Parameters!$A:$A,0))</f>
        <v>16.666666666666668</v>
      </c>
      <c r="AC516" s="204">
        <f>INDEX('Tarieven ZM'!$G:$G,$W516)</f>
        <v>1000</v>
      </c>
      <c r="AD516" s="198">
        <f>-INDEX(Parameters!$B:$B,MATCH(AD$3&amp;$C516,Parameters!$A:$A,0))*$AC516</f>
        <v>0</v>
      </c>
      <c r="AE516" s="198">
        <f>-INDEX(Parameters!$B:$B,MATCH(AE$3,Parameters!$A:$A,0))*$AC516</f>
        <v>0</v>
      </c>
      <c r="AF516" s="139">
        <f t="shared" si="277"/>
        <v>1000</v>
      </c>
      <c r="AG516" s="522">
        <f t="shared" si="278"/>
        <v>1016.6666666666666</v>
      </c>
      <c r="AH516" s="175"/>
      <c r="AI516" s="523">
        <f>MATCH($U516,'Tarieven W&amp;O'!$B:$B,0)</f>
        <v>54</v>
      </c>
      <c r="AJ516" s="204">
        <f>IF(AI516&lt;&gt;"nvt",INDEX('Tarieven W&amp;O'!$H:$H,$AI516),0)</f>
        <v>0</v>
      </c>
      <c r="AK516" s="204">
        <f>IF(AI516&lt;&gt;"nvt",INDEX('Tarieven W&amp;O'!$I:$I,$AI516),0)</f>
        <v>25</v>
      </c>
      <c r="AL516" s="524">
        <f>IF(AI516&lt;&gt;"nvt",-INDEX(Parameters!$B:$B,MATCH(AL$3,Parameters!$A:$A,0))*(AJ516+AK516),0)</f>
        <v>0</v>
      </c>
      <c r="AM516" s="525"/>
      <c r="AN516" s="139">
        <f t="shared" si="279"/>
        <v>25</v>
      </c>
      <c r="AO516" s="205">
        <f>AN516/INDEX(Parameters!$B:$B,MATCH("AfschrijftermijnVVE"&amp;12*$C516,Parameters!$A:$A,0))</f>
        <v>0.41666666666666669</v>
      </c>
      <c r="AP516" s="139">
        <f t="shared" si="280"/>
        <v>54</v>
      </c>
      <c r="AQ516" s="526">
        <f>IF(AP516&lt;&gt;"nvt",INDEX('Tarieven W&amp;O'!$G:$G,$AP516),0)</f>
        <v>203.15</v>
      </c>
      <c r="AR516" s="251">
        <f>IF($S516,INDEX('Tarieven W&amp;O'!$G:$G,MATCH(N516&amp;R516,'Tarieven W&amp;O'!$B:$B,0)),0)</f>
        <v>0</v>
      </c>
      <c r="AS516" s="205">
        <f>-INDEX(Parameters!$B:$B,MATCH(AS$3,Parameters!$A:$A,0))*(AQ516+AR516)</f>
        <v>0</v>
      </c>
      <c r="AT516" s="205">
        <f>INDEX(hulpblad!$E:$E,MATCH(M516&amp;Q516,hulpblad!$B:$B,0))</f>
        <v>2</v>
      </c>
      <c r="AU516" s="150">
        <f t="shared" si="283"/>
        <v>205.15</v>
      </c>
      <c r="AV516" s="150">
        <f t="shared" si="284"/>
        <v>205.56666666666666</v>
      </c>
      <c r="AX516" s="526">
        <f>Parameters!$B$6*AV516</f>
        <v>2.0556666666666668</v>
      </c>
      <c r="AY516" s="150">
        <v>0</v>
      </c>
      <c r="AZ516" s="150"/>
      <c r="BA516" s="150">
        <f t="shared" si="281"/>
        <v>2.0556666666666668</v>
      </c>
      <c r="BB516" s="150"/>
      <c r="BC516" s="522">
        <f t="shared" si="282"/>
        <v>207.62233333333333</v>
      </c>
      <c r="BD516" s="175"/>
      <c r="BE516" s="527">
        <f t="shared" si="285"/>
        <v>809.04433333333327</v>
      </c>
      <c r="BF516" s="181">
        <f t="shared" si="286"/>
        <v>0.79578131147540976</v>
      </c>
      <c r="BG516" s="520" t="b">
        <f t="shared" si="275"/>
        <v>0</v>
      </c>
      <c r="BI516" s="528" t="s">
        <v>2181</v>
      </c>
      <c r="BL516" s="151" t="str">
        <f t="shared" si="288"/>
        <v>EoKMetro - Nationaal</v>
      </c>
      <c r="BM516" s="529">
        <v>0</v>
      </c>
      <c r="BN516" s="180">
        <f>BM516/INDEX(Parameters!$B:$B,MATCH("AfschrijftermijnVVE"&amp;12*$C516,Parameters!$A:$A,0))</f>
        <v>0</v>
      </c>
      <c r="BO516" s="184">
        <f>INDEX('inkoop ULL tbv EVPN'!I:I,MATCH(BL516,'inkoop ULL tbv EVPN'!H:H,0))</f>
        <v>2</v>
      </c>
      <c r="BP516" s="184">
        <f t="shared" si="289"/>
        <v>2</v>
      </c>
      <c r="BR516" s="180">
        <f>Parameters!$B$12*AG516</f>
        <v>101.66666666666667</v>
      </c>
      <c r="BS516" s="180">
        <f>SUM(Distributievergoedingen!$F$12,Distributievergoedingen!$I$12,Distributievergoedingen!$L$12,Distributievergoedingen!$O$12)*AF516+SUM(Distributievergoedingen!$O$12*AA516+Distributievergoedingen!$R$12+Distributievergoedingen!$U$12+Distributievergoedingen!$X$12)/(MAX(36,12*C516))</f>
        <v>111.66666666666667</v>
      </c>
      <c r="BT516" s="150"/>
      <c r="BU516" s="150">
        <f t="shared" si="290"/>
        <v>213.33333333333334</v>
      </c>
      <c r="BW516" s="522">
        <f t="shared" si="291"/>
        <v>215.33333333333334</v>
      </c>
      <c r="BY516" s="527">
        <f t="shared" si="292"/>
        <v>801.33333333333326</v>
      </c>
      <c r="BZ516" s="181">
        <f t="shared" si="293"/>
        <v>0.78819672131147533</v>
      </c>
      <c r="CA516" s="520" t="b">
        <f t="shared" si="294"/>
        <v>0</v>
      </c>
    </row>
    <row r="517" spans="1:79" s="151" customFormat="1">
      <c r="A517" s="151" t="str">
        <f t="shared" si="287"/>
        <v>5EoKPremiumCity1</v>
      </c>
      <c r="B517" s="520" t="str">
        <f t="shared" si="272"/>
        <v>5EoKPremiumCity1</v>
      </c>
      <c r="C517" s="179">
        <v>5</v>
      </c>
      <c r="D517" s="179" t="s">
        <v>303</v>
      </c>
      <c r="E517" s="178" t="s">
        <v>267</v>
      </c>
      <c r="F517" s="178" t="s">
        <v>262</v>
      </c>
      <c r="G517" s="185" t="s">
        <v>362</v>
      </c>
      <c r="J517" s="520" t="str">
        <f t="shared" si="273"/>
        <v>PremiumCity1</v>
      </c>
      <c r="L517" s="204">
        <f>INDEX(Mapping!$H:$H,MATCH(C$3&amp;C517,Mapping!$B:$B,0))</f>
        <v>1</v>
      </c>
      <c r="M517" s="204" t="str">
        <f>INDEX(Mapping!$H:$H,MATCH(D$3&amp;$D517,Mapping!$B:$B,0))</f>
        <v>EoK</v>
      </c>
      <c r="N517" s="204" t="str">
        <f>INDEX(Mapping!$H:$H,MATCH(E$3&amp;E517,Mapping!$B:$B,0))</f>
        <v>Premium</v>
      </c>
      <c r="O517" s="204" t="str">
        <f>INDEX(Mapping!$H:$H,MATCH(F$3&amp;F517,Mapping!$B:$B,0))</f>
        <v>Metro</v>
      </c>
      <c r="P517" s="204">
        <f>INDEX(Mapping!$H:$H,MATCH(G$3&amp;G517,Mapping!$B:$B,0))</f>
        <v>1</v>
      </c>
      <c r="Q517" s="204" t="str">
        <f>INDEX(Mapping!$H:$H,MATCH(Q$3&amp;$F517,Mapping!$B:$B,0))</f>
        <v>Metro - Regionaal</v>
      </c>
      <c r="R517" s="204" t="str">
        <f>INDEX(Mapping!$H:$H,MATCH("ZM VPN Service Level"&amp;E517,Mapping!$B:$B,0))</f>
        <v>Advanced</v>
      </c>
      <c r="S517" s="139" t="b">
        <f>IF($D517="EoK",INDEX(Mapping!$I:$I,MATCH($G$3&amp;$G517,Mapping!B:B,0)),FALSE)</f>
        <v>1</v>
      </c>
      <c r="T517" s="139"/>
      <c r="U517" s="520" t="str">
        <f t="shared" si="274"/>
        <v>PremiumMetro1</v>
      </c>
      <c r="W517" s="521">
        <f>MATCH($J517,'Tarieven ZM'!$B:$B,0)</f>
        <v>65</v>
      </c>
      <c r="X517" s="204">
        <f>INDEX('Tarieven ZM'!$H:$H,$W517)</f>
        <v>1000</v>
      </c>
      <c r="Y517" s="198">
        <f>-INDEX(Parameters!$B:$B,MATCH(Y$3&amp;$C517,Parameters!$A:$A,0))*$X517</f>
        <v>0</v>
      </c>
      <c r="Z517" s="198">
        <f>-INDEX(Parameters!$B:$B,MATCH(Z$3&amp;$C517,Parameters!$A:$A,0))*$X517</f>
        <v>0</v>
      </c>
      <c r="AA517" s="139">
        <f t="shared" si="276"/>
        <v>1000</v>
      </c>
      <c r="AB517" s="205">
        <f>AA517/INDEX(Parameters!$B:$B,MATCH("AfschrijftermijnVVE"&amp;12*$C517,Parameters!$A:$A,0))</f>
        <v>16.666666666666668</v>
      </c>
      <c r="AC517" s="204">
        <f>INDEX('Tarieven ZM'!$G:$G,$W517)</f>
        <v>1000</v>
      </c>
      <c r="AD517" s="198">
        <f>-INDEX(Parameters!$B:$B,MATCH(AD$3&amp;$C517,Parameters!$A:$A,0))*$AC517</f>
        <v>0</v>
      </c>
      <c r="AE517" s="198">
        <f>-INDEX(Parameters!$B:$B,MATCH(AE$3,Parameters!$A:$A,0))*$AC517</f>
        <v>0</v>
      </c>
      <c r="AF517" s="139">
        <f t="shared" si="277"/>
        <v>1000</v>
      </c>
      <c r="AG517" s="522">
        <f t="shared" si="278"/>
        <v>1016.6666666666666</v>
      </c>
      <c r="AH517" s="175"/>
      <c r="AI517" s="523">
        <f>MATCH($U517,'Tarieven W&amp;O'!$B:$B,0)</f>
        <v>57</v>
      </c>
      <c r="AJ517" s="204">
        <f>IF(AI517&lt;&gt;"nvt",INDEX('Tarieven W&amp;O'!$H:$H,$AI517),0)</f>
        <v>0</v>
      </c>
      <c r="AK517" s="204">
        <f>IF(AI517&lt;&gt;"nvt",INDEX('Tarieven W&amp;O'!$I:$I,$AI517),0)</f>
        <v>25</v>
      </c>
      <c r="AL517" s="524">
        <f>IF(AI517&lt;&gt;"nvt",-INDEX(Parameters!$B:$B,MATCH(AL$3,Parameters!$A:$A,0))*(AJ517+AK517),0)</f>
        <v>0</v>
      </c>
      <c r="AM517" s="525"/>
      <c r="AN517" s="139">
        <f t="shared" si="279"/>
        <v>25</v>
      </c>
      <c r="AO517" s="205">
        <f>AN517/INDEX(Parameters!$B:$B,MATCH("AfschrijftermijnVVE"&amp;12*$C517,Parameters!$A:$A,0))</f>
        <v>0.41666666666666669</v>
      </c>
      <c r="AP517" s="139">
        <f t="shared" si="280"/>
        <v>57</v>
      </c>
      <c r="AQ517" s="526">
        <f>IF(AP517&lt;&gt;"nvt",INDEX('Tarieven W&amp;O'!$G:$G,$AP517),0)</f>
        <v>14.29</v>
      </c>
      <c r="AR517" s="251">
        <f>IF($S517,INDEX('Tarieven W&amp;O'!$G:$G,MATCH(N517&amp;R517,'Tarieven W&amp;O'!$B:$B,0)),0)</f>
        <v>0</v>
      </c>
      <c r="AS517" s="205">
        <f>-INDEX(Parameters!$B:$B,MATCH(AS$3,Parameters!$A:$A,0))*(AQ517+AR517)</f>
        <v>0</v>
      </c>
      <c r="AT517" s="205">
        <f>INDEX(hulpblad!$E:$E,MATCH(M517&amp;Q517,hulpblad!$B:$B,0))</f>
        <v>1</v>
      </c>
      <c r="AU517" s="150">
        <f t="shared" si="283"/>
        <v>15.29</v>
      </c>
      <c r="AV517" s="150">
        <f t="shared" si="284"/>
        <v>15.706666666666665</v>
      </c>
      <c r="AX517" s="526">
        <f>Parameters!$B$6*AV517</f>
        <v>0.15706666666666666</v>
      </c>
      <c r="AY517" s="150">
        <v>0</v>
      </c>
      <c r="AZ517" s="150"/>
      <c r="BA517" s="150">
        <f t="shared" si="281"/>
        <v>0.15706666666666666</v>
      </c>
      <c r="BB517" s="150"/>
      <c r="BC517" s="522">
        <f t="shared" si="282"/>
        <v>15.863733333333332</v>
      </c>
      <c r="BD517" s="175"/>
      <c r="BE517" s="527">
        <f t="shared" si="285"/>
        <v>1000.8029333333333</v>
      </c>
      <c r="BF517" s="181">
        <f t="shared" si="286"/>
        <v>0.98439632786885245</v>
      </c>
      <c r="BG517" s="520" t="b">
        <f t="shared" si="275"/>
        <v>0</v>
      </c>
      <c r="BI517" s="528" t="s">
        <v>2181</v>
      </c>
      <c r="BL517" s="151" t="str">
        <f t="shared" si="288"/>
        <v>EoKMetro - Regionaal</v>
      </c>
      <c r="BM517" s="529">
        <v>0</v>
      </c>
      <c r="BN517" s="180">
        <f>BM517/INDEX(Parameters!$B:$B,MATCH("AfschrijftermijnVVE"&amp;12*$C517,Parameters!$A:$A,0))</f>
        <v>0</v>
      </c>
      <c r="BO517" s="184">
        <f>INDEX('inkoop ULL tbv EVPN'!I:I,MATCH(BL517,'inkoop ULL tbv EVPN'!H:H,0))</f>
        <v>2</v>
      </c>
      <c r="BP517" s="184">
        <f t="shared" si="289"/>
        <v>2</v>
      </c>
      <c r="BR517" s="180">
        <f>Parameters!$B$12*AG517</f>
        <v>101.66666666666667</v>
      </c>
      <c r="BS517" s="180">
        <f>SUM(Distributievergoedingen!$F$12,Distributievergoedingen!$I$12,Distributievergoedingen!$L$12,Distributievergoedingen!$O$12)*AF517+SUM(Distributievergoedingen!$O$12*AA517+Distributievergoedingen!$R$12+Distributievergoedingen!$U$12+Distributievergoedingen!$X$12)/(MAX(36,12*C517))</f>
        <v>111.66666666666667</v>
      </c>
      <c r="BT517" s="150"/>
      <c r="BU517" s="150">
        <f t="shared" si="290"/>
        <v>213.33333333333334</v>
      </c>
      <c r="BW517" s="522">
        <f t="shared" si="291"/>
        <v>215.33333333333334</v>
      </c>
      <c r="BY517" s="527">
        <f t="shared" si="292"/>
        <v>801.33333333333326</v>
      </c>
      <c r="BZ517" s="181">
        <f t="shared" si="293"/>
        <v>0.78819672131147533</v>
      </c>
      <c r="CA517" s="520" t="b">
        <f t="shared" si="294"/>
        <v>0</v>
      </c>
    </row>
    <row r="518" spans="1:79" s="151" customFormat="1">
      <c r="A518" s="151" t="str">
        <f t="shared" si="287"/>
        <v>5EoKPremiumCity2</v>
      </c>
      <c r="B518" s="520" t="str">
        <f t="shared" si="272"/>
        <v>5EoKPremiumCity2</v>
      </c>
      <c r="C518" s="179">
        <v>5</v>
      </c>
      <c r="D518" s="179" t="s">
        <v>303</v>
      </c>
      <c r="E518" s="178" t="s">
        <v>267</v>
      </c>
      <c r="F518" s="178" t="s">
        <v>262</v>
      </c>
      <c r="G518" s="185" t="s">
        <v>363</v>
      </c>
      <c r="J518" s="520" t="str">
        <f t="shared" si="273"/>
        <v>PremiumCity2</v>
      </c>
      <c r="L518" s="204">
        <f>INDEX(Mapping!$H:$H,MATCH(C$3&amp;C518,Mapping!$B:$B,0))</f>
        <v>1</v>
      </c>
      <c r="M518" s="204" t="str">
        <f>INDEX(Mapping!$H:$H,MATCH(D$3&amp;$D518,Mapping!$B:$B,0))</f>
        <v>EoK</v>
      </c>
      <c r="N518" s="204" t="str">
        <f>INDEX(Mapping!$H:$H,MATCH(E$3&amp;E518,Mapping!$B:$B,0))</f>
        <v>Premium</v>
      </c>
      <c r="O518" s="204" t="str">
        <f>INDEX(Mapping!$H:$H,MATCH(F$3&amp;F518,Mapping!$B:$B,0))</f>
        <v>Metro</v>
      </c>
      <c r="P518" s="204">
        <f>INDEX(Mapping!$H:$H,MATCH(G$3&amp;G518,Mapping!$B:$B,0))</f>
        <v>2</v>
      </c>
      <c r="Q518" s="204" t="str">
        <f>INDEX(Mapping!$H:$H,MATCH(Q$3&amp;$F518,Mapping!$B:$B,0))</f>
        <v>Metro - Regionaal</v>
      </c>
      <c r="R518" s="204" t="str">
        <f>INDEX(Mapping!$H:$H,MATCH("ZM VPN Service Level"&amp;E518,Mapping!$B:$B,0))</f>
        <v>Advanced</v>
      </c>
      <c r="S518" s="139" t="b">
        <f>IF($D518="EoK",INDEX(Mapping!$I:$I,MATCH($G$3&amp;$G518,Mapping!B:B,0)),FALSE)</f>
        <v>1</v>
      </c>
      <c r="T518" s="139"/>
      <c r="U518" s="520" t="str">
        <f t="shared" si="274"/>
        <v>PremiumMetro2</v>
      </c>
      <c r="W518" s="521">
        <f>MATCH($J518,'Tarieven ZM'!$B:$B,0)</f>
        <v>66</v>
      </c>
      <c r="X518" s="204">
        <f>INDEX('Tarieven ZM'!$H:$H,$W518)</f>
        <v>1000</v>
      </c>
      <c r="Y518" s="198">
        <f>-INDEX(Parameters!$B:$B,MATCH(Y$3&amp;$C518,Parameters!$A:$A,0))*$X518</f>
        <v>0</v>
      </c>
      <c r="Z518" s="198">
        <f>-INDEX(Parameters!$B:$B,MATCH(Z$3&amp;$C518,Parameters!$A:$A,0))*$X518</f>
        <v>0</v>
      </c>
      <c r="AA518" s="139">
        <f t="shared" si="276"/>
        <v>1000</v>
      </c>
      <c r="AB518" s="205">
        <f>AA518/INDEX(Parameters!$B:$B,MATCH("AfschrijftermijnVVE"&amp;12*$C518,Parameters!$A:$A,0))</f>
        <v>16.666666666666668</v>
      </c>
      <c r="AC518" s="204">
        <f>INDEX('Tarieven ZM'!$G:$G,$W518)</f>
        <v>1000</v>
      </c>
      <c r="AD518" s="198">
        <f>-INDEX(Parameters!$B:$B,MATCH(AD$3&amp;$C518,Parameters!$A:$A,0))*$AC518</f>
        <v>0</v>
      </c>
      <c r="AE518" s="198">
        <f>-INDEX(Parameters!$B:$B,MATCH(AE$3,Parameters!$A:$A,0))*$AC518</f>
        <v>0</v>
      </c>
      <c r="AF518" s="139">
        <f t="shared" si="277"/>
        <v>1000</v>
      </c>
      <c r="AG518" s="522">
        <f t="shared" si="278"/>
        <v>1016.6666666666666</v>
      </c>
      <c r="AH518" s="175"/>
      <c r="AI518" s="523">
        <f>MATCH($U518,'Tarieven W&amp;O'!$B:$B,0)</f>
        <v>58</v>
      </c>
      <c r="AJ518" s="204">
        <f>IF(AI518&lt;&gt;"nvt",INDEX('Tarieven W&amp;O'!$H:$H,$AI518),0)</f>
        <v>0</v>
      </c>
      <c r="AK518" s="204">
        <f>IF(AI518&lt;&gt;"nvt",INDEX('Tarieven W&amp;O'!$I:$I,$AI518),0)</f>
        <v>25</v>
      </c>
      <c r="AL518" s="524">
        <f>IF(AI518&lt;&gt;"nvt",-INDEX(Parameters!$B:$B,MATCH(AL$3,Parameters!$A:$A,0))*(AJ518+AK518),0)</f>
        <v>0</v>
      </c>
      <c r="AM518" s="525"/>
      <c r="AN518" s="139">
        <f t="shared" si="279"/>
        <v>25</v>
      </c>
      <c r="AO518" s="205">
        <f>AN518/INDEX(Parameters!$B:$B,MATCH("AfschrijftermijnVVE"&amp;12*$C518,Parameters!$A:$A,0))</f>
        <v>0.41666666666666669</v>
      </c>
      <c r="AP518" s="139">
        <f t="shared" si="280"/>
        <v>58</v>
      </c>
      <c r="AQ518" s="526">
        <f>IF(AP518&lt;&gt;"nvt",INDEX('Tarieven W&amp;O'!$G:$G,$AP518),0)</f>
        <v>16.55</v>
      </c>
      <c r="AR518" s="251">
        <f>IF($S518,INDEX('Tarieven W&amp;O'!$G:$G,MATCH(N518&amp;R518,'Tarieven W&amp;O'!$B:$B,0)),0)</f>
        <v>0</v>
      </c>
      <c r="AS518" s="205">
        <f>-INDEX(Parameters!$B:$B,MATCH(AS$3,Parameters!$A:$A,0))*(AQ518+AR518)</f>
        <v>0</v>
      </c>
      <c r="AT518" s="205">
        <f>INDEX(hulpblad!$E:$E,MATCH(M518&amp;Q518,hulpblad!$B:$B,0))</f>
        <v>1</v>
      </c>
      <c r="AU518" s="150">
        <f t="shared" si="283"/>
        <v>17.55</v>
      </c>
      <c r="AV518" s="150">
        <f t="shared" si="284"/>
        <v>17.966666666666669</v>
      </c>
      <c r="AX518" s="526">
        <f>Parameters!$B$6*AV518</f>
        <v>0.1796666666666667</v>
      </c>
      <c r="AY518" s="150">
        <v>0</v>
      </c>
      <c r="AZ518" s="150"/>
      <c r="BA518" s="150">
        <f t="shared" si="281"/>
        <v>0.1796666666666667</v>
      </c>
      <c r="BB518" s="150"/>
      <c r="BC518" s="522">
        <f t="shared" si="282"/>
        <v>18.146333333333335</v>
      </c>
      <c r="BD518" s="175"/>
      <c r="BE518" s="527">
        <f t="shared" si="285"/>
        <v>998.52033333333327</v>
      </c>
      <c r="BF518" s="181">
        <f t="shared" si="286"/>
        <v>0.98215114754098354</v>
      </c>
      <c r="BG518" s="520" t="b">
        <f t="shared" si="275"/>
        <v>0</v>
      </c>
      <c r="BI518" s="528" t="s">
        <v>2181</v>
      </c>
      <c r="BL518" s="151" t="str">
        <f t="shared" si="288"/>
        <v>EoKMetro - Regionaal</v>
      </c>
      <c r="BM518" s="529">
        <v>0</v>
      </c>
      <c r="BN518" s="180">
        <f>BM518/INDEX(Parameters!$B:$B,MATCH("AfschrijftermijnVVE"&amp;12*$C518,Parameters!$A:$A,0))</f>
        <v>0</v>
      </c>
      <c r="BO518" s="184">
        <f>INDEX('inkoop ULL tbv EVPN'!I:I,MATCH(BL518,'inkoop ULL tbv EVPN'!H:H,0))</f>
        <v>2</v>
      </c>
      <c r="BP518" s="184">
        <f t="shared" si="289"/>
        <v>2</v>
      </c>
      <c r="BR518" s="180">
        <f>Parameters!$B$12*AG518</f>
        <v>101.66666666666667</v>
      </c>
      <c r="BS518" s="180">
        <f>SUM(Distributievergoedingen!$F$12,Distributievergoedingen!$I$12,Distributievergoedingen!$L$12,Distributievergoedingen!$O$12)*AF518+SUM(Distributievergoedingen!$O$12*AA518+Distributievergoedingen!$R$12+Distributievergoedingen!$U$12+Distributievergoedingen!$X$12)/(MAX(36,12*C518))</f>
        <v>111.66666666666667</v>
      </c>
      <c r="BT518" s="150"/>
      <c r="BU518" s="150">
        <f t="shared" si="290"/>
        <v>213.33333333333334</v>
      </c>
      <c r="BW518" s="522">
        <f t="shared" si="291"/>
        <v>215.33333333333334</v>
      </c>
      <c r="BY518" s="527">
        <f t="shared" si="292"/>
        <v>801.33333333333326</v>
      </c>
      <c r="BZ518" s="181">
        <f t="shared" si="293"/>
        <v>0.78819672131147533</v>
      </c>
      <c r="CA518" s="520" t="b">
        <f t="shared" si="294"/>
        <v>0</v>
      </c>
    </row>
    <row r="519" spans="1:79" s="151" customFormat="1">
      <c r="A519" s="151" t="str">
        <f t="shared" si="287"/>
        <v>5EoKPremiumCity3</v>
      </c>
      <c r="B519" s="520" t="str">
        <f t="shared" si="272"/>
        <v>5EoKPremiumCity3</v>
      </c>
      <c r="C519" s="179">
        <v>5</v>
      </c>
      <c r="D519" s="179" t="s">
        <v>303</v>
      </c>
      <c r="E519" s="178" t="s">
        <v>267</v>
      </c>
      <c r="F519" s="178" t="s">
        <v>262</v>
      </c>
      <c r="G519" s="185" t="s">
        <v>407</v>
      </c>
      <c r="J519" s="520" t="str">
        <f t="shared" si="273"/>
        <v>PremiumCity3</v>
      </c>
      <c r="L519" s="204">
        <f>INDEX(Mapping!$H:$H,MATCH(C$3&amp;C519,Mapping!$B:$B,0))</f>
        <v>1</v>
      </c>
      <c r="M519" s="204" t="str">
        <f>INDEX(Mapping!$H:$H,MATCH(D$3&amp;$D519,Mapping!$B:$B,0))</f>
        <v>EoK</v>
      </c>
      <c r="N519" s="204" t="str">
        <f>INDEX(Mapping!$H:$H,MATCH(E$3&amp;E519,Mapping!$B:$B,0))</f>
        <v>Premium</v>
      </c>
      <c r="O519" s="204" t="str">
        <f>INDEX(Mapping!$H:$H,MATCH(F$3&amp;F519,Mapping!$B:$B,0))</f>
        <v>Metro</v>
      </c>
      <c r="P519" s="204">
        <f>INDEX(Mapping!$H:$H,MATCH(G$3&amp;G519,Mapping!$B:$B,0))</f>
        <v>3</v>
      </c>
      <c r="Q519" s="204" t="str">
        <f>INDEX(Mapping!$H:$H,MATCH(Q$3&amp;$F519,Mapping!$B:$B,0))</f>
        <v>Metro - Regionaal</v>
      </c>
      <c r="R519" s="204" t="str">
        <f>INDEX(Mapping!$H:$H,MATCH("ZM VPN Service Level"&amp;E519,Mapping!$B:$B,0))</f>
        <v>Advanced</v>
      </c>
      <c r="S519" s="139" t="b">
        <f>IF($D519="EoK",INDEX(Mapping!$I:$I,MATCH($G$3&amp;$G519,Mapping!B:B,0)),FALSE)</f>
        <v>0</v>
      </c>
      <c r="T519" s="139"/>
      <c r="U519" s="520" t="str">
        <f t="shared" si="274"/>
        <v>PremiumMetro3</v>
      </c>
      <c r="W519" s="521">
        <f>MATCH($J519,'Tarieven ZM'!$B:$B,0)</f>
        <v>67</v>
      </c>
      <c r="X519" s="204">
        <f>INDEX('Tarieven ZM'!$H:$H,$W519)</f>
        <v>1000</v>
      </c>
      <c r="Y519" s="198">
        <f>-INDEX(Parameters!$B:$B,MATCH(Y$3&amp;$C519,Parameters!$A:$A,0))*$X519</f>
        <v>0</v>
      </c>
      <c r="Z519" s="198">
        <f>-INDEX(Parameters!$B:$B,MATCH(Z$3&amp;$C519,Parameters!$A:$A,0))*$X519</f>
        <v>0</v>
      </c>
      <c r="AA519" s="139">
        <f t="shared" si="276"/>
        <v>1000</v>
      </c>
      <c r="AB519" s="205">
        <f>AA519/INDEX(Parameters!$B:$B,MATCH("AfschrijftermijnVVE"&amp;12*$C519,Parameters!$A:$A,0))</f>
        <v>16.666666666666668</v>
      </c>
      <c r="AC519" s="204">
        <f>INDEX('Tarieven ZM'!$G:$G,$W519)</f>
        <v>1000</v>
      </c>
      <c r="AD519" s="198">
        <f>-INDEX(Parameters!$B:$B,MATCH(AD$3&amp;$C519,Parameters!$A:$A,0))*$AC519</f>
        <v>0</v>
      </c>
      <c r="AE519" s="198">
        <f>-INDEX(Parameters!$B:$B,MATCH(AE$3,Parameters!$A:$A,0))*$AC519</f>
        <v>0</v>
      </c>
      <c r="AF519" s="139">
        <f t="shared" si="277"/>
        <v>1000</v>
      </c>
      <c r="AG519" s="522">
        <f t="shared" si="278"/>
        <v>1016.6666666666666</v>
      </c>
      <c r="AH519" s="175"/>
      <c r="AI519" s="523">
        <f>MATCH($U519,'Tarieven W&amp;O'!$B:$B,0)</f>
        <v>59</v>
      </c>
      <c r="AJ519" s="204">
        <f>IF(AI519&lt;&gt;"nvt",INDEX('Tarieven W&amp;O'!$H:$H,$AI519),0)</f>
        <v>0</v>
      </c>
      <c r="AK519" s="204">
        <f>IF(AI519&lt;&gt;"nvt",INDEX('Tarieven W&amp;O'!$I:$I,$AI519),0)</f>
        <v>25</v>
      </c>
      <c r="AL519" s="524">
        <f>IF(AI519&lt;&gt;"nvt",-INDEX(Parameters!$B:$B,MATCH(AL$3,Parameters!$A:$A,0))*(AJ519+AK519),0)</f>
        <v>0</v>
      </c>
      <c r="AM519" s="525"/>
      <c r="AN519" s="139">
        <f t="shared" si="279"/>
        <v>25</v>
      </c>
      <c r="AO519" s="205">
        <f>AN519/INDEX(Parameters!$B:$B,MATCH("AfschrijftermijnVVE"&amp;12*$C519,Parameters!$A:$A,0))</f>
        <v>0.41666666666666669</v>
      </c>
      <c r="AP519" s="139">
        <f t="shared" si="280"/>
        <v>59</v>
      </c>
      <c r="AQ519" s="526">
        <f>IF(AP519&lt;&gt;"nvt",INDEX('Tarieven W&amp;O'!$G:$G,$AP519),0)</f>
        <v>27.86</v>
      </c>
      <c r="AR519" s="251">
        <f>IF($S519,INDEX('Tarieven W&amp;O'!$G:$G,MATCH(N519&amp;R519,'Tarieven W&amp;O'!$B:$B,0)),0)</f>
        <v>0</v>
      </c>
      <c r="AS519" s="205">
        <f>-INDEX(Parameters!$B:$B,MATCH(AS$3,Parameters!$A:$A,0))*(AQ519+AR519)</f>
        <v>0</v>
      </c>
      <c r="AT519" s="205">
        <f>INDEX(hulpblad!$E:$E,MATCH(M519&amp;Q519,hulpblad!$B:$B,0))</f>
        <v>1</v>
      </c>
      <c r="AU519" s="150">
        <f t="shared" si="283"/>
        <v>28.86</v>
      </c>
      <c r="AV519" s="150">
        <f t="shared" si="284"/>
        <v>29.276666666666667</v>
      </c>
      <c r="AX519" s="526">
        <f>Parameters!$B$6*AV519</f>
        <v>0.29276666666666668</v>
      </c>
      <c r="AY519" s="150">
        <v>0</v>
      </c>
      <c r="AZ519" s="150"/>
      <c r="BA519" s="150">
        <f t="shared" si="281"/>
        <v>0.29276666666666668</v>
      </c>
      <c r="BB519" s="150"/>
      <c r="BC519" s="522">
        <f t="shared" si="282"/>
        <v>29.569433333333333</v>
      </c>
      <c r="BD519" s="175"/>
      <c r="BE519" s="527">
        <f t="shared" si="285"/>
        <v>987.09723333333329</v>
      </c>
      <c r="BF519" s="181">
        <f t="shared" si="286"/>
        <v>0.97091531147540988</v>
      </c>
      <c r="BG519" s="520" t="b">
        <f t="shared" si="275"/>
        <v>0</v>
      </c>
      <c r="BI519" s="528" t="s">
        <v>2181</v>
      </c>
      <c r="BL519" s="151" t="str">
        <f t="shared" si="288"/>
        <v>EoKMetro - Regionaal</v>
      </c>
      <c r="BM519" s="529">
        <v>0</v>
      </c>
      <c r="BN519" s="180">
        <f>BM519/INDEX(Parameters!$B:$B,MATCH("AfschrijftermijnVVE"&amp;12*$C519,Parameters!$A:$A,0))</f>
        <v>0</v>
      </c>
      <c r="BO519" s="184">
        <f>INDEX('inkoop ULL tbv EVPN'!I:I,MATCH(BL519,'inkoop ULL tbv EVPN'!H:H,0))</f>
        <v>2</v>
      </c>
      <c r="BP519" s="184">
        <f t="shared" si="289"/>
        <v>2</v>
      </c>
      <c r="BR519" s="180">
        <f>Parameters!$B$12*AG519</f>
        <v>101.66666666666667</v>
      </c>
      <c r="BS519" s="180">
        <f>SUM(Distributievergoedingen!$F$12,Distributievergoedingen!$I$12,Distributievergoedingen!$L$12,Distributievergoedingen!$O$12)*AF519+SUM(Distributievergoedingen!$O$12*AA519+Distributievergoedingen!$R$12+Distributievergoedingen!$U$12+Distributievergoedingen!$X$12)/(MAX(36,12*C519))</f>
        <v>111.66666666666667</v>
      </c>
      <c r="BT519" s="150"/>
      <c r="BU519" s="150">
        <f t="shared" si="290"/>
        <v>213.33333333333334</v>
      </c>
      <c r="BW519" s="522">
        <f t="shared" si="291"/>
        <v>215.33333333333334</v>
      </c>
      <c r="BY519" s="527">
        <f t="shared" si="292"/>
        <v>801.33333333333326</v>
      </c>
      <c r="BZ519" s="181">
        <f t="shared" si="293"/>
        <v>0.78819672131147533</v>
      </c>
      <c r="CA519" s="520" t="b">
        <f t="shared" si="294"/>
        <v>0</v>
      </c>
    </row>
    <row r="520" spans="1:79" s="151" customFormat="1">
      <c r="A520" s="151" t="str">
        <f t="shared" si="287"/>
        <v>5EoKPremiumCity4</v>
      </c>
      <c r="B520" s="520" t="str">
        <f t="shared" si="272"/>
        <v>5EoKPremiumCity4</v>
      </c>
      <c r="C520" s="179">
        <v>5</v>
      </c>
      <c r="D520" s="179" t="s">
        <v>303</v>
      </c>
      <c r="E520" s="178" t="s">
        <v>267</v>
      </c>
      <c r="F520" s="178" t="s">
        <v>262</v>
      </c>
      <c r="G520" s="185" t="s">
        <v>408</v>
      </c>
      <c r="J520" s="520" t="str">
        <f t="shared" si="273"/>
        <v>PremiumCity4</v>
      </c>
      <c r="L520" s="204">
        <f>INDEX(Mapping!$H:$H,MATCH(C$3&amp;C520,Mapping!$B:$B,0))</f>
        <v>1</v>
      </c>
      <c r="M520" s="204" t="str">
        <f>INDEX(Mapping!$H:$H,MATCH(D$3&amp;$D520,Mapping!$B:$B,0))</f>
        <v>EoK</v>
      </c>
      <c r="N520" s="204" t="str">
        <f>INDEX(Mapping!$H:$H,MATCH(E$3&amp;E520,Mapping!$B:$B,0))</f>
        <v>Premium</v>
      </c>
      <c r="O520" s="204" t="str">
        <f>INDEX(Mapping!$H:$H,MATCH(F$3&amp;F520,Mapping!$B:$B,0))</f>
        <v>Metro</v>
      </c>
      <c r="P520" s="204">
        <f>INDEX(Mapping!$H:$H,MATCH(G$3&amp;G520,Mapping!$B:$B,0))</f>
        <v>4</v>
      </c>
      <c r="Q520" s="204" t="str">
        <f>INDEX(Mapping!$H:$H,MATCH(Q$3&amp;$F520,Mapping!$B:$B,0))</f>
        <v>Metro - Regionaal</v>
      </c>
      <c r="R520" s="204" t="str">
        <f>INDEX(Mapping!$H:$H,MATCH("ZM VPN Service Level"&amp;E520,Mapping!$B:$B,0))</f>
        <v>Advanced</v>
      </c>
      <c r="S520" s="139" t="b">
        <f>IF($D520="EoK",INDEX(Mapping!$I:$I,MATCH($G$3&amp;$G520,Mapping!B:B,0)),FALSE)</f>
        <v>0</v>
      </c>
      <c r="T520" s="139"/>
      <c r="U520" s="520" t="str">
        <f t="shared" si="274"/>
        <v>PremiumMetro4</v>
      </c>
      <c r="W520" s="521">
        <f>MATCH($J520,'Tarieven ZM'!$B:$B,0)</f>
        <v>68</v>
      </c>
      <c r="X520" s="204">
        <f>INDEX('Tarieven ZM'!$H:$H,$W520)</f>
        <v>1000</v>
      </c>
      <c r="Y520" s="198">
        <f>-INDEX(Parameters!$B:$B,MATCH(Y$3&amp;$C520,Parameters!$A:$A,0))*$X520</f>
        <v>0</v>
      </c>
      <c r="Z520" s="198">
        <f>-INDEX(Parameters!$B:$B,MATCH(Z$3&amp;$C520,Parameters!$A:$A,0))*$X520</f>
        <v>0</v>
      </c>
      <c r="AA520" s="139">
        <f t="shared" si="276"/>
        <v>1000</v>
      </c>
      <c r="AB520" s="205">
        <f>AA520/INDEX(Parameters!$B:$B,MATCH("AfschrijftermijnVVE"&amp;12*$C520,Parameters!$A:$A,0))</f>
        <v>16.666666666666668</v>
      </c>
      <c r="AC520" s="204">
        <f>INDEX('Tarieven ZM'!$G:$G,$W520)</f>
        <v>1000</v>
      </c>
      <c r="AD520" s="198">
        <f>-INDEX(Parameters!$B:$B,MATCH(AD$3&amp;$C520,Parameters!$A:$A,0))*$AC520</f>
        <v>0</v>
      </c>
      <c r="AE520" s="198">
        <f>-INDEX(Parameters!$B:$B,MATCH(AE$3,Parameters!$A:$A,0))*$AC520</f>
        <v>0</v>
      </c>
      <c r="AF520" s="139">
        <f t="shared" si="277"/>
        <v>1000</v>
      </c>
      <c r="AG520" s="522">
        <f t="shared" si="278"/>
        <v>1016.6666666666666</v>
      </c>
      <c r="AH520" s="175"/>
      <c r="AI520" s="523">
        <f>MATCH($U520,'Tarieven W&amp;O'!$B:$B,0)</f>
        <v>60</v>
      </c>
      <c r="AJ520" s="204">
        <f>IF(AI520&lt;&gt;"nvt",INDEX('Tarieven W&amp;O'!$H:$H,$AI520),0)</f>
        <v>0</v>
      </c>
      <c r="AK520" s="204">
        <f>IF(AI520&lt;&gt;"nvt",INDEX('Tarieven W&amp;O'!$I:$I,$AI520),0)</f>
        <v>25</v>
      </c>
      <c r="AL520" s="524">
        <f>IF(AI520&lt;&gt;"nvt",-INDEX(Parameters!$B:$B,MATCH(AL$3,Parameters!$A:$A,0))*(AJ520+AK520),0)</f>
        <v>0</v>
      </c>
      <c r="AM520" s="525"/>
      <c r="AN520" s="139">
        <f t="shared" si="279"/>
        <v>25</v>
      </c>
      <c r="AO520" s="205">
        <f>AN520/INDEX(Parameters!$B:$B,MATCH("AfschrijftermijnVVE"&amp;12*$C520,Parameters!$A:$A,0))</f>
        <v>0.41666666666666669</v>
      </c>
      <c r="AP520" s="139">
        <f t="shared" si="280"/>
        <v>60</v>
      </c>
      <c r="AQ520" s="526">
        <f>IF(AP520&lt;&gt;"nvt",INDEX('Tarieven W&amp;O'!$G:$G,$AP520),0)</f>
        <v>42.94</v>
      </c>
      <c r="AR520" s="251">
        <f>IF($S520,INDEX('Tarieven W&amp;O'!$G:$G,MATCH(N520&amp;R520,'Tarieven W&amp;O'!$B:$B,0)),0)</f>
        <v>0</v>
      </c>
      <c r="AS520" s="205">
        <f>-INDEX(Parameters!$B:$B,MATCH(AS$3,Parameters!$A:$A,0))*(AQ520+AR520)</f>
        <v>0</v>
      </c>
      <c r="AT520" s="205">
        <f>INDEX(hulpblad!$E:$E,MATCH(M520&amp;Q520,hulpblad!$B:$B,0))</f>
        <v>1</v>
      </c>
      <c r="AU520" s="150">
        <f t="shared" si="283"/>
        <v>43.94</v>
      </c>
      <c r="AV520" s="150">
        <f t="shared" si="284"/>
        <v>44.356666666666662</v>
      </c>
      <c r="AX520" s="526">
        <f>Parameters!$B$6*AV520</f>
        <v>0.44356666666666661</v>
      </c>
      <c r="AY520" s="150">
        <v>0</v>
      </c>
      <c r="AZ520" s="150"/>
      <c r="BA520" s="150">
        <f t="shared" si="281"/>
        <v>0.44356666666666661</v>
      </c>
      <c r="BB520" s="150"/>
      <c r="BC520" s="522">
        <f t="shared" si="282"/>
        <v>44.800233333333331</v>
      </c>
      <c r="BD520" s="175"/>
      <c r="BE520" s="527">
        <f t="shared" si="285"/>
        <v>971.86643333333325</v>
      </c>
      <c r="BF520" s="181">
        <f t="shared" si="286"/>
        <v>0.95593419672131141</v>
      </c>
      <c r="BG520" s="520" t="b">
        <f t="shared" si="275"/>
        <v>0</v>
      </c>
      <c r="BI520" s="528" t="s">
        <v>2181</v>
      </c>
      <c r="BL520" s="151" t="str">
        <f t="shared" si="288"/>
        <v>EoKMetro - Regionaal</v>
      </c>
      <c r="BM520" s="529">
        <v>0</v>
      </c>
      <c r="BN520" s="180">
        <f>BM520/INDEX(Parameters!$B:$B,MATCH("AfschrijftermijnVVE"&amp;12*$C520,Parameters!$A:$A,0))</f>
        <v>0</v>
      </c>
      <c r="BO520" s="184">
        <f>INDEX('inkoop ULL tbv EVPN'!I:I,MATCH(BL520,'inkoop ULL tbv EVPN'!H:H,0))</f>
        <v>2</v>
      </c>
      <c r="BP520" s="184">
        <f t="shared" si="289"/>
        <v>2</v>
      </c>
      <c r="BR520" s="180">
        <f>Parameters!$B$12*AG520</f>
        <v>101.66666666666667</v>
      </c>
      <c r="BS520" s="180">
        <f>SUM(Distributievergoedingen!$F$12,Distributievergoedingen!$I$12,Distributievergoedingen!$L$12,Distributievergoedingen!$O$12)*AF520+SUM(Distributievergoedingen!$O$12*AA520+Distributievergoedingen!$R$12+Distributievergoedingen!$U$12+Distributievergoedingen!$X$12)/(MAX(36,12*C520))</f>
        <v>111.66666666666667</v>
      </c>
      <c r="BT520" s="150"/>
      <c r="BU520" s="150">
        <f t="shared" si="290"/>
        <v>213.33333333333334</v>
      </c>
      <c r="BW520" s="522">
        <f t="shared" si="291"/>
        <v>215.33333333333334</v>
      </c>
      <c r="BY520" s="527">
        <f t="shared" si="292"/>
        <v>801.33333333333326</v>
      </c>
      <c r="BZ520" s="181">
        <f t="shared" si="293"/>
        <v>0.78819672131147533</v>
      </c>
      <c r="CA520" s="520" t="b">
        <f t="shared" si="294"/>
        <v>0</v>
      </c>
    </row>
    <row r="521" spans="1:79" s="151" customFormat="1">
      <c r="A521" s="151" t="str">
        <f t="shared" si="287"/>
        <v>5EoKPremiumCity5</v>
      </c>
      <c r="B521" s="520" t="str">
        <f t="shared" si="272"/>
        <v>5EoKPremiumCity5</v>
      </c>
      <c r="C521" s="179">
        <v>5</v>
      </c>
      <c r="D521" s="179" t="s">
        <v>303</v>
      </c>
      <c r="E521" s="178" t="s">
        <v>267</v>
      </c>
      <c r="F521" s="178" t="s">
        <v>262</v>
      </c>
      <c r="G521" s="185" t="s">
        <v>409</v>
      </c>
      <c r="J521" s="520" t="str">
        <f t="shared" si="273"/>
        <v>PremiumCity5</v>
      </c>
      <c r="L521" s="204">
        <f>INDEX(Mapping!$H:$H,MATCH(C$3&amp;C521,Mapping!$B:$B,0))</f>
        <v>1</v>
      </c>
      <c r="M521" s="204" t="str">
        <f>INDEX(Mapping!$H:$H,MATCH(D$3&amp;$D521,Mapping!$B:$B,0))</f>
        <v>EoK</v>
      </c>
      <c r="N521" s="204" t="str">
        <f>INDEX(Mapping!$H:$H,MATCH(E$3&amp;E521,Mapping!$B:$B,0))</f>
        <v>Premium</v>
      </c>
      <c r="O521" s="204" t="str">
        <f>INDEX(Mapping!$H:$H,MATCH(F$3&amp;F521,Mapping!$B:$B,0))</f>
        <v>Metro</v>
      </c>
      <c r="P521" s="204">
        <f>INDEX(Mapping!$H:$H,MATCH(G$3&amp;G521,Mapping!$B:$B,0))</f>
        <v>5</v>
      </c>
      <c r="Q521" s="204" t="str">
        <f>INDEX(Mapping!$H:$H,MATCH(Q$3&amp;$F521,Mapping!$B:$B,0))</f>
        <v>Metro - Regionaal</v>
      </c>
      <c r="R521" s="204" t="str">
        <f>INDEX(Mapping!$H:$H,MATCH("ZM VPN Service Level"&amp;E521,Mapping!$B:$B,0))</f>
        <v>Advanced</v>
      </c>
      <c r="S521" s="139" t="b">
        <f>IF($D521="EoK",INDEX(Mapping!$I:$I,MATCH($G$3&amp;$G521,Mapping!B:B,0)),FALSE)</f>
        <v>0</v>
      </c>
      <c r="T521" s="139"/>
      <c r="U521" s="520" t="str">
        <f t="shared" si="274"/>
        <v>PremiumMetro5</v>
      </c>
      <c r="W521" s="521">
        <f>MATCH($J521,'Tarieven ZM'!$B:$B,0)</f>
        <v>69</v>
      </c>
      <c r="X521" s="204">
        <f>INDEX('Tarieven ZM'!$H:$H,$W521)</f>
        <v>1000</v>
      </c>
      <c r="Y521" s="198">
        <f>-INDEX(Parameters!$B:$B,MATCH(Y$3&amp;$C521,Parameters!$A:$A,0))*$X521</f>
        <v>0</v>
      </c>
      <c r="Z521" s="198">
        <f>-INDEX(Parameters!$B:$B,MATCH(Z$3&amp;$C521,Parameters!$A:$A,0))*$X521</f>
        <v>0</v>
      </c>
      <c r="AA521" s="139">
        <f t="shared" si="276"/>
        <v>1000</v>
      </c>
      <c r="AB521" s="205">
        <f>AA521/INDEX(Parameters!$B:$B,MATCH("AfschrijftermijnVVE"&amp;12*$C521,Parameters!$A:$A,0))</f>
        <v>16.666666666666668</v>
      </c>
      <c r="AC521" s="204">
        <f>INDEX('Tarieven ZM'!$G:$G,$W521)</f>
        <v>1000</v>
      </c>
      <c r="AD521" s="198">
        <f>-INDEX(Parameters!$B:$B,MATCH(AD$3&amp;$C521,Parameters!$A:$A,0))*$AC521</f>
        <v>0</v>
      </c>
      <c r="AE521" s="198">
        <f>-INDEX(Parameters!$B:$B,MATCH(AE$3,Parameters!$A:$A,0))*$AC521</f>
        <v>0</v>
      </c>
      <c r="AF521" s="139">
        <f t="shared" si="277"/>
        <v>1000</v>
      </c>
      <c r="AG521" s="522">
        <f t="shared" si="278"/>
        <v>1016.6666666666666</v>
      </c>
      <c r="AH521" s="175"/>
      <c r="AI521" s="523">
        <f>MATCH($U521,'Tarieven W&amp;O'!$B:$B,0)</f>
        <v>61</v>
      </c>
      <c r="AJ521" s="204">
        <f>IF(AI521&lt;&gt;"nvt",INDEX('Tarieven W&amp;O'!$H:$H,$AI521),0)</f>
        <v>0</v>
      </c>
      <c r="AK521" s="204">
        <f>IF(AI521&lt;&gt;"nvt",INDEX('Tarieven W&amp;O'!$I:$I,$AI521),0)</f>
        <v>25</v>
      </c>
      <c r="AL521" s="524">
        <f>IF(AI521&lt;&gt;"nvt",-INDEX(Parameters!$B:$B,MATCH(AL$3,Parameters!$A:$A,0))*(AJ521+AK521),0)</f>
        <v>0</v>
      </c>
      <c r="AM521" s="525"/>
      <c r="AN521" s="139">
        <f t="shared" si="279"/>
        <v>25</v>
      </c>
      <c r="AO521" s="205">
        <f>AN521/INDEX(Parameters!$B:$B,MATCH("AfschrijftermijnVVE"&amp;12*$C521,Parameters!$A:$A,0))</f>
        <v>0.41666666666666669</v>
      </c>
      <c r="AP521" s="139">
        <f t="shared" si="280"/>
        <v>61</v>
      </c>
      <c r="AQ521" s="526">
        <f>IF(AP521&lt;&gt;"nvt",INDEX('Tarieven W&amp;O'!$G:$G,$AP521),0)</f>
        <v>46.71</v>
      </c>
      <c r="AR521" s="251">
        <f>IF($S521,INDEX('Tarieven W&amp;O'!$G:$G,MATCH(N521&amp;R521,'Tarieven W&amp;O'!$B:$B,0)),0)</f>
        <v>0</v>
      </c>
      <c r="AS521" s="205">
        <f>-INDEX(Parameters!$B:$B,MATCH(AS$3,Parameters!$A:$A,0))*(AQ521+AR521)</f>
        <v>0</v>
      </c>
      <c r="AT521" s="205">
        <f>INDEX(hulpblad!$E:$E,MATCH(M521&amp;Q521,hulpblad!$B:$B,0))</f>
        <v>1</v>
      </c>
      <c r="AU521" s="150">
        <f t="shared" si="283"/>
        <v>47.71</v>
      </c>
      <c r="AV521" s="150">
        <f t="shared" si="284"/>
        <v>48.126666666666665</v>
      </c>
      <c r="AX521" s="526">
        <f>Parameters!$B$6*AV521</f>
        <v>0.48126666666666668</v>
      </c>
      <c r="AY521" s="150">
        <v>0</v>
      </c>
      <c r="AZ521" s="150"/>
      <c r="BA521" s="150">
        <f t="shared" si="281"/>
        <v>0.48126666666666668</v>
      </c>
      <c r="BB521" s="150"/>
      <c r="BC521" s="522">
        <f t="shared" si="282"/>
        <v>48.607933333333335</v>
      </c>
      <c r="BD521" s="175"/>
      <c r="BE521" s="527">
        <f t="shared" si="285"/>
        <v>968.05873333333329</v>
      </c>
      <c r="BF521" s="181">
        <f t="shared" si="286"/>
        <v>0.95218891803278694</v>
      </c>
      <c r="BG521" s="520" t="b">
        <f t="shared" si="275"/>
        <v>0</v>
      </c>
      <c r="BI521" s="528" t="s">
        <v>2181</v>
      </c>
      <c r="BL521" s="151" t="str">
        <f t="shared" si="288"/>
        <v>EoKMetro - Regionaal</v>
      </c>
      <c r="BM521" s="529">
        <v>0</v>
      </c>
      <c r="BN521" s="180">
        <f>BM521/INDEX(Parameters!$B:$B,MATCH("AfschrijftermijnVVE"&amp;12*$C521,Parameters!$A:$A,0))</f>
        <v>0</v>
      </c>
      <c r="BO521" s="184">
        <f>INDEX('inkoop ULL tbv EVPN'!I:I,MATCH(BL521,'inkoop ULL tbv EVPN'!H:H,0))</f>
        <v>2</v>
      </c>
      <c r="BP521" s="184">
        <f t="shared" si="289"/>
        <v>2</v>
      </c>
      <c r="BR521" s="180">
        <f>Parameters!$B$12*AG521</f>
        <v>101.66666666666667</v>
      </c>
      <c r="BS521" s="180">
        <f>SUM(Distributievergoedingen!$F$12,Distributievergoedingen!$I$12,Distributievergoedingen!$L$12,Distributievergoedingen!$O$12)*AF521+SUM(Distributievergoedingen!$O$12*AA521+Distributievergoedingen!$R$12+Distributievergoedingen!$U$12+Distributievergoedingen!$X$12)/(MAX(36,12*C521))</f>
        <v>111.66666666666667</v>
      </c>
      <c r="BT521" s="150"/>
      <c r="BU521" s="150">
        <f t="shared" si="290"/>
        <v>213.33333333333334</v>
      </c>
      <c r="BW521" s="522">
        <f t="shared" si="291"/>
        <v>215.33333333333334</v>
      </c>
      <c r="BY521" s="527">
        <f t="shared" si="292"/>
        <v>801.33333333333326</v>
      </c>
      <c r="BZ521" s="181">
        <f t="shared" si="293"/>
        <v>0.78819672131147533</v>
      </c>
      <c r="CA521" s="520" t="b">
        <f t="shared" si="294"/>
        <v>0</v>
      </c>
    </row>
    <row r="522" spans="1:79" s="151" customFormat="1">
      <c r="A522" s="151" t="str">
        <f t="shared" si="287"/>
        <v>5EoKPremiumCity6</v>
      </c>
      <c r="B522" s="520" t="str">
        <f t="shared" si="272"/>
        <v>5EoKPremiumCity6</v>
      </c>
      <c r="C522" s="179">
        <v>5</v>
      </c>
      <c r="D522" s="179" t="s">
        <v>303</v>
      </c>
      <c r="E522" s="178" t="s">
        <v>267</v>
      </c>
      <c r="F522" s="178" t="s">
        <v>262</v>
      </c>
      <c r="G522" s="185" t="s">
        <v>410</v>
      </c>
      <c r="J522" s="520" t="str">
        <f t="shared" si="273"/>
        <v>PremiumCity6</v>
      </c>
      <c r="L522" s="204">
        <f>INDEX(Mapping!$H:$H,MATCH(C$3&amp;C522,Mapping!$B:$B,0))</f>
        <v>1</v>
      </c>
      <c r="M522" s="204" t="str">
        <f>INDEX(Mapping!$H:$H,MATCH(D$3&amp;$D522,Mapping!$B:$B,0))</f>
        <v>EoK</v>
      </c>
      <c r="N522" s="204" t="str">
        <f>INDEX(Mapping!$H:$H,MATCH(E$3&amp;E522,Mapping!$B:$B,0))</f>
        <v>Premium</v>
      </c>
      <c r="O522" s="204" t="str">
        <f>INDEX(Mapping!$H:$H,MATCH(F$3&amp;F522,Mapping!$B:$B,0))</f>
        <v>Metro</v>
      </c>
      <c r="P522" s="204">
        <f>INDEX(Mapping!$H:$H,MATCH(G$3&amp;G522,Mapping!$B:$B,0))</f>
        <v>6</v>
      </c>
      <c r="Q522" s="204" t="str">
        <f>INDEX(Mapping!$H:$H,MATCH(Q$3&amp;$F522,Mapping!$B:$B,0))</f>
        <v>Metro - Regionaal</v>
      </c>
      <c r="R522" s="204" t="str">
        <f>INDEX(Mapping!$H:$H,MATCH("ZM VPN Service Level"&amp;E522,Mapping!$B:$B,0))</f>
        <v>Advanced</v>
      </c>
      <c r="S522" s="139" t="b">
        <f>IF($D522="EoK",INDEX(Mapping!$I:$I,MATCH($G$3&amp;$G522,Mapping!B:B,0)),FALSE)</f>
        <v>0</v>
      </c>
      <c r="T522" s="139"/>
      <c r="U522" s="520" t="str">
        <f t="shared" si="274"/>
        <v>PremiumMetro6</v>
      </c>
      <c r="W522" s="521">
        <f>MATCH($J522,'Tarieven ZM'!$B:$B,0)</f>
        <v>70</v>
      </c>
      <c r="X522" s="204">
        <f>INDEX('Tarieven ZM'!$H:$H,$W522)</f>
        <v>1000</v>
      </c>
      <c r="Y522" s="198">
        <f>-INDEX(Parameters!$B:$B,MATCH(Y$3&amp;$C522,Parameters!$A:$A,0))*$X522</f>
        <v>0</v>
      </c>
      <c r="Z522" s="198">
        <f>-INDEX(Parameters!$B:$B,MATCH(Z$3&amp;$C522,Parameters!$A:$A,0))*$X522</f>
        <v>0</v>
      </c>
      <c r="AA522" s="139">
        <f t="shared" si="276"/>
        <v>1000</v>
      </c>
      <c r="AB522" s="205">
        <f>AA522/INDEX(Parameters!$B:$B,MATCH("AfschrijftermijnVVE"&amp;12*$C522,Parameters!$A:$A,0))</f>
        <v>16.666666666666668</v>
      </c>
      <c r="AC522" s="204">
        <f>INDEX('Tarieven ZM'!$G:$G,$W522)</f>
        <v>1000</v>
      </c>
      <c r="AD522" s="198">
        <f>-INDEX(Parameters!$B:$B,MATCH(AD$3&amp;$C522,Parameters!$A:$A,0))*$AC522</f>
        <v>0</v>
      </c>
      <c r="AE522" s="198">
        <f>-INDEX(Parameters!$B:$B,MATCH(AE$3,Parameters!$A:$A,0))*$AC522</f>
        <v>0</v>
      </c>
      <c r="AF522" s="139">
        <f t="shared" si="277"/>
        <v>1000</v>
      </c>
      <c r="AG522" s="522">
        <f t="shared" si="278"/>
        <v>1016.6666666666666</v>
      </c>
      <c r="AH522" s="175"/>
      <c r="AI522" s="523">
        <f>MATCH($U522,'Tarieven W&amp;O'!$B:$B,0)</f>
        <v>62</v>
      </c>
      <c r="AJ522" s="204">
        <f>IF(AI522&lt;&gt;"nvt",INDEX('Tarieven W&amp;O'!$H:$H,$AI522),0)</f>
        <v>0</v>
      </c>
      <c r="AK522" s="204">
        <f>IF(AI522&lt;&gt;"nvt",INDEX('Tarieven W&amp;O'!$I:$I,$AI522),0)</f>
        <v>25</v>
      </c>
      <c r="AL522" s="524">
        <f>IF(AI522&lt;&gt;"nvt",-INDEX(Parameters!$B:$B,MATCH(AL$3,Parameters!$A:$A,0))*(AJ522+AK522),0)</f>
        <v>0</v>
      </c>
      <c r="AM522" s="525"/>
      <c r="AN522" s="139">
        <f t="shared" si="279"/>
        <v>25</v>
      </c>
      <c r="AO522" s="205">
        <f>AN522/INDEX(Parameters!$B:$B,MATCH("AfschrijftermijnVVE"&amp;12*$C522,Parameters!$A:$A,0))</f>
        <v>0.41666666666666669</v>
      </c>
      <c r="AP522" s="139">
        <f t="shared" si="280"/>
        <v>62</v>
      </c>
      <c r="AQ522" s="526">
        <f>IF(AP522&lt;&gt;"nvt",INDEX('Tarieven W&amp;O'!$G:$G,$AP522),0)</f>
        <v>50.48</v>
      </c>
      <c r="AR522" s="251">
        <f>IF($S522,INDEX('Tarieven W&amp;O'!$G:$G,MATCH(N522&amp;R522,'Tarieven W&amp;O'!$B:$B,0)),0)</f>
        <v>0</v>
      </c>
      <c r="AS522" s="205">
        <f>-INDEX(Parameters!$B:$B,MATCH(AS$3,Parameters!$A:$A,0))*(AQ522+AR522)</f>
        <v>0</v>
      </c>
      <c r="AT522" s="205">
        <f>INDEX(hulpblad!$E:$E,MATCH(M522&amp;Q522,hulpblad!$B:$B,0))</f>
        <v>1</v>
      </c>
      <c r="AU522" s="150">
        <f t="shared" si="283"/>
        <v>51.48</v>
      </c>
      <c r="AV522" s="150">
        <f t="shared" si="284"/>
        <v>51.896666666666661</v>
      </c>
      <c r="AX522" s="526">
        <f>Parameters!$B$6*AV522</f>
        <v>0.51896666666666658</v>
      </c>
      <c r="AY522" s="150">
        <v>0</v>
      </c>
      <c r="AZ522" s="150"/>
      <c r="BA522" s="150">
        <f t="shared" si="281"/>
        <v>0.51896666666666658</v>
      </c>
      <c r="BB522" s="150"/>
      <c r="BC522" s="522">
        <f t="shared" si="282"/>
        <v>52.415633333333325</v>
      </c>
      <c r="BD522" s="175"/>
      <c r="BE522" s="527">
        <f t="shared" si="285"/>
        <v>964.25103333333334</v>
      </c>
      <c r="BF522" s="181">
        <f t="shared" si="286"/>
        <v>0.94844363934426235</v>
      </c>
      <c r="BG522" s="520" t="b">
        <f t="shared" si="275"/>
        <v>0</v>
      </c>
      <c r="BI522" s="528" t="s">
        <v>2181</v>
      </c>
      <c r="BL522" s="151" t="str">
        <f t="shared" si="288"/>
        <v>EoKMetro - Regionaal</v>
      </c>
      <c r="BM522" s="529">
        <v>0</v>
      </c>
      <c r="BN522" s="180">
        <f>BM522/INDEX(Parameters!$B:$B,MATCH("AfschrijftermijnVVE"&amp;12*$C522,Parameters!$A:$A,0))</f>
        <v>0</v>
      </c>
      <c r="BO522" s="184">
        <f>INDEX('inkoop ULL tbv EVPN'!I:I,MATCH(BL522,'inkoop ULL tbv EVPN'!H:H,0))</f>
        <v>2</v>
      </c>
      <c r="BP522" s="184">
        <f t="shared" si="289"/>
        <v>2</v>
      </c>
      <c r="BR522" s="180">
        <f>Parameters!$B$12*AG522</f>
        <v>101.66666666666667</v>
      </c>
      <c r="BS522" s="180">
        <f>SUM(Distributievergoedingen!$F$12,Distributievergoedingen!$I$12,Distributievergoedingen!$L$12,Distributievergoedingen!$O$12)*AF522+SUM(Distributievergoedingen!$O$12*AA522+Distributievergoedingen!$R$12+Distributievergoedingen!$U$12+Distributievergoedingen!$X$12)/(MAX(36,12*C522))</f>
        <v>111.66666666666667</v>
      </c>
      <c r="BT522" s="150"/>
      <c r="BU522" s="150">
        <f t="shared" si="290"/>
        <v>213.33333333333334</v>
      </c>
      <c r="BW522" s="522">
        <f t="shared" si="291"/>
        <v>215.33333333333334</v>
      </c>
      <c r="BY522" s="527">
        <f t="shared" si="292"/>
        <v>801.33333333333326</v>
      </c>
      <c r="BZ522" s="181">
        <f t="shared" si="293"/>
        <v>0.78819672131147533</v>
      </c>
      <c r="CA522" s="520" t="b">
        <f t="shared" si="294"/>
        <v>0</v>
      </c>
    </row>
    <row r="523" spans="1:79" s="151" customFormat="1">
      <c r="A523" s="151" t="str">
        <f t="shared" si="287"/>
        <v>5EoKPremiumCity8</v>
      </c>
      <c r="B523" s="520" t="str">
        <f t="shared" si="272"/>
        <v>5EoKPremiumCity8</v>
      </c>
      <c r="C523" s="179">
        <v>5</v>
      </c>
      <c r="D523" s="179" t="s">
        <v>303</v>
      </c>
      <c r="E523" s="178" t="s">
        <v>267</v>
      </c>
      <c r="F523" s="178" t="s">
        <v>262</v>
      </c>
      <c r="G523" s="185" t="s">
        <v>411</v>
      </c>
      <c r="J523" s="520" t="str">
        <f t="shared" si="273"/>
        <v>PremiumCity8</v>
      </c>
      <c r="L523" s="204">
        <f>INDEX(Mapping!$H:$H,MATCH(C$3&amp;C523,Mapping!$B:$B,0))</f>
        <v>1</v>
      </c>
      <c r="M523" s="204" t="str">
        <f>INDEX(Mapping!$H:$H,MATCH(D$3&amp;$D523,Mapping!$B:$B,0))</f>
        <v>EoK</v>
      </c>
      <c r="N523" s="204" t="str">
        <f>INDEX(Mapping!$H:$H,MATCH(E$3&amp;E523,Mapping!$B:$B,0))</f>
        <v>Premium</v>
      </c>
      <c r="O523" s="204" t="str">
        <f>INDEX(Mapping!$H:$H,MATCH(F$3&amp;F523,Mapping!$B:$B,0))</f>
        <v>Metro</v>
      </c>
      <c r="P523" s="204">
        <f>INDEX(Mapping!$H:$H,MATCH(G$3&amp;G523,Mapping!$B:$B,0))</f>
        <v>8</v>
      </c>
      <c r="Q523" s="204" t="str">
        <f>INDEX(Mapping!$H:$H,MATCH(Q$3&amp;$F523,Mapping!$B:$B,0))</f>
        <v>Metro - Regionaal</v>
      </c>
      <c r="R523" s="204" t="str">
        <f>INDEX(Mapping!$H:$H,MATCH("ZM VPN Service Level"&amp;E523,Mapping!$B:$B,0))</f>
        <v>Advanced</v>
      </c>
      <c r="S523" s="139" t="b">
        <f>IF($D523="EoK",INDEX(Mapping!$I:$I,MATCH($G$3&amp;$G523,Mapping!B:B,0)),FALSE)</f>
        <v>0</v>
      </c>
      <c r="T523" s="139"/>
      <c r="U523" s="520" t="str">
        <f t="shared" si="274"/>
        <v>PremiumMetro8</v>
      </c>
      <c r="W523" s="521">
        <f>MATCH($J523,'Tarieven ZM'!$B:$B,0)</f>
        <v>71</v>
      </c>
      <c r="X523" s="204">
        <f>INDEX('Tarieven ZM'!$H:$H,$W523)</f>
        <v>1000</v>
      </c>
      <c r="Y523" s="198">
        <f>-INDEX(Parameters!$B:$B,MATCH(Y$3&amp;$C523,Parameters!$A:$A,0))*$X523</f>
        <v>0</v>
      </c>
      <c r="Z523" s="198">
        <f>-INDEX(Parameters!$B:$B,MATCH(Z$3&amp;$C523,Parameters!$A:$A,0))*$X523</f>
        <v>0</v>
      </c>
      <c r="AA523" s="139">
        <f t="shared" si="276"/>
        <v>1000</v>
      </c>
      <c r="AB523" s="205">
        <f>AA523/INDEX(Parameters!$B:$B,MATCH("AfschrijftermijnVVE"&amp;12*$C523,Parameters!$A:$A,0))</f>
        <v>16.666666666666668</v>
      </c>
      <c r="AC523" s="204">
        <f>INDEX('Tarieven ZM'!$G:$G,$W523)</f>
        <v>1000</v>
      </c>
      <c r="AD523" s="198">
        <f>-INDEX(Parameters!$B:$B,MATCH(AD$3&amp;$C523,Parameters!$A:$A,0))*$AC523</f>
        <v>0</v>
      </c>
      <c r="AE523" s="198">
        <f>-INDEX(Parameters!$B:$B,MATCH(AE$3,Parameters!$A:$A,0))*$AC523</f>
        <v>0</v>
      </c>
      <c r="AF523" s="139">
        <f t="shared" si="277"/>
        <v>1000</v>
      </c>
      <c r="AG523" s="522">
        <f t="shared" si="278"/>
        <v>1016.6666666666666</v>
      </c>
      <c r="AH523" s="175"/>
      <c r="AI523" s="523">
        <f>MATCH($U523,'Tarieven W&amp;O'!$B:$B,0)</f>
        <v>63</v>
      </c>
      <c r="AJ523" s="204">
        <f>IF(AI523&lt;&gt;"nvt",INDEX('Tarieven W&amp;O'!$H:$H,$AI523),0)</f>
        <v>0</v>
      </c>
      <c r="AK523" s="204">
        <f>IF(AI523&lt;&gt;"nvt",INDEX('Tarieven W&amp;O'!$I:$I,$AI523),0)</f>
        <v>25</v>
      </c>
      <c r="AL523" s="524">
        <f>IF(AI523&lt;&gt;"nvt",-INDEX(Parameters!$B:$B,MATCH(AL$3,Parameters!$A:$A,0))*(AJ523+AK523),0)</f>
        <v>0</v>
      </c>
      <c r="AM523" s="525"/>
      <c r="AN523" s="139">
        <f t="shared" si="279"/>
        <v>25</v>
      </c>
      <c r="AO523" s="205">
        <f>AN523/INDEX(Parameters!$B:$B,MATCH("AfschrijftermijnVVE"&amp;12*$C523,Parameters!$A:$A,0))</f>
        <v>0.41666666666666669</v>
      </c>
      <c r="AP523" s="139">
        <f t="shared" si="280"/>
        <v>63</v>
      </c>
      <c r="AQ523" s="526">
        <f>IF(AP523&lt;&gt;"nvt",INDEX('Tarieven W&amp;O'!$G:$G,$AP523),0)</f>
        <v>54.24</v>
      </c>
      <c r="AR523" s="251">
        <f>IF($S523,INDEX('Tarieven W&amp;O'!$G:$G,MATCH(N523&amp;R523,'Tarieven W&amp;O'!$B:$B,0)),0)</f>
        <v>0</v>
      </c>
      <c r="AS523" s="205">
        <f>-INDEX(Parameters!$B:$B,MATCH(AS$3,Parameters!$A:$A,0))*(AQ523+AR523)</f>
        <v>0</v>
      </c>
      <c r="AT523" s="205">
        <f>INDEX(hulpblad!$E:$E,MATCH(M523&amp;Q523,hulpblad!$B:$B,0))</f>
        <v>1</v>
      </c>
      <c r="AU523" s="150">
        <f t="shared" si="283"/>
        <v>55.24</v>
      </c>
      <c r="AV523" s="150">
        <f t="shared" si="284"/>
        <v>55.656666666666666</v>
      </c>
      <c r="AX523" s="526">
        <f>Parameters!$B$6*AV523</f>
        <v>0.55656666666666665</v>
      </c>
      <c r="AY523" s="150">
        <v>0</v>
      </c>
      <c r="AZ523" s="150"/>
      <c r="BA523" s="150">
        <f t="shared" si="281"/>
        <v>0.55656666666666665</v>
      </c>
      <c r="BB523" s="150"/>
      <c r="BC523" s="522">
        <f t="shared" si="282"/>
        <v>56.213233333333335</v>
      </c>
      <c r="BD523" s="175"/>
      <c r="BE523" s="527">
        <f t="shared" si="285"/>
        <v>960.45343333333335</v>
      </c>
      <c r="BF523" s="181">
        <f t="shared" si="286"/>
        <v>0.9447082950819673</v>
      </c>
      <c r="BG523" s="520" t="b">
        <f t="shared" si="275"/>
        <v>0</v>
      </c>
      <c r="BI523" s="528" t="s">
        <v>2181</v>
      </c>
      <c r="BL523" s="151" t="str">
        <f t="shared" si="288"/>
        <v>EoKMetro - Regionaal</v>
      </c>
      <c r="BM523" s="529">
        <v>0</v>
      </c>
      <c r="BN523" s="180">
        <f>BM523/INDEX(Parameters!$B:$B,MATCH("AfschrijftermijnVVE"&amp;12*$C523,Parameters!$A:$A,0))</f>
        <v>0</v>
      </c>
      <c r="BO523" s="184">
        <f>INDEX('inkoop ULL tbv EVPN'!I:I,MATCH(BL523,'inkoop ULL tbv EVPN'!H:H,0))</f>
        <v>2</v>
      </c>
      <c r="BP523" s="184">
        <f t="shared" si="289"/>
        <v>2</v>
      </c>
      <c r="BR523" s="180">
        <f>Parameters!$B$12*AG523</f>
        <v>101.66666666666667</v>
      </c>
      <c r="BS523" s="180">
        <f>SUM(Distributievergoedingen!$F$12,Distributievergoedingen!$I$12,Distributievergoedingen!$L$12,Distributievergoedingen!$O$12)*AF523+SUM(Distributievergoedingen!$O$12*AA523+Distributievergoedingen!$R$12+Distributievergoedingen!$U$12+Distributievergoedingen!$X$12)/(MAX(36,12*C523))</f>
        <v>111.66666666666667</v>
      </c>
      <c r="BT523" s="150"/>
      <c r="BU523" s="150">
        <f t="shared" si="290"/>
        <v>213.33333333333334</v>
      </c>
      <c r="BW523" s="522">
        <f t="shared" si="291"/>
        <v>215.33333333333334</v>
      </c>
      <c r="BY523" s="527">
        <f t="shared" si="292"/>
        <v>801.33333333333326</v>
      </c>
      <c r="BZ523" s="181">
        <f t="shared" si="293"/>
        <v>0.78819672131147533</v>
      </c>
      <c r="CA523" s="520" t="b">
        <f t="shared" si="294"/>
        <v>0</v>
      </c>
    </row>
    <row r="524" spans="1:79" s="151" customFormat="1">
      <c r="A524" s="151" t="str">
        <f t="shared" si="287"/>
        <v>5EoKPremiumCity10</v>
      </c>
      <c r="B524" s="520" t="str">
        <f t="shared" si="272"/>
        <v>5EoKPremiumCity10</v>
      </c>
      <c r="C524" s="179">
        <v>5</v>
      </c>
      <c r="D524" s="179" t="s">
        <v>303</v>
      </c>
      <c r="E524" s="178" t="s">
        <v>267</v>
      </c>
      <c r="F524" s="178" t="s">
        <v>262</v>
      </c>
      <c r="G524" s="185" t="s">
        <v>412</v>
      </c>
      <c r="J524" s="520" t="str">
        <f t="shared" si="273"/>
        <v>PremiumCity10</v>
      </c>
      <c r="L524" s="204">
        <f>INDEX(Mapping!$H:$H,MATCH(C$3&amp;C524,Mapping!$B:$B,0))</f>
        <v>1</v>
      </c>
      <c r="M524" s="204" t="str">
        <f>INDEX(Mapping!$H:$H,MATCH(D$3&amp;$D524,Mapping!$B:$B,0))</f>
        <v>EoK</v>
      </c>
      <c r="N524" s="204" t="str">
        <f>INDEX(Mapping!$H:$H,MATCH(E$3&amp;E524,Mapping!$B:$B,0))</f>
        <v>Premium</v>
      </c>
      <c r="O524" s="204" t="str">
        <f>INDEX(Mapping!$H:$H,MATCH(F$3&amp;F524,Mapping!$B:$B,0))</f>
        <v>Metro</v>
      </c>
      <c r="P524" s="204">
        <f>INDEX(Mapping!$H:$H,MATCH(G$3&amp;G524,Mapping!$B:$B,0))</f>
        <v>10</v>
      </c>
      <c r="Q524" s="204" t="str">
        <f>INDEX(Mapping!$H:$H,MATCH(Q$3&amp;$F524,Mapping!$B:$B,0))</f>
        <v>Metro - Regionaal</v>
      </c>
      <c r="R524" s="204" t="str">
        <f>INDEX(Mapping!$H:$H,MATCH("ZM VPN Service Level"&amp;E524,Mapping!$B:$B,0))</f>
        <v>Advanced</v>
      </c>
      <c r="S524" s="139" t="b">
        <f>IF($D524="EoK",INDEX(Mapping!$I:$I,MATCH($G$3&amp;$G524,Mapping!B:B,0)),FALSE)</f>
        <v>0</v>
      </c>
      <c r="T524" s="139"/>
      <c r="U524" s="520" t="str">
        <f t="shared" si="274"/>
        <v>PremiumMetro10</v>
      </c>
      <c r="W524" s="521">
        <f>MATCH($J524,'Tarieven ZM'!$B:$B,0)</f>
        <v>72</v>
      </c>
      <c r="X524" s="204">
        <f>INDEX('Tarieven ZM'!$H:$H,$W524)</f>
        <v>1000</v>
      </c>
      <c r="Y524" s="198">
        <f>-INDEX(Parameters!$B:$B,MATCH(Y$3&amp;$C524,Parameters!$A:$A,0))*$X524</f>
        <v>0</v>
      </c>
      <c r="Z524" s="198">
        <f>-INDEX(Parameters!$B:$B,MATCH(Z$3&amp;$C524,Parameters!$A:$A,0))*$X524</f>
        <v>0</v>
      </c>
      <c r="AA524" s="139">
        <f t="shared" si="276"/>
        <v>1000</v>
      </c>
      <c r="AB524" s="205">
        <f>AA524/INDEX(Parameters!$B:$B,MATCH("AfschrijftermijnVVE"&amp;12*$C524,Parameters!$A:$A,0))</f>
        <v>16.666666666666668</v>
      </c>
      <c r="AC524" s="204">
        <f>INDEX('Tarieven ZM'!$G:$G,$W524)</f>
        <v>1000</v>
      </c>
      <c r="AD524" s="198">
        <f>-INDEX(Parameters!$B:$B,MATCH(AD$3&amp;$C524,Parameters!$A:$A,0))*$AC524</f>
        <v>0</v>
      </c>
      <c r="AE524" s="198">
        <f>-INDEX(Parameters!$B:$B,MATCH(AE$3,Parameters!$A:$A,0))*$AC524</f>
        <v>0</v>
      </c>
      <c r="AF524" s="139">
        <f t="shared" si="277"/>
        <v>1000</v>
      </c>
      <c r="AG524" s="522">
        <f t="shared" si="278"/>
        <v>1016.6666666666666</v>
      </c>
      <c r="AH524" s="175"/>
      <c r="AI524" s="523">
        <f>MATCH($U524,'Tarieven W&amp;O'!$B:$B,0)</f>
        <v>64</v>
      </c>
      <c r="AJ524" s="204">
        <f>IF(AI524&lt;&gt;"nvt",INDEX('Tarieven W&amp;O'!$H:$H,$AI524),0)</f>
        <v>0</v>
      </c>
      <c r="AK524" s="204">
        <f>IF(AI524&lt;&gt;"nvt",INDEX('Tarieven W&amp;O'!$I:$I,$AI524),0)</f>
        <v>25</v>
      </c>
      <c r="AL524" s="524">
        <f>IF(AI524&lt;&gt;"nvt",-INDEX(Parameters!$B:$B,MATCH(AL$3,Parameters!$A:$A,0))*(AJ524+AK524),0)</f>
        <v>0</v>
      </c>
      <c r="AM524" s="525"/>
      <c r="AN524" s="139">
        <f t="shared" si="279"/>
        <v>25</v>
      </c>
      <c r="AO524" s="205">
        <f>AN524/INDEX(Parameters!$B:$B,MATCH("AfschrijftermijnVVE"&amp;12*$C524,Parameters!$A:$A,0))</f>
        <v>0.41666666666666669</v>
      </c>
      <c r="AP524" s="139">
        <f t="shared" si="280"/>
        <v>64</v>
      </c>
      <c r="AQ524" s="526">
        <f>IF(AP524&lt;&gt;"nvt",INDEX('Tarieven W&amp;O'!$G:$G,$AP524),0)</f>
        <v>58.01</v>
      </c>
      <c r="AR524" s="251">
        <f>IF($S524,INDEX('Tarieven W&amp;O'!$G:$G,MATCH(N524&amp;R524,'Tarieven W&amp;O'!$B:$B,0)),0)</f>
        <v>0</v>
      </c>
      <c r="AS524" s="205">
        <f>-INDEX(Parameters!$B:$B,MATCH(AS$3,Parameters!$A:$A,0))*(AQ524+AR524)</f>
        <v>0</v>
      </c>
      <c r="AT524" s="205">
        <f>INDEX(hulpblad!$E:$E,MATCH(M524&amp;Q524,hulpblad!$B:$B,0))</f>
        <v>1</v>
      </c>
      <c r="AU524" s="150">
        <f t="shared" si="283"/>
        <v>59.01</v>
      </c>
      <c r="AV524" s="150">
        <f t="shared" si="284"/>
        <v>59.426666666666662</v>
      </c>
      <c r="AX524" s="526">
        <f>Parameters!$B$6*AV524</f>
        <v>0.59426666666666661</v>
      </c>
      <c r="AY524" s="150">
        <v>0</v>
      </c>
      <c r="AZ524" s="150"/>
      <c r="BA524" s="150">
        <f t="shared" si="281"/>
        <v>0.59426666666666661</v>
      </c>
      <c r="BB524" s="150"/>
      <c r="BC524" s="522">
        <f t="shared" si="282"/>
        <v>60.020933333333332</v>
      </c>
      <c r="BD524" s="175"/>
      <c r="BE524" s="527">
        <f t="shared" si="285"/>
        <v>956.64573333333328</v>
      </c>
      <c r="BF524" s="181">
        <f t="shared" si="286"/>
        <v>0.9409630163934426</v>
      </c>
      <c r="BG524" s="520" t="b">
        <f t="shared" si="275"/>
        <v>0</v>
      </c>
      <c r="BI524" s="528" t="s">
        <v>2181</v>
      </c>
      <c r="BL524" s="151" t="str">
        <f t="shared" si="288"/>
        <v>EoKMetro - Regionaal</v>
      </c>
      <c r="BM524" s="529">
        <v>0</v>
      </c>
      <c r="BN524" s="180">
        <f>BM524/INDEX(Parameters!$B:$B,MATCH("AfschrijftermijnVVE"&amp;12*$C524,Parameters!$A:$A,0))</f>
        <v>0</v>
      </c>
      <c r="BO524" s="184">
        <f>INDEX('inkoop ULL tbv EVPN'!I:I,MATCH(BL524,'inkoop ULL tbv EVPN'!H:H,0))</f>
        <v>2</v>
      </c>
      <c r="BP524" s="184">
        <f t="shared" si="289"/>
        <v>2</v>
      </c>
      <c r="BR524" s="180">
        <f>Parameters!$B$12*AG524</f>
        <v>101.66666666666667</v>
      </c>
      <c r="BS524" s="180">
        <f>SUM(Distributievergoedingen!$F$12,Distributievergoedingen!$I$12,Distributievergoedingen!$L$12,Distributievergoedingen!$O$12)*AF524+SUM(Distributievergoedingen!$O$12*AA524+Distributievergoedingen!$R$12+Distributievergoedingen!$U$12+Distributievergoedingen!$X$12)/(MAX(36,12*C524))</f>
        <v>111.66666666666667</v>
      </c>
      <c r="BT524" s="150"/>
      <c r="BU524" s="150">
        <f t="shared" si="290"/>
        <v>213.33333333333334</v>
      </c>
      <c r="BW524" s="522">
        <f t="shared" si="291"/>
        <v>215.33333333333334</v>
      </c>
      <c r="BY524" s="527">
        <f t="shared" si="292"/>
        <v>801.33333333333326</v>
      </c>
      <c r="BZ524" s="181">
        <f t="shared" si="293"/>
        <v>0.78819672131147533</v>
      </c>
      <c r="CA524" s="520" t="b">
        <f t="shared" si="294"/>
        <v>0</v>
      </c>
    </row>
    <row r="525" spans="1:79" s="151" customFormat="1">
      <c r="A525" s="151" t="str">
        <f t="shared" si="287"/>
        <v>5EoKPremiumCity15</v>
      </c>
      <c r="B525" s="520" t="str">
        <f t="shared" si="272"/>
        <v>5EoKPremiumCity15</v>
      </c>
      <c r="C525" s="179">
        <v>5</v>
      </c>
      <c r="D525" s="179" t="s">
        <v>303</v>
      </c>
      <c r="E525" s="178" t="s">
        <v>267</v>
      </c>
      <c r="F525" s="178" t="s">
        <v>262</v>
      </c>
      <c r="G525" s="185" t="s">
        <v>413</v>
      </c>
      <c r="J525" s="520" t="str">
        <f t="shared" si="273"/>
        <v>PremiumCity15</v>
      </c>
      <c r="L525" s="204">
        <f>INDEX(Mapping!$H:$H,MATCH(C$3&amp;C525,Mapping!$B:$B,0))</f>
        <v>1</v>
      </c>
      <c r="M525" s="204" t="str">
        <f>INDEX(Mapping!$H:$H,MATCH(D$3&amp;$D525,Mapping!$B:$B,0))</f>
        <v>EoK</v>
      </c>
      <c r="N525" s="204" t="str">
        <f>INDEX(Mapping!$H:$H,MATCH(E$3&amp;E525,Mapping!$B:$B,0))</f>
        <v>Premium</v>
      </c>
      <c r="O525" s="204" t="str">
        <f>INDEX(Mapping!$H:$H,MATCH(F$3&amp;F525,Mapping!$B:$B,0))</f>
        <v>Metro</v>
      </c>
      <c r="P525" s="204">
        <f>INDEX(Mapping!$H:$H,MATCH(G$3&amp;G525,Mapping!$B:$B,0))</f>
        <v>15</v>
      </c>
      <c r="Q525" s="204" t="str">
        <f>INDEX(Mapping!$H:$H,MATCH(Q$3&amp;$F525,Mapping!$B:$B,0))</f>
        <v>Metro - Regionaal</v>
      </c>
      <c r="R525" s="204" t="str">
        <f>INDEX(Mapping!$H:$H,MATCH("ZM VPN Service Level"&amp;E525,Mapping!$B:$B,0))</f>
        <v>Advanced</v>
      </c>
      <c r="S525" s="139" t="b">
        <f>IF($D525="EoK",INDEX(Mapping!$I:$I,MATCH($G$3&amp;$G525,Mapping!B:B,0)),FALSE)</f>
        <v>0</v>
      </c>
      <c r="T525" s="139"/>
      <c r="U525" s="520" t="str">
        <f t="shared" si="274"/>
        <v>PremiumMetro15</v>
      </c>
      <c r="W525" s="521">
        <f>MATCH($J525,'Tarieven ZM'!$B:$B,0)</f>
        <v>73</v>
      </c>
      <c r="X525" s="204">
        <f>INDEX('Tarieven ZM'!$H:$H,$W525)</f>
        <v>1000</v>
      </c>
      <c r="Y525" s="198">
        <f>-INDEX(Parameters!$B:$B,MATCH(Y$3&amp;$C525,Parameters!$A:$A,0))*$X525</f>
        <v>0</v>
      </c>
      <c r="Z525" s="198">
        <f>-INDEX(Parameters!$B:$B,MATCH(Z$3&amp;$C525,Parameters!$A:$A,0))*$X525</f>
        <v>0</v>
      </c>
      <c r="AA525" s="139">
        <f t="shared" si="276"/>
        <v>1000</v>
      </c>
      <c r="AB525" s="205">
        <f>AA525/INDEX(Parameters!$B:$B,MATCH("AfschrijftermijnVVE"&amp;12*$C525,Parameters!$A:$A,0))</f>
        <v>16.666666666666668</v>
      </c>
      <c r="AC525" s="204">
        <f>INDEX('Tarieven ZM'!$G:$G,$W525)</f>
        <v>1000</v>
      </c>
      <c r="AD525" s="198">
        <f>-INDEX(Parameters!$B:$B,MATCH(AD$3&amp;$C525,Parameters!$A:$A,0))*$AC525</f>
        <v>0</v>
      </c>
      <c r="AE525" s="198">
        <f>-INDEX(Parameters!$B:$B,MATCH(AE$3,Parameters!$A:$A,0))*$AC525</f>
        <v>0</v>
      </c>
      <c r="AF525" s="139">
        <f t="shared" si="277"/>
        <v>1000</v>
      </c>
      <c r="AG525" s="522">
        <f t="shared" si="278"/>
        <v>1016.6666666666666</v>
      </c>
      <c r="AH525" s="175"/>
      <c r="AI525" s="523">
        <f>MATCH($U525,'Tarieven W&amp;O'!$B:$B,0)</f>
        <v>65</v>
      </c>
      <c r="AJ525" s="204">
        <f>IF(AI525&lt;&gt;"nvt",INDEX('Tarieven W&amp;O'!$H:$H,$AI525),0)</f>
        <v>0</v>
      </c>
      <c r="AK525" s="204">
        <f>IF(AI525&lt;&gt;"nvt",INDEX('Tarieven W&amp;O'!$I:$I,$AI525),0)</f>
        <v>25</v>
      </c>
      <c r="AL525" s="524">
        <f>IF(AI525&lt;&gt;"nvt",-INDEX(Parameters!$B:$B,MATCH(AL$3,Parameters!$A:$A,0))*(AJ525+AK525),0)</f>
        <v>0</v>
      </c>
      <c r="AM525" s="525"/>
      <c r="AN525" s="139">
        <f t="shared" si="279"/>
        <v>25</v>
      </c>
      <c r="AO525" s="205">
        <f>AN525/INDEX(Parameters!$B:$B,MATCH("AfschrijftermijnVVE"&amp;12*$C525,Parameters!$A:$A,0))</f>
        <v>0.41666666666666669</v>
      </c>
      <c r="AP525" s="139">
        <f t="shared" si="280"/>
        <v>65</v>
      </c>
      <c r="AQ525" s="526">
        <f>IF(AP525&lt;&gt;"nvt",INDEX('Tarieven W&amp;O'!$G:$G,$AP525),0)</f>
        <v>80.63</v>
      </c>
      <c r="AR525" s="251">
        <f>IF($S525,INDEX('Tarieven W&amp;O'!$G:$G,MATCH(N525&amp;R525,'Tarieven W&amp;O'!$B:$B,0)),0)</f>
        <v>0</v>
      </c>
      <c r="AS525" s="205">
        <f>-INDEX(Parameters!$B:$B,MATCH(AS$3,Parameters!$A:$A,0))*(AQ525+AR525)</f>
        <v>0</v>
      </c>
      <c r="AT525" s="205">
        <f>INDEX(hulpblad!$E:$E,MATCH(M525&amp;Q525,hulpblad!$B:$B,0))</f>
        <v>1</v>
      </c>
      <c r="AU525" s="150">
        <f t="shared" si="283"/>
        <v>81.63</v>
      </c>
      <c r="AV525" s="150">
        <f t="shared" si="284"/>
        <v>82.046666666666667</v>
      </c>
      <c r="AX525" s="526">
        <f>Parameters!$B$6*AV525</f>
        <v>0.82046666666666668</v>
      </c>
      <c r="AY525" s="150">
        <v>0</v>
      </c>
      <c r="AZ525" s="150"/>
      <c r="BA525" s="150">
        <f t="shared" si="281"/>
        <v>0.82046666666666668</v>
      </c>
      <c r="BB525" s="150"/>
      <c r="BC525" s="522">
        <f t="shared" si="282"/>
        <v>82.867133333333328</v>
      </c>
      <c r="BD525" s="175"/>
      <c r="BE525" s="527">
        <f t="shared" si="285"/>
        <v>933.79953333333333</v>
      </c>
      <c r="BF525" s="181">
        <f t="shared" si="286"/>
        <v>0.91849134426229506</v>
      </c>
      <c r="BG525" s="520" t="b">
        <f t="shared" si="275"/>
        <v>0</v>
      </c>
      <c r="BI525" s="528" t="s">
        <v>2181</v>
      </c>
      <c r="BL525" s="151" t="str">
        <f t="shared" si="288"/>
        <v>EoKMetro - Regionaal</v>
      </c>
      <c r="BM525" s="529">
        <v>0</v>
      </c>
      <c r="BN525" s="180">
        <f>BM525/INDEX(Parameters!$B:$B,MATCH("AfschrijftermijnVVE"&amp;12*$C525,Parameters!$A:$A,0))</f>
        <v>0</v>
      </c>
      <c r="BO525" s="184">
        <f>INDEX('inkoop ULL tbv EVPN'!I:I,MATCH(BL525,'inkoop ULL tbv EVPN'!H:H,0))</f>
        <v>2</v>
      </c>
      <c r="BP525" s="184">
        <f t="shared" si="289"/>
        <v>2</v>
      </c>
      <c r="BR525" s="180">
        <f>Parameters!$B$12*AG525</f>
        <v>101.66666666666667</v>
      </c>
      <c r="BS525" s="180">
        <f>SUM(Distributievergoedingen!$F$12,Distributievergoedingen!$I$12,Distributievergoedingen!$L$12,Distributievergoedingen!$O$12)*AF525+SUM(Distributievergoedingen!$O$12*AA525+Distributievergoedingen!$R$12+Distributievergoedingen!$U$12+Distributievergoedingen!$X$12)/(MAX(36,12*C525))</f>
        <v>111.66666666666667</v>
      </c>
      <c r="BT525" s="150"/>
      <c r="BU525" s="150">
        <f t="shared" si="290"/>
        <v>213.33333333333334</v>
      </c>
      <c r="BW525" s="522">
        <f t="shared" si="291"/>
        <v>215.33333333333334</v>
      </c>
      <c r="BY525" s="527">
        <f t="shared" si="292"/>
        <v>801.33333333333326</v>
      </c>
      <c r="BZ525" s="181">
        <f t="shared" si="293"/>
        <v>0.78819672131147533</v>
      </c>
      <c r="CA525" s="520" t="b">
        <f t="shared" si="294"/>
        <v>0</v>
      </c>
    </row>
    <row r="526" spans="1:79" s="151" customFormat="1">
      <c r="A526" s="151" t="str">
        <f t="shared" si="287"/>
        <v>5EoKPremiumCity20</v>
      </c>
      <c r="B526" s="520" t="str">
        <f t="shared" ref="B526:B573" si="295">A526</f>
        <v>5EoKPremiumCity20</v>
      </c>
      <c r="C526" s="179">
        <v>5</v>
      </c>
      <c r="D526" s="179" t="s">
        <v>303</v>
      </c>
      <c r="E526" s="178" t="s">
        <v>267</v>
      </c>
      <c r="F526" s="178" t="s">
        <v>262</v>
      </c>
      <c r="G526" s="185" t="s">
        <v>414</v>
      </c>
      <c r="J526" s="520" t="str">
        <f t="shared" ref="J526:J573" si="296">E526&amp;F526&amp;G526&amp;H526</f>
        <v>PremiumCity20</v>
      </c>
      <c r="L526" s="204">
        <f>INDEX(Mapping!$H:$H,MATCH(C$3&amp;C526,Mapping!$B:$B,0))</f>
        <v>1</v>
      </c>
      <c r="M526" s="204" t="str">
        <f>INDEX(Mapping!$H:$H,MATCH(D$3&amp;$D526,Mapping!$B:$B,0))</f>
        <v>EoK</v>
      </c>
      <c r="N526" s="204" t="str">
        <f>INDEX(Mapping!$H:$H,MATCH(E$3&amp;E526,Mapping!$B:$B,0))</f>
        <v>Premium</v>
      </c>
      <c r="O526" s="204" t="str">
        <f>INDEX(Mapping!$H:$H,MATCH(F$3&amp;F526,Mapping!$B:$B,0))</f>
        <v>Metro</v>
      </c>
      <c r="P526" s="204">
        <f>INDEX(Mapping!$H:$H,MATCH(G$3&amp;G526,Mapping!$B:$B,0))</f>
        <v>20</v>
      </c>
      <c r="Q526" s="204" t="str">
        <f>INDEX(Mapping!$H:$H,MATCH(Q$3&amp;$F526,Mapping!$B:$B,0))</f>
        <v>Metro - Regionaal</v>
      </c>
      <c r="R526" s="204" t="str">
        <f>INDEX(Mapping!$H:$H,MATCH("ZM VPN Service Level"&amp;E526,Mapping!$B:$B,0))</f>
        <v>Advanced</v>
      </c>
      <c r="S526" s="139" t="b">
        <f>IF($D526="EoK",INDEX(Mapping!$I:$I,MATCH($G$3&amp;$G526,Mapping!B:B,0)),FALSE)</f>
        <v>0</v>
      </c>
      <c r="T526" s="139"/>
      <c r="U526" s="520" t="str">
        <f t="shared" ref="U526:U573" si="297">N526&amp;O526&amp;P526</f>
        <v>PremiumMetro20</v>
      </c>
      <c r="W526" s="521">
        <f>MATCH($J526,'Tarieven ZM'!$B:$B,0)</f>
        <v>74</v>
      </c>
      <c r="X526" s="204">
        <f>INDEX('Tarieven ZM'!$H:$H,$W526)</f>
        <v>1000</v>
      </c>
      <c r="Y526" s="198">
        <f>-INDEX(Parameters!$B:$B,MATCH(Y$3&amp;$C526,Parameters!$A:$A,0))*$X526</f>
        <v>0</v>
      </c>
      <c r="Z526" s="198">
        <f>-INDEX(Parameters!$B:$B,MATCH(Z$3&amp;$C526,Parameters!$A:$A,0))*$X526</f>
        <v>0</v>
      </c>
      <c r="AA526" s="139">
        <f t="shared" si="276"/>
        <v>1000</v>
      </c>
      <c r="AB526" s="205">
        <f>AA526/INDEX(Parameters!$B:$B,MATCH("AfschrijftermijnVVE"&amp;12*$C526,Parameters!$A:$A,0))</f>
        <v>16.666666666666668</v>
      </c>
      <c r="AC526" s="204">
        <f>INDEX('Tarieven ZM'!$G:$G,$W526)</f>
        <v>1000</v>
      </c>
      <c r="AD526" s="198">
        <f>-INDEX(Parameters!$B:$B,MATCH(AD$3&amp;$C526,Parameters!$A:$A,0))*$AC526</f>
        <v>0</v>
      </c>
      <c r="AE526" s="198">
        <f>-INDEX(Parameters!$B:$B,MATCH(AE$3,Parameters!$A:$A,0))*$AC526</f>
        <v>0</v>
      </c>
      <c r="AF526" s="139">
        <f t="shared" si="277"/>
        <v>1000</v>
      </c>
      <c r="AG526" s="522">
        <f t="shared" si="278"/>
        <v>1016.6666666666666</v>
      </c>
      <c r="AH526" s="175"/>
      <c r="AI526" s="523">
        <f>MATCH($U526,'Tarieven W&amp;O'!$B:$B,0)</f>
        <v>66</v>
      </c>
      <c r="AJ526" s="204">
        <f>IF(AI526&lt;&gt;"nvt",INDEX('Tarieven W&amp;O'!$H:$H,$AI526),0)</f>
        <v>0</v>
      </c>
      <c r="AK526" s="204">
        <f>IF(AI526&lt;&gt;"nvt",INDEX('Tarieven W&amp;O'!$I:$I,$AI526),0)</f>
        <v>25</v>
      </c>
      <c r="AL526" s="524">
        <f>IF(AI526&lt;&gt;"nvt",-INDEX(Parameters!$B:$B,MATCH(AL$3,Parameters!$A:$A,0))*(AJ526+AK526),0)</f>
        <v>0</v>
      </c>
      <c r="AM526" s="525"/>
      <c r="AN526" s="139">
        <f t="shared" si="279"/>
        <v>25</v>
      </c>
      <c r="AO526" s="205">
        <f>AN526/INDEX(Parameters!$B:$B,MATCH("AfschrijftermijnVVE"&amp;12*$C526,Parameters!$A:$A,0))</f>
        <v>0.41666666666666669</v>
      </c>
      <c r="AP526" s="139">
        <f t="shared" si="280"/>
        <v>66</v>
      </c>
      <c r="AQ526" s="526">
        <f>IF(AP526&lt;&gt;"nvt",INDEX('Tarieven W&amp;O'!$G:$G,$AP526),0)</f>
        <v>88.17</v>
      </c>
      <c r="AR526" s="251">
        <f>IF($S526,INDEX('Tarieven W&amp;O'!$G:$G,MATCH(N526&amp;R526,'Tarieven W&amp;O'!$B:$B,0)),0)</f>
        <v>0</v>
      </c>
      <c r="AS526" s="205">
        <f>-INDEX(Parameters!$B:$B,MATCH(AS$3,Parameters!$A:$A,0))*(AQ526+AR526)</f>
        <v>0</v>
      </c>
      <c r="AT526" s="205">
        <f>INDEX(hulpblad!$E:$E,MATCH(M526&amp;Q526,hulpblad!$B:$B,0))</f>
        <v>1</v>
      </c>
      <c r="AU526" s="150">
        <f t="shared" si="283"/>
        <v>89.17</v>
      </c>
      <c r="AV526" s="150">
        <f t="shared" si="284"/>
        <v>89.586666666666673</v>
      </c>
      <c r="AX526" s="526">
        <f>Parameters!$B$6*AV526</f>
        <v>0.8958666666666667</v>
      </c>
      <c r="AY526" s="150">
        <v>0</v>
      </c>
      <c r="AZ526" s="150"/>
      <c r="BA526" s="150">
        <f t="shared" si="281"/>
        <v>0.8958666666666667</v>
      </c>
      <c r="BB526" s="150"/>
      <c r="BC526" s="522">
        <f t="shared" si="282"/>
        <v>90.482533333333336</v>
      </c>
      <c r="BD526" s="175"/>
      <c r="BE526" s="527">
        <f t="shared" si="285"/>
        <v>926.18413333333331</v>
      </c>
      <c r="BF526" s="181">
        <f t="shared" si="286"/>
        <v>0.91100078688524588</v>
      </c>
      <c r="BG526" s="520" t="b">
        <f t="shared" ref="BG526:BG573" si="298">BF526&lt;0</f>
        <v>0</v>
      </c>
      <c r="BI526" s="528" t="s">
        <v>2181</v>
      </c>
      <c r="BL526" s="151" t="str">
        <f t="shared" si="288"/>
        <v>EoKMetro - Regionaal</v>
      </c>
      <c r="BM526" s="529">
        <v>0</v>
      </c>
      <c r="BN526" s="180">
        <f>BM526/INDEX(Parameters!$B:$B,MATCH("AfschrijftermijnVVE"&amp;12*$C526,Parameters!$A:$A,0))</f>
        <v>0</v>
      </c>
      <c r="BO526" s="184">
        <f>INDEX('inkoop ULL tbv EVPN'!I:I,MATCH(BL526,'inkoop ULL tbv EVPN'!H:H,0))</f>
        <v>2</v>
      </c>
      <c r="BP526" s="184">
        <f t="shared" si="289"/>
        <v>2</v>
      </c>
      <c r="BR526" s="180">
        <f>Parameters!$B$12*AG526</f>
        <v>101.66666666666667</v>
      </c>
      <c r="BS526" s="180">
        <f>SUM(Distributievergoedingen!$F$12,Distributievergoedingen!$I$12,Distributievergoedingen!$L$12,Distributievergoedingen!$O$12)*AF526+SUM(Distributievergoedingen!$O$12*AA526+Distributievergoedingen!$R$12+Distributievergoedingen!$U$12+Distributievergoedingen!$X$12)/(MAX(36,12*C526))</f>
        <v>111.66666666666667</v>
      </c>
      <c r="BT526" s="150"/>
      <c r="BU526" s="150">
        <f t="shared" si="290"/>
        <v>213.33333333333334</v>
      </c>
      <c r="BW526" s="522">
        <f t="shared" si="291"/>
        <v>215.33333333333334</v>
      </c>
      <c r="BY526" s="527">
        <f t="shared" si="292"/>
        <v>801.33333333333326</v>
      </c>
      <c r="BZ526" s="181">
        <f t="shared" si="293"/>
        <v>0.78819672131147533</v>
      </c>
      <c r="CA526" s="520" t="b">
        <f t="shared" si="294"/>
        <v>0</v>
      </c>
    </row>
    <row r="527" spans="1:79" s="151" customFormat="1">
      <c r="A527" s="151" t="str">
        <f t="shared" si="287"/>
        <v>5EoKPremiumCity30</v>
      </c>
      <c r="B527" s="520" t="str">
        <f t="shared" si="295"/>
        <v>5EoKPremiumCity30</v>
      </c>
      <c r="C527" s="179">
        <v>5</v>
      </c>
      <c r="D527" s="179" t="s">
        <v>303</v>
      </c>
      <c r="E527" s="178" t="s">
        <v>267</v>
      </c>
      <c r="F527" s="178" t="s">
        <v>262</v>
      </c>
      <c r="G527" s="185" t="s">
        <v>415</v>
      </c>
      <c r="J527" s="520" t="str">
        <f t="shared" si="296"/>
        <v>PremiumCity30</v>
      </c>
      <c r="L527" s="204">
        <f>INDEX(Mapping!$H:$H,MATCH(C$3&amp;C527,Mapping!$B:$B,0))</f>
        <v>1</v>
      </c>
      <c r="M527" s="204" t="str">
        <f>INDEX(Mapping!$H:$H,MATCH(D$3&amp;$D527,Mapping!$B:$B,0))</f>
        <v>EoK</v>
      </c>
      <c r="N527" s="204" t="str">
        <f>INDEX(Mapping!$H:$H,MATCH(E$3&amp;E527,Mapping!$B:$B,0))</f>
        <v>Premium</v>
      </c>
      <c r="O527" s="204" t="str">
        <f>INDEX(Mapping!$H:$H,MATCH(F$3&amp;F527,Mapping!$B:$B,0))</f>
        <v>Metro</v>
      </c>
      <c r="P527" s="204">
        <f>INDEX(Mapping!$H:$H,MATCH(G$3&amp;G527,Mapping!$B:$B,0))</f>
        <v>30</v>
      </c>
      <c r="Q527" s="204" t="str">
        <f>INDEX(Mapping!$H:$H,MATCH(Q$3&amp;$F527,Mapping!$B:$B,0))</f>
        <v>Metro - Regionaal</v>
      </c>
      <c r="R527" s="204" t="str">
        <f>INDEX(Mapping!$H:$H,MATCH("ZM VPN Service Level"&amp;E527,Mapping!$B:$B,0))</f>
        <v>Advanced</v>
      </c>
      <c r="S527" s="139" t="b">
        <f>IF($D527="EoK",INDEX(Mapping!$I:$I,MATCH($G$3&amp;$G527,Mapping!B:B,0)),FALSE)</f>
        <v>0</v>
      </c>
      <c r="T527" s="139"/>
      <c r="U527" s="520" t="str">
        <f t="shared" si="297"/>
        <v>PremiumMetro30</v>
      </c>
      <c r="W527" s="521">
        <f>MATCH($J527,'Tarieven ZM'!$B:$B,0)</f>
        <v>75</v>
      </c>
      <c r="X527" s="204">
        <f>INDEX('Tarieven ZM'!$H:$H,$W527)</f>
        <v>1000</v>
      </c>
      <c r="Y527" s="198">
        <f>-INDEX(Parameters!$B:$B,MATCH(Y$3&amp;$C527,Parameters!$A:$A,0))*$X527</f>
        <v>0</v>
      </c>
      <c r="Z527" s="198">
        <f>-INDEX(Parameters!$B:$B,MATCH(Z$3&amp;$C527,Parameters!$A:$A,0))*$X527</f>
        <v>0</v>
      </c>
      <c r="AA527" s="139">
        <f t="shared" si="276"/>
        <v>1000</v>
      </c>
      <c r="AB527" s="205">
        <f>AA527/INDEX(Parameters!$B:$B,MATCH("AfschrijftermijnVVE"&amp;12*$C527,Parameters!$A:$A,0))</f>
        <v>16.666666666666668</v>
      </c>
      <c r="AC527" s="204">
        <f>INDEX('Tarieven ZM'!$G:$G,$W527)</f>
        <v>1000</v>
      </c>
      <c r="AD527" s="198">
        <f>-INDEX(Parameters!$B:$B,MATCH(AD$3&amp;$C527,Parameters!$A:$A,0))*$AC527</f>
        <v>0</v>
      </c>
      <c r="AE527" s="198">
        <f>-INDEX(Parameters!$B:$B,MATCH(AE$3,Parameters!$A:$A,0))*$AC527</f>
        <v>0</v>
      </c>
      <c r="AF527" s="139">
        <f t="shared" si="277"/>
        <v>1000</v>
      </c>
      <c r="AG527" s="522">
        <f t="shared" si="278"/>
        <v>1016.6666666666666</v>
      </c>
      <c r="AH527" s="175"/>
      <c r="AI527" s="523">
        <f>MATCH($U527,'Tarieven W&amp;O'!$B:$B,0)</f>
        <v>67</v>
      </c>
      <c r="AJ527" s="204">
        <f>IF(AI527&lt;&gt;"nvt",INDEX('Tarieven W&amp;O'!$H:$H,$AI527),0)</f>
        <v>0</v>
      </c>
      <c r="AK527" s="204">
        <f>IF(AI527&lt;&gt;"nvt",INDEX('Tarieven W&amp;O'!$I:$I,$AI527),0)</f>
        <v>25</v>
      </c>
      <c r="AL527" s="524">
        <f>IF(AI527&lt;&gt;"nvt",-INDEX(Parameters!$B:$B,MATCH(AL$3,Parameters!$A:$A,0))*(AJ527+AK527),0)</f>
        <v>0</v>
      </c>
      <c r="AM527" s="525"/>
      <c r="AN527" s="139">
        <f t="shared" si="279"/>
        <v>25</v>
      </c>
      <c r="AO527" s="205">
        <f>AN527/INDEX(Parameters!$B:$B,MATCH("AfschrijftermijnVVE"&amp;12*$C527,Parameters!$A:$A,0))</f>
        <v>0.41666666666666669</v>
      </c>
      <c r="AP527" s="139">
        <f t="shared" si="280"/>
        <v>67</v>
      </c>
      <c r="AQ527" s="526">
        <f>IF(AP527&lt;&gt;"nvt",INDEX('Tarieven W&amp;O'!$G:$G,$AP527),0)</f>
        <v>110.78</v>
      </c>
      <c r="AR527" s="251">
        <f>IF($S527,INDEX('Tarieven W&amp;O'!$G:$G,MATCH(N527&amp;R527,'Tarieven W&amp;O'!$B:$B,0)),0)</f>
        <v>0</v>
      </c>
      <c r="AS527" s="205">
        <f>-INDEX(Parameters!$B:$B,MATCH(AS$3,Parameters!$A:$A,0))*(AQ527+AR527)</f>
        <v>0</v>
      </c>
      <c r="AT527" s="205">
        <f>INDEX(hulpblad!$E:$E,MATCH(M527&amp;Q527,hulpblad!$B:$B,0))</f>
        <v>1</v>
      </c>
      <c r="AU527" s="150">
        <f t="shared" si="283"/>
        <v>111.78</v>
      </c>
      <c r="AV527" s="150">
        <f t="shared" si="284"/>
        <v>112.19666666666667</v>
      </c>
      <c r="AX527" s="526">
        <f>Parameters!$B$6*AV527</f>
        <v>1.1219666666666668</v>
      </c>
      <c r="AY527" s="150">
        <v>0</v>
      </c>
      <c r="AZ527" s="150"/>
      <c r="BA527" s="150">
        <f t="shared" si="281"/>
        <v>1.1219666666666668</v>
      </c>
      <c r="BB527" s="150"/>
      <c r="BC527" s="522">
        <f t="shared" si="282"/>
        <v>113.31863333333334</v>
      </c>
      <c r="BD527" s="175"/>
      <c r="BE527" s="527">
        <f t="shared" si="285"/>
        <v>903.34803333333332</v>
      </c>
      <c r="BF527" s="181">
        <f t="shared" si="286"/>
        <v>0.88853904918032789</v>
      </c>
      <c r="BG527" s="520" t="b">
        <f t="shared" si="298"/>
        <v>0</v>
      </c>
      <c r="BI527" s="528" t="s">
        <v>2181</v>
      </c>
      <c r="BL527" s="151" t="str">
        <f t="shared" si="288"/>
        <v>EoKMetro - Regionaal</v>
      </c>
      <c r="BM527" s="529">
        <v>0</v>
      </c>
      <c r="BN527" s="180">
        <f>BM527/INDEX(Parameters!$B:$B,MATCH("AfschrijftermijnVVE"&amp;12*$C527,Parameters!$A:$A,0))</f>
        <v>0</v>
      </c>
      <c r="BO527" s="184">
        <f>INDEX('inkoop ULL tbv EVPN'!I:I,MATCH(BL527,'inkoop ULL tbv EVPN'!H:H,0))</f>
        <v>2</v>
      </c>
      <c r="BP527" s="184">
        <f t="shared" si="289"/>
        <v>2</v>
      </c>
      <c r="BR527" s="180">
        <f>Parameters!$B$12*AG527</f>
        <v>101.66666666666667</v>
      </c>
      <c r="BS527" s="180">
        <f>SUM(Distributievergoedingen!$F$12,Distributievergoedingen!$I$12,Distributievergoedingen!$L$12,Distributievergoedingen!$O$12)*AF527+SUM(Distributievergoedingen!$O$12*AA527+Distributievergoedingen!$R$12+Distributievergoedingen!$U$12+Distributievergoedingen!$X$12)/(MAX(36,12*C527))</f>
        <v>111.66666666666667</v>
      </c>
      <c r="BT527" s="150"/>
      <c r="BU527" s="150">
        <f t="shared" si="290"/>
        <v>213.33333333333334</v>
      </c>
      <c r="BW527" s="522">
        <f t="shared" si="291"/>
        <v>215.33333333333334</v>
      </c>
      <c r="BY527" s="527">
        <f t="shared" si="292"/>
        <v>801.33333333333326</v>
      </c>
      <c r="BZ527" s="181">
        <f t="shared" si="293"/>
        <v>0.78819672131147533</v>
      </c>
      <c r="CA527" s="520" t="b">
        <f t="shared" si="294"/>
        <v>0</v>
      </c>
    </row>
    <row r="528" spans="1:79" s="151" customFormat="1">
      <c r="A528" s="151" t="str">
        <f t="shared" si="287"/>
        <v>5EoKPremiumCity50</v>
      </c>
      <c r="B528" s="520" t="str">
        <f t="shared" si="295"/>
        <v>5EoKPremiumCity50</v>
      </c>
      <c r="C528" s="179">
        <v>5</v>
      </c>
      <c r="D528" s="179" t="s">
        <v>303</v>
      </c>
      <c r="E528" s="178" t="s">
        <v>267</v>
      </c>
      <c r="F528" s="178" t="s">
        <v>262</v>
      </c>
      <c r="G528" s="185" t="s">
        <v>416</v>
      </c>
      <c r="J528" s="520" t="str">
        <f t="shared" si="296"/>
        <v>PremiumCity50</v>
      </c>
      <c r="L528" s="204">
        <f>INDEX(Mapping!$H:$H,MATCH(C$3&amp;C528,Mapping!$B:$B,0))</f>
        <v>1</v>
      </c>
      <c r="M528" s="204" t="str">
        <f>INDEX(Mapping!$H:$H,MATCH(D$3&amp;$D528,Mapping!$B:$B,0))</f>
        <v>EoK</v>
      </c>
      <c r="N528" s="204" t="str">
        <f>INDEX(Mapping!$H:$H,MATCH(E$3&amp;E528,Mapping!$B:$B,0))</f>
        <v>Premium</v>
      </c>
      <c r="O528" s="204" t="str">
        <f>INDEX(Mapping!$H:$H,MATCH(F$3&amp;F528,Mapping!$B:$B,0))</f>
        <v>Metro</v>
      </c>
      <c r="P528" s="204">
        <f>INDEX(Mapping!$H:$H,MATCH(G$3&amp;G528,Mapping!$B:$B,0))</f>
        <v>50</v>
      </c>
      <c r="Q528" s="204" t="str">
        <f>INDEX(Mapping!$H:$H,MATCH(Q$3&amp;$F528,Mapping!$B:$B,0))</f>
        <v>Metro - Regionaal</v>
      </c>
      <c r="R528" s="204" t="str">
        <f>INDEX(Mapping!$H:$H,MATCH("ZM VPN Service Level"&amp;E528,Mapping!$B:$B,0))</f>
        <v>Advanced</v>
      </c>
      <c r="S528" s="139" t="b">
        <f>IF($D528="EoK",INDEX(Mapping!$I:$I,MATCH($G$3&amp;$G528,Mapping!B:B,0)),FALSE)</f>
        <v>0</v>
      </c>
      <c r="T528" s="139"/>
      <c r="U528" s="520" t="str">
        <f t="shared" si="297"/>
        <v>PremiumMetro50</v>
      </c>
      <c r="W528" s="521">
        <f>MATCH($J528,'Tarieven ZM'!$B:$B,0)</f>
        <v>76</v>
      </c>
      <c r="X528" s="204">
        <f>INDEX('Tarieven ZM'!$H:$H,$W528)</f>
        <v>1000</v>
      </c>
      <c r="Y528" s="198">
        <f>-INDEX(Parameters!$B:$B,MATCH(Y$3&amp;$C528,Parameters!$A:$A,0))*$X528</f>
        <v>0</v>
      </c>
      <c r="Z528" s="198">
        <f>-INDEX(Parameters!$B:$B,MATCH(Z$3&amp;$C528,Parameters!$A:$A,0))*$X528</f>
        <v>0</v>
      </c>
      <c r="AA528" s="139">
        <f t="shared" si="276"/>
        <v>1000</v>
      </c>
      <c r="AB528" s="205">
        <f>AA528/INDEX(Parameters!$B:$B,MATCH("AfschrijftermijnVVE"&amp;12*$C528,Parameters!$A:$A,0))</f>
        <v>16.666666666666668</v>
      </c>
      <c r="AC528" s="204">
        <f>INDEX('Tarieven ZM'!$G:$G,$W528)</f>
        <v>1000</v>
      </c>
      <c r="AD528" s="198">
        <f>-INDEX(Parameters!$B:$B,MATCH(AD$3&amp;$C528,Parameters!$A:$A,0))*$AC528</f>
        <v>0</v>
      </c>
      <c r="AE528" s="198">
        <f>-INDEX(Parameters!$B:$B,MATCH(AE$3,Parameters!$A:$A,0))*$AC528</f>
        <v>0</v>
      </c>
      <c r="AF528" s="139">
        <f t="shared" si="277"/>
        <v>1000</v>
      </c>
      <c r="AG528" s="522">
        <f t="shared" si="278"/>
        <v>1016.6666666666666</v>
      </c>
      <c r="AH528" s="175"/>
      <c r="AI528" s="523">
        <f>MATCH($U528,'Tarieven W&amp;O'!$B:$B,0)</f>
        <v>68</v>
      </c>
      <c r="AJ528" s="204">
        <f>IF(AI528&lt;&gt;"nvt",INDEX('Tarieven W&amp;O'!$H:$H,$AI528),0)</f>
        <v>0</v>
      </c>
      <c r="AK528" s="204">
        <f>IF(AI528&lt;&gt;"nvt",INDEX('Tarieven W&amp;O'!$I:$I,$AI528),0)</f>
        <v>25</v>
      </c>
      <c r="AL528" s="524">
        <f>IF(AI528&lt;&gt;"nvt",-INDEX(Parameters!$B:$B,MATCH(AL$3,Parameters!$A:$A,0))*(AJ528+AK528),0)</f>
        <v>0</v>
      </c>
      <c r="AM528" s="525"/>
      <c r="AN528" s="139">
        <f t="shared" si="279"/>
        <v>25</v>
      </c>
      <c r="AO528" s="205">
        <f>AN528/INDEX(Parameters!$B:$B,MATCH("AfschrijftermijnVVE"&amp;12*$C528,Parameters!$A:$A,0))</f>
        <v>0.41666666666666669</v>
      </c>
      <c r="AP528" s="139">
        <f t="shared" si="280"/>
        <v>68</v>
      </c>
      <c r="AQ528" s="526">
        <f>IF(AP528&lt;&gt;"nvt",INDEX('Tarieven W&amp;O'!$G:$G,$AP528),0)</f>
        <v>133.4</v>
      </c>
      <c r="AR528" s="251">
        <f>IF($S528,INDEX('Tarieven W&amp;O'!$G:$G,MATCH(N528&amp;R528,'Tarieven W&amp;O'!$B:$B,0)),0)</f>
        <v>0</v>
      </c>
      <c r="AS528" s="205">
        <f>-INDEX(Parameters!$B:$B,MATCH(AS$3,Parameters!$A:$A,0))*(AQ528+AR528)</f>
        <v>0</v>
      </c>
      <c r="AT528" s="205">
        <f>INDEX(hulpblad!$E:$E,MATCH(M528&amp;Q528,hulpblad!$B:$B,0))</f>
        <v>1</v>
      </c>
      <c r="AU528" s="150">
        <f t="shared" si="283"/>
        <v>134.4</v>
      </c>
      <c r="AV528" s="150">
        <f t="shared" si="284"/>
        <v>134.81666666666666</v>
      </c>
      <c r="AX528" s="526">
        <f>Parameters!$B$6*AV528</f>
        <v>1.3481666666666667</v>
      </c>
      <c r="AY528" s="150">
        <v>0</v>
      </c>
      <c r="AZ528" s="150"/>
      <c r="BA528" s="150">
        <f t="shared" si="281"/>
        <v>1.3481666666666667</v>
      </c>
      <c r="BB528" s="150"/>
      <c r="BC528" s="522">
        <f t="shared" si="282"/>
        <v>136.16483333333332</v>
      </c>
      <c r="BD528" s="175"/>
      <c r="BE528" s="527">
        <f t="shared" si="285"/>
        <v>880.50183333333325</v>
      </c>
      <c r="BF528" s="181">
        <f t="shared" si="286"/>
        <v>0.86606737704918024</v>
      </c>
      <c r="BG528" s="520" t="b">
        <f t="shared" si="298"/>
        <v>0</v>
      </c>
      <c r="BI528" s="528" t="s">
        <v>2181</v>
      </c>
      <c r="BL528" s="151" t="str">
        <f t="shared" si="288"/>
        <v>EoKMetro - Regionaal</v>
      </c>
      <c r="BM528" s="529">
        <v>0</v>
      </c>
      <c r="BN528" s="180">
        <f>BM528/INDEX(Parameters!$B:$B,MATCH("AfschrijftermijnVVE"&amp;12*$C528,Parameters!$A:$A,0))</f>
        <v>0</v>
      </c>
      <c r="BO528" s="184">
        <f>INDEX('inkoop ULL tbv EVPN'!I:I,MATCH(BL528,'inkoop ULL tbv EVPN'!H:H,0))</f>
        <v>2</v>
      </c>
      <c r="BP528" s="184">
        <f t="shared" si="289"/>
        <v>2</v>
      </c>
      <c r="BR528" s="180">
        <f>Parameters!$B$12*AG528</f>
        <v>101.66666666666667</v>
      </c>
      <c r="BS528" s="180">
        <f>SUM(Distributievergoedingen!$F$12,Distributievergoedingen!$I$12,Distributievergoedingen!$L$12,Distributievergoedingen!$O$12)*AF528+SUM(Distributievergoedingen!$O$12*AA528+Distributievergoedingen!$R$12+Distributievergoedingen!$U$12+Distributievergoedingen!$X$12)/(MAX(36,12*C528))</f>
        <v>111.66666666666667</v>
      </c>
      <c r="BT528" s="150"/>
      <c r="BU528" s="150">
        <f t="shared" si="290"/>
        <v>213.33333333333334</v>
      </c>
      <c r="BW528" s="522">
        <f t="shared" si="291"/>
        <v>215.33333333333334</v>
      </c>
      <c r="BY528" s="527">
        <f t="shared" si="292"/>
        <v>801.33333333333326</v>
      </c>
      <c r="BZ528" s="181">
        <f t="shared" si="293"/>
        <v>0.78819672131147533</v>
      </c>
      <c r="CA528" s="520" t="b">
        <f t="shared" si="294"/>
        <v>0</v>
      </c>
    </row>
    <row r="529" spans="1:79" s="151" customFormat="1">
      <c r="A529" s="151" t="str">
        <f t="shared" si="287"/>
        <v>5EoKPremiumCity80</v>
      </c>
      <c r="B529" s="520" t="str">
        <f t="shared" si="295"/>
        <v>5EoKPremiumCity80</v>
      </c>
      <c r="C529" s="179">
        <v>5</v>
      </c>
      <c r="D529" s="179" t="s">
        <v>303</v>
      </c>
      <c r="E529" s="178" t="s">
        <v>267</v>
      </c>
      <c r="F529" s="178" t="s">
        <v>262</v>
      </c>
      <c r="G529" s="185" t="s">
        <v>417</v>
      </c>
      <c r="J529" s="520" t="str">
        <f t="shared" si="296"/>
        <v>PremiumCity80</v>
      </c>
      <c r="L529" s="204">
        <f>INDEX(Mapping!$H:$H,MATCH(C$3&amp;C529,Mapping!$B:$B,0))</f>
        <v>1</v>
      </c>
      <c r="M529" s="204" t="str">
        <f>INDEX(Mapping!$H:$H,MATCH(D$3&amp;$D529,Mapping!$B:$B,0))</f>
        <v>EoK</v>
      </c>
      <c r="N529" s="204" t="str">
        <f>INDEX(Mapping!$H:$H,MATCH(E$3&amp;E529,Mapping!$B:$B,0))</f>
        <v>Premium</v>
      </c>
      <c r="O529" s="204" t="str">
        <f>INDEX(Mapping!$H:$H,MATCH(F$3&amp;F529,Mapping!$B:$B,0))</f>
        <v>Metro</v>
      </c>
      <c r="P529" s="204">
        <f>INDEX(Mapping!$H:$H,MATCH(G$3&amp;G529,Mapping!$B:$B,0))</f>
        <v>80</v>
      </c>
      <c r="Q529" s="204" t="str">
        <f>INDEX(Mapping!$H:$H,MATCH(Q$3&amp;$F529,Mapping!$B:$B,0))</f>
        <v>Metro - Regionaal</v>
      </c>
      <c r="R529" s="204" t="str">
        <f>INDEX(Mapping!$H:$H,MATCH("ZM VPN Service Level"&amp;E529,Mapping!$B:$B,0))</f>
        <v>Advanced</v>
      </c>
      <c r="S529" s="139" t="b">
        <f>IF($D529="EoK",INDEX(Mapping!$I:$I,MATCH($G$3&amp;$G529,Mapping!B:B,0)),FALSE)</f>
        <v>0</v>
      </c>
      <c r="T529" s="139"/>
      <c r="U529" s="520" t="str">
        <f t="shared" si="297"/>
        <v>PremiumMetro80</v>
      </c>
      <c r="W529" s="521">
        <f>MATCH($J529,'Tarieven ZM'!$B:$B,0)</f>
        <v>77</v>
      </c>
      <c r="X529" s="204">
        <f>INDEX('Tarieven ZM'!$H:$H,$W529)</f>
        <v>1000</v>
      </c>
      <c r="Y529" s="198">
        <f>-INDEX(Parameters!$B:$B,MATCH(Y$3&amp;$C529,Parameters!$A:$A,0))*$X529</f>
        <v>0</v>
      </c>
      <c r="Z529" s="198">
        <f>-INDEX(Parameters!$B:$B,MATCH(Z$3&amp;$C529,Parameters!$A:$A,0))*$X529</f>
        <v>0</v>
      </c>
      <c r="AA529" s="139">
        <f t="shared" si="276"/>
        <v>1000</v>
      </c>
      <c r="AB529" s="205">
        <f>AA529/INDEX(Parameters!$B:$B,MATCH("AfschrijftermijnVVE"&amp;12*$C529,Parameters!$A:$A,0))</f>
        <v>16.666666666666668</v>
      </c>
      <c r="AC529" s="204">
        <f>INDEX('Tarieven ZM'!$G:$G,$W529)</f>
        <v>1000</v>
      </c>
      <c r="AD529" s="198">
        <f>-INDEX(Parameters!$B:$B,MATCH(AD$3&amp;$C529,Parameters!$A:$A,0))*$AC529</f>
        <v>0</v>
      </c>
      <c r="AE529" s="198">
        <f>-INDEX(Parameters!$B:$B,MATCH(AE$3,Parameters!$A:$A,0))*$AC529</f>
        <v>0</v>
      </c>
      <c r="AF529" s="139">
        <f t="shared" si="277"/>
        <v>1000</v>
      </c>
      <c r="AG529" s="522">
        <f t="shared" si="278"/>
        <v>1016.6666666666666</v>
      </c>
      <c r="AH529" s="175"/>
      <c r="AI529" s="523">
        <f>MATCH($U529,'Tarieven W&amp;O'!$B:$B,0)</f>
        <v>69</v>
      </c>
      <c r="AJ529" s="204">
        <f>IF(AI529&lt;&gt;"nvt",INDEX('Tarieven W&amp;O'!$H:$H,$AI529),0)</f>
        <v>0</v>
      </c>
      <c r="AK529" s="204">
        <f>IF(AI529&lt;&gt;"nvt",INDEX('Tarieven W&amp;O'!$I:$I,$AI529),0)</f>
        <v>25</v>
      </c>
      <c r="AL529" s="524">
        <f>IF(AI529&lt;&gt;"nvt",-INDEX(Parameters!$B:$B,MATCH(AL$3,Parameters!$A:$A,0))*(AJ529+AK529),0)</f>
        <v>0</v>
      </c>
      <c r="AM529" s="525"/>
      <c r="AN529" s="139">
        <f t="shared" si="279"/>
        <v>25</v>
      </c>
      <c r="AO529" s="205">
        <f>AN529/INDEX(Parameters!$B:$B,MATCH("AfschrijftermijnVVE"&amp;12*$C529,Parameters!$A:$A,0))</f>
        <v>0.41666666666666669</v>
      </c>
      <c r="AP529" s="139">
        <f t="shared" si="280"/>
        <v>69</v>
      </c>
      <c r="AQ529" s="526">
        <f>IF(AP529&lt;&gt;"nvt",INDEX('Tarieven W&amp;O'!$G:$G,$AP529),0)</f>
        <v>159.78</v>
      </c>
      <c r="AR529" s="251">
        <f>IF($S529,INDEX('Tarieven W&amp;O'!$G:$G,MATCH(N529&amp;R529,'Tarieven W&amp;O'!$B:$B,0)),0)</f>
        <v>0</v>
      </c>
      <c r="AS529" s="205">
        <f>-INDEX(Parameters!$B:$B,MATCH(AS$3,Parameters!$A:$A,0))*(AQ529+AR529)</f>
        <v>0</v>
      </c>
      <c r="AT529" s="205">
        <f>INDEX(hulpblad!$E:$E,MATCH(M529&amp;Q529,hulpblad!$B:$B,0))</f>
        <v>1</v>
      </c>
      <c r="AU529" s="150">
        <f t="shared" si="283"/>
        <v>160.78</v>
      </c>
      <c r="AV529" s="150">
        <f t="shared" si="284"/>
        <v>161.19666666666666</v>
      </c>
      <c r="AX529" s="526">
        <f>Parameters!$B$6*AV529</f>
        <v>1.6119666666666665</v>
      </c>
      <c r="AY529" s="150">
        <v>0</v>
      </c>
      <c r="AZ529" s="150"/>
      <c r="BA529" s="150">
        <f t="shared" si="281"/>
        <v>1.6119666666666665</v>
      </c>
      <c r="BB529" s="150"/>
      <c r="BC529" s="522">
        <f t="shared" si="282"/>
        <v>162.80863333333332</v>
      </c>
      <c r="BD529" s="175"/>
      <c r="BE529" s="527">
        <f t="shared" si="285"/>
        <v>853.85803333333331</v>
      </c>
      <c r="BF529" s="181">
        <f t="shared" si="286"/>
        <v>0.83986036065573766</v>
      </c>
      <c r="BG529" s="520" t="b">
        <f t="shared" si="298"/>
        <v>0</v>
      </c>
      <c r="BI529" s="528" t="s">
        <v>2181</v>
      </c>
      <c r="BL529" s="151" t="str">
        <f t="shared" si="288"/>
        <v>EoKMetro - Regionaal</v>
      </c>
      <c r="BM529" s="529">
        <v>0</v>
      </c>
      <c r="BN529" s="180">
        <f>BM529/INDEX(Parameters!$B:$B,MATCH("AfschrijftermijnVVE"&amp;12*$C529,Parameters!$A:$A,0))</f>
        <v>0</v>
      </c>
      <c r="BO529" s="184">
        <f>INDEX('inkoop ULL tbv EVPN'!I:I,MATCH(BL529,'inkoop ULL tbv EVPN'!H:H,0))</f>
        <v>2</v>
      </c>
      <c r="BP529" s="184">
        <f t="shared" si="289"/>
        <v>2</v>
      </c>
      <c r="BR529" s="180">
        <f>Parameters!$B$12*AG529</f>
        <v>101.66666666666667</v>
      </c>
      <c r="BS529" s="180">
        <f>SUM(Distributievergoedingen!$F$12,Distributievergoedingen!$I$12,Distributievergoedingen!$L$12,Distributievergoedingen!$O$12)*AF529+SUM(Distributievergoedingen!$O$12*AA529+Distributievergoedingen!$R$12+Distributievergoedingen!$U$12+Distributievergoedingen!$X$12)/(MAX(36,12*C529))</f>
        <v>111.66666666666667</v>
      </c>
      <c r="BT529" s="150"/>
      <c r="BU529" s="150">
        <f t="shared" si="290"/>
        <v>213.33333333333334</v>
      </c>
      <c r="BW529" s="522">
        <f t="shared" si="291"/>
        <v>215.33333333333334</v>
      </c>
      <c r="BY529" s="527">
        <f t="shared" si="292"/>
        <v>801.33333333333326</v>
      </c>
      <c r="BZ529" s="181">
        <f t="shared" si="293"/>
        <v>0.78819672131147533</v>
      </c>
      <c r="CA529" s="520" t="b">
        <f t="shared" si="294"/>
        <v>0</v>
      </c>
    </row>
    <row r="530" spans="1:79" s="151" customFormat="1">
      <c r="A530" s="151" t="str">
        <f t="shared" si="287"/>
        <v>5EoKPremiumCity100</v>
      </c>
      <c r="B530" s="520" t="str">
        <f t="shared" si="295"/>
        <v>5EoKPremiumCity100</v>
      </c>
      <c r="C530" s="179">
        <v>5</v>
      </c>
      <c r="D530" s="179" t="s">
        <v>303</v>
      </c>
      <c r="E530" s="178" t="s">
        <v>267</v>
      </c>
      <c r="F530" s="178" t="s">
        <v>262</v>
      </c>
      <c r="G530" s="185" t="s">
        <v>418</v>
      </c>
      <c r="J530" s="520" t="str">
        <f t="shared" si="296"/>
        <v>PremiumCity100</v>
      </c>
      <c r="L530" s="204">
        <f>INDEX(Mapping!$H:$H,MATCH(C$3&amp;C530,Mapping!$B:$B,0))</f>
        <v>1</v>
      </c>
      <c r="M530" s="204" t="str">
        <f>INDEX(Mapping!$H:$H,MATCH(D$3&amp;$D530,Mapping!$B:$B,0))</f>
        <v>EoK</v>
      </c>
      <c r="N530" s="204" t="str">
        <f>INDEX(Mapping!$H:$H,MATCH(E$3&amp;E530,Mapping!$B:$B,0))</f>
        <v>Premium</v>
      </c>
      <c r="O530" s="204" t="str">
        <f>INDEX(Mapping!$H:$H,MATCH(F$3&amp;F530,Mapping!$B:$B,0))</f>
        <v>Metro</v>
      </c>
      <c r="P530" s="204">
        <f>INDEX(Mapping!$H:$H,MATCH(G$3&amp;G530,Mapping!$B:$B,0))</f>
        <v>100</v>
      </c>
      <c r="Q530" s="204" t="str">
        <f>INDEX(Mapping!$H:$H,MATCH(Q$3&amp;$F530,Mapping!$B:$B,0))</f>
        <v>Metro - Regionaal</v>
      </c>
      <c r="R530" s="204" t="str">
        <f>INDEX(Mapping!$H:$H,MATCH("ZM VPN Service Level"&amp;E530,Mapping!$B:$B,0))</f>
        <v>Advanced</v>
      </c>
      <c r="S530" s="139" t="b">
        <f>IF($D530="EoK",INDEX(Mapping!$I:$I,MATCH($G$3&amp;$G530,Mapping!B:B,0)),FALSE)</f>
        <v>0</v>
      </c>
      <c r="T530" s="139"/>
      <c r="U530" s="520" t="str">
        <f t="shared" si="297"/>
        <v>PremiumMetro100</v>
      </c>
      <c r="W530" s="521">
        <f>MATCH($J530,'Tarieven ZM'!$B:$B,0)</f>
        <v>78</v>
      </c>
      <c r="X530" s="204">
        <f>INDEX('Tarieven ZM'!$H:$H,$W530)</f>
        <v>1000</v>
      </c>
      <c r="Y530" s="198">
        <f>-INDEX(Parameters!$B:$B,MATCH(Y$3&amp;$C530,Parameters!$A:$A,0))*$X530</f>
        <v>0</v>
      </c>
      <c r="Z530" s="198">
        <f>-INDEX(Parameters!$B:$B,MATCH(Z$3&amp;$C530,Parameters!$A:$A,0))*$X530</f>
        <v>0</v>
      </c>
      <c r="AA530" s="139">
        <f t="shared" ref="AA530:AA573" si="299">SUM(X530:Z530)</f>
        <v>1000</v>
      </c>
      <c r="AB530" s="205">
        <f>AA530/INDEX(Parameters!$B:$B,MATCH("AfschrijftermijnVVE"&amp;12*$C530,Parameters!$A:$A,0))</f>
        <v>16.666666666666668</v>
      </c>
      <c r="AC530" s="204">
        <f>INDEX('Tarieven ZM'!$G:$G,$W530)</f>
        <v>1000</v>
      </c>
      <c r="AD530" s="198">
        <f>-INDEX(Parameters!$B:$B,MATCH(AD$3&amp;$C530,Parameters!$A:$A,0))*$AC530</f>
        <v>0</v>
      </c>
      <c r="AE530" s="198">
        <f>-INDEX(Parameters!$B:$B,MATCH(AE$3,Parameters!$A:$A,0))*$AC530</f>
        <v>0</v>
      </c>
      <c r="AF530" s="139">
        <f t="shared" ref="AF530:AF573" si="300">SUM(AC530:AE530)</f>
        <v>1000</v>
      </c>
      <c r="AG530" s="522">
        <f t="shared" ref="AG530:AG573" si="301">SUM(AB530,AF530)</f>
        <v>1016.6666666666666</v>
      </c>
      <c r="AH530" s="175"/>
      <c r="AI530" s="523">
        <f>MATCH($U530,'Tarieven W&amp;O'!$B:$B,0)</f>
        <v>70</v>
      </c>
      <c r="AJ530" s="204">
        <f>IF(AI530&lt;&gt;"nvt",INDEX('Tarieven W&amp;O'!$H:$H,$AI530),0)</f>
        <v>0</v>
      </c>
      <c r="AK530" s="204">
        <f>IF(AI530&lt;&gt;"nvt",INDEX('Tarieven W&amp;O'!$I:$I,$AI530),0)</f>
        <v>25</v>
      </c>
      <c r="AL530" s="524">
        <f>IF(AI530&lt;&gt;"nvt",-INDEX(Parameters!$B:$B,MATCH(AL$3,Parameters!$A:$A,0))*(AJ530+AK530),0)</f>
        <v>0</v>
      </c>
      <c r="AM530" s="525"/>
      <c r="AN530" s="139">
        <f t="shared" ref="AN530:AN573" si="302">SUM(AJ530:AM530)</f>
        <v>25</v>
      </c>
      <c r="AO530" s="205">
        <f>AN530/INDEX(Parameters!$B:$B,MATCH("AfschrijftermijnVVE"&amp;12*$C530,Parameters!$A:$A,0))</f>
        <v>0.41666666666666669</v>
      </c>
      <c r="AP530" s="139">
        <f t="shared" ref="AP530:AP573" si="303">AI530</f>
        <v>70</v>
      </c>
      <c r="AQ530" s="526">
        <f>IF(AP530&lt;&gt;"nvt",INDEX('Tarieven W&amp;O'!$G:$G,$AP530),0)</f>
        <v>178.63</v>
      </c>
      <c r="AR530" s="251">
        <f>IF($S530,INDEX('Tarieven W&amp;O'!$G:$G,MATCH(N530&amp;R530,'Tarieven W&amp;O'!$B:$B,0)),0)</f>
        <v>0</v>
      </c>
      <c r="AS530" s="205">
        <f>-INDEX(Parameters!$B:$B,MATCH(AS$3,Parameters!$A:$A,0))*(AQ530+AR530)</f>
        <v>0</v>
      </c>
      <c r="AT530" s="205">
        <f>INDEX(hulpblad!$E:$E,MATCH(M530&amp;Q530,hulpblad!$B:$B,0))</f>
        <v>1</v>
      </c>
      <c r="AU530" s="150">
        <f t="shared" si="283"/>
        <v>179.63</v>
      </c>
      <c r="AV530" s="150">
        <f t="shared" si="284"/>
        <v>180.04666666666665</v>
      </c>
      <c r="AX530" s="526">
        <f>Parameters!$B$6*AV530</f>
        <v>1.8004666666666667</v>
      </c>
      <c r="AY530" s="150">
        <v>0</v>
      </c>
      <c r="AZ530" s="150"/>
      <c r="BA530" s="150">
        <f t="shared" ref="BA530:BA573" si="304">SUM(AX530:AZ530)</f>
        <v>1.8004666666666667</v>
      </c>
      <c r="BB530" s="150"/>
      <c r="BC530" s="522">
        <f t="shared" ref="BC530:BC573" si="305">SUM(AV530,BA530)</f>
        <v>181.84713333333332</v>
      </c>
      <c r="BD530" s="175"/>
      <c r="BE530" s="527">
        <f t="shared" si="285"/>
        <v>834.81953333333331</v>
      </c>
      <c r="BF530" s="181">
        <f t="shared" si="286"/>
        <v>0.82113396721311471</v>
      </c>
      <c r="BG530" s="520" t="b">
        <f t="shared" si="298"/>
        <v>0</v>
      </c>
      <c r="BI530" s="528" t="s">
        <v>2181</v>
      </c>
      <c r="BL530" s="151" t="str">
        <f t="shared" si="288"/>
        <v>EoKMetro - Regionaal</v>
      </c>
      <c r="BM530" s="529">
        <v>0</v>
      </c>
      <c r="BN530" s="180">
        <f>BM530/INDEX(Parameters!$B:$B,MATCH("AfschrijftermijnVVE"&amp;12*$C530,Parameters!$A:$A,0))</f>
        <v>0</v>
      </c>
      <c r="BO530" s="184">
        <f>INDEX('inkoop ULL tbv EVPN'!I:I,MATCH(BL530,'inkoop ULL tbv EVPN'!H:H,0))</f>
        <v>2</v>
      </c>
      <c r="BP530" s="184">
        <f t="shared" si="289"/>
        <v>2</v>
      </c>
      <c r="BR530" s="180">
        <f>Parameters!$B$12*AG530</f>
        <v>101.66666666666667</v>
      </c>
      <c r="BS530" s="180">
        <f>SUM(Distributievergoedingen!$F$12,Distributievergoedingen!$I$12,Distributievergoedingen!$L$12,Distributievergoedingen!$O$12)*AF530+SUM(Distributievergoedingen!$O$12*AA530+Distributievergoedingen!$R$12+Distributievergoedingen!$U$12+Distributievergoedingen!$X$12)/(MAX(36,12*C530))</f>
        <v>111.66666666666667</v>
      </c>
      <c r="BT530" s="150"/>
      <c r="BU530" s="150">
        <f t="shared" si="290"/>
        <v>213.33333333333334</v>
      </c>
      <c r="BW530" s="522">
        <f t="shared" si="291"/>
        <v>215.33333333333334</v>
      </c>
      <c r="BY530" s="527">
        <f t="shared" si="292"/>
        <v>801.33333333333326</v>
      </c>
      <c r="BZ530" s="181">
        <f t="shared" si="293"/>
        <v>0.78819672131147533</v>
      </c>
      <c r="CA530" s="520" t="b">
        <f t="shared" si="294"/>
        <v>0</v>
      </c>
    </row>
    <row r="531" spans="1:79" s="151" customFormat="1">
      <c r="A531" s="151" t="str">
        <f t="shared" si="287"/>
        <v>5EoKPremiumCity200</v>
      </c>
      <c r="B531" s="520" t="str">
        <f t="shared" si="295"/>
        <v>5EoKPremiumCity200</v>
      </c>
      <c r="C531" s="179">
        <v>5</v>
      </c>
      <c r="D531" s="179" t="s">
        <v>303</v>
      </c>
      <c r="E531" s="178" t="s">
        <v>267</v>
      </c>
      <c r="F531" s="178" t="s">
        <v>262</v>
      </c>
      <c r="G531" s="185" t="s">
        <v>419</v>
      </c>
      <c r="J531" s="520" t="str">
        <f t="shared" si="296"/>
        <v>PremiumCity200</v>
      </c>
      <c r="L531" s="204">
        <f>INDEX(Mapping!$H:$H,MATCH(C$3&amp;C531,Mapping!$B:$B,0))</f>
        <v>1</v>
      </c>
      <c r="M531" s="204" t="str">
        <f>INDEX(Mapping!$H:$H,MATCH(D$3&amp;$D531,Mapping!$B:$B,0))</f>
        <v>EoK</v>
      </c>
      <c r="N531" s="204" t="str">
        <f>INDEX(Mapping!$H:$H,MATCH(E$3&amp;E531,Mapping!$B:$B,0))</f>
        <v>Premium</v>
      </c>
      <c r="O531" s="204" t="str">
        <f>INDEX(Mapping!$H:$H,MATCH(F$3&amp;F531,Mapping!$B:$B,0))</f>
        <v>Metro</v>
      </c>
      <c r="P531" s="204">
        <f>INDEX(Mapping!$H:$H,MATCH(G$3&amp;G531,Mapping!$B:$B,0))</f>
        <v>200</v>
      </c>
      <c r="Q531" s="204" t="str">
        <f>INDEX(Mapping!$H:$H,MATCH(Q$3&amp;$F531,Mapping!$B:$B,0))</f>
        <v>Metro - Regionaal</v>
      </c>
      <c r="R531" s="204" t="str">
        <f>INDEX(Mapping!$H:$H,MATCH("ZM VPN Service Level"&amp;E531,Mapping!$B:$B,0))</f>
        <v>Advanced</v>
      </c>
      <c r="S531" s="139" t="b">
        <f>IF($D531="EoK",INDEX(Mapping!$I:$I,MATCH($G$3&amp;$G531,Mapping!B:B,0)),FALSE)</f>
        <v>0</v>
      </c>
      <c r="T531" s="139"/>
      <c r="U531" s="520" t="str">
        <f t="shared" si="297"/>
        <v>PremiumMetro200</v>
      </c>
      <c r="W531" s="521">
        <f>MATCH($J531,'Tarieven ZM'!$B:$B,0)</f>
        <v>79</v>
      </c>
      <c r="X531" s="204">
        <f>INDEX('Tarieven ZM'!$H:$H,$W531)</f>
        <v>1000</v>
      </c>
      <c r="Y531" s="198">
        <f>-INDEX(Parameters!$B:$B,MATCH(Y$3&amp;$C531,Parameters!$A:$A,0))*$X531</f>
        <v>0</v>
      </c>
      <c r="Z531" s="198">
        <f>-INDEX(Parameters!$B:$B,MATCH(Z$3&amp;$C531,Parameters!$A:$A,0))*$X531</f>
        <v>0</v>
      </c>
      <c r="AA531" s="139">
        <f t="shared" si="299"/>
        <v>1000</v>
      </c>
      <c r="AB531" s="205">
        <f>AA531/INDEX(Parameters!$B:$B,MATCH("AfschrijftermijnVVE"&amp;12*$C531,Parameters!$A:$A,0))</f>
        <v>16.666666666666668</v>
      </c>
      <c r="AC531" s="204">
        <f>INDEX('Tarieven ZM'!$G:$G,$W531)</f>
        <v>1000</v>
      </c>
      <c r="AD531" s="198">
        <f>-INDEX(Parameters!$B:$B,MATCH(AD$3&amp;$C531,Parameters!$A:$A,0))*$AC531</f>
        <v>0</v>
      </c>
      <c r="AE531" s="198">
        <f>-INDEX(Parameters!$B:$B,MATCH(AE$3,Parameters!$A:$A,0))*$AC531</f>
        <v>0</v>
      </c>
      <c r="AF531" s="139">
        <f t="shared" si="300"/>
        <v>1000</v>
      </c>
      <c r="AG531" s="522">
        <f t="shared" si="301"/>
        <v>1016.6666666666666</v>
      </c>
      <c r="AH531" s="175"/>
      <c r="AI531" s="523">
        <f>MATCH($U531,'Tarieven W&amp;O'!$B:$B,0)</f>
        <v>71</v>
      </c>
      <c r="AJ531" s="204">
        <f>IF(AI531&lt;&gt;"nvt",INDEX('Tarieven W&amp;O'!$H:$H,$AI531),0)</f>
        <v>0</v>
      </c>
      <c r="AK531" s="204">
        <f>IF(AI531&lt;&gt;"nvt",INDEX('Tarieven W&amp;O'!$I:$I,$AI531),0)</f>
        <v>25</v>
      </c>
      <c r="AL531" s="524">
        <f>IF(AI531&lt;&gt;"nvt",-INDEX(Parameters!$B:$B,MATCH(AL$3,Parameters!$A:$A,0))*(AJ531+AK531),0)</f>
        <v>0</v>
      </c>
      <c r="AM531" s="525"/>
      <c r="AN531" s="139">
        <f t="shared" si="302"/>
        <v>25</v>
      </c>
      <c r="AO531" s="205">
        <f>AN531/INDEX(Parameters!$B:$B,MATCH("AfschrijftermijnVVE"&amp;12*$C531,Parameters!$A:$A,0))</f>
        <v>0.41666666666666669</v>
      </c>
      <c r="AP531" s="139">
        <f t="shared" si="303"/>
        <v>71</v>
      </c>
      <c r="AQ531" s="526">
        <f>IF(AP531&lt;&gt;"nvt",INDEX('Tarieven W&amp;O'!$G:$G,$AP531),0)</f>
        <v>216.32</v>
      </c>
      <c r="AR531" s="251">
        <f>IF($S531,INDEX('Tarieven W&amp;O'!$G:$G,MATCH(N531&amp;R531,'Tarieven W&amp;O'!$B:$B,0)),0)</f>
        <v>0</v>
      </c>
      <c r="AS531" s="205">
        <f>-INDEX(Parameters!$B:$B,MATCH(AS$3,Parameters!$A:$A,0))*(AQ531+AR531)</f>
        <v>0</v>
      </c>
      <c r="AT531" s="205">
        <f>INDEX(hulpblad!$E:$E,MATCH(M531&amp;Q531,hulpblad!$B:$B,0))</f>
        <v>1</v>
      </c>
      <c r="AU531" s="150">
        <f t="shared" si="283"/>
        <v>217.32</v>
      </c>
      <c r="AV531" s="150">
        <f t="shared" si="284"/>
        <v>217.73666666666665</v>
      </c>
      <c r="AX531" s="526">
        <f>Parameters!$B$6*AV531</f>
        <v>2.1773666666666665</v>
      </c>
      <c r="AY531" s="150">
        <v>0</v>
      </c>
      <c r="AZ531" s="150"/>
      <c r="BA531" s="150">
        <f t="shared" si="304"/>
        <v>2.1773666666666665</v>
      </c>
      <c r="BB531" s="150"/>
      <c r="BC531" s="522">
        <f t="shared" si="305"/>
        <v>219.91403333333332</v>
      </c>
      <c r="BD531" s="175"/>
      <c r="BE531" s="527">
        <f t="shared" si="285"/>
        <v>796.75263333333328</v>
      </c>
      <c r="BF531" s="181">
        <f t="shared" si="286"/>
        <v>0.78369111475409836</v>
      </c>
      <c r="BG531" s="520" t="b">
        <f t="shared" si="298"/>
        <v>0</v>
      </c>
      <c r="BI531" s="528" t="s">
        <v>2181</v>
      </c>
      <c r="BL531" s="151" t="str">
        <f t="shared" si="288"/>
        <v>EoKMetro - Regionaal</v>
      </c>
      <c r="BM531" s="529">
        <v>0</v>
      </c>
      <c r="BN531" s="180">
        <f>BM531/INDEX(Parameters!$B:$B,MATCH("AfschrijftermijnVVE"&amp;12*$C531,Parameters!$A:$A,0))</f>
        <v>0</v>
      </c>
      <c r="BO531" s="184">
        <f>INDEX('inkoop ULL tbv EVPN'!I:I,MATCH(BL531,'inkoop ULL tbv EVPN'!H:H,0))</f>
        <v>2</v>
      </c>
      <c r="BP531" s="184">
        <f t="shared" si="289"/>
        <v>2</v>
      </c>
      <c r="BR531" s="180">
        <f>Parameters!$B$12*AG531</f>
        <v>101.66666666666667</v>
      </c>
      <c r="BS531" s="180">
        <f>SUM(Distributievergoedingen!$F$12,Distributievergoedingen!$I$12,Distributievergoedingen!$L$12,Distributievergoedingen!$O$12)*AF531+SUM(Distributievergoedingen!$O$12*AA531+Distributievergoedingen!$R$12+Distributievergoedingen!$U$12+Distributievergoedingen!$X$12)/(MAX(36,12*C531))</f>
        <v>111.66666666666667</v>
      </c>
      <c r="BT531" s="150"/>
      <c r="BU531" s="150">
        <f t="shared" si="290"/>
        <v>213.33333333333334</v>
      </c>
      <c r="BW531" s="522">
        <f t="shared" si="291"/>
        <v>215.33333333333334</v>
      </c>
      <c r="BY531" s="527">
        <f t="shared" si="292"/>
        <v>801.33333333333326</v>
      </c>
      <c r="BZ531" s="181">
        <f t="shared" si="293"/>
        <v>0.78819672131147533</v>
      </c>
      <c r="CA531" s="520" t="b">
        <f t="shared" si="294"/>
        <v>0</v>
      </c>
    </row>
    <row r="532" spans="1:79" s="151" customFormat="1">
      <c r="A532" s="151" t="str">
        <f t="shared" si="287"/>
        <v>5EoKPremiumCity300</v>
      </c>
      <c r="B532" s="520" t="str">
        <f t="shared" si="295"/>
        <v>5EoKPremiumCity300</v>
      </c>
      <c r="C532" s="179">
        <v>5</v>
      </c>
      <c r="D532" s="179" t="s">
        <v>303</v>
      </c>
      <c r="E532" s="178" t="s">
        <v>267</v>
      </c>
      <c r="F532" s="178" t="s">
        <v>262</v>
      </c>
      <c r="G532" s="185" t="s">
        <v>420</v>
      </c>
      <c r="J532" s="520" t="str">
        <f t="shared" si="296"/>
        <v>PremiumCity300</v>
      </c>
      <c r="L532" s="204">
        <f>INDEX(Mapping!$H:$H,MATCH(C$3&amp;C532,Mapping!$B:$B,0))</f>
        <v>1</v>
      </c>
      <c r="M532" s="204" t="str">
        <f>INDEX(Mapping!$H:$H,MATCH(D$3&amp;$D532,Mapping!$B:$B,0))</f>
        <v>EoK</v>
      </c>
      <c r="N532" s="204" t="str">
        <f>INDEX(Mapping!$H:$H,MATCH(E$3&amp;E532,Mapping!$B:$B,0))</f>
        <v>Premium</v>
      </c>
      <c r="O532" s="204" t="str">
        <f>INDEX(Mapping!$H:$H,MATCH(F$3&amp;F532,Mapping!$B:$B,0))</f>
        <v>Metro</v>
      </c>
      <c r="P532" s="204">
        <f>INDEX(Mapping!$H:$H,MATCH(G$3&amp;G532,Mapping!$B:$B,0))</f>
        <v>300</v>
      </c>
      <c r="Q532" s="204" t="str">
        <f>INDEX(Mapping!$H:$H,MATCH(Q$3&amp;$F532,Mapping!$B:$B,0))</f>
        <v>Metro - Regionaal</v>
      </c>
      <c r="R532" s="204" t="str">
        <f>INDEX(Mapping!$H:$H,MATCH("ZM VPN Service Level"&amp;E532,Mapping!$B:$B,0))</f>
        <v>Advanced</v>
      </c>
      <c r="S532" s="139" t="b">
        <f>IF($D532="EoK",INDEX(Mapping!$I:$I,MATCH($G$3&amp;$G532,Mapping!B:B,0)),FALSE)</f>
        <v>0</v>
      </c>
      <c r="T532" s="139"/>
      <c r="U532" s="520" t="str">
        <f t="shared" si="297"/>
        <v>PremiumMetro300</v>
      </c>
      <c r="W532" s="521">
        <f>MATCH($J532,'Tarieven ZM'!$B:$B,0)</f>
        <v>80</v>
      </c>
      <c r="X532" s="204">
        <f>INDEX('Tarieven ZM'!$H:$H,$W532)</f>
        <v>1000</v>
      </c>
      <c r="Y532" s="198">
        <f>-INDEX(Parameters!$B:$B,MATCH(Y$3&amp;$C532,Parameters!$A:$A,0))*$X532</f>
        <v>0</v>
      </c>
      <c r="Z532" s="198">
        <f>-INDEX(Parameters!$B:$B,MATCH(Z$3&amp;$C532,Parameters!$A:$A,0))*$X532</f>
        <v>0</v>
      </c>
      <c r="AA532" s="139">
        <f t="shared" si="299"/>
        <v>1000</v>
      </c>
      <c r="AB532" s="205">
        <f>AA532/INDEX(Parameters!$B:$B,MATCH("AfschrijftermijnVVE"&amp;12*$C532,Parameters!$A:$A,0))</f>
        <v>16.666666666666668</v>
      </c>
      <c r="AC532" s="204">
        <f>INDEX('Tarieven ZM'!$G:$G,$W532)</f>
        <v>1000</v>
      </c>
      <c r="AD532" s="198">
        <f>-INDEX(Parameters!$B:$B,MATCH(AD$3&amp;$C532,Parameters!$A:$A,0))*$AC532</f>
        <v>0</v>
      </c>
      <c r="AE532" s="198">
        <f>-INDEX(Parameters!$B:$B,MATCH(AE$3,Parameters!$A:$A,0))*$AC532</f>
        <v>0</v>
      </c>
      <c r="AF532" s="139">
        <f t="shared" si="300"/>
        <v>1000</v>
      </c>
      <c r="AG532" s="522">
        <f t="shared" si="301"/>
        <v>1016.6666666666666</v>
      </c>
      <c r="AH532" s="175"/>
      <c r="AI532" s="523">
        <f>MATCH($U532,'Tarieven W&amp;O'!$B:$B,0)</f>
        <v>72</v>
      </c>
      <c r="AJ532" s="204">
        <f>IF(AI532&lt;&gt;"nvt",INDEX('Tarieven W&amp;O'!$H:$H,$AI532),0)</f>
        <v>0</v>
      </c>
      <c r="AK532" s="204">
        <f>IF(AI532&lt;&gt;"nvt",INDEX('Tarieven W&amp;O'!$I:$I,$AI532),0)</f>
        <v>25</v>
      </c>
      <c r="AL532" s="524">
        <f>IF(AI532&lt;&gt;"nvt",-INDEX(Parameters!$B:$B,MATCH(AL$3,Parameters!$A:$A,0))*(AJ532+AK532),0)</f>
        <v>0</v>
      </c>
      <c r="AM532" s="525"/>
      <c r="AN532" s="139">
        <f t="shared" si="302"/>
        <v>25</v>
      </c>
      <c r="AO532" s="205">
        <f>AN532/INDEX(Parameters!$B:$B,MATCH("AfschrijftermijnVVE"&amp;12*$C532,Parameters!$A:$A,0))</f>
        <v>0.41666666666666669</v>
      </c>
      <c r="AP532" s="139">
        <f t="shared" si="303"/>
        <v>72</v>
      </c>
      <c r="AQ532" s="526">
        <f>IF(AP532&lt;&gt;"nvt",INDEX('Tarieven W&amp;O'!$G:$G,$AP532),0)</f>
        <v>254.01</v>
      </c>
      <c r="AR532" s="251">
        <f>IF($S532,INDEX('Tarieven W&amp;O'!$G:$G,MATCH(N532&amp;R532,'Tarieven W&amp;O'!$B:$B,0)),0)</f>
        <v>0</v>
      </c>
      <c r="AS532" s="205">
        <f>-INDEX(Parameters!$B:$B,MATCH(AS$3,Parameters!$A:$A,0))*(AQ532+AR532)</f>
        <v>0</v>
      </c>
      <c r="AT532" s="205">
        <f>INDEX(hulpblad!$E:$E,MATCH(M532&amp;Q532,hulpblad!$B:$B,0))</f>
        <v>1</v>
      </c>
      <c r="AU532" s="150">
        <f t="shared" si="283"/>
        <v>255.01</v>
      </c>
      <c r="AV532" s="150">
        <f t="shared" si="284"/>
        <v>255.42666666666665</v>
      </c>
      <c r="AX532" s="526">
        <f>Parameters!$B$6*AV532</f>
        <v>2.5542666666666665</v>
      </c>
      <c r="AY532" s="150">
        <v>0</v>
      </c>
      <c r="AZ532" s="150"/>
      <c r="BA532" s="150">
        <f t="shared" si="304"/>
        <v>2.5542666666666665</v>
      </c>
      <c r="BB532" s="150"/>
      <c r="BC532" s="522">
        <f t="shared" si="305"/>
        <v>257.98093333333333</v>
      </c>
      <c r="BD532" s="175"/>
      <c r="BE532" s="527">
        <f t="shared" si="285"/>
        <v>758.68573333333325</v>
      </c>
      <c r="BF532" s="181">
        <f t="shared" si="286"/>
        <v>0.7462482622950819</v>
      </c>
      <c r="BG532" s="520" t="b">
        <f t="shared" si="298"/>
        <v>0</v>
      </c>
      <c r="BI532" s="528" t="s">
        <v>2181</v>
      </c>
      <c r="BL532" s="151" t="str">
        <f t="shared" si="288"/>
        <v>EoKMetro - Regionaal</v>
      </c>
      <c r="BM532" s="529">
        <v>0</v>
      </c>
      <c r="BN532" s="180">
        <f>BM532/INDEX(Parameters!$B:$B,MATCH("AfschrijftermijnVVE"&amp;12*$C532,Parameters!$A:$A,0))</f>
        <v>0</v>
      </c>
      <c r="BO532" s="184">
        <f>INDEX('inkoop ULL tbv EVPN'!I:I,MATCH(BL532,'inkoop ULL tbv EVPN'!H:H,0))</f>
        <v>2</v>
      </c>
      <c r="BP532" s="184">
        <f t="shared" si="289"/>
        <v>2</v>
      </c>
      <c r="BR532" s="180">
        <f>Parameters!$B$12*AG532</f>
        <v>101.66666666666667</v>
      </c>
      <c r="BS532" s="180">
        <f>SUM(Distributievergoedingen!$F$12,Distributievergoedingen!$I$12,Distributievergoedingen!$L$12,Distributievergoedingen!$O$12)*AF532+SUM(Distributievergoedingen!$O$12*AA532+Distributievergoedingen!$R$12+Distributievergoedingen!$U$12+Distributievergoedingen!$X$12)/(MAX(36,12*C532))</f>
        <v>111.66666666666667</v>
      </c>
      <c r="BT532" s="150"/>
      <c r="BU532" s="150">
        <f t="shared" si="290"/>
        <v>213.33333333333334</v>
      </c>
      <c r="BW532" s="522">
        <f t="shared" si="291"/>
        <v>215.33333333333334</v>
      </c>
      <c r="BY532" s="527">
        <f t="shared" si="292"/>
        <v>801.33333333333326</v>
      </c>
      <c r="BZ532" s="181">
        <f t="shared" si="293"/>
        <v>0.78819672131147533</v>
      </c>
      <c r="CA532" s="520" t="b">
        <f t="shared" si="294"/>
        <v>0</v>
      </c>
    </row>
    <row r="533" spans="1:79" s="151" customFormat="1">
      <c r="A533" s="151" t="str">
        <f t="shared" si="287"/>
        <v>5EoKPremiumCity500</v>
      </c>
      <c r="B533" s="520" t="str">
        <f t="shared" si="295"/>
        <v>5EoKPremiumCity500</v>
      </c>
      <c r="C533" s="179">
        <v>5</v>
      </c>
      <c r="D533" s="179" t="s">
        <v>303</v>
      </c>
      <c r="E533" s="178" t="s">
        <v>267</v>
      </c>
      <c r="F533" s="178" t="s">
        <v>262</v>
      </c>
      <c r="G533" s="185" t="s">
        <v>421</v>
      </c>
      <c r="J533" s="520" t="str">
        <f t="shared" si="296"/>
        <v>PremiumCity500</v>
      </c>
      <c r="L533" s="204">
        <f>INDEX(Mapping!$H:$H,MATCH(C$3&amp;C533,Mapping!$B:$B,0))</f>
        <v>1</v>
      </c>
      <c r="M533" s="204" t="str">
        <f>INDEX(Mapping!$H:$H,MATCH(D$3&amp;$D533,Mapping!$B:$B,0))</f>
        <v>EoK</v>
      </c>
      <c r="N533" s="204" t="str">
        <f>INDEX(Mapping!$H:$H,MATCH(E$3&amp;E533,Mapping!$B:$B,0))</f>
        <v>Premium</v>
      </c>
      <c r="O533" s="204" t="str">
        <f>INDEX(Mapping!$H:$H,MATCH(F$3&amp;F533,Mapping!$B:$B,0))</f>
        <v>Metro</v>
      </c>
      <c r="P533" s="204">
        <f>INDEX(Mapping!$H:$H,MATCH(G$3&amp;G533,Mapping!$B:$B,0))</f>
        <v>500</v>
      </c>
      <c r="Q533" s="204" t="str">
        <f>INDEX(Mapping!$H:$H,MATCH(Q$3&amp;$F533,Mapping!$B:$B,0))</f>
        <v>Metro - Regionaal</v>
      </c>
      <c r="R533" s="204" t="str">
        <f>INDEX(Mapping!$H:$H,MATCH("ZM VPN Service Level"&amp;E533,Mapping!$B:$B,0))</f>
        <v>Advanced</v>
      </c>
      <c r="S533" s="139" t="b">
        <f>IF($D533="EoK",INDEX(Mapping!$I:$I,MATCH($G$3&amp;$G533,Mapping!B:B,0)),FALSE)</f>
        <v>0</v>
      </c>
      <c r="T533" s="139"/>
      <c r="U533" s="520" t="str">
        <f t="shared" si="297"/>
        <v>PremiumMetro500</v>
      </c>
      <c r="W533" s="521">
        <f>MATCH($J533,'Tarieven ZM'!$B:$B,0)</f>
        <v>81</v>
      </c>
      <c r="X533" s="204">
        <f>INDEX('Tarieven ZM'!$H:$H,$W533)</f>
        <v>1000</v>
      </c>
      <c r="Y533" s="198">
        <f>-INDEX(Parameters!$B:$B,MATCH(Y$3&amp;$C533,Parameters!$A:$A,0))*$X533</f>
        <v>0</v>
      </c>
      <c r="Z533" s="198">
        <f>-INDEX(Parameters!$B:$B,MATCH(Z$3&amp;$C533,Parameters!$A:$A,0))*$X533</f>
        <v>0</v>
      </c>
      <c r="AA533" s="139">
        <f t="shared" si="299"/>
        <v>1000</v>
      </c>
      <c r="AB533" s="205">
        <f>AA533/INDEX(Parameters!$B:$B,MATCH("AfschrijftermijnVVE"&amp;12*$C533,Parameters!$A:$A,0))</f>
        <v>16.666666666666668</v>
      </c>
      <c r="AC533" s="204">
        <f>INDEX('Tarieven ZM'!$G:$G,$W533)</f>
        <v>1000</v>
      </c>
      <c r="AD533" s="198">
        <f>-INDEX(Parameters!$B:$B,MATCH(AD$3&amp;$C533,Parameters!$A:$A,0))*$AC533</f>
        <v>0</v>
      </c>
      <c r="AE533" s="198">
        <f>-INDEX(Parameters!$B:$B,MATCH(AE$3,Parameters!$A:$A,0))*$AC533</f>
        <v>0</v>
      </c>
      <c r="AF533" s="139">
        <f t="shared" si="300"/>
        <v>1000</v>
      </c>
      <c r="AG533" s="522">
        <f t="shared" si="301"/>
        <v>1016.6666666666666</v>
      </c>
      <c r="AH533" s="175"/>
      <c r="AI533" s="523">
        <f>MATCH($U533,'Tarieven W&amp;O'!$B:$B,0)</f>
        <v>73</v>
      </c>
      <c r="AJ533" s="204">
        <f>IF(AI533&lt;&gt;"nvt",INDEX('Tarieven W&amp;O'!$H:$H,$AI533),0)</f>
        <v>0</v>
      </c>
      <c r="AK533" s="204">
        <f>IF(AI533&lt;&gt;"nvt",INDEX('Tarieven W&amp;O'!$I:$I,$AI533),0)</f>
        <v>25</v>
      </c>
      <c r="AL533" s="524">
        <f>IF(AI533&lt;&gt;"nvt",-INDEX(Parameters!$B:$B,MATCH(AL$3,Parameters!$A:$A,0))*(AJ533+AK533),0)</f>
        <v>0</v>
      </c>
      <c r="AM533" s="525"/>
      <c r="AN533" s="139">
        <f t="shared" si="302"/>
        <v>25</v>
      </c>
      <c r="AO533" s="205">
        <f>AN533/INDEX(Parameters!$B:$B,MATCH("AfschrijftermijnVVE"&amp;12*$C533,Parameters!$A:$A,0))</f>
        <v>0.41666666666666669</v>
      </c>
      <c r="AP533" s="139">
        <f t="shared" si="303"/>
        <v>73</v>
      </c>
      <c r="AQ533" s="526">
        <f>IF(AP533&lt;&gt;"nvt",INDEX('Tarieven W&amp;O'!$G:$G,$AP533),0)</f>
        <v>310.54000000000002</v>
      </c>
      <c r="AR533" s="251">
        <f>IF($S533,INDEX('Tarieven W&amp;O'!$G:$G,MATCH(N533&amp;R533,'Tarieven W&amp;O'!$B:$B,0)),0)</f>
        <v>0</v>
      </c>
      <c r="AS533" s="205">
        <f>-INDEX(Parameters!$B:$B,MATCH(AS$3,Parameters!$A:$A,0))*(AQ533+AR533)</f>
        <v>0</v>
      </c>
      <c r="AT533" s="205">
        <f>INDEX(hulpblad!$E:$E,MATCH(M533&amp;Q533,hulpblad!$B:$B,0))</f>
        <v>1</v>
      </c>
      <c r="AU533" s="150">
        <f t="shared" si="283"/>
        <v>311.54000000000002</v>
      </c>
      <c r="AV533" s="150">
        <f t="shared" si="284"/>
        <v>311.95666666666671</v>
      </c>
      <c r="AX533" s="526">
        <f>Parameters!$B$6*AV533</f>
        <v>3.119566666666667</v>
      </c>
      <c r="AY533" s="150">
        <v>0</v>
      </c>
      <c r="AZ533" s="150"/>
      <c r="BA533" s="150">
        <f t="shared" si="304"/>
        <v>3.119566666666667</v>
      </c>
      <c r="BB533" s="150"/>
      <c r="BC533" s="522">
        <f t="shared" si="305"/>
        <v>315.07623333333339</v>
      </c>
      <c r="BD533" s="175"/>
      <c r="BE533" s="527">
        <f t="shared" si="285"/>
        <v>701.59043333333329</v>
      </c>
      <c r="BF533" s="181">
        <f t="shared" si="286"/>
        <v>0.69008895081967214</v>
      </c>
      <c r="BG533" s="520" t="b">
        <f t="shared" si="298"/>
        <v>0</v>
      </c>
      <c r="BI533" s="528" t="s">
        <v>2181</v>
      </c>
      <c r="BL533" s="151" t="str">
        <f t="shared" si="288"/>
        <v>EoKMetro - Regionaal</v>
      </c>
      <c r="BM533" s="529">
        <v>0</v>
      </c>
      <c r="BN533" s="180">
        <f>BM533/INDEX(Parameters!$B:$B,MATCH("AfschrijftermijnVVE"&amp;12*$C533,Parameters!$A:$A,0))</f>
        <v>0</v>
      </c>
      <c r="BO533" s="184">
        <f>INDEX('inkoop ULL tbv EVPN'!I:I,MATCH(BL533,'inkoop ULL tbv EVPN'!H:H,0))</f>
        <v>2</v>
      </c>
      <c r="BP533" s="184">
        <f t="shared" si="289"/>
        <v>2</v>
      </c>
      <c r="BR533" s="180">
        <f>Parameters!$B$12*AG533</f>
        <v>101.66666666666667</v>
      </c>
      <c r="BS533" s="180">
        <f>SUM(Distributievergoedingen!$F$12,Distributievergoedingen!$I$12,Distributievergoedingen!$L$12,Distributievergoedingen!$O$12)*AF533+SUM(Distributievergoedingen!$O$12*AA533+Distributievergoedingen!$R$12+Distributievergoedingen!$U$12+Distributievergoedingen!$X$12)/(MAX(36,12*C533))</f>
        <v>111.66666666666667</v>
      </c>
      <c r="BT533" s="150"/>
      <c r="BU533" s="150">
        <f t="shared" si="290"/>
        <v>213.33333333333334</v>
      </c>
      <c r="BW533" s="522">
        <f t="shared" si="291"/>
        <v>215.33333333333334</v>
      </c>
      <c r="BY533" s="527">
        <f t="shared" si="292"/>
        <v>801.33333333333326</v>
      </c>
      <c r="BZ533" s="181">
        <f t="shared" si="293"/>
        <v>0.78819672131147533</v>
      </c>
      <c r="CA533" s="520" t="b">
        <f t="shared" si="294"/>
        <v>0</v>
      </c>
    </row>
    <row r="534" spans="1:79" s="151" customFormat="1">
      <c r="A534" s="151" t="str">
        <f t="shared" si="287"/>
        <v>5EoKPremiumCity800</v>
      </c>
      <c r="B534" s="520" t="str">
        <f t="shared" si="295"/>
        <v>5EoKPremiumCity800</v>
      </c>
      <c r="C534" s="179">
        <v>5</v>
      </c>
      <c r="D534" s="179" t="s">
        <v>303</v>
      </c>
      <c r="E534" s="178" t="s">
        <v>267</v>
      </c>
      <c r="F534" s="178" t="s">
        <v>262</v>
      </c>
      <c r="G534" s="185" t="s">
        <v>422</v>
      </c>
      <c r="J534" s="520" t="str">
        <f t="shared" si="296"/>
        <v>PremiumCity800</v>
      </c>
      <c r="L534" s="204">
        <f>INDEX(Mapping!$H:$H,MATCH(C$3&amp;C534,Mapping!$B:$B,0))</f>
        <v>1</v>
      </c>
      <c r="M534" s="204" t="str">
        <f>INDEX(Mapping!$H:$H,MATCH(D$3&amp;$D534,Mapping!$B:$B,0))</f>
        <v>EoK</v>
      </c>
      <c r="N534" s="204" t="str">
        <f>INDEX(Mapping!$H:$H,MATCH(E$3&amp;E534,Mapping!$B:$B,0))</f>
        <v>Premium</v>
      </c>
      <c r="O534" s="204" t="str">
        <f>INDEX(Mapping!$H:$H,MATCH(F$3&amp;F534,Mapping!$B:$B,0))</f>
        <v>Metro</v>
      </c>
      <c r="P534" s="204">
        <f>INDEX(Mapping!$H:$H,MATCH(G$3&amp;G534,Mapping!$B:$B,0))</f>
        <v>800</v>
      </c>
      <c r="Q534" s="204" t="str">
        <f>INDEX(Mapping!$H:$H,MATCH(Q$3&amp;$F534,Mapping!$B:$B,0))</f>
        <v>Metro - Regionaal</v>
      </c>
      <c r="R534" s="204" t="str">
        <f>INDEX(Mapping!$H:$H,MATCH("ZM VPN Service Level"&amp;E534,Mapping!$B:$B,0))</f>
        <v>Advanced</v>
      </c>
      <c r="S534" s="139" t="b">
        <f>IF($D534="EoK",INDEX(Mapping!$I:$I,MATCH($G$3&amp;$G534,Mapping!B:B,0)),FALSE)</f>
        <v>0</v>
      </c>
      <c r="T534" s="139"/>
      <c r="U534" s="520" t="str">
        <f t="shared" si="297"/>
        <v>PremiumMetro800</v>
      </c>
      <c r="W534" s="521">
        <f>MATCH($J534,'Tarieven ZM'!$B:$B,0)</f>
        <v>82</v>
      </c>
      <c r="X534" s="204">
        <f>INDEX('Tarieven ZM'!$H:$H,$W534)</f>
        <v>1000</v>
      </c>
      <c r="Y534" s="198">
        <f>-INDEX(Parameters!$B:$B,MATCH(Y$3&amp;$C534,Parameters!$A:$A,0))*$X534</f>
        <v>0</v>
      </c>
      <c r="Z534" s="198">
        <f>-INDEX(Parameters!$B:$B,MATCH(Z$3&amp;$C534,Parameters!$A:$A,0))*$X534</f>
        <v>0</v>
      </c>
      <c r="AA534" s="139">
        <f t="shared" si="299"/>
        <v>1000</v>
      </c>
      <c r="AB534" s="205">
        <f>AA534/INDEX(Parameters!$B:$B,MATCH("AfschrijftermijnVVE"&amp;12*$C534,Parameters!$A:$A,0))</f>
        <v>16.666666666666668</v>
      </c>
      <c r="AC534" s="204">
        <f>INDEX('Tarieven ZM'!$G:$G,$W534)</f>
        <v>1000</v>
      </c>
      <c r="AD534" s="198">
        <f>-INDEX(Parameters!$B:$B,MATCH(AD$3&amp;$C534,Parameters!$A:$A,0))*$AC534</f>
        <v>0</v>
      </c>
      <c r="AE534" s="198">
        <f>-INDEX(Parameters!$B:$B,MATCH(AE$3,Parameters!$A:$A,0))*$AC534</f>
        <v>0</v>
      </c>
      <c r="AF534" s="139">
        <f t="shared" si="300"/>
        <v>1000</v>
      </c>
      <c r="AG534" s="522">
        <f t="shared" si="301"/>
        <v>1016.6666666666666</v>
      </c>
      <c r="AH534" s="175"/>
      <c r="AI534" s="523">
        <f>MATCH($U534,'Tarieven W&amp;O'!$B:$B,0)</f>
        <v>74</v>
      </c>
      <c r="AJ534" s="204">
        <f>IF(AI534&lt;&gt;"nvt",INDEX('Tarieven W&amp;O'!$H:$H,$AI534),0)</f>
        <v>0</v>
      </c>
      <c r="AK534" s="204">
        <f>IF(AI534&lt;&gt;"nvt",INDEX('Tarieven W&amp;O'!$I:$I,$AI534),0)</f>
        <v>25</v>
      </c>
      <c r="AL534" s="524">
        <f>IF(AI534&lt;&gt;"nvt",-INDEX(Parameters!$B:$B,MATCH(AL$3,Parameters!$A:$A,0))*(AJ534+AK534),0)</f>
        <v>0</v>
      </c>
      <c r="AM534" s="525"/>
      <c r="AN534" s="139">
        <f t="shared" si="302"/>
        <v>25</v>
      </c>
      <c r="AO534" s="205">
        <f>AN534/INDEX(Parameters!$B:$B,MATCH("AfschrijftermijnVVE"&amp;12*$C534,Parameters!$A:$A,0))</f>
        <v>0.41666666666666669</v>
      </c>
      <c r="AP534" s="139">
        <f t="shared" si="303"/>
        <v>74</v>
      </c>
      <c r="AQ534" s="526">
        <f>IF(AP534&lt;&gt;"nvt",INDEX('Tarieven W&amp;O'!$G:$G,$AP534),0)</f>
        <v>348.23</v>
      </c>
      <c r="AR534" s="251">
        <f>IF($S534,INDEX('Tarieven W&amp;O'!$G:$G,MATCH(N534&amp;R534,'Tarieven W&amp;O'!$B:$B,0)),0)</f>
        <v>0</v>
      </c>
      <c r="AS534" s="205">
        <f>-INDEX(Parameters!$B:$B,MATCH(AS$3,Parameters!$A:$A,0))*(AQ534+AR534)</f>
        <v>0</v>
      </c>
      <c r="AT534" s="205">
        <f>INDEX(hulpblad!$E:$E,MATCH(M534&amp;Q534,hulpblad!$B:$B,0))</f>
        <v>1</v>
      </c>
      <c r="AU534" s="150">
        <f t="shared" si="283"/>
        <v>349.23</v>
      </c>
      <c r="AV534" s="150">
        <f t="shared" si="284"/>
        <v>349.6466666666667</v>
      </c>
      <c r="AX534" s="526">
        <f>Parameters!$B$6*AV534</f>
        <v>3.4964666666666671</v>
      </c>
      <c r="AY534" s="150">
        <v>0</v>
      </c>
      <c r="AZ534" s="150"/>
      <c r="BA534" s="150">
        <f t="shared" si="304"/>
        <v>3.4964666666666671</v>
      </c>
      <c r="BB534" s="150"/>
      <c r="BC534" s="522">
        <f t="shared" si="305"/>
        <v>353.14313333333337</v>
      </c>
      <c r="BD534" s="175"/>
      <c r="BE534" s="527">
        <f t="shared" si="285"/>
        <v>663.52353333333326</v>
      </c>
      <c r="BF534" s="181">
        <f t="shared" si="286"/>
        <v>0.65264609836065568</v>
      </c>
      <c r="BG534" s="520" t="b">
        <f t="shared" si="298"/>
        <v>0</v>
      </c>
      <c r="BI534" s="528" t="s">
        <v>2181</v>
      </c>
      <c r="BL534" s="151" t="str">
        <f t="shared" si="288"/>
        <v>EoKMetro - Regionaal</v>
      </c>
      <c r="BM534" s="529">
        <v>0</v>
      </c>
      <c r="BN534" s="180">
        <f>BM534/INDEX(Parameters!$B:$B,MATCH("AfschrijftermijnVVE"&amp;12*$C534,Parameters!$A:$A,0))</f>
        <v>0</v>
      </c>
      <c r="BO534" s="184">
        <f>INDEX('inkoop ULL tbv EVPN'!I:I,MATCH(BL534,'inkoop ULL tbv EVPN'!H:H,0))</f>
        <v>2</v>
      </c>
      <c r="BP534" s="184">
        <f t="shared" si="289"/>
        <v>2</v>
      </c>
      <c r="BR534" s="180">
        <f>Parameters!$B$12*AG534</f>
        <v>101.66666666666667</v>
      </c>
      <c r="BS534" s="180">
        <f>SUM(Distributievergoedingen!$F$12,Distributievergoedingen!$I$12,Distributievergoedingen!$L$12,Distributievergoedingen!$O$12)*AF534+SUM(Distributievergoedingen!$O$12*AA534+Distributievergoedingen!$R$12+Distributievergoedingen!$U$12+Distributievergoedingen!$X$12)/(MAX(36,12*C534))</f>
        <v>111.66666666666667</v>
      </c>
      <c r="BT534" s="150"/>
      <c r="BU534" s="150">
        <f t="shared" si="290"/>
        <v>213.33333333333334</v>
      </c>
      <c r="BW534" s="522">
        <f t="shared" si="291"/>
        <v>215.33333333333334</v>
      </c>
      <c r="BY534" s="527">
        <f t="shared" si="292"/>
        <v>801.33333333333326</v>
      </c>
      <c r="BZ534" s="181">
        <f t="shared" si="293"/>
        <v>0.78819672131147533</v>
      </c>
      <c r="CA534" s="520" t="b">
        <f t="shared" si="294"/>
        <v>0</v>
      </c>
    </row>
    <row r="535" spans="1:79" s="151" customFormat="1">
      <c r="A535" s="151" t="str">
        <f t="shared" si="287"/>
        <v>5EoKPremiumCity1000</v>
      </c>
      <c r="B535" s="520" t="str">
        <f t="shared" si="295"/>
        <v>5EoKPremiumCity1000</v>
      </c>
      <c r="C535" s="179">
        <v>5</v>
      </c>
      <c r="D535" s="179" t="s">
        <v>303</v>
      </c>
      <c r="E535" s="178" t="s">
        <v>267</v>
      </c>
      <c r="F535" s="178" t="s">
        <v>262</v>
      </c>
      <c r="G535" s="185" t="s">
        <v>423</v>
      </c>
      <c r="J535" s="520" t="str">
        <f t="shared" si="296"/>
        <v>PremiumCity1000</v>
      </c>
      <c r="L535" s="204">
        <f>INDEX(Mapping!$H:$H,MATCH(C$3&amp;C535,Mapping!$B:$B,0))</f>
        <v>1</v>
      </c>
      <c r="M535" s="204" t="str">
        <f>INDEX(Mapping!$H:$H,MATCH(D$3&amp;$D535,Mapping!$B:$B,0))</f>
        <v>EoK</v>
      </c>
      <c r="N535" s="204" t="str">
        <f>INDEX(Mapping!$H:$H,MATCH(E$3&amp;E535,Mapping!$B:$B,0))</f>
        <v>Premium</v>
      </c>
      <c r="O535" s="204" t="str">
        <f>INDEX(Mapping!$H:$H,MATCH(F$3&amp;F535,Mapping!$B:$B,0))</f>
        <v>Metro</v>
      </c>
      <c r="P535" s="204">
        <f>INDEX(Mapping!$H:$H,MATCH(G$3&amp;G535,Mapping!$B:$B,0))</f>
        <v>1000</v>
      </c>
      <c r="Q535" s="204" t="str">
        <f>INDEX(Mapping!$H:$H,MATCH(Q$3&amp;$F535,Mapping!$B:$B,0))</f>
        <v>Metro - Regionaal</v>
      </c>
      <c r="R535" s="204" t="str">
        <f>INDEX(Mapping!$H:$H,MATCH("ZM VPN Service Level"&amp;E535,Mapping!$B:$B,0))</f>
        <v>Advanced</v>
      </c>
      <c r="S535" s="139" t="b">
        <f>IF($D535="EoK",INDEX(Mapping!$I:$I,MATCH($G$3&amp;$G535,Mapping!B:B,0)),FALSE)</f>
        <v>0</v>
      </c>
      <c r="T535" s="139"/>
      <c r="U535" s="520" t="str">
        <f t="shared" si="297"/>
        <v>PremiumMetro1000</v>
      </c>
      <c r="W535" s="521">
        <f>MATCH($J535,'Tarieven ZM'!$B:$B,0)</f>
        <v>83</v>
      </c>
      <c r="X535" s="204">
        <f>INDEX('Tarieven ZM'!$H:$H,$W535)</f>
        <v>1000</v>
      </c>
      <c r="Y535" s="198">
        <f>-INDEX(Parameters!$B:$B,MATCH(Y$3&amp;$C535,Parameters!$A:$A,0))*$X535</f>
        <v>0</v>
      </c>
      <c r="Z535" s="198">
        <f>-INDEX(Parameters!$B:$B,MATCH(Z$3&amp;$C535,Parameters!$A:$A,0))*$X535</f>
        <v>0</v>
      </c>
      <c r="AA535" s="139">
        <f t="shared" si="299"/>
        <v>1000</v>
      </c>
      <c r="AB535" s="205">
        <f>AA535/INDEX(Parameters!$B:$B,MATCH("AfschrijftermijnVVE"&amp;12*$C535,Parameters!$A:$A,0))</f>
        <v>16.666666666666668</v>
      </c>
      <c r="AC535" s="204">
        <f>INDEX('Tarieven ZM'!$G:$G,$W535)</f>
        <v>1000</v>
      </c>
      <c r="AD535" s="198">
        <f>-INDEX(Parameters!$B:$B,MATCH(AD$3&amp;$C535,Parameters!$A:$A,0))*$AC535</f>
        <v>0</v>
      </c>
      <c r="AE535" s="198">
        <f>-INDEX(Parameters!$B:$B,MATCH(AE$3,Parameters!$A:$A,0))*$AC535</f>
        <v>0</v>
      </c>
      <c r="AF535" s="139">
        <f t="shared" si="300"/>
        <v>1000</v>
      </c>
      <c r="AG535" s="522">
        <f t="shared" si="301"/>
        <v>1016.6666666666666</v>
      </c>
      <c r="AH535" s="175"/>
      <c r="AI535" s="523">
        <f>MATCH($U535,'Tarieven W&amp;O'!$B:$B,0)</f>
        <v>75</v>
      </c>
      <c r="AJ535" s="204">
        <f>IF(AI535&lt;&gt;"nvt",INDEX('Tarieven W&amp;O'!$H:$H,$AI535),0)</f>
        <v>0</v>
      </c>
      <c r="AK535" s="204">
        <f>IF(AI535&lt;&gt;"nvt",INDEX('Tarieven W&amp;O'!$I:$I,$AI535),0)</f>
        <v>25</v>
      </c>
      <c r="AL535" s="524">
        <f>IF(AI535&lt;&gt;"nvt",-INDEX(Parameters!$B:$B,MATCH(AL$3,Parameters!$A:$A,0))*(AJ535+AK535),0)</f>
        <v>0</v>
      </c>
      <c r="AM535" s="525"/>
      <c r="AN535" s="139">
        <f t="shared" si="302"/>
        <v>25</v>
      </c>
      <c r="AO535" s="205">
        <f>AN535/INDEX(Parameters!$B:$B,MATCH("AfschrijftermijnVVE"&amp;12*$C535,Parameters!$A:$A,0))</f>
        <v>0.41666666666666669</v>
      </c>
      <c r="AP535" s="139">
        <f t="shared" si="303"/>
        <v>75</v>
      </c>
      <c r="AQ535" s="526">
        <f>IF(AP535&lt;&gt;"nvt",INDEX('Tarieven W&amp;O'!$G:$G,$AP535),0)</f>
        <v>385.93</v>
      </c>
      <c r="AR535" s="251">
        <f>IF($S535,INDEX('Tarieven W&amp;O'!$G:$G,MATCH(N535&amp;R535,'Tarieven W&amp;O'!$B:$B,0)),0)</f>
        <v>0</v>
      </c>
      <c r="AS535" s="205">
        <f>-INDEX(Parameters!$B:$B,MATCH(AS$3,Parameters!$A:$A,0))*(AQ535+AR535)</f>
        <v>0</v>
      </c>
      <c r="AT535" s="205">
        <f>INDEX(hulpblad!$E:$E,MATCH(M535&amp;Q535,hulpblad!$B:$B,0))</f>
        <v>1</v>
      </c>
      <c r="AU535" s="150">
        <f t="shared" si="283"/>
        <v>386.93</v>
      </c>
      <c r="AV535" s="150">
        <f t="shared" si="284"/>
        <v>387.34666666666669</v>
      </c>
      <c r="AX535" s="526">
        <f>Parameters!$B$6*AV535</f>
        <v>3.8734666666666668</v>
      </c>
      <c r="AY535" s="150">
        <v>0</v>
      </c>
      <c r="AZ535" s="150"/>
      <c r="BA535" s="150">
        <f t="shared" si="304"/>
        <v>3.8734666666666668</v>
      </c>
      <c r="BB535" s="150"/>
      <c r="BC535" s="522">
        <f t="shared" si="305"/>
        <v>391.22013333333337</v>
      </c>
      <c r="BD535" s="175"/>
      <c r="BE535" s="527">
        <f t="shared" si="285"/>
        <v>625.44653333333326</v>
      </c>
      <c r="BF535" s="181">
        <f t="shared" si="286"/>
        <v>0.61519331147540979</v>
      </c>
      <c r="BG535" s="520" t="b">
        <f t="shared" si="298"/>
        <v>0</v>
      </c>
      <c r="BI535" s="528" t="s">
        <v>2181</v>
      </c>
      <c r="BL535" s="151" t="str">
        <f t="shared" si="288"/>
        <v>EoKMetro - Regionaal</v>
      </c>
      <c r="BM535" s="529">
        <v>0</v>
      </c>
      <c r="BN535" s="180">
        <f>BM535/INDEX(Parameters!$B:$B,MATCH("AfschrijftermijnVVE"&amp;12*$C535,Parameters!$A:$A,0))</f>
        <v>0</v>
      </c>
      <c r="BO535" s="184">
        <f>INDEX('inkoop ULL tbv EVPN'!I:I,MATCH(BL535,'inkoop ULL tbv EVPN'!H:H,0))</f>
        <v>2</v>
      </c>
      <c r="BP535" s="184">
        <f t="shared" si="289"/>
        <v>2</v>
      </c>
      <c r="BR535" s="180">
        <f>Parameters!$B$12*AG535</f>
        <v>101.66666666666667</v>
      </c>
      <c r="BS535" s="180">
        <f>SUM(Distributievergoedingen!$F$12,Distributievergoedingen!$I$12,Distributievergoedingen!$L$12,Distributievergoedingen!$O$12)*AF535+SUM(Distributievergoedingen!$O$12*AA535+Distributievergoedingen!$R$12+Distributievergoedingen!$U$12+Distributievergoedingen!$X$12)/(MAX(36,12*C535))</f>
        <v>111.66666666666667</v>
      </c>
      <c r="BT535" s="150"/>
      <c r="BU535" s="150">
        <f t="shared" si="290"/>
        <v>213.33333333333334</v>
      </c>
      <c r="BW535" s="522">
        <f t="shared" si="291"/>
        <v>215.33333333333334</v>
      </c>
      <c r="BY535" s="527">
        <f t="shared" si="292"/>
        <v>801.33333333333326</v>
      </c>
      <c r="BZ535" s="181">
        <f t="shared" si="293"/>
        <v>0.78819672131147533</v>
      </c>
      <c r="CA535" s="520" t="b">
        <f t="shared" si="294"/>
        <v>0</v>
      </c>
    </row>
    <row r="536" spans="1:79" s="151" customFormat="1">
      <c r="A536" s="151" t="str">
        <f t="shared" si="287"/>
        <v>5EoKPremiumRegionaal1</v>
      </c>
      <c r="B536" s="520" t="str">
        <f t="shared" si="295"/>
        <v>5EoKPremiumRegionaal1</v>
      </c>
      <c r="C536" s="179">
        <v>5</v>
      </c>
      <c r="D536" s="179" t="s">
        <v>303</v>
      </c>
      <c r="E536" s="178" t="s">
        <v>267</v>
      </c>
      <c r="F536" s="178" t="s">
        <v>265</v>
      </c>
      <c r="G536" s="185" t="s">
        <v>362</v>
      </c>
      <c r="J536" s="520" t="str">
        <f t="shared" si="296"/>
        <v>PremiumRegionaal1</v>
      </c>
      <c r="L536" s="204">
        <f>INDEX(Mapping!$H:$H,MATCH(C$3&amp;C536,Mapping!$B:$B,0))</f>
        <v>1</v>
      </c>
      <c r="M536" s="204" t="str">
        <f>INDEX(Mapping!$H:$H,MATCH(D$3&amp;$D536,Mapping!$B:$B,0))</f>
        <v>EoK</v>
      </c>
      <c r="N536" s="204" t="str">
        <f>INDEX(Mapping!$H:$H,MATCH(E$3&amp;E536,Mapping!$B:$B,0))</f>
        <v>Premium</v>
      </c>
      <c r="O536" s="204" t="str">
        <f>INDEX(Mapping!$H:$H,MATCH(F$3&amp;F536,Mapping!$B:$B,0))</f>
        <v>Metro</v>
      </c>
      <c r="P536" s="204">
        <f>INDEX(Mapping!$H:$H,MATCH(G$3&amp;G536,Mapping!$B:$B,0))</f>
        <v>1</v>
      </c>
      <c r="Q536" s="204" t="str">
        <f>INDEX(Mapping!$H:$H,MATCH(Q$3&amp;$F536,Mapping!$B:$B,0))</f>
        <v>Metro - Nationaal</v>
      </c>
      <c r="R536" s="204" t="str">
        <f>INDEX(Mapping!$H:$H,MATCH("ZM VPN Service Level"&amp;E536,Mapping!$B:$B,0))</f>
        <v>Advanced</v>
      </c>
      <c r="S536" s="139" t="b">
        <f>IF($D536="EoK",INDEX(Mapping!$I:$I,MATCH($G$3&amp;$G536,Mapping!B:B,0)),FALSE)</f>
        <v>1</v>
      </c>
      <c r="T536" s="139"/>
      <c r="U536" s="520" t="str">
        <f t="shared" si="297"/>
        <v>PremiumMetro1</v>
      </c>
      <c r="W536" s="521">
        <f>MATCH($J536,'Tarieven ZM'!$B:$B,0)</f>
        <v>84</v>
      </c>
      <c r="X536" s="204">
        <f>INDEX('Tarieven ZM'!$H:$H,$W536)</f>
        <v>1000</v>
      </c>
      <c r="Y536" s="198">
        <f>-INDEX(Parameters!$B:$B,MATCH(Y$3&amp;$C536,Parameters!$A:$A,0))*$X536</f>
        <v>0</v>
      </c>
      <c r="Z536" s="198">
        <f>-INDEX(Parameters!$B:$B,MATCH(Z$3&amp;$C536,Parameters!$A:$A,0))*$X536</f>
        <v>0</v>
      </c>
      <c r="AA536" s="139">
        <f t="shared" si="299"/>
        <v>1000</v>
      </c>
      <c r="AB536" s="205">
        <f>AA536/INDEX(Parameters!$B:$B,MATCH("AfschrijftermijnVVE"&amp;12*$C536,Parameters!$A:$A,0))</f>
        <v>16.666666666666668</v>
      </c>
      <c r="AC536" s="204">
        <f>INDEX('Tarieven ZM'!$G:$G,$W536)</f>
        <v>1000</v>
      </c>
      <c r="AD536" s="198">
        <f>-INDEX(Parameters!$B:$B,MATCH(AD$3&amp;$C536,Parameters!$A:$A,0))*$AC536</f>
        <v>0</v>
      </c>
      <c r="AE536" s="198">
        <f>-INDEX(Parameters!$B:$B,MATCH(AE$3,Parameters!$A:$A,0))*$AC536</f>
        <v>0</v>
      </c>
      <c r="AF536" s="139">
        <f t="shared" si="300"/>
        <v>1000</v>
      </c>
      <c r="AG536" s="522">
        <f t="shared" si="301"/>
        <v>1016.6666666666666</v>
      </c>
      <c r="AH536" s="175"/>
      <c r="AI536" s="523">
        <f>MATCH($U536,'Tarieven W&amp;O'!$B:$B,0)</f>
        <v>57</v>
      </c>
      <c r="AJ536" s="204">
        <f>IF(AI536&lt;&gt;"nvt",INDEX('Tarieven W&amp;O'!$H:$H,$AI536),0)</f>
        <v>0</v>
      </c>
      <c r="AK536" s="204">
        <f>IF(AI536&lt;&gt;"nvt",INDEX('Tarieven W&amp;O'!$I:$I,$AI536),0)</f>
        <v>25</v>
      </c>
      <c r="AL536" s="524">
        <f>IF(AI536&lt;&gt;"nvt",-INDEX(Parameters!$B:$B,MATCH(AL$3,Parameters!$A:$A,0))*(AJ536+AK536),0)</f>
        <v>0</v>
      </c>
      <c r="AM536" s="525"/>
      <c r="AN536" s="139">
        <f t="shared" si="302"/>
        <v>25</v>
      </c>
      <c r="AO536" s="205">
        <f>AN536/INDEX(Parameters!$B:$B,MATCH("AfschrijftermijnVVE"&amp;12*$C536,Parameters!$A:$A,0))</f>
        <v>0.41666666666666669</v>
      </c>
      <c r="AP536" s="139">
        <f t="shared" si="303"/>
        <v>57</v>
      </c>
      <c r="AQ536" s="526">
        <f>IF(AP536&lt;&gt;"nvt",INDEX('Tarieven W&amp;O'!$G:$G,$AP536),0)</f>
        <v>14.29</v>
      </c>
      <c r="AR536" s="251">
        <f>IF($S536,INDEX('Tarieven W&amp;O'!$G:$G,MATCH(N536&amp;R536,'Tarieven W&amp;O'!$B:$B,0)),0)</f>
        <v>0</v>
      </c>
      <c r="AS536" s="205">
        <f>-INDEX(Parameters!$B:$B,MATCH(AS$3,Parameters!$A:$A,0))*(AQ536+AR536)</f>
        <v>0</v>
      </c>
      <c r="AT536" s="205">
        <f>INDEX(hulpblad!$E:$E,MATCH(M536&amp;Q536,hulpblad!$B:$B,0))</f>
        <v>2</v>
      </c>
      <c r="AU536" s="150">
        <f t="shared" si="283"/>
        <v>16.29</v>
      </c>
      <c r="AV536" s="150">
        <f t="shared" si="284"/>
        <v>16.706666666666667</v>
      </c>
      <c r="AX536" s="526">
        <f>Parameters!$B$6*AV536</f>
        <v>0.16706666666666667</v>
      </c>
      <c r="AY536" s="150">
        <v>0</v>
      </c>
      <c r="AZ536" s="150"/>
      <c r="BA536" s="150">
        <f t="shared" si="304"/>
        <v>0.16706666666666667</v>
      </c>
      <c r="BB536" s="150"/>
      <c r="BC536" s="522">
        <f t="shared" si="305"/>
        <v>16.873733333333334</v>
      </c>
      <c r="BD536" s="175"/>
      <c r="BE536" s="527">
        <f t="shared" si="285"/>
        <v>999.79293333333328</v>
      </c>
      <c r="BF536" s="181">
        <f t="shared" si="286"/>
        <v>0.98340288524590158</v>
      </c>
      <c r="BG536" s="520" t="b">
        <f t="shared" si="298"/>
        <v>0</v>
      </c>
      <c r="BI536" s="528" t="s">
        <v>2181</v>
      </c>
      <c r="BL536" s="151" t="str">
        <f t="shared" si="288"/>
        <v>EoKMetro - Nationaal</v>
      </c>
      <c r="BM536" s="529">
        <v>0</v>
      </c>
      <c r="BN536" s="180">
        <f>BM536/INDEX(Parameters!$B:$B,MATCH("AfschrijftermijnVVE"&amp;12*$C536,Parameters!$A:$A,0))</f>
        <v>0</v>
      </c>
      <c r="BO536" s="184">
        <f>INDEX('inkoop ULL tbv EVPN'!I:I,MATCH(BL536,'inkoop ULL tbv EVPN'!H:H,0))</f>
        <v>2</v>
      </c>
      <c r="BP536" s="184">
        <f t="shared" si="289"/>
        <v>2</v>
      </c>
      <c r="BR536" s="180">
        <f>Parameters!$B$12*AG536</f>
        <v>101.66666666666667</v>
      </c>
      <c r="BS536" s="180">
        <f>SUM(Distributievergoedingen!$F$12,Distributievergoedingen!$I$12,Distributievergoedingen!$L$12,Distributievergoedingen!$O$12)*AF536+SUM(Distributievergoedingen!$O$12*AA536+Distributievergoedingen!$R$12+Distributievergoedingen!$U$12+Distributievergoedingen!$X$12)/(MAX(36,12*C536))</f>
        <v>111.66666666666667</v>
      </c>
      <c r="BT536" s="150"/>
      <c r="BU536" s="150">
        <f t="shared" si="290"/>
        <v>213.33333333333334</v>
      </c>
      <c r="BW536" s="522">
        <f t="shared" si="291"/>
        <v>215.33333333333334</v>
      </c>
      <c r="BY536" s="527">
        <f t="shared" si="292"/>
        <v>801.33333333333326</v>
      </c>
      <c r="BZ536" s="181">
        <f t="shared" si="293"/>
        <v>0.78819672131147533</v>
      </c>
      <c r="CA536" s="520" t="b">
        <f t="shared" si="294"/>
        <v>0</v>
      </c>
    </row>
    <row r="537" spans="1:79" s="151" customFormat="1">
      <c r="A537" s="151" t="str">
        <f t="shared" si="287"/>
        <v>5EoKPremiumRegionaal2</v>
      </c>
      <c r="B537" s="520" t="str">
        <f t="shared" si="295"/>
        <v>5EoKPremiumRegionaal2</v>
      </c>
      <c r="C537" s="179">
        <v>5</v>
      </c>
      <c r="D537" s="179" t="s">
        <v>303</v>
      </c>
      <c r="E537" s="178" t="s">
        <v>267</v>
      </c>
      <c r="F537" s="178" t="s">
        <v>265</v>
      </c>
      <c r="G537" s="185" t="s">
        <v>363</v>
      </c>
      <c r="J537" s="520" t="str">
        <f t="shared" si="296"/>
        <v>PremiumRegionaal2</v>
      </c>
      <c r="L537" s="204">
        <f>INDEX(Mapping!$H:$H,MATCH(C$3&amp;C537,Mapping!$B:$B,0))</f>
        <v>1</v>
      </c>
      <c r="M537" s="204" t="str">
        <f>INDEX(Mapping!$H:$H,MATCH(D$3&amp;$D537,Mapping!$B:$B,0))</f>
        <v>EoK</v>
      </c>
      <c r="N537" s="204" t="str">
        <f>INDEX(Mapping!$H:$H,MATCH(E$3&amp;E537,Mapping!$B:$B,0))</f>
        <v>Premium</v>
      </c>
      <c r="O537" s="204" t="str">
        <f>INDEX(Mapping!$H:$H,MATCH(F$3&amp;F537,Mapping!$B:$B,0))</f>
        <v>Metro</v>
      </c>
      <c r="P537" s="204">
        <f>INDEX(Mapping!$H:$H,MATCH(G$3&amp;G537,Mapping!$B:$B,0))</f>
        <v>2</v>
      </c>
      <c r="Q537" s="204" t="str">
        <f>INDEX(Mapping!$H:$H,MATCH(Q$3&amp;$F537,Mapping!$B:$B,0))</f>
        <v>Metro - Nationaal</v>
      </c>
      <c r="R537" s="204" t="str">
        <f>INDEX(Mapping!$H:$H,MATCH("ZM VPN Service Level"&amp;E537,Mapping!$B:$B,0))</f>
        <v>Advanced</v>
      </c>
      <c r="S537" s="139" t="b">
        <f>IF($D537="EoK",INDEX(Mapping!$I:$I,MATCH($G$3&amp;$G537,Mapping!B:B,0)),FALSE)</f>
        <v>1</v>
      </c>
      <c r="T537" s="139"/>
      <c r="U537" s="520" t="str">
        <f t="shared" si="297"/>
        <v>PremiumMetro2</v>
      </c>
      <c r="W537" s="521">
        <f>MATCH($J537,'Tarieven ZM'!$B:$B,0)</f>
        <v>85</v>
      </c>
      <c r="X537" s="204">
        <f>INDEX('Tarieven ZM'!$H:$H,$W537)</f>
        <v>1000</v>
      </c>
      <c r="Y537" s="198">
        <f>-INDEX(Parameters!$B:$B,MATCH(Y$3&amp;$C537,Parameters!$A:$A,0))*$X537</f>
        <v>0</v>
      </c>
      <c r="Z537" s="198">
        <f>-INDEX(Parameters!$B:$B,MATCH(Z$3&amp;$C537,Parameters!$A:$A,0))*$X537</f>
        <v>0</v>
      </c>
      <c r="AA537" s="139">
        <f t="shared" si="299"/>
        <v>1000</v>
      </c>
      <c r="AB537" s="205">
        <f>AA537/INDEX(Parameters!$B:$B,MATCH("AfschrijftermijnVVE"&amp;12*$C537,Parameters!$A:$A,0))</f>
        <v>16.666666666666668</v>
      </c>
      <c r="AC537" s="204">
        <f>INDEX('Tarieven ZM'!$G:$G,$W537)</f>
        <v>1000</v>
      </c>
      <c r="AD537" s="198">
        <f>-INDEX(Parameters!$B:$B,MATCH(AD$3&amp;$C537,Parameters!$A:$A,0))*$AC537</f>
        <v>0</v>
      </c>
      <c r="AE537" s="198">
        <f>-INDEX(Parameters!$B:$B,MATCH(AE$3,Parameters!$A:$A,0))*$AC537</f>
        <v>0</v>
      </c>
      <c r="AF537" s="139">
        <f t="shared" si="300"/>
        <v>1000</v>
      </c>
      <c r="AG537" s="522">
        <f t="shared" si="301"/>
        <v>1016.6666666666666</v>
      </c>
      <c r="AH537" s="175"/>
      <c r="AI537" s="523">
        <f>MATCH($U537,'Tarieven W&amp;O'!$B:$B,0)</f>
        <v>58</v>
      </c>
      <c r="AJ537" s="204">
        <f>IF(AI537&lt;&gt;"nvt",INDEX('Tarieven W&amp;O'!$H:$H,$AI537),0)</f>
        <v>0</v>
      </c>
      <c r="AK537" s="204">
        <f>IF(AI537&lt;&gt;"nvt",INDEX('Tarieven W&amp;O'!$I:$I,$AI537),0)</f>
        <v>25</v>
      </c>
      <c r="AL537" s="524">
        <f>IF(AI537&lt;&gt;"nvt",-INDEX(Parameters!$B:$B,MATCH(AL$3,Parameters!$A:$A,0))*(AJ537+AK537),0)</f>
        <v>0</v>
      </c>
      <c r="AM537" s="525"/>
      <c r="AN537" s="139">
        <f t="shared" si="302"/>
        <v>25</v>
      </c>
      <c r="AO537" s="205">
        <f>AN537/INDEX(Parameters!$B:$B,MATCH("AfschrijftermijnVVE"&amp;12*$C537,Parameters!$A:$A,0))</f>
        <v>0.41666666666666669</v>
      </c>
      <c r="AP537" s="139">
        <f t="shared" si="303"/>
        <v>58</v>
      </c>
      <c r="AQ537" s="526">
        <f>IF(AP537&lt;&gt;"nvt",INDEX('Tarieven W&amp;O'!$G:$G,$AP537),0)</f>
        <v>16.55</v>
      </c>
      <c r="AR537" s="251">
        <f>IF($S537,INDEX('Tarieven W&amp;O'!$G:$G,MATCH(N537&amp;R537,'Tarieven W&amp;O'!$B:$B,0)),0)</f>
        <v>0</v>
      </c>
      <c r="AS537" s="205">
        <f>-INDEX(Parameters!$B:$B,MATCH(AS$3,Parameters!$A:$A,0))*(AQ537+AR537)</f>
        <v>0</v>
      </c>
      <c r="AT537" s="205">
        <f>INDEX(hulpblad!$E:$E,MATCH(M537&amp;Q537,hulpblad!$B:$B,0))</f>
        <v>2</v>
      </c>
      <c r="AU537" s="150">
        <f t="shared" si="283"/>
        <v>18.55</v>
      </c>
      <c r="AV537" s="150">
        <f t="shared" si="284"/>
        <v>18.966666666666669</v>
      </c>
      <c r="AX537" s="526">
        <f>Parameters!$B$6*AV537</f>
        <v>0.18966666666666668</v>
      </c>
      <c r="AY537" s="150">
        <v>0</v>
      </c>
      <c r="AZ537" s="150"/>
      <c r="BA537" s="150">
        <f t="shared" si="304"/>
        <v>0.18966666666666668</v>
      </c>
      <c r="BB537" s="150"/>
      <c r="BC537" s="522">
        <f t="shared" si="305"/>
        <v>19.156333333333336</v>
      </c>
      <c r="BD537" s="175"/>
      <c r="BE537" s="527">
        <f t="shared" si="285"/>
        <v>997.51033333333328</v>
      </c>
      <c r="BF537" s="181">
        <f t="shared" si="286"/>
        <v>0.98115770491803278</v>
      </c>
      <c r="BG537" s="520" t="b">
        <f t="shared" si="298"/>
        <v>0</v>
      </c>
      <c r="BI537" s="528" t="s">
        <v>2181</v>
      </c>
      <c r="BL537" s="151" t="str">
        <f t="shared" si="288"/>
        <v>EoKMetro - Nationaal</v>
      </c>
      <c r="BM537" s="529">
        <v>0</v>
      </c>
      <c r="BN537" s="180">
        <f>BM537/INDEX(Parameters!$B:$B,MATCH("AfschrijftermijnVVE"&amp;12*$C537,Parameters!$A:$A,0))</f>
        <v>0</v>
      </c>
      <c r="BO537" s="184">
        <f>INDEX('inkoop ULL tbv EVPN'!I:I,MATCH(BL537,'inkoop ULL tbv EVPN'!H:H,0))</f>
        <v>2</v>
      </c>
      <c r="BP537" s="184">
        <f t="shared" si="289"/>
        <v>2</v>
      </c>
      <c r="BR537" s="180">
        <f>Parameters!$B$12*AG537</f>
        <v>101.66666666666667</v>
      </c>
      <c r="BS537" s="180">
        <f>SUM(Distributievergoedingen!$F$12,Distributievergoedingen!$I$12,Distributievergoedingen!$L$12,Distributievergoedingen!$O$12)*AF537+SUM(Distributievergoedingen!$O$12*AA537+Distributievergoedingen!$R$12+Distributievergoedingen!$U$12+Distributievergoedingen!$X$12)/(MAX(36,12*C537))</f>
        <v>111.66666666666667</v>
      </c>
      <c r="BT537" s="150"/>
      <c r="BU537" s="150">
        <f t="shared" si="290"/>
        <v>213.33333333333334</v>
      </c>
      <c r="BW537" s="522">
        <f t="shared" si="291"/>
        <v>215.33333333333334</v>
      </c>
      <c r="BY537" s="527">
        <f t="shared" si="292"/>
        <v>801.33333333333326</v>
      </c>
      <c r="BZ537" s="181">
        <f t="shared" si="293"/>
        <v>0.78819672131147533</v>
      </c>
      <c r="CA537" s="520" t="b">
        <f t="shared" si="294"/>
        <v>0</v>
      </c>
    </row>
    <row r="538" spans="1:79" s="151" customFormat="1">
      <c r="A538" s="151" t="str">
        <f t="shared" si="287"/>
        <v>5EoKPremiumRegionaal3</v>
      </c>
      <c r="B538" s="520" t="str">
        <f t="shared" si="295"/>
        <v>5EoKPremiumRegionaal3</v>
      </c>
      <c r="C538" s="179">
        <v>5</v>
      </c>
      <c r="D538" s="179" t="s">
        <v>303</v>
      </c>
      <c r="E538" s="178" t="s">
        <v>267</v>
      </c>
      <c r="F538" s="178" t="s">
        <v>265</v>
      </c>
      <c r="G538" s="185" t="s">
        <v>407</v>
      </c>
      <c r="J538" s="520" t="str">
        <f t="shared" si="296"/>
        <v>PremiumRegionaal3</v>
      </c>
      <c r="L538" s="204">
        <f>INDEX(Mapping!$H:$H,MATCH(C$3&amp;C538,Mapping!$B:$B,0))</f>
        <v>1</v>
      </c>
      <c r="M538" s="204" t="str">
        <f>INDEX(Mapping!$H:$H,MATCH(D$3&amp;$D538,Mapping!$B:$B,0))</f>
        <v>EoK</v>
      </c>
      <c r="N538" s="204" t="str">
        <f>INDEX(Mapping!$H:$H,MATCH(E$3&amp;E538,Mapping!$B:$B,0))</f>
        <v>Premium</v>
      </c>
      <c r="O538" s="204" t="str">
        <f>INDEX(Mapping!$H:$H,MATCH(F$3&amp;F538,Mapping!$B:$B,0))</f>
        <v>Metro</v>
      </c>
      <c r="P538" s="204">
        <f>INDEX(Mapping!$H:$H,MATCH(G$3&amp;G538,Mapping!$B:$B,0))</f>
        <v>3</v>
      </c>
      <c r="Q538" s="204" t="str">
        <f>INDEX(Mapping!$H:$H,MATCH(Q$3&amp;$F538,Mapping!$B:$B,0))</f>
        <v>Metro - Nationaal</v>
      </c>
      <c r="R538" s="204" t="str">
        <f>INDEX(Mapping!$H:$H,MATCH("ZM VPN Service Level"&amp;E538,Mapping!$B:$B,0))</f>
        <v>Advanced</v>
      </c>
      <c r="S538" s="139" t="b">
        <f>IF($D538="EoK",INDEX(Mapping!$I:$I,MATCH($G$3&amp;$G538,Mapping!B:B,0)),FALSE)</f>
        <v>0</v>
      </c>
      <c r="T538" s="139"/>
      <c r="U538" s="520" t="str">
        <f t="shared" si="297"/>
        <v>PremiumMetro3</v>
      </c>
      <c r="W538" s="521">
        <f>MATCH($J538,'Tarieven ZM'!$B:$B,0)</f>
        <v>86</v>
      </c>
      <c r="X538" s="204">
        <f>INDEX('Tarieven ZM'!$H:$H,$W538)</f>
        <v>1000</v>
      </c>
      <c r="Y538" s="198">
        <f>-INDEX(Parameters!$B:$B,MATCH(Y$3&amp;$C538,Parameters!$A:$A,0))*$X538</f>
        <v>0</v>
      </c>
      <c r="Z538" s="198">
        <f>-INDEX(Parameters!$B:$B,MATCH(Z$3&amp;$C538,Parameters!$A:$A,0))*$X538</f>
        <v>0</v>
      </c>
      <c r="AA538" s="139">
        <f t="shared" si="299"/>
        <v>1000</v>
      </c>
      <c r="AB538" s="205">
        <f>AA538/INDEX(Parameters!$B:$B,MATCH("AfschrijftermijnVVE"&amp;12*$C538,Parameters!$A:$A,0))</f>
        <v>16.666666666666668</v>
      </c>
      <c r="AC538" s="204">
        <f>INDEX('Tarieven ZM'!$G:$G,$W538)</f>
        <v>1000</v>
      </c>
      <c r="AD538" s="198">
        <f>-INDEX(Parameters!$B:$B,MATCH(AD$3&amp;$C538,Parameters!$A:$A,0))*$AC538</f>
        <v>0</v>
      </c>
      <c r="AE538" s="198">
        <f>-INDEX(Parameters!$B:$B,MATCH(AE$3,Parameters!$A:$A,0))*$AC538</f>
        <v>0</v>
      </c>
      <c r="AF538" s="139">
        <f t="shared" si="300"/>
        <v>1000</v>
      </c>
      <c r="AG538" s="522">
        <f t="shared" si="301"/>
        <v>1016.6666666666666</v>
      </c>
      <c r="AH538" s="175"/>
      <c r="AI538" s="523">
        <f>MATCH($U538,'Tarieven W&amp;O'!$B:$B,0)</f>
        <v>59</v>
      </c>
      <c r="AJ538" s="204">
        <f>IF(AI538&lt;&gt;"nvt",INDEX('Tarieven W&amp;O'!$H:$H,$AI538),0)</f>
        <v>0</v>
      </c>
      <c r="AK538" s="204">
        <f>IF(AI538&lt;&gt;"nvt",INDEX('Tarieven W&amp;O'!$I:$I,$AI538),0)</f>
        <v>25</v>
      </c>
      <c r="AL538" s="524">
        <f>IF(AI538&lt;&gt;"nvt",-INDEX(Parameters!$B:$B,MATCH(AL$3,Parameters!$A:$A,0))*(AJ538+AK538),0)</f>
        <v>0</v>
      </c>
      <c r="AM538" s="525"/>
      <c r="AN538" s="139">
        <f t="shared" si="302"/>
        <v>25</v>
      </c>
      <c r="AO538" s="205">
        <f>AN538/INDEX(Parameters!$B:$B,MATCH("AfschrijftermijnVVE"&amp;12*$C538,Parameters!$A:$A,0))</f>
        <v>0.41666666666666669</v>
      </c>
      <c r="AP538" s="139">
        <f t="shared" si="303"/>
        <v>59</v>
      </c>
      <c r="AQ538" s="526">
        <f>IF(AP538&lt;&gt;"nvt",INDEX('Tarieven W&amp;O'!$G:$G,$AP538),0)</f>
        <v>27.86</v>
      </c>
      <c r="AR538" s="251">
        <f>IF($S538,INDEX('Tarieven W&amp;O'!$G:$G,MATCH(N538&amp;R538,'Tarieven W&amp;O'!$B:$B,0)),0)</f>
        <v>0</v>
      </c>
      <c r="AS538" s="205">
        <f>-INDEX(Parameters!$B:$B,MATCH(AS$3,Parameters!$A:$A,0))*(AQ538+AR538)</f>
        <v>0</v>
      </c>
      <c r="AT538" s="205">
        <f>INDEX(hulpblad!$E:$E,MATCH(M538&amp;Q538,hulpblad!$B:$B,0))</f>
        <v>2</v>
      </c>
      <c r="AU538" s="150">
        <f t="shared" si="283"/>
        <v>29.86</v>
      </c>
      <c r="AV538" s="150">
        <f t="shared" si="284"/>
        <v>30.276666666666667</v>
      </c>
      <c r="AX538" s="526">
        <f>Parameters!$B$6*AV538</f>
        <v>0.30276666666666668</v>
      </c>
      <c r="AY538" s="150">
        <v>0</v>
      </c>
      <c r="AZ538" s="150"/>
      <c r="BA538" s="150">
        <f t="shared" si="304"/>
        <v>0.30276666666666668</v>
      </c>
      <c r="BB538" s="150"/>
      <c r="BC538" s="522">
        <f t="shared" si="305"/>
        <v>30.579433333333334</v>
      </c>
      <c r="BD538" s="175"/>
      <c r="BE538" s="527">
        <f t="shared" si="285"/>
        <v>986.0872333333333</v>
      </c>
      <c r="BF538" s="181">
        <f t="shared" si="286"/>
        <v>0.96992186885245901</v>
      </c>
      <c r="BG538" s="520" t="b">
        <f t="shared" si="298"/>
        <v>0</v>
      </c>
      <c r="BI538" s="528" t="s">
        <v>2181</v>
      </c>
      <c r="BL538" s="151" t="str">
        <f t="shared" si="288"/>
        <v>EoKMetro - Nationaal</v>
      </c>
      <c r="BM538" s="529">
        <v>0</v>
      </c>
      <c r="BN538" s="180">
        <f>BM538/INDEX(Parameters!$B:$B,MATCH("AfschrijftermijnVVE"&amp;12*$C538,Parameters!$A:$A,0))</f>
        <v>0</v>
      </c>
      <c r="BO538" s="184">
        <f>INDEX('inkoop ULL tbv EVPN'!I:I,MATCH(BL538,'inkoop ULL tbv EVPN'!H:H,0))</f>
        <v>2</v>
      </c>
      <c r="BP538" s="184">
        <f t="shared" si="289"/>
        <v>2</v>
      </c>
      <c r="BR538" s="180">
        <f>Parameters!$B$12*AG538</f>
        <v>101.66666666666667</v>
      </c>
      <c r="BS538" s="180">
        <f>SUM(Distributievergoedingen!$F$12,Distributievergoedingen!$I$12,Distributievergoedingen!$L$12,Distributievergoedingen!$O$12)*AF538+SUM(Distributievergoedingen!$O$12*AA538+Distributievergoedingen!$R$12+Distributievergoedingen!$U$12+Distributievergoedingen!$X$12)/(MAX(36,12*C538))</f>
        <v>111.66666666666667</v>
      </c>
      <c r="BT538" s="150"/>
      <c r="BU538" s="150">
        <f t="shared" si="290"/>
        <v>213.33333333333334</v>
      </c>
      <c r="BW538" s="522">
        <f t="shared" si="291"/>
        <v>215.33333333333334</v>
      </c>
      <c r="BY538" s="527">
        <f t="shared" si="292"/>
        <v>801.33333333333326</v>
      </c>
      <c r="BZ538" s="181">
        <f t="shared" si="293"/>
        <v>0.78819672131147533</v>
      </c>
      <c r="CA538" s="520" t="b">
        <f t="shared" si="294"/>
        <v>0</v>
      </c>
    </row>
    <row r="539" spans="1:79" s="151" customFormat="1">
      <c r="A539" s="151" t="str">
        <f t="shared" si="287"/>
        <v>5EoKPremiumRegionaal4</v>
      </c>
      <c r="B539" s="520" t="str">
        <f t="shared" si="295"/>
        <v>5EoKPremiumRegionaal4</v>
      </c>
      <c r="C539" s="179">
        <v>5</v>
      </c>
      <c r="D539" s="179" t="s">
        <v>303</v>
      </c>
      <c r="E539" s="178" t="s">
        <v>267</v>
      </c>
      <c r="F539" s="178" t="s">
        <v>265</v>
      </c>
      <c r="G539" s="185" t="s">
        <v>408</v>
      </c>
      <c r="J539" s="520" t="str">
        <f t="shared" si="296"/>
        <v>PremiumRegionaal4</v>
      </c>
      <c r="L539" s="204">
        <f>INDEX(Mapping!$H:$H,MATCH(C$3&amp;C539,Mapping!$B:$B,0))</f>
        <v>1</v>
      </c>
      <c r="M539" s="204" t="str">
        <f>INDEX(Mapping!$H:$H,MATCH(D$3&amp;$D539,Mapping!$B:$B,0))</f>
        <v>EoK</v>
      </c>
      <c r="N539" s="204" t="str">
        <f>INDEX(Mapping!$H:$H,MATCH(E$3&amp;E539,Mapping!$B:$B,0))</f>
        <v>Premium</v>
      </c>
      <c r="O539" s="204" t="str">
        <f>INDEX(Mapping!$H:$H,MATCH(F$3&amp;F539,Mapping!$B:$B,0))</f>
        <v>Metro</v>
      </c>
      <c r="P539" s="204">
        <f>INDEX(Mapping!$H:$H,MATCH(G$3&amp;G539,Mapping!$B:$B,0))</f>
        <v>4</v>
      </c>
      <c r="Q539" s="204" t="str">
        <f>INDEX(Mapping!$H:$H,MATCH(Q$3&amp;$F539,Mapping!$B:$B,0))</f>
        <v>Metro - Nationaal</v>
      </c>
      <c r="R539" s="204" t="str">
        <f>INDEX(Mapping!$H:$H,MATCH("ZM VPN Service Level"&amp;E539,Mapping!$B:$B,0))</f>
        <v>Advanced</v>
      </c>
      <c r="S539" s="139" t="b">
        <f>IF($D539="EoK",INDEX(Mapping!$I:$I,MATCH($G$3&amp;$G539,Mapping!B:B,0)),FALSE)</f>
        <v>0</v>
      </c>
      <c r="T539" s="139"/>
      <c r="U539" s="520" t="str">
        <f t="shared" si="297"/>
        <v>PremiumMetro4</v>
      </c>
      <c r="W539" s="521">
        <f>MATCH($J539,'Tarieven ZM'!$B:$B,0)</f>
        <v>87</v>
      </c>
      <c r="X539" s="204">
        <f>INDEX('Tarieven ZM'!$H:$H,$W539)</f>
        <v>1000</v>
      </c>
      <c r="Y539" s="198">
        <f>-INDEX(Parameters!$B:$B,MATCH(Y$3&amp;$C539,Parameters!$A:$A,0))*$X539</f>
        <v>0</v>
      </c>
      <c r="Z539" s="198">
        <f>-INDEX(Parameters!$B:$B,MATCH(Z$3&amp;$C539,Parameters!$A:$A,0))*$X539</f>
        <v>0</v>
      </c>
      <c r="AA539" s="139">
        <f t="shared" si="299"/>
        <v>1000</v>
      </c>
      <c r="AB539" s="205">
        <f>AA539/INDEX(Parameters!$B:$B,MATCH("AfschrijftermijnVVE"&amp;12*$C539,Parameters!$A:$A,0))</f>
        <v>16.666666666666668</v>
      </c>
      <c r="AC539" s="204">
        <f>INDEX('Tarieven ZM'!$G:$G,$W539)</f>
        <v>1000</v>
      </c>
      <c r="AD539" s="198">
        <f>-INDEX(Parameters!$B:$B,MATCH(AD$3&amp;$C539,Parameters!$A:$A,0))*$AC539</f>
        <v>0</v>
      </c>
      <c r="AE539" s="198">
        <f>-INDEX(Parameters!$B:$B,MATCH(AE$3,Parameters!$A:$A,0))*$AC539</f>
        <v>0</v>
      </c>
      <c r="AF539" s="139">
        <f t="shared" si="300"/>
        <v>1000</v>
      </c>
      <c r="AG539" s="522">
        <f t="shared" si="301"/>
        <v>1016.6666666666666</v>
      </c>
      <c r="AH539" s="175"/>
      <c r="AI539" s="523">
        <f>MATCH($U539,'Tarieven W&amp;O'!$B:$B,0)</f>
        <v>60</v>
      </c>
      <c r="AJ539" s="204">
        <f>IF(AI539&lt;&gt;"nvt",INDEX('Tarieven W&amp;O'!$H:$H,$AI539),0)</f>
        <v>0</v>
      </c>
      <c r="AK539" s="204">
        <f>IF(AI539&lt;&gt;"nvt",INDEX('Tarieven W&amp;O'!$I:$I,$AI539),0)</f>
        <v>25</v>
      </c>
      <c r="AL539" s="524">
        <f>IF(AI539&lt;&gt;"nvt",-INDEX(Parameters!$B:$B,MATCH(AL$3,Parameters!$A:$A,0))*(AJ539+AK539),0)</f>
        <v>0</v>
      </c>
      <c r="AM539" s="525"/>
      <c r="AN539" s="139">
        <f t="shared" si="302"/>
        <v>25</v>
      </c>
      <c r="AO539" s="205">
        <f>AN539/INDEX(Parameters!$B:$B,MATCH("AfschrijftermijnVVE"&amp;12*$C539,Parameters!$A:$A,0))</f>
        <v>0.41666666666666669</v>
      </c>
      <c r="AP539" s="139">
        <f t="shared" si="303"/>
        <v>60</v>
      </c>
      <c r="AQ539" s="526">
        <f>IF(AP539&lt;&gt;"nvt",INDEX('Tarieven W&amp;O'!$G:$G,$AP539),0)</f>
        <v>42.94</v>
      </c>
      <c r="AR539" s="251">
        <f>IF($S539,INDEX('Tarieven W&amp;O'!$G:$G,MATCH(N539&amp;R539,'Tarieven W&amp;O'!$B:$B,0)),0)</f>
        <v>0</v>
      </c>
      <c r="AS539" s="205">
        <f>-INDEX(Parameters!$B:$B,MATCH(AS$3,Parameters!$A:$A,0))*(AQ539+AR539)</f>
        <v>0</v>
      </c>
      <c r="AT539" s="205">
        <f>INDEX(hulpblad!$E:$E,MATCH(M539&amp;Q539,hulpblad!$B:$B,0))</f>
        <v>2</v>
      </c>
      <c r="AU539" s="150">
        <f t="shared" si="283"/>
        <v>44.94</v>
      </c>
      <c r="AV539" s="150">
        <f t="shared" si="284"/>
        <v>45.356666666666662</v>
      </c>
      <c r="AX539" s="526">
        <f>Parameters!$B$6*AV539</f>
        <v>0.45356666666666662</v>
      </c>
      <c r="AY539" s="150">
        <v>0</v>
      </c>
      <c r="AZ539" s="150"/>
      <c r="BA539" s="150">
        <f t="shared" si="304"/>
        <v>0.45356666666666662</v>
      </c>
      <c r="BB539" s="150"/>
      <c r="BC539" s="522">
        <f t="shared" si="305"/>
        <v>45.810233333333329</v>
      </c>
      <c r="BD539" s="175"/>
      <c r="BE539" s="527">
        <f t="shared" si="285"/>
        <v>970.85643333333326</v>
      </c>
      <c r="BF539" s="181">
        <f t="shared" si="286"/>
        <v>0.95494075409836066</v>
      </c>
      <c r="BG539" s="520" t="b">
        <f t="shared" si="298"/>
        <v>0</v>
      </c>
      <c r="BI539" s="528" t="s">
        <v>2181</v>
      </c>
      <c r="BL539" s="151" t="str">
        <f t="shared" si="288"/>
        <v>EoKMetro - Nationaal</v>
      </c>
      <c r="BM539" s="529">
        <v>0</v>
      </c>
      <c r="BN539" s="180">
        <f>BM539/INDEX(Parameters!$B:$B,MATCH("AfschrijftermijnVVE"&amp;12*$C539,Parameters!$A:$A,0))</f>
        <v>0</v>
      </c>
      <c r="BO539" s="184">
        <f>INDEX('inkoop ULL tbv EVPN'!I:I,MATCH(BL539,'inkoop ULL tbv EVPN'!H:H,0))</f>
        <v>2</v>
      </c>
      <c r="BP539" s="184">
        <f t="shared" si="289"/>
        <v>2</v>
      </c>
      <c r="BR539" s="180">
        <f>Parameters!$B$12*AG539</f>
        <v>101.66666666666667</v>
      </c>
      <c r="BS539" s="180">
        <f>SUM(Distributievergoedingen!$F$12,Distributievergoedingen!$I$12,Distributievergoedingen!$L$12,Distributievergoedingen!$O$12)*AF539+SUM(Distributievergoedingen!$O$12*AA539+Distributievergoedingen!$R$12+Distributievergoedingen!$U$12+Distributievergoedingen!$X$12)/(MAX(36,12*C539))</f>
        <v>111.66666666666667</v>
      </c>
      <c r="BT539" s="150"/>
      <c r="BU539" s="150">
        <f t="shared" si="290"/>
        <v>213.33333333333334</v>
      </c>
      <c r="BW539" s="522">
        <f t="shared" si="291"/>
        <v>215.33333333333334</v>
      </c>
      <c r="BY539" s="527">
        <f t="shared" si="292"/>
        <v>801.33333333333326</v>
      </c>
      <c r="BZ539" s="181">
        <f t="shared" si="293"/>
        <v>0.78819672131147533</v>
      </c>
      <c r="CA539" s="520" t="b">
        <f t="shared" si="294"/>
        <v>0</v>
      </c>
    </row>
    <row r="540" spans="1:79" s="151" customFormat="1">
      <c r="A540" s="151" t="str">
        <f t="shared" si="287"/>
        <v>5EoKPremiumRegionaal5</v>
      </c>
      <c r="B540" s="520" t="str">
        <f t="shared" si="295"/>
        <v>5EoKPremiumRegionaal5</v>
      </c>
      <c r="C540" s="179">
        <v>5</v>
      </c>
      <c r="D540" s="179" t="s">
        <v>303</v>
      </c>
      <c r="E540" s="178" t="s">
        <v>267</v>
      </c>
      <c r="F540" s="178" t="s">
        <v>265</v>
      </c>
      <c r="G540" s="185" t="s">
        <v>409</v>
      </c>
      <c r="J540" s="520" t="str">
        <f t="shared" si="296"/>
        <v>PremiumRegionaal5</v>
      </c>
      <c r="L540" s="204">
        <f>INDEX(Mapping!$H:$H,MATCH(C$3&amp;C540,Mapping!$B:$B,0))</f>
        <v>1</v>
      </c>
      <c r="M540" s="204" t="str">
        <f>INDEX(Mapping!$H:$H,MATCH(D$3&amp;$D540,Mapping!$B:$B,0))</f>
        <v>EoK</v>
      </c>
      <c r="N540" s="204" t="str">
        <f>INDEX(Mapping!$H:$H,MATCH(E$3&amp;E540,Mapping!$B:$B,0))</f>
        <v>Premium</v>
      </c>
      <c r="O540" s="204" t="str">
        <f>INDEX(Mapping!$H:$H,MATCH(F$3&amp;F540,Mapping!$B:$B,0))</f>
        <v>Metro</v>
      </c>
      <c r="P540" s="204">
        <f>INDEX(Mapping!$H:$H,MATCH(G$3&amp;G540,Mapping!$B:$B,0))</f>
        <v>5</v>
      </c>
      <c r="Q540" s="204" t="str">
        <f>INDEX(Mapping!$H:$H,MATCH(Q$3&amp;$F540,Mapping!$B:$B,0))</f>
        <v>Metro - Nationaal</v>
      </c>
      <c r="R540" s="204" t="str">
        <f>INDEX(Mapping!$H:$H,MATCH("ZM VPN Service Level"&amp;E540,Mapping!$B:$B,0))</f>
        <v>Advanced</v>
      </c>
      <c r="S540" s="139" t="b">
        <f>IF($D540="EoK",INDEX(Mapping!$I:$I,MATCH($G$3&amp;$G540,Mapping!B:B,0)),FALSE)</f>
        <v>0</v>
      </c>
      <c r="T540" s="139"/>
      <c r="U540" s="520" t="str">
        <f t="shared" si="297"/>
        <v>PremiumMetro5</v>
      </c>
      <c r="W540" s="521">
        <f>MATCH($J540,'Tarieven ZM'!$B:$B,0)</f>
        <v>88</v>
      </c>
      <c r="X540" s="204">
        <f>INDEX('Tarieven ZM'!$H:$H,$W540)</f>
        <v>1000</v>
      </c>
      <c r="Y540" s="198">
        <f>-INDEX(Parameters!$B:$B,MATCH(Y$3&amp;$C540,Parameters!$A:$A,0))*$X540</f>
        <v>0</v>
      </c>
      <c r="Z540" s="198">
        <f>-INDEX(Parameters!$B:$B,MATCH(Z$3&amp;$C540,Parameters!$A:$A,0))*$X540</f>
        <v>0</v>
      </c>
      <c r="AA540" s="139">
        <f t="shared" si="299"/>
        <v>1000</v>
      </c>
      <c r="AB540" s="205">
        <f>AA540/INDEX(Parameters!$B:$B,MATCH("AfschrijftermijnVVE"&amp;12*$C540,Parameters!$A:$A,0))</f>
        <v>16.666666666666668</v>
      </c>
      <c r="AC540" s="204">
        <f>INDEX('Tarieven ZM'!$G:$G,$W540)</f>
        <v>1000</v>
      </c>
      <c r="AD540" s="198">
        <f>-INDEX(Parameters!$B:$B,MATCH(AD$3&amp;$C540,Parameters!$A:$A,0))*$AC540</f>
        <v>0</v>
      </c>
      <c r="AE540" s="198">
        <f>-INDEX(Parameters!$B:$B,MATCH(AE$3,Parameters!$A:$A,0))*$AC540</f>
        <v>0</v>
      </c>
      <c r="AF540" s="139">
        <f t="shared" si="300"/>
        <v>1000</v>
      </c>
      <c r="AG540" s="522">
        <f t="shared" si="301"/>
        <v>1016.6666666666666</v>
      </c>
      <c r="AH540" s="175"/>
      <c r="AI540" s="523">
        <f>MATCH($U540,'Tarieven W&amp;O'!$B:$B,0)</f>
        <v>61</v>
      </c>
      <c r="AJ540" s="204">
        <f>IF(AI540&lt;&gt;"nvt",INDEX('Tarieven W&amp;O'!$H:$H,$AI540),0)</f>
        <v>0</v>
      </c>
      <c r="AK540" s="204">
        <f>IF(AI540&lt;&gt;"nvt",INDEX('Tarieven W&amp;O'!$I:$I,$AI540),0)</f>
        <v>25</v>
      </c>
      <c r="AL540" s="524">
        <f>IF(AI540&lt;&gt;"nvt",-INDEX(Parameters!$B:$B,MATCH(AL$3,Parameters!$A:$A,0))*(AJ540+AK540),0)</f>
        <v>0</v>
      </c>
      <c r="AM540" s="525"/>
      <c r="AN540" s="139">
        <f t="shared" si="302"/>
        <v>25</v>
      </c>
      <c r="AO540" s="205">
        <f>AN540/INDEX(Parameters!$B:$B,MATCH("AfschrijftermijnVVE"&amp;12*$C540,Parameters!$A:$A,0))</f>
        <v>0.41666666666666669</v>
      </c>
      <c r="AP540" s="139">
        <f t="shared" si="303"/>
        <v>61</v>
      </c>
      <c r="AQ540" s="526">
        <f>IF(AP540&lt;&gt;"nvt",INDEX('Tarieven W&amp;O'!$G:$G,$AP540),0)</f>
        <v>46.71</v>
      </c>
      <c r="AR540" s="251">
        <f>IF($S540,INDEX('Tarieven W&amp;O'!$G:$G,MATCH(N540&amp;R540,'Tarieven W&amp;O'!$B:$B,0)),0)</f>
        <v>0</v>
      </c>
      <c r="AS540" s="205">
        <f>-INDEX(Parameters!$B:$B,MATCH(AS$3,Parameters!$A:$A,0))*(AQ540+AR540)</f>
        <v>0</v>
      </c>
      <c r="AT540" s="205">
        <f>INDEX(hulpblad!$E:$E,MATCH(M540&amp;Q540,hulpblad!$B:$B,0))</f>
        <v>2</v>
      </c>
      <c r="AU540" s="150">
        <f t="shared" si="283"/>
        <v>48.71</v>
      </c>
      <c r="AV540" s="150">
        <f t="shared" si="284"/>
        <v>49.126666666666665</v>
      </c>
      <c r="AX540" s="526">
        <f>Parameters!$B$6*AV540</f>
        <v>0.49126666666666668</v>
      </c>
      <c r="AY540" s="150">
        <v>0</v>
      </c>
      <c r="AZ540" s="150"/>
      <c r="BA540" s="150">
        <f t="shared" si="304"/>
        <v>0.49126666666666668</v>
      </c>
      <c r="BB540" s="150"/>
      <c r="BC540" s="522">
        <f t="shared" si="305"/>
        <v>49.617933333333333</v>
      </c>
      <c r="BD540" s="175"/>
      <c r="BE540" s="527">
        <f t="shared" si="285"/>
        <v>967.0487333333333</v>
      </c>
      <c r="BF540" s="181">
        <f t="shared" si="286"/>
        <v>0.95119547540983607</v>
      </c>
      <c r="BG540" s="520" t="b">
        <f t="shared" si="298"/>
        <v>0</v>
      </c>
      <c r="BI540" s="528" t="s">
        <v>2181</v>
      </c>
      <c r="BL540" s="151" t="str">
        <f t="shared" si="288"/>
        <v>EoKMetro - Nationaal</v>
      </c>
      <c r="BM540" s="529">
        <v>0</v>
      </c>
      <c r="BN540" s="180">
        <f>BM540/INDEX(Parameters!$B:$B,MATCH("AfschrijftermijnVVE"&amp;12*$C540,Parameters!$A:$A,0))</f>
        <v>0</v>
      </c>
      <c r="BO540" s="184">
        <f>INDEX('inkoop ULL tbv EVPN'!I:I,MATCH(BL540,'inkoop ULL tbv EVPN'!H:H,0))</f>
        <v>2</v>
      </c>
      <c r="BP540" s="184">
        <f t="shared" si="289"/>
        <v>2</v>
      </c>
      <c r="BR540" s="180">
        <f>Parameters!$B$12*AG540</f>
        <v>101.66666666666667</v>
      </c>
      <c r="BS540" s="180">
        <f>SUM(Distributievergoedingen!$F$12,Distributievergoedingen!$I$12,Distributievergoedingen!$L$12,Distributievergoedingen!$O$12)*AF540+SUM(Distributievergoedingen!$O$12*AA540+Distributievergoedingen!$R$12+Distributievergoedingen!$U$12+Distributievergoedingen!$X$12)/(MAX(36,12*C540))</f>
        <v>111.66666666666667</v>
      </c>
      <c r="BT540" s="150"/>
      <c r="BU540" s="150">
        <f t="shared" si="290"/>
        <v>213.33333333333334</v>
      </c>
      <c r="BW540" s="522">
        <f t="shared" si="291"/>
        <v>215.33333333333334</v>
      </c>
      <c r="BY540" s="527">
        <f t="shared" si="292"/>
        <v>801.33333333333326</v>
      </c>
      <c r="BZ540" s="181">
        <f t="shared" si="293"/>
        <v>0.78819672131147533</v>
      </c>
      <c r="CA540" s="520" t="b">
        <f t="shared" si="294"/>
        <v>0</v>
      </c>
    </row>
    <row r="541" spans="1:79" s="151" customFormat="1">
      <c r="A541" s="151" t="str">
        <f t="shared" si="287"/>
        <v>5EoKPremiumRegionaal6</v>
      </c>
      <c r="B541" s="520" t="str">
        <f t="shared" si="295"/>
        <v>5EoKPremiumRegionaal6</v>
      </c>
      <c r="C541" s="179">
        <v>5</v>
      </c>
      <c r="D541" s="179" t="s">
        <v>303</v>
      </c>
      <c r="E541" s="178" t="s">
        <v>267</v>
      </c>
      <c r="F541" s="178" t="s">
        <v>265</v>
      </c>
      <c r="G541" s="185" t="s">
        <v>410</v>
      </c>
      <c r="J541" s="520" t="str">
        <f t="shared" si="296"/>
        <v>PremiumRegionaal6</v>
      </c>
      <c r="L541" s="204">
        <f>INDEX(Mapping!$H:$H,MATCH(C$3&amp;C541,Mapping!$B:$B,0))</f>
        <v>1</v>
      </c>
      <c r="M541" s="204" t="str">
        <f>INDEX(Mapping!$H:$H,MATCH(D$3&amp;$D541,Mapping!$B:$B,0))</f>
        <v>EoK</v>
      </c>
      <c r="N541" s="204" t="str">
        <f>INDEX(Mapping!$H:$H,MATCH(E$3&amp;E541,Mapping!$B:$B,0))</f>
        <v>Premium</v>
      </c>
      <c r="O541" s="204" t="str">
        <f>INDEX(Mapping!$H:$H,MATCH(F$3&amp;F541,Mapping!$B:$B,0))</f>
        <v>Metro</v>
      </c>
      <c r="P541" s="204">
        <f>INDEX(Mapping!$H:$H,MATCH(G$3&amp;G541,Mapping!$B:$B,0))</f>
        <v>6</v>
      </c>
      <c r="Q541" s="204" t="str">
        <f>INDEX(Mapping!$H:$H,MATCH(Q$3&amp;$F541,Mapping!$B:$B,0))</f>
        <v>Metro - Nationaal</v>
      </c>
      <c r="R541" s="204" t="str">
        <f>INDEX(Mapping!$H:$H,MATCH("ZM VPN Service Level"&amp;E541,Mapping!$B:$B,0))</f>
        <v>Advanced</v>
      </c>
      <c r="S541" s="139" t="b">
        <f>IF($D541="EoK",INDEX(Mapping!$I:$I,MATCH($G$3&amp;$G541,Mapping!B:B,0)),FALSE)</f>
        <v>0</v>
      </c>
      <c r="T541" s="139"/>
      <c r="U541" s="520" t="str">
        <f t="shared" si="297"/>
        <v>PremiumMetro6</v>
      </c>
      <c r="W541" s="521">
        <f>MATCH($J541,'Tarieven ZM'!$B:$B,0)</f>
        <v>89</v>
      </c>
      <c r="X541" s="204">
        <f>INDEX('Tarieven ZM'!$H:$H,$W541)</f>
        <v>1000</v>
      </c>
      <c r="Y541" s="198">
        <f>-INDEX(Parameters!$B:$B,MATCH(Y$3&amp;$C541,Parameters!$A:$A,0))*$X541</f>
        <v>0</v>
      </c>
      <c r="Z541" s="198">
        <f>-INDEX(Parameters!$B:$B,MATCH(Z$3&amp;$C541,Parameters!$A:$A,0))*$X541</f>
        <v>0</v>
      </c>
      <c r="AA541" s="139">
        <f t="shared" si="299"/>
        <v>1000</v>
      </c>
      <c r="AB541" s="205">
        <f>AA541/INDEX(Parameters!$B:$B,MATCH("AfschrijftermijnVVE"&amp;12*$C541,Parameters!$A:$A,0))</f>
        <v>16.666666666666668</v>
      </c>
      <c r="AC541" s="204">
        <f>INDEX('Tarieven ZM'!$G:$G,$W541)</f>
        <v>1000</v>
      </c>
      <c r="AD541" s="198">
        <f>-INDEX(Parameters!$B:$B,MATCH(AD$3&amp;$C541,Parameters!$A:$A,0))*$AC541</f>
        <v>0</v>
      </c>
      <c r="AE541" s="198">
        <f>-INDEX(Parameters!$B:$B,MATCH(AE$3,Parameters!$A:$A,0))*$AC541</f>
        <v>0</v>
      </c>
      <c r="AF541" s="139">
        <f t="shared" si="300"/>
        <v>1000</v>
      </c>
      <c r="AG541" s="522">
        <f t="shared" si="301"/>
        <v>1016.6666666666666</v>
      </c>
      <c r="AH541" s="175"/>
      <c r="AI541" s="523">
        <f>MATCH($U541,'Tarieven W&amp;O'!$B:$B,0)</f>
        <v>62</v>
      </c>
      <c r="AJ541" s="204">
        <f>IF(AI541&lt;&gt;"nvt",INDEX('Tarieven W&amp;O'!$H:$H,$AI541),0)</f>
        <v>0</v>
      </c>
      <c r="AK541" s="204">
        <f>IF(AI541&lt;&gt;"nvt",INDEX('Tarieven W&amp;O'!$I:$I,$AI541),0)</f>
        <v>25</v>
      </c>
      <c r="AL541" s="524">
        <f>IF(AI541&lt;&gt;"nvt",-INDEX(Parameters!$B:$B,MATCH(AL$3,Parameters!$A:$A,0))*(AJ541+AK541),0)</f>
        <v>0</v>
      </c>
      <c r="AM541" s="525"/>
      <c r="AN541" s="139">
        <f t="shared" si="302"/>
        <v>25</v>
      </c>
      <c r="AO541" s="205">
        <f>AN541/INDEX(Parameters!$B:$B,MATCH("AfschrijftermijnVVE"&amp;12*$C541,Parameters!$A:$A,0))</f>
        <v>0.41666666666666669</v>
      </c>
      <c r="AP541" s="139">
        <f t="shared" si="303"/>
        <v>62</v>
      </c>
      <c r="AQ541" s="526">
        <f>IF(AP541&lt;&gt;"nvt",INDEX('Tarieven W&amp;O'!$G:$G,$AP541),0)</f>
        <v>50.48</v>
      </c>
      <c r="AR541" s="251">
        <f>IF($S541,INDEX('Tarieven W&amp;O'!$G:$G,MATCH(N541&amp;R541,'Tarieven W&amp;O'!$B:$B,0)),0)</f>
        <v>0</v>
      </c>
      <c r="AS541" s="205">
        <f>-INDEX(Parameters!$B:$B,MATCH(AS$3,Parameters!$A:$A,0))*(AQ541+AR541)</f>
        <v>0</v>
      </c>
      <c r="AT541" s="205">
        <f>INDEX(hulpblad!$E:$E,MATCH(M541&amp;Q541,hulpblad!$B:$B,0))</f>
        <v>2</v>
      </c>
      <c r="AU541" s="150">
        <f t="shared" si="283"/>
        <v>52.48</v>
      </c>
      <c r="AV541" s="150">
        <f t="shared" si="284"/>
        <v>52.896666666666661</v>
      </c>
      <c r="AX541" s="526">
        <f>Parameters!$B$6*AV541</f>
        <v>0.52896666666666659</v>
      </c>
      <c r="AY541" s="150">
        <v>0</v>
      </c>
      <c r="AZ541" s="150"/>
      <c r="BA541" s="150">
        <f t="shared" si="304"/>
        <v>0.52896666666666659</v>
      </c>
      <c r="BB541" s="150"/>
      <c r="BC541" s="522">
        <f t="shared" si="305"/>
        <v>53.42563333333333</v>
      </c>
      <c r="BD541" s="175"/>
      <c r="BE541" s="527">
        <f t="shared" si="285"/>
        <v>963.24103333333335</v>
      </c>
      <c r="BF541" s="181">
        <f t="shared" si="286"/>
        <v>0.94745019672131148</v>
      </c>
      <c r="BG541" s="520" t="b">
        <f t="shared" si="298"/>
        <v>0</v>
      </c>
      <c r="BI541" s="528" t="s">
        <v>2181</v>
      </c>
      <c r="BL541" s="151" t="str">
        <f t="shared" si="288"/>
        <v>EoKMetro - Nationaal</v>
      </c>
      <c r="BM541" s="529">
        <v>0</v>
      </c>
      <c r="BN541" s="180">
        <f>BM541/INDEX(Parameters!$B:$B,MATCH("AfschrijftermijnVVE"&amp;12*$C541,Parameters!$A:$A,0))</f>
        <v>0</v>
      </c>
      <c r="BO541" s="184">
        <f>INDEX('inkoop ULL tbv EVPN'!I:I,MATCH(BL541,'inkoop ULL tbv EVPN'!H:H,0))</f>
        <v>2</v>
      </c>
      <c r="BP541" s="184">
        <f t="shared" si="289"/>
        <v>2</v>
      </c>
      <c r="BR541" s="180">
        <f>Parameters!$B$12*AG541</f>
        <v>101.66666666666667</v>
      </c>
      <c r="BS541" s="180">
        <f>SUM(Distributievergoedingen!$F$12,Distributievergoedingen!$I$12,Distributievergoedingen!$L$12,Distributievergoedingen!$O$12)*AF541+SUM(Distributievergoedingen!$O$12*AA541+Distributievergoedingen!$R$12+Distributievergoedingen!$U$12+Distributievergoedingen!$X$12)/(MAX(36,12*C541))</f>
        <v>111.66666666666667</v>
      </c>
      <c r="BT541" s="150"/>
      <c r="BU541" s="150">
        <f t="shared" si="290"/>
        <v>213.33333333333334</v>
      </c>
      <c r="BW541" s="522">
        <f t="shared" si="291"/>
        <v>215.33333333333334</v>
      </c>
      <c r="BY541" s="527">
        <f t="shared" si="292"/>
        <v>801.33333333333326</v>
      </c>
      <c r="BZ541" s="181">
        <f t="shared" si="293"/>
        <v>0.78819672131147533</v>
      </c>
      <c r="CA541" s="520" t="b">
        <f t="shared" si="294"/>
        <v>0</v>
      </c>
    </row>
    <row r="542" spans="1:79" s="151" customFormat="1">
      <c r="A542" s="151" t="str">
        <f t="shared" si="287"/>
        <v>5EoKPremiumRegionaal8</v>
      </c>
      <c r="B542" s="520" t="str">
        <f t="shared" si="295"/>
        <v>5EoKPremiumRegionaal8</v>
      </c>
      <c r="C542" s="179">
        <v>5</v>
      </c>
      <c r="D542" s="179" t="s">
        <v>303</v>
      </c>
      <c r="E542" s="178" t="s">
        <v>267</v>
      </c>
      <c r="F542" s="178" t="s">
        <v>265</v>
      </c>
      <c r="G542" s="185" t="s">
        <v>411</v>
      </c>
      <c r="J542" s="520" t="str">
        <f t="shared" si="296"/>
        <v>PremiumRegionaal8</v>
      </c>
      <c r="L542" s="204">
        <f>INDEX(Mapping!$H:$H,MATCH(C$3&amp;C542,Mapping!$B:$B,0))</f>
        <v>1</v>
      </c>
      <c r="M542" s="204" t="str">
        <f>INDEX(Mapping!$H:$H,MATCH(D$3&amp;$D542,Mapping!$B:$B,0))</f>
        <v>EoK</v>
      </c>
      <c r="N542" s="204" t="str">
        <f>INDEX(Mapping!$H:$H,MATCH(E$3&amp;E542,Mapping!$B:$B,0))</f>
        <v>Premium</v>
      </c>
      <c r="O542" s="204" t="str">
        <f>INDEX(Mapping!$H:$H,MATCH(F$3&amp;F542,Mapping!$B:$B,0))</f>
        <v>Metro</v>
      </c>
      <c r="P542" s="204">
        <f>INDEX(Mapping!$H:$H,MATCH(G$3&amp;G542,Mapping!$B:$B,0))</f>
        <v>8</v>
      </c>
      <c r="Q542" s="204" t="str">
        <f>INDEX(Mapping!$H:$H,MATCH(Q$3&amp;$F542,Mapping!$B:$B,0))</f>
        <v>Metro - Nationaal</v>
      </c>
      <c r="R542" s="204" t="str">
        <f>INDEX(Mapping!$H:$H,MATCH("ZM VPN Service Level"&amp;E542,Mapping!$B:$B,0))</f>
        <v>Advanced</v>
      </c>
      <c r="S542" s="139" t="b">
        <f>IF($D542="EoK",INDEX(Mapping!$I:$I,MATCH($G$3&amp;$G542,Mapping!B:B,0)),FALSE)</f>
        <v>0</v>
      </c>
      <c r="T542" s="139"/>
      <c r="U542" s="520" t="str">
        <f t="shared" si="297"/>
        <v>PremiumMetro8</v>
      </c>
      <c r="W542" s="521">
        <f>MATCH($J542,'Tarieven ZM'!$B:$B,0)</f>
        <v>90</v>
      </c>
      <c r="X542" s="204">
        <f>INDEX('Tarieven ZM'!$H:$H,$W542)</f>
        <v>1000</v>
      </c>
      <c r="Y542" s="198">
        <f>-INDEX(Parameters!$B:$B,MATCH(Y$3&amp;$C542,Parameters!$A:$A,0))*$X542</f>
        <v>0</v>
      </c>
      <c r="Z542" s="198">
        <f>-INDEX(Parameters!$B:$B,MATCH(Z$3&amp;$C542,Parameters!$A:$A,0))*$X542</f>
        <v>0</v>
      </c>
      <c r="AA542" s="139">
        <f t="shared" si="299"/>
        <v>1000</v>
      </c>
      <c r="AB542" s="205">
        <f>AA542/INDEX(Parameters!$B:$B,MATCH("AfschrijftermijnVVE"&amp;12*$C542,Parameters!$A:$A,0))</f>
        <v>16.666666666666668</v>
      </c>
      <c r="AC542" s="204">
        <f>INDEX('Tarieven ZM'!$G:$G,$W542)</f>
        <v>1000</v>
      </c>
      <c r="AD542" s="198">
        <f>-INDEX(Parameters!$B:$B,MATCH(AD$3&amp;$C542,Parameters!$A:$A,0))*$AC542</f>
        <v>0</v>
      </c>
      <c r="AE542" s="198">
        <f>-INDEX(Parameters!$B:$B,MATCH(AE$3,Parameters!$A:$A,0))*$AC542</f>
        <v>0</v>
      </c>
      <c r="AF542" s="139">
        <f t="shared" si="300"/>
        <v>1000</v>
      </c>
      <c r="AG542" s="522">
        <f t="shared" si="301"/>
        <v>1016.6666666666666</v>
      </c>
      <c r="AH542" s="175"/>
      <c r="AI542" s="523">
        <f>MATCH($U542,'Tarieven W&amp;O'!$B:$B,0)</f>
        <v>63</v>
      </c>
      <c r="AJ542" s="204">
        <f>IF(AI542&lt;&gt;"nvt",INDEX('Tarieven W&amp;O'!$H:$H,$AI542),0)</f>
        <v>0</v>
      </c>
      <c r="AK542" s="204">
        <f>IF(AI542&lt;&gt;"nvt",INDEX('Tarieven W&amp;O'!$I:$I,$AI542),0)</f>
        <v>25</v>
      </c>
      <c r="AL542" s="524">
        <f>IF(AI542&lt;&gt;"nvt",-INDEX(Parameters!$B:$B,MATCH(AL$3,Parameters!$A:$A,0))*(AJ542+AK542),0)</f>
        <v>0</v>
      </c>
      <c r="AM542" s="525"/>
      <c r="AN542" s="139">
        <f t="shared" si="302"/>
        <v>25</v>
      </c>
      <c r="AO542" s="205">
        <f>AN542/INDEX(Parameters!$B:$B,MATCH("AfschrijftermijnVVE"&amp;12*$C542,Parameters!$A:$A,0))</f>
        <v>0.41666666666666669</v>
      </c>
      <c r="AP542" s="139">
        <f t="shared" si="303"/>
        <v>63</v>
      </c>
      <c r="AQ542" s="526">
        <f>IF(AP542&lt;&gt;"nvt",INDEX('Tarieven W&amp;O'!$G:$G,$AP542),0)</f>
        <v>54.24</v>
      </c>
      <c r="AR542" s="251">
        <f>IF($S542,INDEX('Tarieven W&amp;O'!$G:$G,MATCH(N542&amp;R542,'Tarieven W&amp;O'!$B:$B,0)),0)</f>
        <v>0</v>
      </c>
      <c r="AS542" s="205">
        <f>-INDEX(Parameters!$B:$B,MATCH(AS$3,Parameters!$A:$A,0))*(AQ542+AR542)</f>
        <v>0</v>
      </c>
      <c r="AT542" s="205">
        <f>INDEX(hulpblad!$E:$E,MATCH(M542&amp;Q542,hulpblad!$B:$B,0))</f>
        <v>2</v>
      </c>
      <c r="AU542" s="150">
        <f t="shared" si="283"/>
        <v>56.24</v>
      </c>
      <c r="AV542" s="150">
        <f t="shared" si="284"/>
        <v>56.656666666666666</v>
      </c>
      <c r="AX542" s="526">
        <f>Parameters!$B$6*AV542</f>
        <v>0.56656666666666666</v>
      </c>
      <c r="AY542" s="150">
        <v>0</v>
      </c>
      <c r="AZ542" s="150"/>
      <c r="BA542" s="150">
        <f t="shared" si="304"/>
        <v>0.56656666666666666</v>
      </c>
      <c r="BB542" s="150"/>
      <c r="BC542" s="522">
        <f t="shared" si="305"/>
        <v>57.223233333333333</v>
      </c>
      <c r="BD542" s="175"/>
      <c r="BE542" s="527">
        <f t="shared" si="285"/>
        <v>959.44343333333325</v>
      </c>
      <c r="BF542" s="181">
        <f t="shared" si="286"/>
        <v>0.94371485245901632</v>
      </c>
      <c r="BG542" s="520" t="b">
        <f t="shared" si="298"/>
        <v>0</v>
      </c>
      <c r="BI542" s="528" t="s">
        <v>2181</v>
      </c>
      <c r="BL542" s="151" t="str">
        <f t="shared" si="288"/>
        <v>EoKMetro - Nationaal</v>
      </c>
      <c r="BM542" s="529">
        <v>0</v>
      </c>
      <c r="BN542" s="180">
        <f>BM542/INDEX(Parameters!$B:$B,MATCH("AfschrijftermijnVVE"&amp;12*$C542,Parameters!$A:$A,0))</f>
        <v>0</v>
      </c>
      <c r="BO542" s="184">
        <f>INDEX('inkoop ULL tbv EVPN'!I:I,MATCH(BL542,'inkoop ULL tbv EVPN'!H:H,0))</f>
        <v>2</v>
      </c>
      <c r="BP542" s="184">
        <f t="shared" si="289"/>
        <v>2</v>
      </c>
      <c r="BR542" s="180">
        <f>Parameters!$B$12*AG542</f>
        <v>101.66666666666667</v>
      </c>
      <c r="BS542" s="180">
        <f>SUM(Distributievergoedingen!$F$12,Distributievergoedingen!$I$12,Distributievergoedingen!$L$12,Distributievergoedingen!$O$12)*AF542+SUM(Distributievergoedingen!$O$12*AA542+Distributievergoedingen!$R$12+Distributievergoedingen!$U$12+Distributievergoedingen!$X$12)/(MAX(36,12*C542))</f>
        <v>111.66666666666667</v>
      </c>
      <c r="BT542" s="150"/>
      <c r="BU542" s="150">
        <f t="shared" si="290"/>
        <v>213.33333333333334</v>
      </c>
      <c r="BW542" s="522">
        <f t="shared" si="291"/>
        <v>215.33333333333334</v>
      </c>
      <c r="BY542" s="527">
        <f t="shared" si="292"/>
        <v>801.33333333333326</v>
      </c>
      <c r="BZ542" s="181">
        <f t="shared" si="293"/>
        <v>0.78819672131147533</v>
      </c>
      <c r="CA542" s="520" t="b">
        <f t="shared" si="294"/>
        <v>0</v>
      </c>
    </row>
    <row r="543" spans="1:79" s="151" customFormat="1">
      <c r="A543" s="151" t="str">
        <f t="shared" si="287"/>
        <v>5EoKPremiumRegionaal10</v>
      </c>
      <c r="B543" s="520" t="str">
        <f t="shared" si="295"/>
        <v>5EoKPremiumRegionaal10</v>
      </c>
      <c r="C543" s="179">
        <v>5</v>
      </c>
      <c r="D543" s="179" t="s">
        <v>303</v>
      </c>
      <c r="E543" s="178" t="s">
        <v>267</v>
      </c>
      <c r="F543" s="178" t="s">
        <v>265</v>
      </c>
      <c r="G543" s="185" t="s">
        <v>412</v>
      </c>
      <c r="J543" s="520" t="str">
        <f t="shared" si="296"/>
        <v>PremiumRegionaal10</v>
      </c>
      <c r="L543" s="204">
        <f>INDEX(Mapping!$H:$H,MATCH(C$3&amp;C543,Mapping!$B:$B,0))</f>
        <v>1</v>
      </c>
      <c r="M543" s="204" t="str">
        <f>INDEX(Mapping!$H:$H,MATCH(D$3&amp;$D543,Mapping!$B:$B,0))</f>
        <v>EoK</v>
      </c>
      <c r="N543" s="204" t="str">
        <f>INDEX(Mapping!$H:$H,MATCH(E$3&amp;E543,Mapping!$B:$B,0))</f>
        <v>Premium</v>
      </c>
      <c r="O543" s="204" t="str">
        <f>INDEX(Mapping!$H:$H,MATCH(F$3&amp;F543,Mapping!$B:$B,0))</f>
        <v>Metro</v>
      </c>
      <c r="P543" s="204">
        <f>INDEX(Mapping!$H:$H,MATCH(G$3&amp;G543,Mapping!$B:$B,0))</f>
        <v>10</v>
      </c>
      <c r="Q543" s="204" t="str">
        <f>INDEX(Mapping!$H:$H,MATCH(Q$3&amp;$F543,Mapping!$B:$B,0))</f>
        <v>Metro - Nationaal</v>
      </c>
      <c r="R543" s="204" t="str">
        <f>INDEX(Mapping!$H:$H,MATCH("ZM VPN Service Level"&amp;E543,Mapping!$B:$B,0))</f>
        <v>Advanced</v>
      </c>
      <c r="S543" s="139" t="b">
        <f>IF($D543="EoK",INDEX(Mapping!$I:$I,MATCH($G$3&amp;$G543,Mapping!B:B,0)),FALSE)</f>
        <v>0</v>
      </c>
      <c r="T543" s="139"/>
      <c r="U543" s="520" t="str">
        <f t="shared" si="297"/>
        <v>PremiumMetro10</v>
      </c>
      <c r="W543" s="521">
        <f>MATCH($J543,'Tarieven ZM'!$B:$B,0)</f>
        <v>91</v>
      </c>
      <c r="X543" s="204">
        <f>INDEX('Tarieven ZM'!$H:$H,$W543)</f>
        <v>1000</v>
      </c>
      <c r="Y543" s="198">
        <f>-INDEX(Parameters!$B:$B,MATCH(Y$3&amp;$C543,Parameters!$A:$A,0))*$X543</f>
        <v>0</v>
      </c>
      <c r="Z543" s="198">
        <f>-INDEX(Parameters!$B:$B,MATCH(Z$3&amp;$C543,Parameters!$A:$A,0))*$X543</f>
        <v>0</v>
      </c>
      <c r="AA543" s="139">
        <f t="shared" si="299"/>
        <v>1000</v>
      </c>
      <c r="AB543" s="205">
        <f>AA543/INDEX(Parameters!$B:$B,MATCH("AfschrijftermijnVVE"&amp;12*$C543,Parameters!$A:$A,0))</f>
        <v>16.666666666666668</v>
      </c>
      <c r="AC543" s="204">
        <f>INDEX('Tarieven ZM'!$G:$G,$W543)</f>
        <v>1000</v>
      </c>
      <c r="AD543" s="198">
        <f>-INDEX(Parameters!$B:$B,MATCH(AD$3&amp;$C543,Parameters!$A:$A,0))*$AC543</f>
        <v>0</v>
      </c>
      <c r="AE543" s="198">
        <f>-INDEX(Parameters!$B:$B,MATCH(AE$3,Parameters!$A:$A,0))*$AC543</f>
        <v>0</v>
      </c>
      <c r="AF543" s="139">
        <f t="shared" si="300"/>
        <v>1000</v>
      </c>
      <c r="AG543" s="522">
        <f t="shared" si="301"/>
        <v>1016.6666666666666</v>
      </c>
      <c r="AH543" s="175"/>
      <c r="AI543" s="523">
        <f>MATCH($U543,'Tarieven W&amp;O'!$B:$B,0)</f>
        <v>64</v>
      </c>
      <c r="AJ543" s="204">
        <f>IF(AI543&lt;&gt;"nvt",INDEX('Tarieven W&amp;O'!$H:$H,$AI543),0)</f>
        <v>0</v>
      </c>
      <c r="AK543" s="204">
        <f>IF(AI543&lt;&gt;"nvt",INDEX('Tarieven W&amp;O'!$I:$I,$AI543),0)</f>
        <v>25</v>
      </c>
      <c r="AL543" s="524">
        <f>IF(AI543&lt;&gt;"nvt",-INDEX(Parameters!$B:$B,MATCH(AL$3,Parameters!$A:$A,0))*(AJ543+AK543),0)</f>
        <v>0</v>
      </c>
      <c r="AM543" s="525"/>
      <c r="AN543" s="139">
        <f t="shared" si="302"/>
        <v>25</v>
      </c>
      <c r="AO543" s="205">
        <f>AN543/INDEX(Parameters!$B:$B,MATCH("AfschrijftermijnVVE"&amp;12*$C543,Parameters!$A:$A,0))</f>
        <v>0.41666666666666669</v>
      </c>
      <c r="AP543" s="139">
        <f t="shared" si="303"/>
        <v>64</v>
      </c>
      <c r="AQ543" s="526">
        <f>IF(AP543&lt;&gt;"nvt",INDEX('Tarieven W&amp;O'!$G:$G,$AP543),0)</f>
        <v>58.01</v>
      </c>
      <c r="AR543" s="251">
        <f>IF($S543,INDEX('Tarieven W&amp;O'!$G:$G,MATCH(N543&amp;R543,'Tarieven W&amp;O'!$B:$B,0)),0)</f>
        <v>0</v>
      </c>
      <c r="AS543" s="205">
        <f>-INDEX(Parameters!$B:$B,MATCH(AS$3,Parameters!$A:$A,0))*(AQ543+AR543)</f>
        <v>0</v>
      </c>
      <c r="AT543" s="205">
        <f>INDEX(hulpblad!$E:$E,MATCH(M543&amp;Q543,hulpblad!$B:$B,0))</f>
        <v>2</v>
      </c>
      <c r="AU543" s="150">
        <f t="shared" si="283"/>
        <v>60.01</v>
      </c>
      <c r="AV543" s="150">
        <f t="shared" si="284"/>
        <v>60.426666666666662</v>
      </c>
      <c r="AX543" s="526">
        <f>Parameters!$B$6*AV543</f>
        <v>0.60426666666666662</v>
      </c>
      <c r="AY543" s="150">
        <v>0</v>
      </c>
      <c r="AZ543" s="150"/>
      <c r="BA543" s="150">
        <f t="shared" si="304"/>
        <v>0.60426666666666662</v>
      </c>
      <c r="BB543" s="150"/>
      <c r="BC543" s="522">
        <f t="shared" si="305"/>
        <v>61.03093333333333</v>
      </c>
      <c r="BD543" s="175"/>
      <c r="BE543" s="527">
        <f t="shared" si="285"/>
        <v>955.63573333333329</v>
      </c>
      <c r="BF543" s="181">
        <f t="shared" si="286"/>
        <v>0.93996957377049184</v>
      </c>
      <c r="BG543" s="520" t="b">
        <f t="shared" si="298"/>
        <v>0</v>
      </c>
      <c r="BI543" s="528" t="s">
        <v>2181</v>
      </c>
      <c r="BL543" s="151" t="str">
        <f t="shared" si="288"/>
        <v>EoKMetro - Nationaal</v>
      </c>
      <c r="BM543" s="529">
        <v>0</v>
      </c>
      <c r="BN543" s="180">
        <f>BM543/INDEX(Parameters!$B:$B,MATCH("AfschrijftermijnVVE"&amp;12*$C543,Parameters!$A:$A,0))</f>
        <v>0</v>
      </c>
      <c r="BO543" s="184">
        <f>INDEX('inkoop ULL tbv EVPN'!I:I,MATCH(BL543,'inkoop ULL tbv EVPN'!H:H,0))</f>
        <v>2</v>
      </c>
      <c r="BP543" s="184">
        <f t="shared" si="289"/>
        <v>2</v>
      </c>
      <c r="BR543" s="180">
        <f>Parameters!$B$12*AG543</f>
        <v>101.66666666666667</v>
      </c>
      <c r="BS543" s="180">
        <f>SUM(Distributievergoedingen!$F$12,Distributievergoedingen!$I$12,Distributievergoedingen!$L$12,Distributievergoedingen!$O$12)*AF543+SUM(Distributievergoedingen!$O$12*AA543+Distributievergoedingen!$R$12+Distributievergoedingen!$U$12+Distributievergoedingen!$X$12)/(MAX(36,12*C543))</f>
        <v>111.66666666666667</v>
      </c>
      <c r="BT543" s="150"/>
      <c r="BU543" s="150">
        <f t="shared" si="290"/>
        <v>213.33333333333334</v>
      </c>
      <c r="BW543" s="522">
        <f t="shared" si="291"/>
        <v>215.33333333333334</v>
      </c>
      <c r="BY543" s="527">
        <f t="shared" si="292"/>
        <v>801.33333333333326</v>
      </c>
      <c r="BZ543" s="181">
        <f t="shared" si="293"/>
        <v>0.78819672131147533</v>
      </c>
      <c r="CA543" s="520" t="b">
        <f t="shared" si="294"/>
        <v>0</v>
      </c>
    </row>
    <row r="544" spans="1:79" s="151" customFormat="1">
      <c r="A544" s="151" t="str">
        <f t="shared" si="287"/>
        <v>5EoKPremiumRegionaal15</v>
      </c>
      <c r="B544" s="520" t="str">
        <f t="shared" si="295"/>
        <v>5EoKPremiumRegionaal15</v>
      </c>
      <c r="C544" s="179">
        <v>5</v>
      </c>
      <c r="D544" s="179" t="s">
        <v>303</v>
      </c>
      <c r="E544" s="178" t="s">
        <v>267</v>
      </c>
      <c r="F544" s="178" t="s">
        <v>265</v>
      </c>
      <c r="G544" s="185" t="s">
        <v>413</v>
      </c>
      <c r="J544" s="520" t="str">
        <f t="shared" si="296"/>
        <v>PremiumRegionaal15</v>
      </c>
      <c r="L544" s="204">
        <f>INDEX(Mapping!$H:$H,MATCH(C$3&amp;C544,Mapping!$B:$B,0))</f>
        <v>1</v>
      </c>
      <c r="M544" s="204" t="str">
        <f>INDEX(Mapping!$H:$H,MATCH(D$3&amp;$D544,Mapping!$B:$B,0))</f>
        <v>EoK</v>
      </c>
      <c r="N544" s="204" t="str">
        <f>INDEX(Mapping!$H:$H,MATCH(E$3&amp;E544,Mapping!$B:$B,0))</f>
        <v>Premium</v>
      </c>
      <c r="O544" s="204" t="str">
        <f>INDEX(Mapping!$H:$H,MATCH(F$3&amp;F544,Mapping!$B:$B,0))</f>
        <v>Metro</v>
      </c>
      <c r="P544" s="204">
        <f>INDEX(Mapping!$H:$H,MATCH(G$3&amp;G544,Mapping!$B:$B,0))</f>
        <v>15</v>
      </c>
      <c r="Q544" s="204" t="str">
        <f>INDEX(Mapping!$H:$H,MATCH(Q$3&amp;$F544,Mapping!$B:$B,0))</f>
        <v>Metro - Nationaal</v>
      </c>
      <c r="R544" s="204" t="str">
        <f>INDEX(Mapping!$H:$H,MATCH("ZM VPN Service Level"&amp;E544,Mapping!$B:$B,0))</f>
        <v>Advanced</v>
      </c>
      <c r="S544" s="139" t="b">
        <f>IF($D544="EoK",INDEX(Mapping!$I:$I,MATCH($G$3&amp;$G544,Mapping!B:B,0)),FALSE)</f>
        <v>0</v>
      </c>
      <c r="T544" s="139"/>
      <c r="U544" s="520" t="str">
        <f t="shared" si="297"/>
        <v>PremiumMetro15</v>
      </c>
      <c r="W544" s="521">
        <f>MATCH($J544,'Tarieven ZM'!$B:$B,0)</f>
        <v>92</v>
      </c>
      <c r="X544" s="204">
        <f>INDEX('Tarieven ZM'!$H:$H,$W544)</f>
        <v>1000</v>
      </c>
      <c r="Y544" s="198">
        <f>-INDEX(Parameters!$B:$B,MATCH(Y$3&amp;$C544,Parameters!$A:$A,0))*$X544</f>
        <v>0</v>
      </c>
      <c r="Z544" s="198">
        <f>-INDEX(Parameters!$B:$B,MATCH(Z$3&amp;$C544,Parameters!$A:$A,0))*$X544</f>
        <v>0</v>
      </c>
      <c r="AA544" s="139">
        <f t="shared" si="299"/>
        <v>1000</v>
      </c>
      <c r="AB544" s="205">
        <f>AA544/INDEX(Parameters!$B:$B,MATCH("AfschrijftermijnVVE"&amp;12*$C544,Parameters!$A:$A,0))</f>
        <v>16.666666666666668</v>
      </c>
      <c r="AC544" s="204">
        <f>INDEX('Tarieven ZM'!$G:$G,$W544)</f>
        <v>1000</v>
      </c>
      <c r="AD544" s="198">
        <f>-INDEX(Parameters!$B:$B,MATCH(AD$3&amp;$C544,Parameters!$A:$A,0))*$AC544</f>
        <v>0</v>
      </c>
      <c r="AE544" s="198">
        <f>-INDEX(Parameters!$B:$B,MATCH(AE$3,Parameters!$A:$A,0))*$AC544</f>
        <v>0</v>
      </c>
      <c r="AF544" s="139">
        <f t="shared" si="300"/>
        <v>1000</v>
      </c>
      <c r="AG544" s="522">
        <f t="shared" si="301"/>
        <v>1016.6666666666666</v>
      </c>
      <c r="AH544" s="175"/>
      <c r="AI544" s="523">
        <f>MATCH($U544,'Tarieven W&amp;O'!$B:$B,0)</f>
        <v>65</v>
      </c>
      <c r="AJ544" s="204">
        <f>IF(AI544&lt;&gt;"nvt",INDEX('Tarieven W&amp;O'!$H:$H,$AI544),0)</f>
        <v>0</v>
      </c>
      <c r="AK544" s="204">
        <f>IF(AI544&lt;&gt;"nvt",INDEX('Tarieven W&amp;O'!$I:$I,$AI544),0)</f>
        <v>25</v>
      </c>
      <c r="AL544" s="524">
        <f>IF(AI544&lt;&gt;"nvt",-INDEX(Parameters!$B:$B,MATCH(AL$3,Parameters!$A:$A,0))*(AJ544+AK544),0)</f>
        <v>0</v>
      </c>
      <c r="AM544" s="525"/>
      <c r="AN544" s="139">
        <f t="shared" si="302"/>
        <v>25</v>
      </c>
      <c r="AO544" s="205">
        <f>AN544/INDEX(Parameters!$B:$B,MATCH("AfschrijftermijnVVE"&amp;12*$C544,Parameters!$A:$A,0))</f>
        <v>0.41666666666666669</v>
      </c>
      <c r="AP544" s="139">
        <f t="shared" si="303"/>
        <v>65</v>
      </c>
      <c r="AQ544" s="526">
        <f>IF(AP544&lt;&gt;"nvt",INDEX('Tarieven W&amp;O'!$G:$G,$AP544),0)</f>
        <v>80.63</v>
      </c>
      <c r="AR544" s="251">
        <f>IF($S544,INDEX('Tarieven W&amp;O'!$G:$G,MATCH(N544&amp;R544,'Tarieven W&amp;O'!$B:$B,0)),0)</f>
        <v>0</v>
      </c>
      <c r="AS544" s="205">
        <f>-INDEX(Parameters!$B:$B,MATCH(AS$3,Parameters!$A:$A,0))*(AQ544+AR544)</f>
        <v>0</v>
      </c>
      <c r="AT544" s="205">
        <f>INDEX(hulpblad!$E:$E,MATCH(M544&amp;Q544,hulpblad!$B:$B,0))</f>
        <v>2</v>
      </c>
      <c r="AU544" s="150">
        <f t="shared" si="283"/>
        <v>82.63</v>
      </c>
      <c r="AV544" s="150">
        <f t="shared" si="284"/>
        <v>83.046666666666667</v>
      </c>
      <c r="AX544" s="526">
        <f>Parameters!$B$6*AV544</f>
        <v>0.83046666666666669</v>
      </c>
      <c r="AY544" s="150">
        <v>0</v>
      </c>
      <c r="AZ544" s="150"/>
      <c r="BA544" s="150">
        <f t="shared" si="304"/>
        <v>0.83046666666666669</v>
      </c>
      <c r="BB544" s="150"/>
      <c r="BC544" s="522">
        <f t="shared" si="305"/>
        <v>83.877133333333333</v>
      </c>
      <c r="BD544" s="175"/>
      <c r="BE544" s="527">
        <f t="shared" si="285"/>
        <v>932.78953333333334</v>
      </c>
      <c r="BF544" s="181">
        <f t="shared" si="286"/>
        <v>0.9174979016393443</v>
      </c>
      <c r="BG544" s="520" t="b">
        <f t="shared" si="298"/>
        <v>0</v>
      </c>
      <c r="BI544" s="528" t="s">
        <v>2181</v>
      </c>
      <c r="BL544" s="151" t="str">
        <f t="shared" si="288"/>
        <v>EoKMetro - Nationaal</v>
      </c>
      <c r="BM544" s="529">
        <v>0</v>
      </c>
      <c r="BN544" s="180">
        <f>BM544/INDEX(Parameters!$B:$B,MATCH("AfschrijftermijnVVE"&amp;12*$C544,Parameters!$A:$A,0))</f>
        <v>0</v>
      </c>
      <c r="BO544" s="184">
        <f>INDEX('inkoop ULL tbv EVPN'!I:I,MATCH(BL544,'inkoop ULL tbv EVPN'!H:H,0))</f>
        <v>2</v>
      </c>
      <c r="BP544" s="184">
        <f t="shared" si="289"/>
        <v>2</v>
      </c>
      <c r="BR544" s="180">
        <f>Parameters!$B$12*AG544</f>
        <v>101.66666666666667</v>
      </c>
      <c r="BS544" s="180">
        <f>SUM(Distributievergoedingen!$F$12,Distributievergoedingen!$I$12,Distributievergoedingen!$L$12,Distributievergoedingen!$O$12)*AF544+SUM(Distributievergoedingen!$O$12*AA544+Distributievergoedingen!$R$12+Distributievergoedingen!$U$12+Distributievergoedingen!$X$12)/(MAX(36,12*C544))</f>
        <v>111.66666666666667</v>
      </c>
      <c r="BT544" s="150"/>
      <c r="BU544" s="150">
        <f t="shared" si="290"/>
        <v>213.33333333333334</v>
      </c>
      <c r="BW544" s="522">
        <f t="shared" si="291"/>
        <v>215.33333333333334</v>
      </c>
      <c r="BY544" s="527">
        <f t="shared" si="292"/>
        <v>801.33333333333326</v>
      </c>
      <c r="BZ544" s="181">
        <f t="shared" si="293"/>
        <v>0.78819672131147533</v>
      </c>
      <c r="CA544" s="520" t="b">
        <f t="shared" si="294"/>
        <v>0</v>
      </c>
    </row>
    <row r="545" spans="1:79" s="151" customFormat="1">
      <c r="A545" s="151" t="str">
        <f t="shared" si="287"/>
        <v>5EoKPremiumRegionaal20</v>
      </c>
      <c r="B545" s="520" t="str">
        <f t="shared" si="295"/>
        <v>5EoKPremiumRegionaal20</v>
      </c>
      <c r="C545" s="179">
        <v>5</v>
      </c>
      <c r="D545" s="179" t="s">
        <v>303</v>
      </c>
      <c r="E545" s="178" t="s">
        <v>267</v>
      </c>
      <c r="F545" s="178" t="s">
        <v>265</v>
      </c>
      <c r="G545" s="185" t="s">
        <v>414</v>
      </c>
      <c r="J545" s="520" t="str">
        <f t="shared" si="296"/>
        <v>PremiumRegionaal20</v>
      </c>
      <c r="L545" s="204">
        <f>INDEX(Mapping!$H:$H,MATCH(C$3&amp;C545,Mapping!$B:$B,0))</f>
        <v>1</v>
      </c>
      <c r="M545" s="204" t="str">
        <f>INDEX(Mapping!$H:$H,MATCH(D$3&amp;$D545,Mapping!$B:$B,0))</f>
        <v>EoK</v>
      </c>
      <c r="N545" s="204" t="str">
        <f>INDEX(Mapping!$H:$H,MATCH(E$3&amp;E545,Mapping!$B:$B,0))</f>
        <v>Premium</v>
      </c>
      <c r="O545" s="204" t="str">
        <f>INDEX(Mapping!$H:$H,MATCH(F$3&amp;F545,Mapping!$B:$B,0))</f>
        <v>Metro</v>
      </c>
      <c r="P545" s="204">
        <f>INDEX(Mapping!$H:$H,MATCH(G$3&amp;G545,Mapping!$B:$B,0))</f>
        <v>20</v>
      </c>
      <c r="Q545" s="204" t="str">
        <f>INDEX(Mapping!$H:$H,MATCH(Q$3&amp;$F545,Mapping!$B:$B,0))</f>
        <v>Metro - Nationaal</v>
      </c>
      <c r="R545" s="204" t="str">
        <f>INDEX(Mapping!$H:$H,MATCH("ZM VPN Service Level"&amp;E545,Mapping!$B:$B,0))</f>
        <v>Advanced</v>
      </c>
      <c r="S545" s="139" t="b">
        <f>IF($D545="EoK",INDEX(Mapping!$I:$I,MATCH($G$3&amp;$G545,Mapping!B:B,0)),FALSE)</f>
        <v>0</v>
      </c>
      <c r="T545" s="139"/>
      <c r="U545" s="520" t="str">
        <f t="shared" si="297"/>
        <v>PremiumMetro20</v>
      </c>
      <c r="W545" s="521">
        <f>MATCH($J545,'Tarieven ZM'!$B:$B,0)</f>
        <v>93</v>
      </c>
      <c r="X545" s="204">
        <f>INDEX('Tarieven ZM'!$H:$H,$W545)</f>
        <v>1000</v>
      </c>
      <c r="Y545" s="198">
        <f>-INDEX(Parameters!$B:$B,MATCH(Y$3&amp;$C545,Parameters!$A:$A,0))*$X545</f>
        <v>0</v>
      </c>
      <c r="Z545" s="198">
        <f>-INDEX(Parameters!$B:$B,MATCH(Z$3&amp;$C545,Parameters!$A:$A,0))*$X545</f>
        <v>0</v>
      </c>
      <c r="AA545" s="139">
        <f t="shared" si="299"/>
        <v>1000</v>
      </c>
      <c r="AB545" s="205">
        <f>AA545/INDEX(Parameters!$B:$B,MATCH("AfschrijftermijnVVE"&amp;12*$C545,Parameters!$A:$A,0))</f>
        <v>16.666666666666668</v>
      </c>
      <c r="AC545" s="204">
        <f>INDEX('Tarieven ZM'!$G:$G,$W545)</f>
        <v>1000</v>
      </c>
      <c r="AD545" s="198">
        <f>-INDEX(Parameters!$B:$B,MATCH(AD$3&amp;$C545,Parameters!$A:$A,0))*$AC545</f>
        <v>0</v>
      </c>
      <c r="AE545" s="198">
        <f>-INDEX(Parameters!$B:$B,MATCH(AE$3,Parameters!$A:$A,0))*$AC545</f>
        <v>0</v>
      </c>
      <c r="AF545" s="139">
        <f t="shared" si="300"/>
        <v>1000</v>
      </c>
      <c r="AG545" s="522">
        <f t="shared" si="301"/>
        <v>1016.6666666666666</v>
      </c>
      <c r="AH545" s="175"/>
      <c r="AI545" s="523">
        <f>MATCH($U545,'Tarieven W&amp;O'!$B:$B,0)</f>
        <v>66</v>
      </c>
      <c r="AJ545" s="204">
        <f>IF(AI545&lt;&gt;"nvt",INDEX('Tarieven W&amp;O'!$H:$H,$AI545),0)</f>
        <v>0</v>
      </c>
      <c r="AK545" s="204">
        <f>IF(AI545&lt;&gt;"nvt",INDEX('Tarieven W&amp;O'!$I:$I,$AI545),0)</f>
        <v>25</v>
      </c>
      <c r="AL545" s="524">
        <f>IF(AI545&lt;&gt;"nvt",-INDEX(Parameters!$B:$B,MATCH(AL$3,Parameters!$A:$A,0))*(AJ545+AK545),0)</f>
        <v>0</v>
      </c>
      <c r="AM545" s="525"/>
      <c r="AN545" s="139">
        <f t="shared" si="302"/>
        <v>25</v>
      </c>
      <c r="AO545" s="205">
        <f>AN545/INDEX(Parameters!$B:$B,MATCH("AfschrijftermijnVVE"&amp;12*$C545,Parameters!$A:$A,0))</f>
        <v>0.41666666666666669</v>
      </c>
      <c r="AP545" s="139">
        <f t="shared" si="303"/>
        <v>66</v>
      </c>
      <c r="AQ545" s="526">
        <f>IF(AP545&lt;&gt;"nvt",INDEX('Tarieven W&amp;O'!$G:$G,$AP545),0)</f>
        <v>88.17</v>
      </c>
      <c r="AR545" s="251">
        <f>IF($S545,INDEX('Tarieven W&amp;O'!$G:$G,MATCH(N545&amp;R545,'Tarieven W&amp;O'!$B:$B,0)),0)</f>
        <v>0</v>
      </c>
      <c r="AS545" s="205">
        <f>-INDEX(Parameters!$B:$B,MATCH(AS$3,Parameters!$A:$A,0))*(AQ545+AR545)</f>
        <v>0</v>
      </c>
      <c r="AT545" s="205">
        <f>INDEX(hulpblad!$E:$E,MATCH(M545&amp;Q545,hulpblad!$B:$B,0))</f>
        <v>2</v>
      </c>
      <c r="AU545" s="150">
        <f t="shared" si="283"/>
        <v>90.17</v>
      </c>
      <c r="AV545" s="150">
        <f t="shared" si="284"/>
        <v>90.586666666666673</v>
      </c>
      <c r="AX545" s="526">
        <f>Parameters!$B$6*AV545</f>
        <v>0.90586666666666671</v>
      </c>
      <c r="AY545" s="150">
        <v>0</v>
      </c>
      <c r="AZ545" s="150"/>
      <c r="BA545" s="150">
        <f t="shared" si="304"/>
        <v>0.90586666666666671</v>
      </c>
      <c r="BB545" s="150"/>
      <c r="BC545" s="522">
        <f t="shared" si="305"/>
        <v>91.492533333333341</v>
      </c>
      <c r="BD545" s="175"/>
      <c r="BE545" s="527">
        <f t="shared" si="285"/>
        <v>925.17413333333332</v>
      </c>
      <c r="BF545" s="181">
        <f t="shared" si="286"/>
        <v>0.91000734426229513</v>
      </c>
      <c r="BG545" s="520" t="b">
        <f t="shared" si="298"/>
        <v>0</v>
      </c>
      <c r="BI545" s="528" t="s">
        <v>2181</v>
      </c>
      <c r="BL545" s="151" t="str">
        <f t="shared" si="288"/>
        <v>EoKMetro - Nationaal</v>
      </c>
      <c r="BM545" s="529">
        <v>0</v>
      </c>
      <c r="BN545" s="180">
        <f>BM545/INDEX(Parameters!$B:$B,MATCH("AfschrijftermijnVVE"&amp;12*$C545,Parameters!$A:$A,0))</f>
        <v>0</v>
      </c>
      <c r="BO545" s="184">
        <f>INDEX('inkoop ULL tbv EVPN'!I:I,MATCH(BL545,'inkoop ULL tbv EVPN'!H:H,0))</f>
        <v>2</v>
      </c>
      <c r="BP545" s="184">
        <f t="shared" si="289"/>
        <v>2</v>
      </c>
      <c r="BR545" s="180">
        <f>Parameters!$B$12*AG545</f>
        <v>101.66666666666667</v>
      </c>
      <c r="BS545" s="180">
        <f>SUM(Distributievergoedingen!$F$12,Distributievergoedingen!$I$12,Distributievergoedingen!$L$12,Distributievergoedingen!$O$12)*AF545+SUM(Distributievergoedingen!$O$12*AA545+Distributievergoedingen!$R$12+Distributievergoedingen!$U$12+Distributievergoedingen!$X$12)/(MAX(36,12*C545))</f>
        <v>111.66666666666667</v>
      </c>
      <c r="BT545" s="150"/>
      <c r="BU545" s="150">
        <f t="shared" si="290"/>
        <v>213.33333333333334</v>
      </c>
      <c r="BW545" s="522">
        <f t="shared" si="291"/>
        <v>215.33333333333334</v>
      </c>
      <c r="BY545" s="527">
        <f t="shared" si="292"/>
        <v>801.33333333333326</v>
      </c>
      <c r="BZ545" s="181">
        <f t="shared" si="293"/>
        <v>0.78819672131147533</v>
      </c>
      <c r="CA545" s="520" t="b">
        <f t="shared" si="294"/>
        <v>0</v>
      </c>
    </row>
    <row r="546" spans="1:79" s="151" customFormat="1">
      <c r="A546" s="151" t="str">
        <f t="shared" si="287"/>
        <v>5EoKPremiumRegionaal30</v>
      </c>
      <c r="B546" s="520" t="str">
        <f t="shared" si="295"/>
        <v>5EoKPremiumRegionaal30</v>
      </c>
      <c r="C546" s="179">
        <v>5</v>
      </c>
      <c r="D546" s="179" t="s">
        <v>303</v>
      </c>
      <c r="E546" s="178" t="s">
        <v>267</v>
      </c>
      <c r="F546" s="178" t="s">
        <v>265</v>
      </c>
      <c r="G546" s="185" t="s">
        <v>415</v>
      </c>
      <c r="J546" s="520" t="str">
        <f t="shared" si="296"/>
        <v>PremiumRegionaal30</v>
      </c>
      <c r="L546" s="204">
        <f>INDEX(Mapping!$H:$H,MATCH(C$3&amp;C546,Mapping!$B:$B,0))</f>
        <v>1</v>
      </c>
      <c r="M546" s="204" t="str">
        <f>INDEX(Mapping!$H:$H,MATCH(D$3&amp;$D546,Mapping!$B:$B,0))</f>
        <v>EoK</v>
      </c>
      <c r="N546" s="204" t="str">
        <f>INDEX(Mapping!$H:$H,MATCH(E$3&amp;E546,Mapping!$B:$B,0))</f>
        <v>Premium</v>
      </c>
      <c r="O546" s="204" t="str">
        <f>INDEX(Mapping!$H:$H,MATCH(F$3&amp;F546,Mapping!$B:$B,0))</f>
        <v>Metro</v>
      </c>
      <c r="P546" s="204">
        <f>INDEX(Mapping!$H:$H,MATCH(G$3&amp;G546,Mapping!$B:$B,0))</f>
        <v>30</v>
      </c>
      <c r="Q546" s="204" t="str">
        <f>INDEX(Mapping!$H:$H,MATCH(Q$3&amp;$F546,Mapping!$B:$B,0))</f>
        <v>Metro - Nationaal</v>
      </c>
      <c r="R546" s="204" t="str">
        <f>INDEX(Mapping!$H:$H,MATCH("ZM VPN Service Level"&amp;E546,Mapping!$B:$B,0))</f>
        <v>Advanced</v>
      </c>
      <c r="S546" s="139" t="b">
        <f>IF($D546="EoK",INDEX(Mapping!$I:$I,MATCH($G$3&amp;$G546,Mapping!B:B,0)),FALSE)</f>
        <v>0</v>
      </c>
      <c r="T546" s="139"/>
      <c r="U546" s="520" t="str">
        <f t="shared" si="297"/>
        <v>PremiumMetro30</v>
      </c>
      <c r="W546" s="521">
        <f>MATCH($J546,'Tarieven ZM'!$B:$B,0)</f>
        <v>94</v>
      </c>
      <c r="X546" s="204">
        <f>INDEX('Tarieven ZM'!$H:$H,$W546)</f>
        <v>1000</v>
      </c>
      <c r="Y546" s="198">
        <f>-INDEX(Parameters!$B:$B,MATCH(Y$3&amp;$C546,Parameters!$A:$A,0))*$X546</f>
        <v>0</v>
      </c>
      <c r="Z546" s="198">
        <f>-INDEX(Parameters!$B:$B,MATCH(Z$3&amp;$C546,Parameters!$A:$A,0))*$X546</f>
        <v>0</v>
      </c>
      <c r="AA546" s="139">
        <f t="shared" si="299"/>
        <v>1000</v>
      </c>
      <c r="AB546" s="205">
        <f>AA546/INDEX(Parameters!$B:$B,MATCH("AfschrijftermijnVVE"&amp;12*$C546,Parameters!$A:$A,0))</f>
        <v>16.666666666666668</v>
      </c>
      <c r="AC546" s="204">
        <f>INDEX('Tarieven ZM'!$G:$G,$W546)</f>
        <v>1000</v>
      </c>
      <c r="AD546" s="198">
        <f>-INDEX(Parameters!$B:$B,MATCH(AD$3&amp;$C546,Parameters!$A:$A,0))*$AC546</f>
        <v>0</v>
      </c>
      <c r="AE546" s="198">
        <f>-INDEX(Parameters!$B:$B,MATCH(AE$3,Parameters!$A:$A,0))*$AC546</f>
        <v>0</v>
      </c>
      <c r="AF546" s="139">
        <f t="shared" si="300"/>
        <v>1000</v>
      </c>
      <c r="AG546" s="522">
        <f t="shared" si="301"/>
        <v>1016.6666666666666</v>
      </c>
      <c r="AH546" s="175"/>
      <c r="AI546" s="523">
        <f>MATCH($U546,'Tarieven W&amp;O'!$B:$B,0)</f>
        <v>67</v>
      </c>
      <c r="AJ546" s="204">
        <f>IF(AI546&lt;&gt;"nvt",INDEX('Tarieven W&amp;O'!$H:$H,$AI546),0)</f>
        <v>0</v>
      </c>
      <c r="AK546" s="204">
        <f>IF(AI546&lt;&gt;"nvt",INDEX('Tarieven W&amp;O'!$I:$I,$AI546),0)</f>
        <v>25</v>
      </c>
      <c r="AL546" s="524">
        <f>IF(AI546&lt;&gt;"nvt",-INDEX(Parameters!$B:$B,MATCH(AL$3,Parameters!$A:$A,0))*(AJ546+AK546),0)</f>
        <v>0</v>
      </c>
      <c r="AM546" s="525"/>
      <c r="AN546" s="139">
        <f t="shared" si="302"/>
        <v>25</v>
      </c>
      <c r="AO546" s="205">
        <f>AN546/INDEX(Parameters!$B:$B,MATCH("AfschrijftermijnVVE"&amp;12*$C546,Parameters!$A:$A,0))</f>
        <v>0.41666666666666669</v>
      </c>
      <c r="AP546" s="139">
        <f t="shared" si="303"/>
        <v>67</v>
      </c>
      <c r="AQ546" s="526">
        <f>IF(AP546&lt;&gt;"nvt",INDEX('Tarieven W&amp;O'!$G:$G,$AP546),0)</f>
        <v>110.78</v>
      </c>
      <c r="AR546" s="251">
        <f>IF($S546,INDEX('Tarieven W&amp;O'!$G:$G,MATCH(N546&amp;R546,'Tarieven W&amp;O'!$B:$B,0)),0)</f>
        <v>0</v>
      </c>
      <c r="AS546" s="205">
        <f>-INDEX(Parameters!$B:$B,MATCH(AS$3,Parameters!$A:$A,0))*(AQ546+AR546)</f>
        <v>0</v>
      </c>
      <c r="AT546" s="205">
        <f>INDEX(hulpblad!$E:$E,MATCH(M546&amp;Q546,hulpblad!$B:$B,0))</f>
        <v>2</v>
      </c>
      <c r="AU546" s="150">
        <f t="shared" si="283"/>
        <v>112.78</v>
      </c>
      <c r="AV546" s="150">
        <f t="shared" si="284"/>
        <v>113.19666666666667</v>
      </c>
      <c r="AX546" s="526">
        <f>Parameters!$B$6*AV546</f>
        <v>1.1319666666666668</v>
      </c>
      <c r="AY546" s="150">
        <v>0</v>
      </c>
      <c r="AZ546" s="150"/>
      <c r="BA546" s="150">
        <f t="shared" si="304"/>
        <v>1.1319666666666668</v>
      </c>
      <c r="BB546" s="150"/>
      <c r="BC546" s="522">
        <f t="shared" si="305"/>
        <v>114.32863333333334</v>
      </c>
      <c r="BD546" s="175"/>
      <c r="BE546" s="527">
        <f t="shared" si="285"/>
        <v>902.33803333333333</v>
      </c>
      <c r="BF546" s="181">
        <f t="shared" si="286"/>
        <v>0.88754560655737713</v>
      </c>
      <c r="BG546" s="520" t="b">
        <f t="shared" si="298"/>
        <v>0</v>
      </c>
      <c r="BI546" s="528" t="s">
        <v>2181</v>
      </c>
      <c r="BL546" s="151" t="str">
        <f t="shared" si="288"/>
        <v>EoKMetro - Nationaal</v>
      </c>
      <c r="BM546" s="529">
        <v>0</v>
      </c>
      <c r="BN546" s="180">
        <f>BM546/INDEX(Parameters!$B:$B,MATCH("AfschrijftermijnVVE"&amp;12*$C546,Parameters!$A:$A,0))</f>
        <v>0</v>
      </c>
      <c r="BO546" s="184">
        <f>INDEX('inkoop ULL tbv EVPN'!I:I,MATCH(BL546,'inkoop ULL tbv EVPN'!H:H,0))</f>
        <v>2</v>
      </c>
      <c r="BP546" s="184">
        <f t="shared" si="289"/>
        <v>2</v>
      </c>
      <c r="BR546" s="180">
        <f>Parameters!$B$12*AG546</f>
        <v>101.66666666666667</v>
      </c>
      <c r="BS546" s="180">
        <f>SUM(Distributievergoedingen!$F$12,Distributievergoedingen!$I$12,Distributievergoedingen!$L$12,Distributievergoedingen!$O$12)*AF546+SUM(Distributievergoedingen!$O$12*AA546+Distributievergoedingen!$R$12+Distributievergoedingen!$U$12+Distributievergoedingen!$X$12)/(MAX(36,12*C546))</f>
        <v>111.66666666666667</v>
      </c>
      <c r="BT546" s="150"/>
      <c r="BU546" s="150">
        <f t="shared" si="290"/>
        <v>213.33333333333334</v>
      </c>
      <c r="BW546" s="522">
        <f t="shared" si="291"/>
        <v>215.33333333333334</v>
      </c>
      <c r="BY546" s="527">
        <f t="shared" si="292"/>
        <v>801.33333333333326</v>
      </c>
      <c r="BZ546" s="181">
        <f t="shared" si="293"/>
        <v>0.78819672131147533</v>
      </c>
      <c r="CA546" s="520" t="b">
        <f t="shared" si="294"/>
        <v>0</v>
      </c>
    </row>
    <row r="547" spans="1:79" s="151" customFormat="1">
      <c r="A547" s="151" t="str">
        <f t="shared" si="287"/>
        <v>5EoKPremiumRegionaal50</v>
      </c>
      <c r="B547" s="520" t="str">
        <f t="shared" si="295"/>
        <v>5EoKPremiumRegionaal50</v>
      </c>
      <c r="C547" s="179">
        <v>5</v>
      </c>
      <c r="D547" s="179" t="s">
        <v>303</v>
      </c>
      <c r="E547" s="178" t="s">
        <v>267</v>
      </c>
      <c r="F547" s="178" t="s">
        <v>265</v>
      </c>
      <c r="G547" s="185" t="s">
        <v>416</v>
      </c>
      <c r="J547" s="520" t="str">
        <f t="shared" si="296"/>
        <v>PremiumRegionaal50</v>
      </c>
      <c r="L547" s="204">
        <f>INDEX(Mapping!$H:$H,MATCH(C$3&amp;C547,Mapping!$B:$B,0))</f>
        <v>1</v>
      </c>
      <c r="M547" s="204" t="str">
        <f>INDEX(Mapping!$H:$H,MATCH(D$3&amp;$D547,Mapping!$B:$B,0))</f>
        <v>EoK</v>
      </c>
      <c r="N547" s="204" t="str">
        <f>INDEX(Mapping!$H:$H,MATCH(E$3&amp;E547,Mapping!$B:$B,0))</f>
        <v>Premium</v>
      </c>
      <c r="O547" s="204" t="str">
        <f>INDEX(Mapping!$H:$H,MATCH(F$3&amp;F547,Mapping!$B:$B,0))</f>
        <v>Metro</v>
      </c>
      <c r="P547" s="204">
        <f>INDEX(Mapping!$H:$H,MATCH(G$3&amp;G547,Mapping!$B:$B,0))</f>
        <v>50</v>
      </c>
      <c r="Q547" s="204" t="str">
        <f>INDEX(Mapping!$H:$H,MATCH(Q$3&amp;$F547,Mapping!$B:$B,0))</f>
        <v>Metro - Nationaal</v>
      </c>
      <c r="R547" s="204" t="str">
        <f>INDEX(Mapping!$H:$H,MATCH("ZM VPN Service Level"&amp;E547,Mapping!$B:$B,0))</f>
        <v>Advanced</v>
      </c>
      <c r="S547" s="139" t="b">
        <f>IF($D547="EoK",INDEX(Mapping!$I:$I,MATCH($G$3&amp;$G547,Mapping!B:B,0)),FALSE)</f>
        <v>0</v>
      </c>
      <c r="T547" s="139"/>
      <c r="U547" s="520" t="str">
        <f t="shared" si="297"/>
        <v>PremiumMetro50</v>
      </c>
      <c r="W547" s="521">
        <f>MATCH($J547,'Tarieven ZM'!$B:$B,0)</f>
        <v>95</v>
      </c>
      <c r="X547" s="204">
        <f>INDEX('Tarieven ZM'!$H:$H,$W547)</f>
        <v>1000</v>
      </c>
      <c r="Y547" s="198">
        <f>-INDEX(Parameters!$B:$B,MATCH(Y$3&amp;$C547,Parameters!$A:$A,0))*$X547</f>
        <v>0</v>
      </c>
      <c r="Z547" s="198">
        <f>-INDEX(Parameters!$B:$B,MATCH(Z$3&amp;$C547,Parameters!$A:$A,0))*$X547</f>
        <v>0</v>
      </c>
      <c r="AA547" s="139">
        <f t="shared" si="299"/>
        <v>1000</v>
      </c>
      <c r="AB547" s="205">
        <f>AA547/INDEX(Parameters!$B:$B,MATCH("AfschrijftermijnVVE"&amp;12*$C547,Parameters!$A:$A,0))</f>
        <v>16.666666666666668</v>
      </c>
      <c r="AC547" s="204">
        <f>INDEX('Tarieven ZM'!$G:$G,$W547)</f>
        <v>1000</v>
      </c>
      <c r="AD547" s="198">
        <f>-INDEX(Parameters!$B:$B,MATCH(AD$3&amp;$C547,Parameters!$A:$A,0))*$AC547</f>
        <v>0</v>
      </c>
      <c r="AE547" s="198">
        <f>-INDEX(Parameters!$B:$B,MATCH(AE$3,Parameters!$A:$A,0))*$AC547</f>
        <v>0</v>
      </c>
      <c r="AF547" s="139">
        <f t="shared" si="300"/>
        <v>1000</v>
      </c>
      <c r="AG547" s="522">
        <f t="shared" si="301"/>
        <v>1016.6666666666666</v>
      </c>
      <c r="AH547" s="175"/>
      <c r="AI547" s="523">
        <f>MATCH($U547,'Tarieven W&amp;O'!$B:$B,0)</f>
        <v>68</v>
      </c>
      <c r="AJ547" s="204">
        <f>IF(AI547&lt;&gt;"nvt",INDEX('Tarieven W&amp;O'!$H:$H,$AI547),0)</f>
        <v>0</v>
      </c>
      <c r="AK547" s="204">
        <f>IF(AI547&lt;&gt;"nvt",INDEX('Tarieven W&amp;O'!$I:$I,$AI547),0)</f>
        <v>25</v>
      </c>
      <c r="AL547" s="524">
        <f>IF(AI547&lt;&gt;"nvt",-INDEX(Parameters!$B:$B,MATCH(AL$3,Parameters!$A:$A,0))*(AJ547+AK547),0)</f>
        <v>0</v>
      </c>
      <c r="AM547" s="525"/>
      <c r="AN547" s="139">
        <f t="shared" si="302"/>
        <v>25</v>
      </c>
      <c r="AO547" s="205">
        <f>AN547/INDEX(Parameters!$B:$B,MATCH("AfschrijftermijnVVE"&amp;12*$C547,Parameters!$A:$A,0))</f>
        <v>0.41666666666666669</v>
      </c>
      <c r="AP547" s="139">
        <f t="shared" si="303"/>
        <v>68</v>
      </c>
      <c r="AQ547" s="526">
        <f>IF(AP547&lt;&gt;"nvt",INDEX('Tarieven W&amp;O'!$G:$G,$AP547),0)</f>
        <v>133.4</v>
      </c>
      <c r="AR547" s="251">
        <f>IF($S547,INDEX('Tarieven W&amp;O'!$G:$G,MATCH(N547&amp;R547,'Tarieven W&amp;O'!$B:$B,0)),0)</f>
        <v>0</v>
      </c>
      <c r="AS547" s="205">
        <f>-INDEX(Parameters!$B:$B,MATCH(AS$3,Parameters!$A:$A,0))*(AQ547+AR547)</f>
        <v>0</v>
      </c>
      <c r="AT547" s="205">
        <f>INDEX(hulpblad!$E:$E,MATCH(M547&amp;Q547,hulpblad!$B:$B,0))</f>
        <v>2</v>
      </c>
      <c r="AU547" s="150">
        <f t="shared" si="283"/>
        <v>135.4</v>
      </c>
      <c r="AV547" s="150">
        <f t="shared" si="284"/>
        <v>135.81666666666666</v>
      </c>
      <c r="AX547" s="526">
        <f>Parameters!$B$6*AV547</f>
        <v>1.3581666666666667</v>
      </c>
      <c r="AY547" s="150">
        <v>0</v>
      </c>
      <c r="AZ547" s="150"/>
      <c r="BA547" s="150">
        <f t="shared" si="304"/>
        <v>1.3581666666666667</v>
      </c>
      <c r="BB547" s="150"/>
      <c r="BC547" s="522">
        <f t="shared" si="305"/>
        <v>137.17483333333334</v>
      </c>
      <c r="BD547" s="175"/>
      <c r="BE547" s="527">
        <f t="shared" si="285"/>
        <v>879.49183333333326</v>
      </c>
      <c r="BF547" s="181">
        <f t="shared" si="286"/>
        <v>0.86507393442622948</v>
      </c>
      <c r="BG547" s="520" t="b">
        <f t="shared" si="298"/>
        <v>0</v>
      </c>
      <c r="BI547" s="528" t="s">
        <v>2181</v>
      </c>
      <c r="BL547" s="151" t="str">
        <f t="shared" si="288"/>
        <v>EoKMetro - Nationaal</v>
      </c>
      <c r="BM547" s="529">
        <v>0</v>
      </c>
      <c r="BN547" s="180">
        <f>BM547/INDEX(Parameters!$B:$B,MATCH("AfschrijftermijnVVE"&amp;12*$C547,Parameters!$A:$A,0))</f>
        <v>0</v>
      </c>
      <c r="BO547" s="184">
        <f>INDEX('inkoop ULL tbv EVPN'!I:I,MATCH(BL547,'inkoop ULL tbv EVPN'!H:H,0))</f>
        <v>2</v>
      </c>
      <c r="BP547" s="184">
        <f t="shared" si="289"/>
        <v>2</v>
      </c>
      <c r="BR547" s="180">
        <f>Parameters!$B$12*AG547</f>
        <v>101.66666666666667</v>
      </c>
      <c r="BS547" s="180">
        <f>SUM(Distributievergoedingen!$F$12,Distributievergoedingen!$I$12,Distributievergoedingen!$L$12,Distributievergoedingen!$O$12)*AF547+SUM(Distributievergoedingen!$O$12*AA547+Distributievergoedingen!$R$12+Distributievergoedingen!$U$12+Distributievergoedingen!$X$12)/(MAX(36,12*C547))</f>
        <v>111.66666666666667</v>
      </c>
      <c r="BT547" s="150"/>
      <c r="BU547" s="150">
        <f t="shared" si="290"/>
        <v>213.33333333333334</v>
      </c>
      <c r="BW547" s="522">
        <f t="shared" si="291"/>
        <v>215.33333333333334</v>
      </c>
      <c r="BY547" s="527">
        <f t="shared" si="292"/>
        <v>801.33333333333326</v>
      </c>
      <c r="BZ547" s="181">
        <f t="shared" si="293"/>
        <v>0.78819672131147533</v>
      </c>
      <c r="CA547" s="520" t="b">
        <f t="shared" si="294"/>
        <v>0</v>
      </c>
    </row>
    <row r="548" spans="1:79" s="151" customFormat="1">
      <c r="A548" s="151" t="str">
        <f t="shared" si="287"/>
        <v>5EoKPremiumRegionaal80</v>
      </c>
      <c r="B548" s="520" t="str">
        <f t="shared" si="295"/>
        <v>5EoKPremiumRegionaal80</v>
      </c>
      <c r="C548" s="179">
        <v>5</v>
      </c>
      <c r="D548" s="179" t="s">
        <v>303</v>
      </c>
      <c r="E548" s="178" t="s">
        <v>267</v>
      </c>
      <c r="F548" s="178" t="s">
        <v>265</v>
      </c>
      <c r="G548" s="185" t="s">
        <v>417</v>
      </c>
      <c r="J548" s="520" t="str">
        <f t="shared" si="296"/>
        <v>PremiumRegionaal80</v>
      </c>
      <c r="L548" s="204">
        <f>INDEX(Mapping!$H:$H,MATCH(C$3&amp;C548,Mapping!$B:$B,0))</f>
        <v>1</v>
      </c>
      <c r="M548" s="204" t="str">
        <f>INDEX(Mapping!$H:$H,MATCH(D$3&amp;$D548,Mapping!$B:$B,0))</f>
        <v>EoK</v>
      </c>
      <c r="N548" s="204" t="str">
        <f>INDEX(Mapping!$H:$H,MATCH(E$3&amp;E548,Mapping!$B:$B,0))</f>
        <v>Premium</v>
      </c>
      <c r="O548" s="204" t="str">
        <f>INDEX(Mapping!$H:$H,MATCH(F$3&amp;F548,Mapping!$B:$B,0))</f>
        <v>Metro</v>
      </c>
      <c r="P548" s="204">
        <f>INDEX(Mapping!$H:$H,MATCH(G$3&amp;G548,Mapping!$B:$B,0))</f>
        <v>80</v>
      </c>
      <c r="Q548" s="204" t="str">
        <f>INDEX(Mapping!$H:$H,MATCH(Q$3&amp;$F548,Mapping!$B:$B,0))</f>
        <v>Metro - Nationaal</v>
      </c>
      <c r="R548" s="204" t="str">
        <f>INDEX(Mapping!$H:$H,MATCH("ZM VPN Service Level"&amp;E548,Mapping!$B:$B,0))</f>
        <v>Advanced</v>
      </c>
      <c r="S548" s="139" t="b">
        <f>IF($D548="EoK",INDEX(Mapping!$I:$I,MATCH($G$3&amp;$G548,Mapping!B:B,0)),FALSE)</f>
        <v>0</v>
      </c>
      <c r="T548" s="139"/>
      <c r="U548" s="520" t="str">
        <f t="shared" si="297"/>
        <v>PremiumMetro80</v>
      </c>
      <c r="W548" s="521">
        <f>MATCH($J548,'Tarieven ZM'!$B:$B,0)</f>
        <v>96</v>
      </c>
      <c r="X548" s="204">
        <f>INDEX('Tarieven ZM'!$H:$H,$W548)</f>
        <v>1000</v>
      </c>
      <c r="Y548" s="198">
        <f>-INDEX(Parameters!$B:$B,MATCH(Y$3&amp;$C548,Parameters!$A:$A,0))*$X548</f>
        <v>0</v>
      </c>
      <c r="Z548" s="198">
        <f>-INDEX(Parameters!$B:$B,MATCH(Z$3&amp;$C548,Parameters!$A:$A,0))*$X548</f>
        <v>0</v>
      </c>
      <c r="AA548" s="139">
        <f t="shared" si="299"/>
        <v>1000</v>
      </c>
      <c r="AB548" s="205">
        <f>AA548/INDEX(Parameters!$B:$B,MATCH("AfschrijftermijnVVE"&amp;12*$C548,Parameters!$A:$A,0))</f>
        <v>16.666666666666668</v>
      </c>
      <c r="AC548" s="204">
        <f>INDEX('Tarieven ZM'!$G:$G,$W548)</f>
        <v>1000</v>
      </c>
      <c r="AD548" s="198">
        <f>-INDEX(Parameters!$B:$B,MATCH(AD$3&amp;$C548,Parameters!$A:$A,0))*$AC548</f>
        <v>0</v>
      </c>
      <c r="AE548" s="198">
        <f>-INDEX(Parameters!$B:$B,MATCH(AE$3,Parameters!$A:$A,0))*$AC548</f>
        <v>0</v>
      </c>
      <c r="AF548" s="139">
        <f t="shared" si="300"/>
        <v>1000</v>
      </c>
      <c r="AG548" s="522">
        <f t="shared" si="301"/>
        <v>1016.6666666666666</v>
      </c>
      <c r="AH548" s="175"/>
      <c r="AI548" s="523">
        <f>MATCH($U548,'Tarieven W&amp;O'!$B:$B,0)</f>
        <v>69</v>
      </c>
      <c r="AJ548" s="204">
        <f>IF(AI548&lt;&gt;"nvt",INDEX('Tarieven W&amp;O'!$H:$H,$AI548),0)</f>
        <v>0</v>
      </c>
      <c r="AK548" s="204">
        <f>IF(AI548&lt;&gt;"nvt",INDEX('Tarieven W&amp;O'!$I:$I,$AI548),0)</f>
        <v>25</v>
      </c>
      <c r="AL548" s="524">
        <f>IF(AI548&lt;&gt;"nvt",-INDEX(Parameters!$B:$B,MATCH(AL$3,Parameters!$A:$A,0))*(AJ548+AK548),0)</f>
        <v>0</v>
      </c>
      <c r="AM548" s="525"/>
      <c r="AN548" s="139">
        <f t="shared" si="302"/>
        <v>25</v>
      </c>
      <c r="AO548" s="205">
        <f>AN548/INDEX(Parameters!$B:$B,MATCH("AfschrijftermijnVVE"&amp;12*$C548,Parameters!$A:$A,0))</f>
        <v>0.41666666666666669</v>
      </c>
      <c r="AP548" s="139">
        <f t="shared" si="303"/>
        <v>69</v>
      </c>
      <c r="AQ548" s="526">
        <f>IF(AP548&lt;&gt;"nvt",INDEX('Tarieven W&amp;O'!$G:$G,$AP548),0)</f>
        <v>159.78</v>
      </c>
      <c r="AR548" s="251">
        <f>IF($S548,INDEX('Tarieven W&amp;O'!$G:$G,MATCH(N548&amp;R548,'Tarieven W&amp;O'!$B:$B,0)),0)</f>
        <v>0</v>
      </c>
      <c r="AS548" s="205">
        <f>-INDEX(Parameters!$B:$B,MATCH(AS$3,Parameters!$A:$A,0))*(AQ548+AR548)</f>
        <v>0</v>
      </c>
      <c r="AT548" s="205">
        <f>INDEX(hulpblad!$E:$E,MATCH(M548&amp;Q548,hulpblad!$B:$B,0))</f>
        <v>2</v>
      </c>
      <c r="AU548" s="150">
        <f t="shared" si="283"/>
        <v>161.78</v>
      </c>
      <c r="AV548" s="150">
        <f t="shared" si="284"/>
        <v>162.19666666666666</v>
      </c>
      <c r="AX548" s="526">
        <f>Parameters!$B$6*AV548</f>
        <v>1.6219666666666666</v>
      </c>
      <c r="AY548" s="150">
        <v>0</v>
      </c>
      <c r="AZ548" s="150"/>
      <c r="BA548" s="150">
        <f t="shared" si="304"/>
        <v>1.6219666666666666</v>
      </c>
      <c r="BB548" s="150"/>
      <c r="BC548" s="522">
        <f t="shared" si="305"/>
        <v>163.81863333333334</v>
      </c>
      <c r="BD548" s="175"/>
      <c r="BE548" s="527">
        <f t="shared" si="285"/>
        <v>852.84803333333332</v>
      </c>
      <c r="BF548" s="181">
        <f t="shared" si="286"/>
        <v>0.8388669180327869</v>
      </c>
      <c r="BG548" s="520" t="b">
        <f t="shared" si="298"/>
        <v>0</v>
      </c>
      <c r="BI548" s="528" t="s">
        <v>2181</v>
      </c>
      <c r="BL548" s="151" t="str">
        <f t="shared" si="288"/>
        <v>EoKMetro - Nationaal</v>
      </c>
      <c r="BM548" s="529">
        <v>0</v>
      </c>
      <c r="BN548" s="180">
        <f>BM548/INDEX(Parameters!$B:$B,MATCH("AfschrijftermijnVVE"&amp;12*$C548,Parameters!$A:$A,0))</f>
        <v>0</v>
      </c>
      <c r="BO548" s="184">
        <f>INDEX('inkoop ULL tbv EVPN'!I:I,MATCH(BL548,'inkoop ULL tbv EVPN'!H:H,0))</f>
        <v>2</v>
      </c>
      <c r="BP548" s="184">
        <f t="shared" si="289"/>
        <v>2</v>
      </c>
      <c r="BR548" s="180">
        <f>Parameters!$B$12*AG548</f>
        <v>101.66666666666667</v>
      </c>
      <c r="BS548" s="180">
        <f>SUM(Distributievergoedingen!$F$12,Distributievergoedingen!$I$12,Distributievergoedingen!$L$12,Distributievergoedingen!$O$12)*AF548+SUM(Distributievergoedingen!$O$12*AA548+Distributievergoedingen!$R$12+Distributievergoedingen!$U$12+Distributievergoedingen!$X$12)/(MAX(36,12*C548))</f>
        <v>111.66666666666667</v>
      </c>
      <c r="BT548" s="150"/>
      <c r="BU548" s="150">
        <f t="shared" si="290"/>
        <v>213.33333333333334</v>
      </c>
      <c r="BW548" s="522">
        <f t="shared" si="291"/>
        <v>215.33333333333334</v>
      </c>
      <c r="BY548" s="527">
        <f t="shared" si="292"/>
        <v>801.33333333333326</v>
      </c>
      <c r="BZ548" s="181">
        <f t="shared" si="293"/>
        <v>0.78819672131147533</v>
      </c>
      <c r="CA548" s="520" t="b">
        <f t="shared" si="294"/>
        <v>0</v>
      </c>
    </row>
    <row r="549" spans="1:79" s="151" customFormat="1">
      <c r="A549" s="151" t="str">
        <f t="shared" si="287"/>
        <v>5EoKPremiumRegionaal100</v>
      </c>
      <c r="B549" s="520" t="str">
        <f t="shared" si="295"/>
        <v>5EoKPremiumRegionaal100</v>
      </c>
      <c r="C549" s="179">
        <v>5</v>
      </c>
      <c r="D549" s="179" t="s">
        <v>303</v>
      </c>
      <c r="E549" s="178" t="s">
        <v>267</v>
      </c>
      <c r="F549" s="178" t="s">
        <v>265</v>
      </c>
      <c r="G549" s="185" t="s">
        <v>418</v>
      </c>
      <c r="J549" s="520" t="str">
        <f t="shared" si="296"/>
        <v>PremiumRegionaal100</v>
      </c>
      <c r="L549" s="204">
        <f>INDEX(Mapping!$H:$H,MATCH(C$3&amp;C549,Mapping!$B:$B,0))</f>
        <v>1</v>
      </c>
      <c r="M549" s="204" t="str">
        <f>INDEX(Mapping!$H:$H,MATCH(D$3&amp;$D549,Mapping!$B:$B,0))</f>
        <v>EoK</v>
      </c>
      <c r="N549" s="204" t="str">
        <f>INDEX(Mapping!$H:$H,MATCH(E$3&amp;E549,Mapping!$B:$B,0))</f>
        <v>Premium</v>
      </c>
      <c r="O549" s="204" t="str">
        <f>INDEX(Mapping!$H:$H,MATCH(F$3&amp;F549,Mapping!$B:$B,0))</f>
        <v>Metro</v>
      </c>
      <c r="P549" s="204">
        <f>INDEX(Mapping!$H:$H,MATCH(G$3&amp;G549,Mapping!$B:$B,0))</f>
        <v>100</v>
      </c>
      <c r="Q549" s="204" t="str">
        <f>INDEX(Mapping!$H:$H,MATCH(Q$3&amp;$F549,Mapping!$B:$B,0))</f>
        <v>Metro - Nationaal</v>
      </c>
      <c r="R549" s="204" t="str">
        <f>INDEX(Mapping!$H:$H,MATCH("ZM VPN Service Level"&amp;E549,Mapping!$B:$B,0))</f>
        <v>Advanced</v>
      </c>
      <c r="S549" s="139" t="b">
        <f>IF($D549="EoK",INDEX(Mapping!$I:$I,MATCH($G$3&amp;$G549,Mapping!B:B,0)),FALSE)</f>
        <v>0</v>
      </c>
      <c r="T549" s="139"/>
      <c r="U549" s="520" t="str">
        <f t="shared" si="297"/>
        <v>PremiumMetro100</v>
      </c>
      <c r="W549" s="521">
        <f>MATCH($J549,'Tarieven ZM'!$B:$B,0)</f>
        <v>97</v>
      </c>
      <c r="X549" s="204">
        <f>INDEX('Tarieven ZM'!$H:$H,$W549)</f>
        <v>1000</v>
      </c>
      <c r="Y549" s="198">
        <f>-INDEX(Parameters!$B:$B,MATCH(Y$3&amp;$C549,Parameters!$A:$A,0))*$X549</f>
        <v>0</v>
      </c>
      <c r="Z549" s="198">
        <f>-INDEX(Parameters!$B:$B,MATCH(Z$3&amp;$C549,Parameters!$A:$A,0))*$X549</f>
        <v>0</v>
      </c>
      <c r="AA549" s="139">
        <f t="shared" si="299"/>
        <v>1000</v>
      </c>
      <c r="AB549" s="205">
        <f>AA549/INDEX(Parameters!$B:$B,MATCH("AfschrijftermijnVVE"&amp;12*$C549,Parameters!$A:$A,0))</f>
        <v>16.666666666666668</v>
      </c>
      <c r="AC549" s="204">
        <f>INDEX('Tarieven ZM'!$G:$G,$W549)</f>
        <v>1000</v>
      </c>
      <c r="AD549" s="198">
        <f>-INDEX(Parameters!$B:$B,MATCH(AD$3&amp;$C549,Parameters!$A:$A,0))*$AC549</f>
        <v>0</v>
      </c>
      <c r="AE549" s="198">
        <f>-INDEX(Parameters!$B:$B,MATCH(AE$3,Parameters!$A:$A,0))*$AC549</f>
        <v>0</v>
      </c>
      <c r="AF549" s="139">
        <f t="shared" si="300"/>
        <v>1000</v>
      </c>
      <c r="AG549" s="522">
        <f t="shared" si="301"/>
        <v>1016.6666666666666</v>
      </c>
      <c r="AH549" s="175"/>
      <c r="AI549" s="523">
        <f>MATCH($U549,'Tarieven W&amp;O'!$B:$B,0)</f>
        <v>70</v>
      </c>
      <c r="AJ549" s="204">
        <f>IF(AI549&lt;&gt;"nvt",INDEX('Tarieven W&amp;O'!$H:$H,$AI549),0)</f>
        <v>0</v>
      </c>
      <c r="AK549" s="204">
        <f>IF(AI549&lt;&gt;"nvt",INDEX('Tarieven W&amp;O'!$I:$I,$AI549),0)</f>
        <v>25</v>
      </c>
      <c r="AL549" s="524">
        <f>IF(AI549&lt;&gt;"nvt",-INDEX(Parameters!$B:$B,MATCH(AL$3,Parameters!$A:$A,0))*(AJ549+AK549),0)</f>
        <v>0</v>
      </c>
      <c r="AM549" s="525"/>
      <c r="AN549" s="139">
        <f t="shared" si="302"/>
        <v>25</v>
      </c>
      <c r="AO549" s="205">
        <f>AN549/INDEX(Parameters!$B:$B,MATCH("AfschrijftermijnVVE"&amp;12*$C549,Parameters!$A:$A,0))</f>
        <v>0.41666666666666669</v>
      </c>
      <c r="AP549" s="139">
        <f t="shared" si="303"/>
        <v>70</v>
      </c>
      <c r="AQ549" s="526">
        <f>IF(AP549&lt;&gt;"nvt",INDEX('Tarieven W&amp;O'!$G:$G,$AP549),0)</f>
        <v>178.63</v>
      </c>
      <c r="AR549" s="251">
        <f>IF($S549,INDEX('Tarieven W&amp;O'!$G:$G,MATCH(N549&amp;R549,'Tarieven W&amp;O'!$B:$B,0)),0)</f>
        <v>0</v>
      </c>
      <c r="AS549" s="205">
        <f>-INDEX(Parameters!$B:$B,MATCH(AS$3,Parameters!$A:$A,0))*(AQ549+AR549)</f>
        <v>0</v>
      </c>
      <c r="AT549" s="205">
        <f>INDEX(hulpblad!$E:$E,MATCH(M549&amp;Q549,hulpblad!$B:$B,0))</f>
        <v>2</v>
      </c>
      <c r="AU549" s="150">
        <f t="shared" si="283"/>
        <v>180.63</v>
      </c>
      <c r="AV549" s="150">
        <f t="shared" si="284"/>
        <v>181.04666666666665</v>
      </c>
      <c r="AX549" s="526">
        <f>Parameters!$B$6*AV549</f>
        <v>1.8104666666666667</v>
      </c>
      <c r="AY549" s="150">
        <v>0</v>
      </c>
      <c r="AZ549" s="150"/>
      <c r="BA549" s="150">
        <f t="shared" si="304"/>
        <v>1.8104666666666667</v>
      </c>
      <c r="BB549" s="150"/>
      <c r="BC549" s="522">
        <f t="shared" si="305"/>
        <v>182.85713333333331</v>
      </c>
      <c r="BD549" s="175"/>
      <c r="BE549" s="527">
        <f t="shared" si="285"/>
        <v>833.80953333333332</v>
      </c>
      <c r="BF549" s="181">
        <f t="shared" si="286"/>
        <v>0.82014052459016396</v>
      </c>
      <c r="BG549" s="520" t="b">
        <f t="shared" si="298"/>
        <v>0</v>
      </c>
      <c r="BI549" s="528" t="s">
        <v>2181</v>
      </c>
      <c r="BL549" s="151" t="str">
        <f t="shared" si="288"/>
        <v>EoKMetro - Nationaal</v>
      </c>
      <c r="BM549" s="529">
        <v>0</v>
      </c>
      <c r="BN549" s="180">
        <f>BM549/INDEX(Parameters!$B:$B,MATCH("AfschrijftermijnVVE"&amp;12*$C549,Parameters!$A:$A,0))</f>
        <v>0</v>
      </c>
      <c r="BO549" s="184">
        <f>INDEX('inkoop ULL tbv EVPN'!I:I,MATCH(BL549,'inkoop ULL tbv EVPN'!H:H,0))</f>
        <v>2</v>
      </c>
      <c r="BP549" s="184">
        <f t="shared" si="289"/>
        <v>2</v>
      </c>
      <c r="BR549" s="180">
        <f>Parameters!$B$12*AG549</f>
        <v>101.66666666666667</v>
      </c>
      <c r="BS549" s="180">
        <f>SUM(Distributievergoedingen!$F$12,Distributievergoedingen!$I$12,Distributievergoedingen!$L$12,Distributievergoedingen!$O$12)*AF549+SUM(Distributievergoedingen!$O$12*AA549+Distributievergoedingen!$R$12+Distributievergoedingen!$U$12+Distributievergoedingen!$X$12)/(MAX(36,12*C549))</f>
        <v>111.66666666666667</v>
      </c>
      <c r="BT549" s="150"/>
      <c r="BU549" s="150">
        <f t="shared" si="290"/>
        <v>213.33333333333334</v>
      </c>
      <c r="BW549" s="522">
        <f t="shared" si="291"/>
        <v>215.33333333333334</v>
      </c>
      <c r="BY549" s="527">
        <f t="shared" si="292"/>
        <v>801.33333333333326</v>
      </c>
      <c r="BZ549" s="181">
        <f t="shared" si="293"/>
        <v>0.78819672131147533</v>
      </c>
      <c r="CA549" s="520" t="b">
        <f t="shared" si="294"/>
        <v>0</v>
      </c>
    </row>
    <row r="550" spans="1:79" s="151" customFormat="1">
      <c r="A550" s="151" t="str">
        <f t="shared" si="287"/>
        <v>5EoKPremiumRegionaal200</v>
      </c>
      <c r="B550" s="520" t="str">
        <f t="shared" si="295"/>
        <v>5EoKPremiumRegionaal200</v>
      </c>
      <c r="C550" s="179">
        <v>5</v>
      </c>
      <c r="D550" s="179" t="s">
        <v>303</v>
      </c>
      <c r="E550" s="178" t="s">
        <v>267</v>
      </c>
      <c r="F550" s="178" t="s">
        <v>265</v>
      </c>
      <c r="G550" s="185" t="s">
        <v>419</v>
      </c>
      <c r="J550" s="520" t="str">
        <f t="shared" si="296"/>
        <v>PremiumRegionaal200</v>
      </c>
      <c r="L550" s="204">
        <f>INDEX(Mapping!$H:$H,MATCH(C$3&amp;C550,Mapping!$B:$B,0))</f>
        <v>1</v>
      </c>
      <c r="M550" s="204" t="str">
        <f>INDEX(Mapping!$H:$H,MATCH(D$3&amp;$D550,Mapping!$B:$B,0))</f>
        <v>EoK</v>
      </c>
      <c r="N550" s="204" t="str">
        <f>INDEX(Mapping!$H:$H,MATCH(E$3&amp;E550,Mapping!$B:$B,0))</f>
        <v>Premium</v>
      </c>
      <c r="O550" s="204" t="str">
        <f>INDEX(Mapping!$H:$H,MATCH(F$3&amp;F550,Mapping!$B:$B,0))</f>
        <v>Metro</v>
      </c>
      <c r="P550" s="204">
        <f>INDEX(Mapping!$H:$H,MATCH(G$3&amp;G550,Mapping!$B:$B,0))</f>
        <v>200</v>
      </c>
      <c r="Q550" s="204" t="str">
        <f>INDEX(Mapping!$H:$H,MATCH(Q$3&amp;$F550,Mapping!$B:$B,0))</f>
        <v>Metro - Nationaal</v>
      </c>
      <c r="R550" s="204" t="str">
        <f>INDEX(Mapping!$H:$H,MATCH("ZM VPN Service Level"&amp;E550,Mapping!$B:$B,0))</f>
        <v>Advanced</v>
      </c>
      <c r="S550" s="139" t="b">
        <f>IF($D550="EoK",INDEX(Mapping!$I:$I,MATCH($G$3&amp;$G550,Mapping!B:B,0)),FALSE)</f>
        <v>0</v>
      </c>
      <c r="T550" s="139"/>
      <c r="U550" s="520" t="str">
        <f t="shared" si="297"/>
        <v>PremiumMetro200</v>
      </c>
      <c r="W550" s="521">
        <f>MATCH($J550,'Tarieven ZM'!$B:$B,0)</f>
        <v>98</v>
      </c>
      <c r="X550" s="204">
        <f>INDEX('Tarieven ZM'!$H:$H,$W550)</f>
        <v>1000</v>
      </c>
      <c r="Y550" s="198">
        <f>-INDEX(Parameters!$B:$B,MATCH(Y$3&amp;$C550,Parameters!$A:$A,0))*$X550</f>
        <v>0</v>
      </c>
      <c r="Z550" s="198">
        <f>-INDEX(Parameters!$B:$B,MATCH(Z$3&amp;$C550,Parameters!$A:$A,0))*$X550</f>
        <v>0</v>
      </c>
      <c r="AA550" s="139">
        <f t="shared" si="299"/>
        <v>1000</v>
      </c>
      <c r="AB550" s="205">
        <f>AA550/INDEX(Parameters!$B:$B,MATCH("AfschrijftermijnVVE"&amp;12*$C550,Parameters!$A:$A,0))</f>
        <v>16.666666666666668</v>
      </c>
      <c r="AC550" s="204">
        <f>INDEX('Tarieven ZM'!$G:$G,$W550)</f>
        <v>1000</v>
      </c>
      <c r="AD550" s="198">
        <f>-INDEX(Parameters!$B:$B,MATCH(AD$3&amp;$C550,Parameters!$A:$A,0))*$AC550</f>
        <v>0</v>
      </c>
      <c r="AE550" s="198">
        <f>-INDEX(Parameters!$B:$B,MATCH(AE$3,Parameters!$A:$A,0))*$AC550</f>
        <v>0</v>
      </c>
      <c r="AF550" s="139">
        <f t="shared" si="300"/>
        <v>1000</v>
      </c>
      <c r="AG550" s="522">
        <f t="shared" si="301"/>
        <v>1016.6666666666666</v>
      </c>
      <c r="AH550" s="175"/>
      <c r="AI550" s="523">
        <f>MATCH($U550,'Tarieven W&amp;O'!$B:$B,0)</f>
        <v>71</v>
      </c>
      <c r="AJ550" s="204">
        <f>IF(AI550&lt;&gt;"nvt",INDEX('Tarieven W&amp;O'!$H:$H,$AI550),0)</f>
        <v>0</v>
      </c>
      <c r="AK550" s="204">
        <f>IF(AI550&lt;&gt;"nvt",INDEX('Tarieven W&amp;O'!$I:$I,$AI550),0)</f>
        <v>25</v>
      </c>
      <c r="AL550" s="524">
        <f>IF(AI550&lt;&gt;"nvt",-INDEX(Parameters!$B:$B,MATCH(AL$3,Parameters!$A:$A,0))*(AJ550+AK550),0)</f>
        <v>0</v>
      </c>
      <c r="AM550" s="525"/>
      <c r="AN550" s="139">
        <f t="shared" si="302"/>
        <v>25</v>
      </c>
      <c r="AO550" s="205">
        <f>AN550/INDEX(Parameters!$B:$B,MATCH("AfschrijftermijnVVE"&amp;12*$C550,Parameters!$A:$A,0))</f>
        <v>0.41666666666666669</v>
      </c>
      <c r="AP550" s="139">
        <f t="shared" si="303"/>
        <v>71</v>
      </c>
      <c r="AQ550" s="526">
        <f>IF(AP550&lt;&gt;"nvt",INDEX('Tarieven W&amp;O'!$G:$G,$AP550),0)</f>
        <v>216.32</v>
      </c>
      <c r="AR550" s="251">
        <f>IF($S550,INDEX('Tarieven W&amp;O'!$G:$G,MATCH(N550&amp;R550,'Tarieven W&amp;O'!$B:$B,0)),0)</f>
        <v>0</v>
      </c>
      <c r="AS550" s="205">
        <f>-INDEX(Parameters!$B:$B,MATCH(AS$3,Parameters!$A:$A,0))*(AQ550+AR550)</f>
        <v>0</v>
      </c>
      <c r="AT550" s="205">
        <f>INDEX(hulpblad!$E:$E,MATCH(M550&amp;Q550,hulpblad!$B:$B,0))</f>
        <v>2</v>
      </c>
      <c r="AU550" s="150">
        <f t="shared" si="283"/>
        <v>218.32</v>
      </c>
      <c r="AV550" s="150">
        <f t="shared" si="284"/>
        <v>218.73666666666665</v>
      </c>
      <c r="AX550" s="526">
        <f>Parameters!$B$6*AV550</f>
        <v>2.1873666666666667</v>
      </c>
      <c r="AY550" s="150">
        <v>0</v>
      </c>
      <c r="AZ550" s="150"/>
      <c r="BA550" s="150">
        <f t="shared" si="304"/>
        <v>2.1873666666666667</v>
      </c>
      <c r="BB550" s="150"/>
      <c r="BC550" s="522">
        <f t="shared" si="305"/>
        <v>220.92403333333331</v>
      </c>
      <c r="BD550" s="175"/>
      <c r="BE550" s="527">
        <f t="shared" si="285"/>
        <v>795.74263333333329</v>
      </c>
      <c r="BF550" s="181">
        <f t="shared" si="286"/>
        <v>0.78269767213114749</v>
      </c>
      <c r="BG550" s="520" t="b">
        <f t="shared" si="298"/>
        <v>0</v>
      </c>
      <c r="BI550" s="528" t="s">
        <v>2181</v>
      </c>
      <c r="BL550" s="151" t="str">
        <f t="shared" si="288"/>
        <v>EoKMetro - Nationaal</v>
      </c>
      <c r="BM550" s="529">
        <v>0</v>
      </c>
      <c r="BN550" s="180">
        <f>BM550/INDEX(Parameters!$B:$B,MATCH("AfschrijftermijnVVE"&amp;12*$C550,Parameters!$A:$A,0))</f>
        <v>0</v>
      </c>
      <c r="BO550" s="184">
        <f>INDEX('inkoop ULL tbv EVPN'!I:I,MATCH(BL550,'inkoop ULL tbv EVPN'!H:H,0))</f>
        <v>2</v>
      </c>
      <c r="BP550" s="184">
        <f t="shared" si="289"/>
        <v>2</v>
      </c>
      <c r="BR550" s="180">
        <f>Parameters!$B$12*AG550</f>
        <v>101.66666666666667</v>
      </c>
      <c r="BS550" s="180">
        <f>SUM(Distributievergoedingen!$F$12,Distributievergoedingen!$I$12,Distributievergoedingen!$L$12,Distributievergoedingen!$O$12)*AF550+SUM(Distributievergoedingen!$O$12*AA550+Distributievergoedingen!$R$12+Distributievergoedingen!$U$12+Distributievergoedingen!$X$12)/(MAX(36,12*C550))</f>
        <v>111.66666666666667</v>
      </c>
      <c r="BT550" s="150"/>
      <c r="BU550" s="150">
        <f t="shared" si="290"/>
        <v>213.33333333333334</v>
      </c>
      <c r="BW550" s="522">
        <f t="shared" si="291"/>
        <v>215.33333333333334</v>
      </c>
      <c r="BY550" s="527">
        <f t="shared" si="292"/>
        <v>801.33333333333326</v>
      </c>
      <c r="BZ550" s="181">
        <f t="shared" si="293"/>
        <v>0.78819672131147533</v>
      </c>
      <c r="CA550" s="520" t="b">
        <f t="shared" si="294"/>
        <v>0</v>
      </c>
    </row>
    <row r="551" spans="1:79" s="151" customFormat="1">
      <c r="A551" s="151" t="str">
        <f t="shared" si="287"/>
        <v>5EoKPremiumRegionaal300</v>
      </c>
      <c r="B551" s="520" t="str">
        <f t="shared" si="295"/>
        <v>5EoKPremiumRegionaal300</v>
      </c>
      <c r="C551" s="179">
        <v>5</v>
      </c>
      <c r="D551" s="179" t="s">
        <v>303</v>
      </c>
      <c r="E551" s="178" t="s">
        <v>267</v>
      </c>
      <c r="F551" s="178" t="s">
        <v>265</v>
      </c>
      <c r="G551" s="185" t="s">
        <v>420</v>
      </c>
      <c r="J551" s="520" t="str">
        <f t="shared" si="296"/>
        <v>PremiumRegionaal300</v>
      </c>
      <c r="L551" s="204">
        <f>INDEX(Mapping!$H:$H,MATCH(C$3&amp;C551,Mapping!$B:$B,0))</f>
        <v>1</v>
      </c>
      <c r="M551" s="204" t="str">
        <f>INDEX(Mapping!$H:$H,MATCH(D$3&amp;$D551,Mapping!$B:$B,0))</f>
        <v>EoK</v>
      </c>
      <c r="N551" s="204" t="str">
        <f>INDEX(Mapping!$H:$H,MATCH(E$3&amp;E551,Mapping!$B:$B,0))</f>
        <v>Premium</v>
      </c>
      <c r="O551" s="204" t="str">
        <f>INDEX(Mapping!$H:$H,MATCH(F$3&amp;F551,Mapping!$B:$B,0))</f>
        <v>Metro</v>
      </c>
      <c r="P551" s="204">
        <f>INDEX(Mapping!$H:$H,MATCH(G$3&amp;G551,Mapping!$B:$B,0))</f>
        <v>300</v>
      </c>
      <c r="Q551" s="204" t="str">
        <f>INDEX(Mapping!$H:$H,MATCH(Q$3&amp;$F551,Mapping!$B:$B,0))</f>
        <v>Metro - Nationaal</v>
      </c>
      <c r="R551" s="204" t="str">
        <f>INDEX(Mapping!$H:$H,MATCH("ZM VPN Service Level"&amp;E551,Mapping!$B:$B,0))</f>
        <v>Advanced</v>
      </c>
      <c r="S551" s="139" t="b">
        <f>IF($D551="EoK",INDEX(Mapping!$I:$I,MATCH($G$3&amp;$G551,Mapping!B:B,0)),FALSE)</f>
        <v>0</v>
      </c>
      <c r="T551" s="139"/>
      <c r="U551" s="520" t="str">
        <f t="shared" si="297"/>
        <v>PremiumMetro300</v>
      </c>
      <c r="W551" s="521">
        <f>MATCH($J551,'Tarieven ZM'!$B:$B,0)</f>
        <v>99</v>
      </c>
      <c r="X551" s="204">
        <f>INDEX('Tarieven ZM'!$H:$H,$W551)</f>
        <v>1000</v>
      </c>
      <c r="Y551" s="198">
        <f>-INDEX(Parameters!$B:$B,MATCH(Y$3&amp;$C551,Parameters!$A:$A,0))*$X551</f>
        <v>0</v>
      </c>
      <c r="Z551" s="198">
        <f>-INDEX(Parameters!$B:$B,MATCH(Z$3&amp;$C551,Parameters!$A:$A,0))*$X551</f>
        <v>0</v>
      </c>
      <c r="AA551" s="139">
        <f t="shared" si="299"/>
        <v>1000</v>
      </c>
      <c r="AB551" s="205">
        <f>AA551/INDEX(Parameters!$B:$B,MATCH("AfschrijftermijnVVE"&amp;12*$C551,Parameters!$A:$A,0))</f>
        <v>16.666666666666668</v>
      </c>
      <c r="AC551" s="204">
        <f>INDEX('Tarieven ZM'!$G:$G,$W551)</f>
        <v>1000</v>
      </c>
      <c r="AD551" s="198">
        <f>-INDEX(Parameters!$B:$B,MATCH(AD$3&amp;$C551,Parameters!$A:$A,0))*$AC551</f>
        <v>0</v>
      </c>
      <c r="AE551" s="198">
        <f>-INDEX(Parameters!$B:$B,MATCH(AE$3,Parameters!$A:$A,0))*$AC551</f>
        <v>0</v>
      </c>
      <c r="AF551" s="139">
        <f t="shared" si="300"/>
        <v>1000</v>
      </c>
      <c r="AG551" s="522">
        <f t="shared" si="301"/>
        <v>1016.6666666666666</v>
      </c>
      <c r="AH551" s="175"/>
      <c r="AI551" s="523">
        <f>MATCH($U551,'Tarieven W&amp;O'!$B:$B,0)</f>
        <v>72</v>
      </c>
      <c r="AJ551" s="204">
        <f>IF(AI551&lt;&gt;"nvt",INDEX('Tarieven W&amp;O'!$H:$H,$AI551),0)</f>
        <v>0</v>
      </c>
      <c r="AK551" s="204">
        <f>IF(AI551&lt;&gt;"nvt",INDEX('Tarieven W&amp;O'!$I:$I,$AI551),0)</f>
        <v>25</v>
      </c>
      <c r="AL551" s="524">
        <f>IF(AI551&lt;&gt;"nvt",-INDEX(Parameters!$B:$B,MATCH(AL$3,Parameters!$A:$A,0))*(AJ551+AK551),0)</f>
        <v>0</v>
      </c>
      <c r="AM551" s="525"/>
      <c r="AN551" s="139">
        <f t="shared" si="302"/>
        <v>25</v>
      </c>
      <c r="AO551" s="205">
        <f>AN551/INDEX(Parameters!$B:$B,MATCH("AfschrijftermijnVVE"&amp;12*$C551,Parameters!$A:$A,0))</f>
        <v>0.41666666666666669</v>
      </c>
      <c r="AP551" s="139">
        <f t="shared" si="303"/>
        <v>72</v>
      </c>
      <c r="AQ551" s="526">
        <f>IF(AP551&lt;&gt;"nvt",INDEX('Tarieven W&amp;O'!$G:$G,$AP551),0)</f>
        <v>254.01</v>
      </c>
      <c r="AR551" s="251">
        <f>IF($S551,INDEX('Tarieven W&amp;O'!$G:$G,MATCH(N551&amp;R551,'Tarieven W&amp;O'!$B:$B,0)),0)</f>
        <v>0</v>
      </c>
      <c r="AS551" s="205">
        <f>-INDEX(Parameters!$B:$B,MATCH(AS$3,Parameters!$A:$A,0))*(AQ551+AR551)</f>
        <v>0</v>
      </c>
      <c r="AT551" s="205">
        <f>INDEX(hulpblad!$E:$E,MATCH(M551&amp;Q551,hulpblad!$B:$B,0))</f>
        <v>2</v>
      </c>
      <c r="AU551" s="150">
        <f t="shared" si="283"/>
        <v>256.01</v>
      </c>
      <c r="AV551" s="150">
        <f t="shared" si="284"/>
        <v>256.42666666666668</v>
      </c>
      <c r="AX551" s="526">
        <f>Parameters!$B$6*AV551</f>
        <v>2.5642666666666667</v>
      </c>
      <c r="AY551" s="150">
        <v>0</v>
      </c>
      <c r="AZ551" s="150"/>
      <c r="BA551" s="150">
        <f t="shared" si="304"/>
        <v>2.5642666666666667</v>
      </c>
      <c r="BB551" s="150"/>
      <c r="BC551" s="522">
        <f t="shared" si="305"/>
        <v>258.99093333333332</v>
      </c>
      <c r="BD551" s="175"/>
      <c r="BE551" s="527">
        <f t="shared" si="285"/>
        <v>757.67573333333326</v>
      </c>
      <c r="BF551" s="181">
        <f t="shared" si="286"/>
        <v>0.74525481967213114</v>
      </c>
      <c r="BG551" s="520" t="b">
        <f t="shared" si="298"/>
        <v>0</v>
      </c>
      <c r="BI551" s="528" t="s">
        <v>2181</v>
      </c>
      <c r="BL551" s="151" t="str">
        <f t="shared" si="288"/>
        <v>EoKMetro - Nationaal</v>
      </c>
      <c r="BM551" s="529">
        <v>0</v>
      </c>
      <c r="BN551" s="180">
        <f>BM551/INDEX(Parameters!$B:$B,MATCH("AfschrijftermijnVVE"&amp;12*$C551,Parameters!$A:$A,0))</f>
        <v>0</v>
      </c>
      <c r="BO551" s="184">
        <f>INDEX('inkoop ULL tbv EVPN'!I:I,MATCH(BL551,'inkoop ULL tbv EVPN'!H:H,0))</f>
        <v>2</v>
      </c>
      <c r="BP551" s="184">
        <f t="shared" si="289"/>
        <v>2</v>
      </c>
      <c r="BR551" s="180">
        <f>Parameters!$B$12*AG551</f>
        <v>101.66666666666667</v>
      </c>
      <c r="BS551" s="180">
        <f>SUM(Distributievergoedingen!$F$12,Distributievergoedingen!$I$12,Distributievergoedingen!$L$12,Distributievergoedingen!$O$12)*AF551+SUM(Distributievergoedingen!$O$12*AA551+Distributievergoedingen!$R$12+Distributievergoedingen!$U$12+Distributievergoedingen!$X$12)/(MAX(36,12*C551))</f>
        <v>111.66666666666667</v>
      </c>
      <c r="BT551" s="150"/>
      <c r="BU551" s="150">
        <f t="shared" si="290"/>
        <v>213.33333333333334</v>
      </c>
      <c r="BW551" s="522">
        <f t="shared" si="291"/>
        <v>215.33333333333334</v>
      </c>
      <c r="BY551" s="527">
        <f t="shared" si="292"/>
        <v>801.33333333333326</v>
      </c>
      <c r="BZ551" s="181">
        <f t="shared" si="293"/>
        <v>0.78819672131147533</v>
      </c>
      <c r="CA551" s="520" t="b">
        <f t="shared" si="294"/>
        <v>0</v>
      </c>
    </row>
    <row r="552" spans="1:79" s="151" customFormat="1">
      <c r="A552" s="151" t="str">
        <f t="shared" si="287"/>
        <v>5EoKPremiumRegionaal500</v>
      </c>
      <c r="B552" s="520" t="str">
        <f t="shared" si="295"/>
        <v>5EoKPremiumRegionaal500</v>
      </c>
      <c r="C552" s="179">
        <v>5</v>
      </c>
      <c r="D552" s="179" t="s">
        <v>303</v>
      </c>
      <c r="E552" s="178" t="s">
        <v>267</v>
      </c>
      <c r="F552" s="178" t="s">
        <v>265</v>
      </c>
      <c r="G552" s="185" t="s">
        <v>421</v>
      </c>
      <c r="J552" s="520" t="str">
        <f t="shared" si="296"/>
        <v>PremiumRegionaal500</v>
      </c>
      <c r="L552" s="204">
        <f>INDEX(Mapping!$H:$H,MATCH(C$3&amp;C552,Mapping!$B:$B,0))</f>
        <v>1</v>
      </c>
      <c r="M552" s="204" t="str">
        <f>INDEX(Mapping!$H:$H,MATCH(D$3&amp;$D552,Mapping!$B:$B,0))</f>
        <v>EoK</v>
      </c>
      <c r="N552" s="204" t="str">
        <f>INDEX(Mapping!$H:$H,MATCH(E$3&amp;E552,Mapping!$B:$B,0))</f>
        <v>Premium</v>
      </c>
      <c r="O552" s="204" t="str">
        <f>INDEX(Mapping!$H:$H,MATCH(F$3&amp;F552,Mapping!$B:$B,0))</f>
        <v>Metro</v>
      </c>
      <c r="P552" s="204">
        <f>INDEX(Mapping!$H:$H,MATCH(G$3&amp;G552,Mapping!$B:$B,0))</f>
        <v>500</v>
      </c>
      <c r="Q552" s="204" t="str">
        <f>INDEX(Mapping!$H:$H,MATCH(Q$3&amp;$F552,Mapping!$B:$B,0))</f>
        <v>Metro - Nationaal</v>
      </c>
      <c r="R552" s="204" t="str">
        <f>INDEX(Mapping!$H:$H,MATCH("ZM VPN Service Level"&amp;E552,Mapping!$B:$B,0))</f>
        <v>Advanced</v>
      </c>
      <c r="S552" s="139" t="b">
        <f>IF($D552="EoK",INDEX(Mapping!$I:$I,MATCH($G$3&amp;$G552,Mapping!B:B,0)),FALSE)</f>
        <v>0</v>
      </c>
      <c r="T552" s="139"/>
      <c r="U552" s="520" t="str">
        <f t="shared" si="297"/>
        <v>PremiumMetro500</v>
      </c>
      <c r="W552" s="521">
        <f>MATCH($J552,'Tarieven ZM'!$B:$B,0)</f>
        <v>100</v>
      </c>
      <c r="X552" s="204">
        <f>INDEX('Tarieven ZM'!$H:$H,$W552)</f>
        <v>1000</v>
      </c>
      <c r="Y552" s="198">
        <f>-INDEX(Parameters!$B:$B,MATCH(Y$3&amp;$C552,Parameters!$A:$A,0))*$X552</f>
        <v>0</v>
      </c>
      <c r="Z552" s="198">
        <f>-INDEX(Parameters!$B:$B,MATCH(Z$3&amp;$C552,Parameters!$A:$A,0))*$X552</f>
        <v>0</v>
      </c>
      <c r="AA552" s="139">
        <f t="shared" si="299"/>
        <v>1000</v>
      </c>
      <c r="AB552" s="205">
        <f>AA552/INDEX(Parameters!$B:$B,MATCH("AfschrijftermijnVVE"&amp;12*$C552,Parameters!$A:$A,0))</f>
        <v>16.666666666666668</v>
      </c>
      <c r="AC552" s="204">
        <f>INDEX('Tarieven ZM'!$G:$G,$W552)</f>
        <v>1000</v>
      </c>
      <c r="AD552" s="198">
        <f>-INDEX(Parameters!$B:$B,MATCH(AD$3&amp;$C552,Parameters!$A:$A,0))*$AC552</f>
        <v>0</v>
      </c>
      <c r="AE552" s="198">
        <f>-INDEX(Parameters!$B:$B,MATCH(AE$3,Parameters!$A:$A,0))*$AC552</f>
        <v>0</v>
      </c>
      <c r="AF552" s="139">
        <f t="shared" si="300"/>
        <v>1000</v>
      </c>
      <c r="AG552" s="522">
        <f t="shared" si="301"/>
        <v>1016.6666666666666</v>
      </c>
      <c r="AH552" s="175"/>
      <c r="AI552" s="523">
        <f>MATCH($U552,'Tarieven W&amp;O'!$B:$B,0)</f>
        <v>73</v>
      </c>
      <c r="AJ552" s="204">
        <f>IF(AI552&lt;&gt;"nvt",INDEX('Tarieven W&amp;O'!$H:$H,$AI552),0)</f>
        <v>0</v>
      </c>
      <c r="AK552" s="204">
        <f>IF(AI552&lt;&gt;"nvt",INDEX('Tarieven W&amp;O'!$I:$I,$AI552),0)</f>
        <v>25</v>
      </c>
      <c r="AL552" s="524">
        <f>IF(AI552&lt;&gt;"nvt",-INDEX(Parameters!$B:$B,MATCH(AL$3,Parameters!$A:$A,0))*(AJ552+AK552),0)</f>
        <v>0</v>
      </c>
      <c r="AM552" s="525"/>
      <c r="AN552" s="139">
        <f t="shared" si="302"/>
        <v>25</v>
      </c>
      <c r="AO552" s="205">
        <f>AN552/INDEX(Parameters!$B:$B,MATCH("AfschrijftermijnVVE"&amp;12*$C552,Parameters!$A:$A,0))</f>
        <v>0.41666666666666669</v>
      </c>
      <c r="AP552" s="139">
        <f t="shared" si="303"/>
        <v>73</v>
      </c>
      <c r="AQ552" s="526">
        <f>IF(AP552&lt;&gt;"nvt",INDEX('Tarieven W&amp;O'!$G:$G,$AP552),0)</f>
        <v>310.54000000000002</v>
      </c>
      <c r="AR552" s="251">
        <f>IF($S552,INDEX('Tarieven W&amp;O'!$G:$G,MATCH(N552&amp;R552,'Tarieven W&amp;O'!$B:$B,0)),0)</f>
        <v>0</v>
      </c>
      <c r="AS552" s="205">
        <f>-INDEX(Parameters!$B:$B,MATCH(AS$3,Parameters!$A:$A,0))*(AQ552+AR552)</f>
        <v>0</v>
      </c>
      <c r="AT552" s="205">
        <f>INDEX(hulpblad!$E:$E,MATCH(M552&amp;Q552,hulpblad!$B:$B,0))</f>
        <v>2</v>
      </c>
      <c r="AU552" s="150">
        <f t="shared" si="283"/>
        <v>312.54000000000002</v>
      </c>
      <c r="AV552" s="150">
        <f t="shared" si="284"/>
        <v>312.95666666666671</v>
      </c>
      <c r="AX552" s="526">
        <f>Parameters!$B$6*AV552</f>
        <v>3.1295666666666673</v>
      </c>
      <c r="AY552" s="150">
        <v>0</v>
      </c>
      <c r="AZ552" s="150"/>
      <c r="BA552" s="150">
        <f t="shared" si="304"/>
        <v>3.1295666666666673</v>
      </c>
      <c r="BB552" s="150"/>
      <c r="BC552" s="522">
        <f t="shared" si="305"/>
        <v>316.08623333333338</v>
      </c>
      <c r="BD552" s="175"/>
      <c r="BE552" s="527">
        <f t="shared" si="285"/>
        <v>700.5804333333333</v>
      </c>
      <c r="BF552" s="181">
        <f t="shared" si="286"/>
        <v>0.68909550819672127</v>
      </c>
      <c r="BG552" s="520" t="b">
        <f t="shared" si="298"/>
        <v>0</v>
      </c>
      <c r="BI552" s="528" t="s">
        <v>2181</v>
      </c>
      <c r="BL552" s="151" t="str">
        <f t="shared" si="288"/>
        <v>EoKMetro - Nationaal</v>
      </c>
      <c r="BM552" s="529">
        <v>0</v>
      </c>
      <c r="BN552" s="180">
        <f>BM552/INDEX(Parameters!$B:$B,MATCH("AfschrijftermijnVVE"&amp;12*$C552,Parameters!$A:$A,0))</f>
        <v>0</v>
      </c>
      <c r="BO552" s="184">
        <f>INDEX('inkoop ULL tbv EVPN'!I:I,MATCH(BL552,'inkoop ULL tbv EVPN'!H:H,0))</f>
        <v>2</v>
      </c>
      <c r="BP552" s="184">
        <f t="shared" si="289"/>
        <v>2</v>
      </c>
      <c r="BR552" s="180">
        <f>Parameters!$B$12*AG552</f>
        <v>101.66666666666667</v>
      </c>
      <c r="BS552" s="180">
        <f>SUM(Distributievergoedingen!$F$12,Distributievergoedingen!$I$12,Distributievergoedingen!$L$12,Distributievergoedingen!$O$12)*AF552+SUM(Distributievergoedingen!$O$12*AA552+Distributievergoedingen!$R$12+Distributievergoedingen!$U$12+Distributievergoedingen!$X$12)/(MAX(36,12*C552))</f>
        <v>111.66666666666667</v>
      </c>
      <c r="BT552" s="150"/>
      <c r="BU552" s="150">
        <f t="shared" si="290"/>
        <v>213.33333333333334</v>
      </c>
      <c r="BW552" s="522">
        <f t="shared" si="291"/>
        <v>215.33333333333334</v>
      </c>
      <c r="BY552" s="527">
        <f t="shared" si="292"/>
        <v>801.33333333333326</v>
      </c>
      <c r="BZ552" s="181">
        <f t="shared" si="293"/>
        <v>0.78819672131147533</v>
      </c>
      <c r="CA552" s="520" t="b">
        <f t="shared" si="294"/>
        <v>0</v>
      </c>
    </row>
    <row r="553" spans="1:79" s="151" customFormat="1">
      <c r="A553" s="151" t="str">
        <f t="shared" si="287"/>
        <v>5EoKPremiumRegionaal800</v>
      </c>
      <c r="B553" s="520" t="str">
        <f t="shared" si="295"/>
        <v>5EoKPremiumRegionaal800</v>
      </c>
      <c r="C553" s="179">
        <v>5</v>
      </c>
      <c r="D553" s="179" t="s">
        <v>303</v>
      </c>
      <c r="E553" s="178" t="s">
        <v>267</v>
      </c>
      <c r="F553" s="178" t="s">
        <v>265</v>
      </c>
      <c r="G553" s="185" t="s">
        <v>422</v>
      </c>
      <c r="J553" s="520" t="str">
        <f t="shared" si="296"/>
        <v>PremiumRegionaal800</v>
      </c>
      <c r="L553" s="204">
        <f>INDEX(Mapping!$H:$H,MATCH(C$3&amp;C553,Mapping!$B:$B,0))</f>
        <v>1</v>
      </c>
      <c r="M553" s="204" t="str">
        <f>INDEX(Mapping!$H:$H,MATCH(D$3&amp;$D553,Mapping!$B:$B,0))</f>
        <v>EoK</v>
      </c>
      <c r="N553" s="204" t="str">
        <f>INDEX(Mapping!$H:$H,MATCH(E$3&amp;E553,Mapping!$B:$B,0))</f>
        <v>Premium</v>
      </c>
      <c r="O553" s="204" t="str">
        <f>INDEX(Mapping!$H:$H,MATCH(F$3&amp;F553,Mapping!$B:$B,0))</f>
        <v>Metro</v>
      </c>
      <c r="P553" s="204">
        <f>INDEX(Mapping!$H:$H,MATCH(G$3&amp;G553,Mapping!$B:$B,0))</f>
        <v>800</v>
      </c>
      <c r="Q553" s="204" t="str">
        <f>INDEX(Mapping!$H:$H,MATCH(Q$3&amp;$F553,Mapping!$B:$B,0))</f>
        <v>Metro - Nationaal</v>
      </c>
      <c r="R553" s="204" t="str">
        <f>INDEX(Mapping!$H:$H,MATCH("ZM VPN Service Level"&amp;E553,Mapping!$B:$B,0))</f>
        <v>Advanced</v>
      </c>
      <c r="S553" s="139" t="b">
        <f>IF($D553="EoK",INDEX(Mapping!$I:$I,MATCH($G$3&amp;$G553,Mapping!B:B,0)),FALSE)</f>
        <v>0</v>
      </c>
      <c r="T553" s="139"/>
      <c r="U553" s="520" t="str">
        <f t="shared" si="297"/>
        <v>PremiumMetro800</v>
      </c>
      <c r="W553" s="521">
        <f>MATCH($J553,'Tarieven ZM'!$B:$B,0)</f>
        <v>101</v>
      </c>
      <c r="X553" s="204">
        <f>INDEX('Tarieven ZM'!$H:$H,$W553)</f>
        <v>1000</v>
      </c>
      <c r="Y553" s="198">
        <f>-INDEX(Parameters!$B:$B,MATCH(Y$3&amp;$C553,Parameters!$A:$A,0))*$X553</f>
        <v>0</v>
      </c>
      <c r="Z553" s="198">
        <f>-INDEX(Parameters!$B:$B,MATCH(Z$3&amp;$C553,Parameters!$A:$A,0))*$X553</f>
        <v>0</v>
      </c>
      <c r="AA553" s="139">
        <f t="shared" si="299"/>
        <v>1000</v>
      </c>
      <c r="AB553" s="205">
        <f>AA553/INDEX(Parameters!$B:$B,MATCH("AfschrijftermijnVVE"&amp;12*$C553,Parameters!$A:$A,0))</f>
        <v>16.666666666666668</v>
      </c>
      <c r="AC553" s="204">
        <f>INDEX('Tarieven ZM'!$G:$G,$W553)</f>
        <v>1000</v>
      </c>
      <c r="AD553" s="198">
        <f>-INDEX(Parameters!$B:$B,MATCH(AD$3&amp;$C553,Parameters!$A:$A,0))*$AC553</f>
        <v>0</v>
      </c>
      <c r="AE553" s="198">
        <f>-INDEX(Parameters!$B:$B,MATCH(AE$3,Parameters!$A:$A,0))*$AC553</f>
        <v>0</v>
      </c>
      <c r="AF553" s="139">
        <f t="shared" si="300"/>
        <v>1000</v>
      </c>
      <c r="AG553" s="522">
        <f t="shared" si="301"/>
        <v>1016.6666666666666</v>
      </c>
      <c r="AH553" s="175"/>
      <c r="AI553" s="523">
        <f>MATCH($U553,'Tarieven W&amp;O'!$B:$B,0)</f>
        <v>74</v>
      </c>
      <c r="AJ553" s="204">
        <f>IF(AI553&lt;&gt;"nvt",INDEX('Tarieven W&amp;O'!$H:$H,$AI553),0)</f>
        <v>0</v>
      </c>
      <c r="AK553" s="204">
        <f>IF(AI553&lt;&gt;"nvt",INDEX('Tarieven W&amp;O'!$I:$I,$AI553),0)</f>
        <v>25</v>
      </c>
      <c r="AL553" s="524">
        <f>IF(AI553&lt;&gt;"nvt",-INDEX(Parameters!$B:$B,MATCH(AL$3,Parameters!$A:$A,0))*(AJ553+AK553),0)</f>
        <v>0</v>
      </c>
      <c r="AM553" s="525"/>
      <c r="AN553" s="139">
        <f t="shared" si="302"/>
        <v>25</v>
      </c>
      <c r="AO553" s="205">
        <f>AN553/INDEX(Parameters!$B:$B,MATCH("AfschrijftermijnVVE"&amp;12*$C553,Parameters!$A:$A,0))</f>
        <v>0.41666666666666669</v>
      </c>
      <c r="AP553" s="139">
        <f t="shared" si="303"/>
        <v>74</v>
      </c>
      <c r="AQ553" s="526">
        <f>IF(AP553&lt;&gt;"nvt",INDEX('Tarieven W&amp;O'!$G:$G,$AP553),0)</f>
        <v>348.23</v>
      </c>
      <c r="AR553" s="251">
        <f>IF($S553,INDEX('Tarieven W&amp;O'!$G:$G,MATCH(N553&amp;R553,'Tarieven W&amp;O'!$B:$B,0)),0)</f>
        <v>0</v>
      </c>
      <c r="AS553" s="205">
        <f>-INDEX(Parameters!$B:$B,MATCH(AS$3,Parameters!$A:$A,0))*(AQ553+AR553)</f>
        <v>0</v>
      </c>
      <c r="AT553" s="205">
        <f>INDEX(hulpblad!$E:$E,MATCH(M553&amp;Q553,hulpblad!$B:$B,0))</f>
        <v>2</v>
      </c>
      <c r="AU553" s="150">
        <f t="shared" si="283"/>
        <v>350.23</v>
      </c>
      <c r="AV553" s="150">
        <f t="shared" si="284"/>
        <v>350.6466666666667</v>
      </c>
      <c r="AX553" s="526">
        <f>Parameters!$B$6*AV553</f>
        <v>3.5064666666666673</v>
      </c>
      <c r="AY553" s="150">
        <v>0</v>
      </c>
      <c r="AZ553" s="150"/>
      <c r="BA553" s="150">
        <f t="shared" si="304"/>
        <v>3.5064666666666673</v>
      </c>
      <c r="BB553" s="150"/>
      <c r="BC553" s="522">
        <f t="shared" si="305"/>
        <v>354.15313333333336</v>
      </c>
      <c r="BD553" s="175"/>
      <c r="BE553" s="527">
        <f t="shared" si="285"/>
        <v>662.51353333333327</v>
      </c>
      <c r="BF553" s="181">
        <f t="shared" si="286"/>
        <v>0.65165265573770492</v>
      </c>
      <c r="BG553" s="520" t="b">
        <f t="shared" si="298"/>
        <v>0</v>
      </c>
      <c r="BI553" s="528" t="s">
        <v>2181</v>
      </c>
      <c r="BL553" s="151" t="str">
        <f t="shared" si="288"/>
        <v>EoKMetro - Nationaal</v>
      </c>
      <c r="BM553" s="529">
        <v>0</v>
      </c>
      <c r="BN553" s="180">
        <f>BM553/INDEX(Parameters!$B:$B,MATCH("AfschrijftermijnVVE"&amp;12*$C553,Parameters!$A:$A,0))</f>
        <v>0</v>
      </c>
      <c r="BO553" s="184">
        <f>INDEX('inkoop ULL tbv EVPN'!I:I,MATCH(BL553,'inkoop ULL tbv EVPN'!H:H,0))</f>
        <v>2</v>
      </c>
      <c r="BP553" s="184">
        <f t="shared" si="289"/>
        <v>2</v>
      </c>
      <c r="BR553" s="180">
        <f>Parameters!$B$12*AG553</f>
        <v>101.66666666666667</v>
      </c>
      <c r="BS553" s="180">
        <f>SUM(Distributievergoedingen!$F$12,Distributievergoedingen!$I$12,Distributievergoedingen!$L$12,Distributievergoedingen!$O$12)*AF553+SUM(Distributievergoedingen!$O$12*AA553+Distributievergoedingen!$R$12+Distributievergoedingen!$U$12+Distributievergoedingen!$X$12)/(MAX(36,12*C553))</f>
        <v>111.66666666666667</v>
      </c>
      <c r="BT553" s="150"/>
      <c r="BU553" s="150">
        <f t="shared" si="290"/>
        <v>213.33333333333334</v>
      </c>
      <c r="BW553" s="522">
        <f t="shared" si="291"/>
        <v>215.33333333333334</v>
      </c>
      <c r="BY553" s="527">
        <f t="shared" si="292"/>
        <v>801.33333333333326</v>
      </c>
      <c r="BZ553" s="181">
        <f t="shared" si="293"/>
        <v>0.78819672131147533</v>
      </c>
      <c r="CA553" s="520" t="b">
        <f t="shared" si="294"/>
        <v>0</v>
      </c>
    </row>
    <row r="554" spans="1:79" s="151" customFormat="1">
      <c r="A554" s="151" t="str">
        <f t="shared" si="287"/>
        <v>5EoKPremiumRegionaal1000</v>
      </c>
      <c r="B554" s="520" t="str">
        <f t="shared" si="295"/>
        <v>5EoKPremiumRegionaal1000</v>
      </c>
      <c r="C554" s="179">
        <v>5</v>
      </c>
      <c r="D554" s="179" t="s">
        <v>303</v>
      </c>
      <c r="E554" s="178" t="s">
        <v>267</v>
      </c>
      <c r="F554" s="178" t="s">
        <v>265</v>
      </c>
      <c r="G554" s="185" t="s">
        <v>423</v>
      </c>
      <c r="J554" s="520" t="str">
        <f t="shared" si="296"/>
        <v>PremiumRegionaal1000</v>
      </c>
      <c r="L554" s="204">
        <f>INDEX(Mapping!$H:$H,MATCH(C$3&amp;C554,Mapping!$B:$B,0))</f>
        <v>1</v>
      </c>
      <c r="M554" s="204" t="str">
        <f>INDEX(Mapping!$H:$H,MATCH(D$3&amp;$D554,Mapping!$B:$B,0))</f>
        <v>EoK</v>
      </c>
      <c r="N554" s="204" t="str">
        <f>INDEX(Mapping!$H:$H,MATCH(E$3&amp;E554,Mapping!$B:$B,0))</f>
        <v>Premium</v>
      </c>
      <c r="O554" s="204" t="str">
        <f>INDEX(Mapping!$H:$H,MATCH(F$3&amp;F554,Mapping!$B:$B,0))</f>
        <v>Metro</v>
      </c>
      <c r="P554" s="204">
        <f>INDEX(Mapping!$H:$H,MATCH(G$3&amp;G554,Mapping!$B:$B,0))</f>
        <v>1000</v>
      </c>
      <c r="Q554" s="204" t="str">
        <f>INDEX(Mapping!$H:$H,MATCH(Q$3&amp;$F554,Mapping!$B:$B,0))</f>
        <v>Metro - Nationaal</v>
      </c>
      <c r="R554" s="204" t="str">
        <f>INDEX(Mapping!$H:$H,MATCH("ZM VPN Service Level"&amp;E554,Mapping!$B:$B,0))</f>
        <v>Advanced</v>
      </c>
      <c r="S554" s="139" t="b">
        <f>IF($D554="EoK",INDEX(Mapping!$I:$I,MATCH($G$3&amp;$G554,Mapping!B:B,0)),FALSE)</f>
        <v>0</v>
      </c>
      <c r="T554" s="139"/>
      <c r="U554" s="520" t="str">
        <f t="shared" si="297"/>
        <v>PremiumMetro1000</v>
      </c>
      <c r="W554" s="521">
        <f>MATCH($J554,'Tarieven ZM'!$B:$B,0)</f>
        <v>102</v>
      </c>
      <c r="X554" s="204">
        <f>INDEX('Tarieven ZM'!$H:$H,$W554)</f>
        <v>1000</v>
      </c>
      <c r="Y554" s="198">
        <f>-INDEX(Parameters!$B:$B,MATCH(Y$3&amp;$C554,Parameters!$A:$A,0))*$X554</f>
        <v>0</v>
      </c>
      <c r="Z554" s="198">
        <f>-INDEX(Parameters!$B:$B,MATCH(Z$3&amp;$C554,Parameters!$A:$A,0))*$X554</f>
        <v>0</v>
      </c>
      <c r="AA554" s="139">
        <f t="shared" si="299"/>
        <v>1000</v>
      </c>
      <c r="AB554" s="205">
        <f>AA554/INDEX(Parameters!$B:$B,MATCH("AfschrijftermijnVVE"&amp;12*$C554,Parameters!$A:$A,0))</f>
        <v>16.666666666666668</v>
      </c>
      <c r="AC554" s="204">
        <f>INDEX('Tarieven ZM'!$G:$G,$W554)</f>
        <v>1000</v>
      </c>
      <c r="AD554" s="198">
        <f>-INDEX(Parameters!$B:$B,MATCH(AD$3&amp;$C554,Parameters!$A:$A,0))*$AC554</f>
        <v>0</v>
      </c>
      <c r="AE554" s="198">
        <f>-INDEX(Parameters!$B:$B,MATCH(AE$3,Parameters!$A:$A,0))*$AC554</f>
        <v>0</v>
      </c>
      <c r="AF554" s="139">
        <f t="shared" si="300"/>
        <v>1000</v>
      </c>
      <c r="AG554" s="522">
        <f t="shared" si="301"/>
        <v>1016.6666666666666</v>
      </c>
      <c r="AH554" s="175"/>
      <c r="AI554" s="523">
        <f>MATCH($U554,'Tarieven W&amp;O'!$B:$B,0)</f>
        <v>75</v>
      </c>
      <c r="AJ554" s="204">
        <f>IF(AI554&lt;&gt;"nvt",INDEX('Tarieven W&amp;O'!$H:$H,$AI554),0)</f>
        <v>0</v>
      </c>
      <c r="AK554" s="204">
        <f>IF(AI554&lt;&gt;"nvt",INDEX('Tarieven W&amp;O'!$I:$I,$AI554),0)</f>
        <v>25</v>
      </c>
      <c r="AL554" s="524">
        <f>IF(AI554&lt;&gt;"nvt",-INDEX(Parameters!$B:$B,MATCH(AL$3,Parameters!$A:$A,0))*(AJ554+AK554),0)</f>
        <v>0</v>
      </c>
      <c r="AM554" s="525"/>
      <c r="AN554" s="139">
        <f t="shared" si="302"/>
        <v>25</v>
      </c>
      <c r="AO554" s="205">
        <f>AN554/INDEX(Parameters!$B:$B,MATCH("AfschrijftermijnVVE"&amp;12*$C554,Parameters!$A:$A,0))</f>
        <v>0.41666666666666669</v>
      </c>
      <c r="AP554" s="139">
        <f t="shared" si="303"/>
        <v>75</v>
      </c>
      <c r="AQ554" s="526">
        <f>IF(AP554&lt;&gt;"nvt",INDEX('Tarieven W&amp;O'!$G:$G,$AP554),0)</f>
        <v>385.93</v>
      </c>
      <c r="AR554" s="251">
        <f>IF($S554,INDEX('Tarieven W&amp;O'!$G:$G,MATCH(N554&amp;R554,'Tarieven W&amp;O'!$B:$B,0)),0)</f>
        <v>0</v>
      </c>
      <c r="AS554" s="205">
        <f>-INDEX(Parameters!$B:$B,MATCH(AS$3,Parameters!$A:$A,0))*(AQ554+AR554)</f>
        <v>0</v>
      </c>
      <c r="AT554" s="205">
        <f>INDEX(hulpblad!$E:$E,MATCH(M554&amp;Q554,hulpblad!$B:$B,0))</f>
        <v>2</v>
      </c>
      <c r="AU554" s="150">
        <f t="shared" si="283"/>
        <v>387.93</v>
      </c>
      <c r="AV554" s="150">
        <f t="shared" si="284"/>
        <v>388.34666666666669</v>
      </c>
      <c r="AX554" s="526">
        <f>Parameters!$B$6*AV554</f>
        <v>3.8834666666666671</v>
      </c>
      <c r="AY554" s="150">
        <v>0</v>
      </c>
      <c r="AZ554" s="150"/>
      <c r="BA554" s="150">
        <f t="shared" si="304"/>
        <v>3.8834666666666671</v>
      </c>
      <c r="BB554" s="150"/>
      <c r="BC554" s="522">
        <f t="shared" si="305"/>
        <v>392.23013333333336</v>
      </c>
      <c r="BD554" s="175"/>
      <c r="BE554" s="527">
        <f t="shared" si="285"/>
        <v>624.43653333333327</v>
      </c>
      <c r="BF554" s="181">
        <f t="shared" si="286"/>
        <v>0.61419986885245903</v>
      </c>
      <c r="BG554" s="520" t="b">
        <f t="shared" si="298"/>
        <v>0</v>
      </c>
      <c r="BI554" s="528" t="s">
        <v>2181</v>
      </c>
      <c r="BL554" s="151" t="str">
        <f t="shared" si="288"/>
        <v>EoKMetro - Nationaal</v>
      </c>
      <c r="BM554" s="529">
        <v>0</v>
      </c>
      <c r="BN554" s="180">
        <f>BM554/INDEX(Parameters!$B:$B,MATCH("AfschrijftermijnVVE"&amp;12*$C554,Parameters!$A:$A,0))</f>
        <v>0</v>
      </c>
      <c r="BO554" s="184">
        <f>INDEX('inkoop ULL tbv EVPN'!I:I,MATCH(BL554,'inkoop ULL tbv EVPN'!H:H,0))</f>
        <v>2</v>
      </c>
      <c r="BP554" s="184">
        <f t="shared" si="289"/>
        <v>2</v>
      </c>
      <c r="BR554" s="180">
        <f>Parameters!$B$12*AG554</f>
        <v>101.66666666666667</v>
      </c>
      <c r="BS554" s="180">
        <f>SUM(Distributievergoedingen!$F$12,Distributievergoedingen!$I$12,Distributievergoedingen!$L$12,Distributievergoedingen!$O$12)*AF554+SUM(Distributievergoedingen!$O$12*AA554+Distributievergoedingen!$R$12+Distributievergoedingen!$U$12+Distributievergoedingen!$X$12)/(MAX(36,12*C554))</f>
        <v>111.66666666666667</v>
      </c>
      <c r="BT554" s="150"/>
      <c r="BU554" s="150">
        <f t="shared" si="290"/>
        <v>213.33333333333334</v>
      </c>
      <c r="BW554" s="522">
        <f t="shared" si="291"/>
        <v>215.33333333333334</v>
      </c>
      <c r="BY554" s="527">
        <f t="shared" si="292"/>
        <v>801.33333333333326</v>
      </c>
      <c r="BZ554" s="181">
        <f t="shared" si="293"/>
        <v>0.78819672131147533</v>
      </c>
      <c r="CA554" s="520" t="b">
        <f t="shared" si="294"/>
        <v>0</v>
      </c>
    </row>
    <row r="555" spans="1:79" s="151" customFormat="1">
      <c r="A555" s="151" t="str">
        <f t="shared" si="287"/>
        <v>5EoKPremiumNationaal1</v>
      </c>
      <c r="B555" s="520" t="str">
        <f t="shared" si="295"/>
        <v>5EoKPremiumNationaal1</v>
      </c>
      <c r="C555" s="179">
        <v>5</v>
      </c>
      <c r="D555" s="179" t="s">
        <v>303</v>
      </c>
      <c r="E555" s="178" t="s">
        <v>267</v>
      </c>
      <c r="F555" s="178" t="s">
        <v>266</v>
      </c>
      <c r="G555" s="185" t="s">
        <v>362</v>
      </c>
      <c r="J555" s="520" t="str">
        <f t="shared" si="296"/>
        <v>PremiumNationaal1</v>
      </c>
      <c r="L555" s="204">
        <f>INDEX(Mapping!$H:$H,MATCH(C$3&amp;C555,Mapping!$B:$B,0))</f>
        <v>1</v>
      </c>
      <c r="M555" s="204" t="str">
        <f>INDEX(Mapping!$H:$H,MATCH(D$3&amp;$D555,Mapping!$B:$B,0))</f>
        <v>EoK</v>
      </c>
      <c r="N555" s="204" t="str">
        <f>INDEX(Mapping!$H:$H,MATCH(E$3&amp;E555,Mapping!$B:$B,0))</f>
        <v>Premium</v>
      </c>
      <c r="O555" s="204" t="str">
        <f>INDEX(Mapping!$H:$H,MATCH(F$3&amp;F555,Mapping!$B:$B,0))</f>
        <v>Metro</v>
      </c>
      <c r="P555" s="204">
        <f>INDEX(Mapping!$H:$H,MATCH(G$3&amp;G555,Mapping!$B:$B,0))</f>
        <v>1</v>
      </c>
      <c r="Q555" s="204" t="str">
        <f>INDEX(Mapping!$H:$H,MATCH(Q$3&amp;$F555,Mapping!$B:$B,0))</f>
        <v>Metro - Nationaal</v>
      </c>
      <c r="R555" s="204" t="str">
        <f>INDEX(Mapping!$H:$H,MATCH("ZM VPN Service Level"&amp;E555,Mapping!$B:$B,0))</f>
        <v>Advanced</v>
      </c>
      <c r="S555" s="139" t="b">
        <f>IF($D555="EoK",INDEX(Mapping!$I:$I,MATCH($G$3&amp;$G555,Mapping!B:B,0)),FALSE)</f>
        <v>1</v>
      </c>
      <c r="T555" s="139"/>
      <c r="U555" s="520" t="str">
        <f t="shared" si="297"/>
        <v>PremiumMetro1</v>
      </c>
      <c r="W555" s="521">
        <f>MATCH($J555,'Tarieven ZM'!$B:$B,0)</f>
        <v>103</v>
      </c>
      <c r="X555" s="204">
        <f>INDEX('Tarieven ZM'!$H:$H,$W555)</f>
        <v>1000</v>
      </c>
      <c r="Y555" s="198">
        <f>-INDEX(Parameters!$B:$B,MATCH(Y$3&amp;$C555,Parameters!$A:$A,0))*$X555</f>
        <v>0</v>
      </c>
      <c r="Z555" s="198">
        <f>-INDEX(Parameters!$B:$B,MATCH(Z$3&amp;$C555,Parameters!$A:$A,0))*$X555</f>
        <v>0</v>
      </c>
      <c r="AA555" s="139">
        <f t="shared" si="299"/>
        <v>1000</v>
      </c>
      <c r="AB555" s="205">
        <f>AA555/INDEX(Parameters!$B:$B,MATCH("AfschrijftermijnVVE"&amp;12*$C555,Parameters!$A:$A,0))</f>
        <v>16.666666666666668</v>
      </c>
      <c r="AC555" s="204">
        <f>INDEX('Tarieven ZM'!$G:$G,$W555)</f>
        <v>1000</v>
      </c>
      <c r="AD555" s="198">
        <f>-INDEX(Parameters!$B:$B,MATCH(AD$3&amp;$C555,Parameters!$A:$A,0))*$AC555</f>
        <v>0</v>
      </c>
      <c r="AE555" s="198">
        <f>-INDEX(Parameters!$B:$B,MATCH(AE$3,Parameters!$A:$A,0))*$AC555</f>
        <v>0</v>
      </c>
      <c r="AF555" s="139">
        <f t="shared" si="300"/>
        <v>1000</v>
      </c>
      <c r="AG555" s="522">
        <f t="shared" si="301"/>
        <v>1016.6666666666666</v>
      </c>
      <c r="AH555" s="175"/>
      <c r="AI555" s="523">
        <f>MATCH($U555,'Tarieven W&amp;O'!$B:$B,0)</f>
        <v>57</v>
      </c>
      <c r="AJ555" s="204">
        <f>IF(AI555&lt;&gt;"nvt",INDEX('Tarieven W&amp;O'!$H:$H,$AI555),0)</f>
        <v>0</v>
      </c>
      <c r="AK555" s="204">
        <f>IF(AI555&lt;&gt;"nvt",INDEX('Tarieven W&amp;O'!$I:$I,$AI555),0)</f>
        <v>25</v>
      </c>
      <c r="AL555" s="524">
        <f>IF(AI555&lt;&gt;"nvt",-INDEX(Parameters!$B:$B,MATCH(AL$3,Parameters!$A:$A,0))*(AJ555+AK555),0)</f>
        <v>0</v>
      </c>
      <c r="AM555" s="525"/>
      <c r="AN555" s="139">
        <f t="shared" si="302"/>
        <v>25</v>
      </c>
      <c r="AO555" s="205">
        <f>AN555/INDEX(Parameters!$B:$B,MATCH("AfschrijftermijnVVE"&amp;12*$C555,Parameters!$A:$A,0))</f>
        <v>0.41666666666666669</v>
      </c>
      <c r="AP555" s="139">
        <f t="shared" si="303"/>
        <v>57</v>
      </c>
      <c r="AQ555" s="526">
        <f>IF(AP555&lt;&gt;"nvt",INDEX('Tarieven W&amp;O'!$G:$G,$AP555),0)</f>
        <v>14.29</v>
      </c>
      <c r="AR555" s="251">
        <f>IF($S555,INDEX('Tarieven W&amp;O'!$G:$G,MATCH(N555&amp;R555,'Tarieven W&amp;O'!$B:$B,0)),0)</f>
        <v>0</v>
      </c>
      <c r="AS555" s="205">
        <f>-INDEX(Parameters!$B:$B,MATCH(AS$3,Parameters!$A:$A,0))*(AQ555+AR555)</f>
        <v>0</v>
      </c>
      <c r="AT555" s="205">
        <f>INDEX(hulpblad!$E:$E,MATCH(M555&amp;Q555,hulpblad!$B:$B,0))</f>
        <v>2</v>
      </c>
      <c r="AU555" s="150">
        <f t="shared" si="283"/>
        <v>16.29</v>
      </c>
      <c r="AV555" s="150">
        <f t="shared" si="284"/>
        <v>16.706666666666667</v>
      </c>
      <c r="AX555" s="526">
        <f>Parameters!$B$6*AV555</f>
        <v>0.16706666666666667</v>
      </c>
      <c r="AY555" s="150">
        <v>0</v>
      </c>
      <c r="AZ555" s="150"/>
      <c r="BA555" s="150">
        <f t="shared" si="304"/>
        <v>0.16706666666666667</v>
      </c>
      <c r="BB555" s="150"/>
      <c r="BC555" s="522">
        <f t="shared" si="305"/>
        <v>16.873733333333334</v>
      </c>
      <c r="BD555" s="175"/>
      <c r="BE555" s="527">
        <f t="shared" si="285"/>
        <v>999.79293333333328</v>
      </c>
      <c r="BF555" s="181">
        <f t="shared" si="286"/>
        <v>0.98340288524590158</v>
      </c>
      <c r="BG555" s="520" t="b">
        <f t="shared" si="298"/>
        <v>0</v>
      </c>
      <c r="BI555" s="528" t="s">
        <v>2181</v>
      </c>
      <c r="BL555" s="151" t="str">
        <f t="shared" si="288"/>
        <v>EoKMetro - Nationaal</v>
      </c>
      <c r="BM555" s="529">
        <v>0</v>
      </c>
      <c r="BN555" s="180">
        <f>BM555/INDEX(Parameters!$B:$B,MATCH("AfschrijftermijnVVE"&amp;12*$C555,Parameters!$A:$A,0))</f>
        <v>0</v>
      </c>
      <c r="BO555" s="184">
        <f>INDEX('inkoop ULL tbv EVPN'!I:I,MATCH(BL555,'inkoop ULL tbv EVPN'!H:H,0))</f>
        <v>2</v>
      </c>
      <c r="BP555" s="184">
        <f t="shared" si="289"/>
        <v>2</v>
      </c>
      <c r="BR555" s="180">
        <f>Parameters!$B$12*AG555</f>
        <v>101.66666666666667</v>
      </c>
      <c r="BS555" s="180">
        <f>SUM(Distributievergoedingen!$F$12,Distributievergoedingen!$I$12,Distributievergoedingen!$L$12,Distributievergoedingen!$O$12)*AF555+SUM(Distributievergoedingen!$O$12*AA555+Distributievergoedingen!$R$12+Distributievergoedingen!$U$12+Distributievergoedingen!$X$12)/(MAX(36,12*C555))</f>
        <v>111.66666666666667</v>
      </c>
      <c r="BT555" s="150"/>
      <c r="BU555" s="150">
        <f t="shared" si="290"/>
        <v>213.33333333333334</v>
      </c>
      <c r="BW555" s="522">
        <f t="shared" si="291"/>
        <v>215.33333333333334</v>
      </c>
      <c r="BY555" s="527">
        <f t="shared" si="292"/>
        <v>801.33333333333326</v>
      </c>
      <c r="BZ555" s="181">
        <f t="shared" si="293"/>
        <v>0.78819672131147533</v>
      </c>
      <c r="CA555" s="520" t="b">
        <f t="shared" si="294"/>
        <v>0</v>
      </c>
    </row>
    <row r="556" spans="1:79" s="151" customFormat="1">
      <c r="A556" s="151" t="str">
        <f t="shared" si="287"/>
        <v>5EoKPremiumNationaal2</v>
      </c>
      <c r="B556" s="520" t="str">
        <f t="shared" si="295"/>
        <v>5EoKPremiumNationaal2</v>
      </c>
      <c r="C556" s="179">
        <v>5</v>
      </c>
      <c r="D556" s="179" t="s">
        <v>303</v>
      </c>
      <c r="E556" s="178" t="s">
        <v>267</v>
      </c>
      <c r="F556" s="178" t="s">
        <v>266</v>
      </c>
      <c r="G556" s="185" t="s">
        <v>363</v>
      </c>
      <c r="J556" s="520" t="str">
        <f t="shared" si="296"/>
        <v>PremiumNationaal2</v>
      </c>
      <c r="L556" s="204">
        <f>INDEX(Mapping!$H:$H,MATCH(C$3&amp;C556,Mapping!$B:$B,0))</f>
        <v>1</v>
      </c>
      <c r="M556" s="204" t="str">
        <f>INDEX(Mapping!$H:$H,MATCH(D$3&amp;$D556,Mapping!$B:$B,0))</f>
        <v>EoK</v>
      </c>
      <c r="N556" s="204" t="str">
        <f>INDEX(Mapping!$H:$H,MATCH(E$3&amp;E556,Mapping!$B:$B,0))</f>
        <v>Premium</v>
      </c>
      <c r="O556" s="204" t="str">
        <f>INDEX(Mapping!$H:$H,MATCH(F$3&amp;F556,Mapping!$B:$B,0))</f>
        <v>Metro</v>
      </c>
      <c r="P556" s="204">
        <f>INDEX(Mapping!$H:$H,MATCH(G$3&amp;G556,Mapping!$B:$B,0))</f>
        <v>2</v>
      </c>
      <c r="Q556" s="204" t="str">
        <f>INDEX(Mapping!$H:$H,MATCH(Q$3&amp;$F556,Mapping!$B:$B,0))</f>
        <v>Metro - Nationaal</v>
      </c>
      <c r="R556" s="204" t="str">
        <f>INDEX(Mapping!$H:$H,MATCH("ZM VPN Service Level"&amp;E556,Mapping!$B:$B,0))</f>
        <v>Advanced</v>
      </c>
      <c r="S556" s="139" t="b">
        <f>IF($D556="EoK",INDEX(Mapping!$I:$I,MATCH($G$3&amp;$G556,Mapping!B:B,0)),FALSE)</f>
        <v>1</v>
      </c>
      <c r="T556" s="139"/>
      <c r="U556" s="520" t="str">
        <f t="shared" si="297"/>
        <v>PremiumMetro2</v>
      </c>
      <c r="W556" s="521">
        <f>MATCH($J556,'Tarieven ZM'!$B:$B,0)</f>
        <v>104</v>
      </c>
      <c r="X556" s="204">
        <f>INDEX('Tarieven ZM'!$H:$H,$W556)</f>
        <v>1000</v>
      </c>
      <c r="Y556" s="198">
        <f>-INDEX(Parameters!$B:$B,MATCH(Y$3&amp;$C556,Parameters!$A:$A,0))*$X556</f>
        <v>0</v>
      </c>
      <c r="Z556" s="198">
        <f>-INDEX(Parameters!$B:$B,MATCH(Z$3&amp;$C556,Parameters!$A:$A,0))*$X556</f>
        <v>0</v>
      </c>
      <c r="AA556" s="139">
        <f t="shared" si="299"/>
        <v>1000</v>
      </c>
      <c r="AB556" s="205">
        <f>AA556/INDEX(Parameters!$B:$B,MATCH("AfschrijftermijnVVE"&amp;12*$C556,Parameters!$A:$A,0))</f>
        <v>16.666666666666668</v>
      </c>
      <c r="AC556" s="204">
        <f>INDEX('Tarieven ZM'!$G:$G,$W556)</f>
        <v>1000</v>
      </c>
      <c r="AD556" s="198">
        <f>-INDEX(Parameters!$B:$B,MATCH(AD$3&amp;$C556,Parameters!$A:$A,0))*$AC556</f>
        <v>0</v>
      </c>
      <c r="AE556" s="198">
        <f>-INDEX(Parameters!$B:$B,MATCH(AE$3,Parameters!$A:$A,0))*$AC556</f>
        <v>0</v>
      </c>
      <c r="AF556" s="139">
        <f t="shared" si="300"/>
        <v>1000</v>
      </c>
      <c r="AG556" s="522">
        <f t="shared" si="301"/>
        <v>1016.6666666666666</v>
      </c>
      <c r="AH556" s="175"/>
      <c r="AI556" s="523">
        <f>MATCH($U556,'Tarieven W&amp;O'!$B:$B,0)</f>
        <v>58</v>
      </c>
      <c r="AJ556" s="204">
        <f>IF(AI556&lt;&gt;"nvt",INDEX('Tarieven W&amp;O'!$H:$H,$AI556),0)</f>
        <v>0</v>
      </c>
      <c r="AK556" s="204">
        <f>IF(AI556&lt;&gt;"nvt",INDEX('Tarieven W&amp;O'!$I:$I,$AI556),0)</f>
        <v>25</v>
      </c>
      <c r="AL556" s="524">
        <f>IF(AI556&lt;&gt;"nvt",-INDEX(Parameters!$B:$B,MATCH(AL$3,Parameters!$A:$A,0))*(AJ556+AK556),0)</f>
        <v>0</v>
      </c>
      <c r="AM556" s="525"/>
      <c r="AN556" s="139">
        <f t="shared" si="302"/>
        <v>25</v>
      </c>
      <c r="AO556" s="205">
        <f>AN556/INDEX(Parameters!$B:$B,MATCH("AfschrijftermijnVVE"&amp;12*$C556,Parameters!$A:$A,0))</f>
        <v>0.41666666666666669</v>
      </c>
      <c r="AP556" s="139">
        <f t="shared" si="303"/>
        <v>58</v>
      </c>
      <c r="AQ556" s="526">
        <f>IF(AP556&lt;&gt;"nvt",INDEX('Tarieven W&amp;O'!$G:$G,$AP556),0)</f>
        <v>16.55</v>
      </c>
      <c r="AR556" s="251">
        <f>IF($S556,INDEX('Tarieven W&amp;O'!$G:$G,MATCH(N556&amp;R556,'Tarieven W&amp;O'!$B:$B,0)),0)</f>
        <v>0</v>
      </c>
      <c r="AS556" s="205">
        <f>-INDEX(Parameters!$B:$B,MATCH(AS$3,Parameters!$A:$A,0))*(AQ556+AR556)</f>
        <v>0</v>
      </c>
      <c r="AT556" s="205">
        <f>INDEX(hulpblad!$E:$E,MATCH(M556&amp;Q556,hulpblad!$B:$B,0))</f>
        <v>2</v>
      </c>
      <c r="AU556" s="150">
        <f t="shared" si="283"/>
        <v>18.55</v>
      </c>
      <c r="AV556" s="150">
        <f t="shared" si="284"/>
        <v>18.966666666666669</v>
      </c>
      <c r="AX556" s="526">
        <f>Parameters!$B$6*AV556</f>
        <v>0.18966666666666668</v>
      </c>
      <c r="AY556" s="150">
        <v>0</v>
      </c>
      <c r="AZ556" s="150"/>
      <c r="BA556" s="150">
        <f t="shared" si="304"/>
        <v>0.18966666666666668</v>
      </c>
      <c r="BB556" s="150"/>
      <c r="BC556" s="522">
        <f t="shared" si="305"/>
        <v>19.156333333333336</v>
      </c>
      <c r="BD556" s="175"/>
      <c r="BE556" s="527">
        <f t="shared" si="285"/>
        <v>997.51033333333328</v>
      </c>
      <c r="BF556" s="181">
        <f t="shared" si="286"/>
        <v>0.98115770491803278</v>
      </c>
      <c r="BG556" s="520" t="b">
        <f t="shared" si="298"/>
        <v>0</v>
      </c>
      <c r="BI556" s="528" t="s">
        <v>2181</v>
      </c>
      <c r="BL556" s="151" t="str">
        <f t="shared" si="288"/>
        <v>EoKMetro - Nationaal</v>
      </c>
      <c r="BM556" s="529">
        <v>0</v>
      </c>
      <c r="BN556" s="180">
        <f>BM556/INDEX(Parameters!$B:$B,MATCH("AfschrijftermijnVVE"&amp;12*$C556,Parameters!$A:$A,0))</f>
        <v>0</v>
      </c>
      <c r="BO556" s="184">
        <f>INDEX('inkoop ULL tbv EVPN'!I:I,MATCH(BL556,'inkoop ULL tbv EVPN'!H:H,0))</f>
        <v>2</v>
      </c>
      <c r="BP556" s="184">
        <f t="shared" si="289"/>
        <v>2</v>
      </c>
      <c r="BR556" s="180">
        <f>Parameters!$B$12*AG556</f>
        <v>101.66666666666667</v>
      </c>
      <c r="BS556" s="180">
        <f>SUM(Distributievergoedingen!$F$12,Distributievergoedingen!$I$12,Distributievergoedingen!$L$12,Distributievergoedingen!$O$12)*AF556+SUM(Distributievergoedingen!$O$12*AA556+Distributievergoedingen!$R$12+Distributievergoedingen!$U$12+Distributievergoedingen!$X$12)/(MAX(36,12*C556))</f>
        <v>111.66666666666667</v>
      </c>
      <c r="BT556" s="150"/>
      <c r="BU556" s="150">
        <f t="shared" si="290"/>
        <v>213.33333333333334</v>
      </c>
      <c r="BW556" s="522">
        <f t="shared" si="291"/>
        <v>215.33333333333334</v>
      </c>
      <c r="BY556" s="527">
        <f t="shared" si="292"/>
        <v>801.33333333333326</v>
      </c>
      <c r="BZ556" s="181">
        <f t="shared" si="293"/>
        <v>0.78819672131147533</v>
      </c>
      <c r="CA556" s="520" t="b">
        <f t="shared" si="294"/>
        <v>0</v>
      </c>
    </row>
    <row r="557" spans="1:79" s="151" customFormat="1">
      <c r="A557" s="151" t="str">
        <f t="shared" si="287"/>
        <v>5EoKPremiumNationaal3</v>
      </c>
      <c r="B557" s="520" t="str">
        <f t="shared" si="295"/>
        <v>5EoKPremiumNationaal3</v>
      </c>
      <c r="C557" s="179">
        <v>5</v>
      </c>
      <c r="D557" s="179" t="s">
        <v>303</v>
      </c>
      <c r="E557" s="178" t="s">
        <v>267</v>
      </c>
      <c r="F557" s="178" t="s">
        <v>266</v>
      </c>
      <c r="G557" s="185" t="s">
        <v>407</v>
      </c>
      <c r="J557" s="520" t="str">
        <f t="shared" si="296"/>
        <v>PremiumNationaal3</v>
      </c>
      <c r="L557" s="204">
        <f>INDEX(Mapping!$H:$H,MATCH(C$3&amp;C557,Mapping!$B:$B,0))</f>
        <v>1</v>
      </c>
      <c r="M557" s="204" t="str">
        <f>INDEX(Mapping!$H:$H,MATCH(D$3&amp;$D557,Mapping!$B:$B,0))</f>
        <v>EoK</v>
      </c>
      <c r="N557" s="204" t="str">
        <f>INDEX(Mapping!$H:$H,MATCH(E$3&amp;E557,Mapping!$B:$B,0))</f>
        <v>Premium</v>
      </c>
      <c r="O557" s="204" t="str">
        <f>INDEX(Mapping!$H:$H,MATCH(F$3&amp;F557,Mapping!$B:$B,0))</f>
        <v>Metro</v>
      </c>
      <c r="P557" s="204">
        <f>INDEX(Mapping!$H:$H,MATCH(G$3&amp;G557,Mapping!$B:$B,0))</f>
        <v>3</v>
      </c>
      <c r="Q557" s="204" t="str">
        <f>INDEX(Mapping!$H:$H,MATCH(Q$3&amp;$F557,Mapping!$B:$B,0))</f>
        <v>Metro - Nationaal</v>
      </c>
      <c r="R557" s="204" t="str">
        <f>INDEX(Mapping!$H:$H,MATCH("ZM VPN Service Level"&amp;E557,Mapping!$B:$B,0))</f>
        <v>Advanced</v>
      </c>
      <c r="S557" s="139" t="b">
        <f>IF($D557="EoK",INDEX(Mapping!$I:$I,MATCH($G$3&amp;$G557,Mapping!B:B,0)),FALSE)</f>
        <v>0</v>
      </c>
      <c r="T557" s="139"/>
      <c r="U557" s="520" t="str">
        <f t="shared" si="297"/>
        <v>PremiumMetro3</v>
      </c>
      <c r="W557" s="521">
        <f>MATCH($J557,'Tarieven ZM'!$B:$B,0)</f>
        <v>105</v>
      </c>
      <c r="X557" s="204">
        <f>INDEX('Tarieven ZM'!$H:$H,$W557)</f>
        <v>1000</v>
      </c>
      <c r="Y557" s="198">
        <f>-INDEX(Parameters!$B:$B,MATCH(Y$3&amp;$C557,Parameters!$A:$A,0))*$X557</f>
        <v>0</v>
      </c>
      <c r="Z557" s="198">
        <f>-INDEX(Parameters!$B:$B,MATCH(Z$3&amp;$C557,Parameters!$A:$A,0))*$X557</f>
        <v>0</v>
      </c>
      <c r="AA557" s="139">
        <f t="shared" si="299"/>
        <v>1000</v>
      </c>
      <c r="AB557" s="205">
        <f>AA557/INDEX(Parameters!$B:$B,MATCH("AfschrijftermijnVVE"&amp;12*$C557,Parameters!$A:$A,0))</f>
        <v>16.666666666666668</v>
      </c>
      <c r="AC557" s="204">
        <f>INDEX('Tarieven ZM'!$G:$G,$W557)</f>
        <v>1000</v>
      </c>
      <c r="AD557" s="198">
        <f>-INDEX(Parameters!$B:$B,MATCH(AD$3&amp;$C557,Parameters!$A:$A,0))*$AC557</f>
        <v>0</v>
      </c>
      <c r="AE557" s="198">
        <f>-INDEX(Parameters!$B:$B,MATCH(AE$3,Parameters!$A:$A,0))*$AC557</f>
        <v>0</v>
      </c>
      <c r="AF557" s="139">
        <f t="shared" si="300"/>
        <v>1000</v>
      </c>
      <c r="AG557" s="522">
        <f t="shared" si="301"/>
        <v>1016.6666666666666</v>
      </c>
      <c r="AH557" s="175"/>
      <c r="AI557" s="523">
        <f>MATCH($U557,'Tarieven W&amp;O'!$B:$B,0)</f>
        <v>59</v>
      </c>
      <c r="AJ557" s="204">
        <f>IF(AI557&lt;&gt;"nvt",INDEX('Tarieven W&amp;O'!$H:$H,$AI557),0)</f>
        <v>0</v>
      </c>
      <c r="AK557" s="204">
        <f>IF(AI557&lt;&gt;"nvt",INDEX('Tarieven W&amp;O'!$I:$I,$AI557),0)</f>
        <v>25</v>
      </c>
      <c r="AL557" s="524">
        <f>IF(AI557&lt;&gt;"nvt",-INDEX(Parameters!$B:$B,MATCH(AL$3,Parameters!$A:$A,0))*(AJ557+AK557),0)</f>
        <v>0</v>
      </c>
      <c r="AM557" s="525"/>
      <c r="AN557" s="139">
        <f t="shared" si="302"/>
        <v>25</v>
      </c>
      <c r="AO557" s="205">
        <f>AN557/INDEX(Parameters!$B:$B,MATCH("AfschrijftermijnVVE"&amp;12*$C557,Parameters!$A:$A,0))</f>
        <v>0.41666666666666669</v>
      </c>
      <c r="AP557" s="139">
        <f t="shared" si="303"/>
        <v>59</v>
      </c>
      <c r="AQ557" s="526">
        <f>IF(AP557&lt;&gt;"nvt",INDEX('Tarieven W&amp;O'!$G:$G,$AP557),0)</f>
        <v>27.86</v>
      </c>
      <c r="AR557" s="251">
        <f>IF($S557,INDEX('Tarieven W&amp;O'!$G:$G,MATCH(N557&amp;R557,'Tarieven W&amp;O'!$B:$B,0)),0)</f>
        <v>0</v>
      </c>
      <c r="AS557" s="205">
        <f>-INDEX(Parameters!$B:$B,MATCH(AS$3,Parameters!$A:$A,0))*(AQ557+AR557)</f>
        <v>0</v>
      </c>
      <c r="AT557" s="205">
        <f>INDEX(hulpblad!$E:$E,MATCH(M557&amp;Q557,hulpblad!$B:$B,0))</f>
        <v>2</v>
      </c>
      <c r="AU557" s="150">
        <f t="shared" si="283"/>
        <v>29.86</v>
      </c>
      <c r="AV557" s="150">
        <f t="shared" si="284"/>
        <v>30.276666666666667</v>
      </c>
      <c r="AX557" s="526">
        <f>Parameters!$B$6*AV557</f>
        <v>0.30276666666666668</v>
      </c>
      <c r="AY557" s="150">
        <v>0</v>
      </c>
      <c r="AZ557" s="150"/>
      <c r="BA557" s="150">
        <f t="shared" si="304"/>
        <v>0.30276666666666668</v>
      </c>
      <c r="BB557" s="150"/>
      <c r="BC557" s="522">
        <f t="shared" si="305"/>
        <v>30.579433333333334</v>
      </c>
      <c r="BD557" s="175"/>
      <c r="BE557" s="527">
        <f t="shared" si="285"/>
        <v>986.0872333333333</v>
      </c>
      <c r="BF557" s="181">
        <f t="shared" si="286"/>
        <v>0.96992186885245901</v>
      </c>
      <c r="BG557" s="520" t="b">
        <f t="shared" si="298"/>
        <v>0</v>
      </c>
      <c r="BI557" s="528" t="s">
        <v>2181</v>
      </c>
      <c r="BL557" s="151" t="str">
        <f t="shared" si="288"/>
        <v>EoKMetro - Nationaal</v>
      </c>
      <c r="BM557" s="529">
        <v>0</v>
      </c>
      <c r="BN557" s="180">
        <f>BM557/INDEX(Parameters!$B:$B,MATCH("AfschrijftermijnVVE"&amp;12*$C557,Parameters!$A:$A,0))</f>
        <v>0</v>
      </c>
      <c r="BO557" s="184">
        <f>INDEX('inkoop ULL tbv EVPN'!I:I,MATCH(BL557,'inkoop ULL tbv EVPN'!H:H,0))</f>
        <v>2</v>
      </c>
      <c r="BP557" s="184">
        <f t="shared" si="289"/>
        <v>2</v>
      </c>
      <c r="BR557" s="180">
        <f>Parameters!$B$12*AG557</f>
        <v>101.66666666666667</v>
      </c>
      <c r="BS557" s="180">
        <f>SUM(Distributievergoedingen!$F$12,Distributievergoedingen!$I$12,Distributievergoedingen!$L$12,Distributievergoedingen!$O$12)*AF557+SUM(Distributievergoedingen!$O$12*AA557+Distributievergoedingen!$R$12+Distributievergoedingen!$U$12+Distributievergoedingen!$X$12)/(MAX(36,12*C557))</f>
        <v>111.66666666666667</v>
      </c>
      <c r="BT557" s="150"/>
      <c r="BU557" s="150">
        <f t="shared" si="290"/>
        <v>213.33333333333334</v>
      </c>
      <c r="BW557" s="522">
        <f t="shared" si="291"/>
        <v>215.33333333333334</v>
      </c>
      <c r="BY557" s="527">
        <f t="shared" si="292"/>
        <v>801.33333333333326</v>
      </c>
      <c r="BZ557" s="181">
        <f t="shared" si="293"/>
        <v>0.78819672131147533</v>
      </c>
      <c r="CA557" s="520" t="b">
        <f t="shared" si="294"/>
        <v>0</v>
      </c>
    </row>
    <row r="558" spans="1:79" s="151" customFormat="1">
      <c r="A558" s="151" t="str">
        <f t="shared" si="287"/>
        <v>5EoKPremiumNationaal4</v>
      </c>
      <c r="B558" s="520" t="str">
        <f t="shared" si="295"/>
        <v>5EoKPremiumNationaal4</v>
      </c>
      <c r="C558" s="179">
        <v>5</v>
      </c>
      <c r="D558" s="179" t="s">
        <v>303</v>
      </c>
      <c r="E558" s="178" t="s">
        <v>267</v>
      </c>
      <c r="F558" s="178" t="s">
        <v>266</v>
      </c>
      <c r="G558" s="185" t="s">
        <v>408</v>
      </c>
      <c r="J558" s="520" t="str">
        <f t="shared" si="296"/>
        <v>PremiumNationaal4</v>
      </c>
      <c r="L558" s="204">
        <f>INDEX(Mapping!$H:$H,MATCH(C$3&amp;C558,Mapping!$B:$B,0))</f>
        <v>1</v>
      </c>
      <c r="M558" s="204" t="str">
        <f>INDEX(Mapping!$H:$H,MATCH(D$3&amp;$D558,Mapping!$B:$B,0))</f>
        <v>EoK</v>
      </c>
      <c r="N558" s="204" t="str">
        <f>INDEX(Mapping!$H:$H,MATCH(E$3&amp;E558,Mapping!$B:$B,0))</f>
        <v>Premium</v>
      </c>
      <c r="O558" s="204" t="str">
        <f>INDEX(Mapping!$H:$H,MATCH(F$3&amp;F558,Mapping!$B:$B,0))</f>
        <v>Metro</v>
      </c>
      <c r="P558" s="204">
        <f>INDEX(Mapping!$H:$H,MATCH(G$3&amp;G558,Mapping!$B:$B,0))</f>
        <v>4</v>
      </c>
      <c r="Q558" s="204" t="str">
        <f>INDEX(Mapping!$H:$H,MATCH(Q$3&amp;$F558,Mapping!$B:$B,0))</f>
        <v>Metro - Nationaal</v>
      </c>
      <c r="R558" s="204" t="str">
        <f>INDEX(Mapping!$H:$H,MATCH("ZM VPN Service Level"&amp;E558,Mapping!$B:$B,0))</f>
        <v>Advanced</v>
      </c>
      <c r="S558" s="139" t="b">
        <f>IF($D558="EoK",INDEX(Mapping!$I:$I,MATCH($G$3&amp;$G558,Mapping!B:B,0)),FALSE)</f>
        <v>0</v>
      </c>
      <c r="T558" s="139"/>
      <c r="U558" s="520" t="str">
        <f t="shared" si="297"/>
        <v>PremiumMetro4</v>
      </c>
      <c r="W558" s="521">
        <f>MATCH($J558,'Tarieven ZM'!$B:$B,0)</f>
        <v>106</v>
      </c>
      <c r="X558" s="204">
        <f>INDEX('Tarieven ZM'!$H:$H,$W558)</f>
        <v>1000</v>
      </c>
      <c r="Y558" s="198">
        <f>-INDEX(Parameters!$B:$B,MATCH(Y$3&amp;$C558,Parameters!$A:$A,0))*$X558</f>
        <v>0</v>
      </c>
      <c r="Z558" s="198">
        <f>-INDEX(Parameters!$B:$B,MATCH(Z$3&amp;$C558,Parameters!$A:$A,0))*$X558</f>
        <v>0</v>
      </c>
      <c r="AA558" s="139">
        <f t="shared" si="299"/>
        <v>1000</v>
      </c>
      <c r="AB558" s="205">
        <f>AA558/INDEX(Parameters!$B:$B,MATCH("AfschrijftermijnVVE"&amp;12*$C558,Parameters!$A:$A,0))</f>
        <v>16.666666666666668</v>
      </c>
      <c r="AC558" s="204">
        <f>INDEX('Tarieven ZM'!$G:$G,$W558)</f>
        <v>1000</v>
      </c>
      <c r="AD558" s="198">
        <f>-INDEX(Parameters!$B:$B,MATCH(AD$3&amp;$C558,Parameters!$A:$A,0))*$AC558</f>
        <v>0</v>
      </c>
      <c r="AE558" s="198">
        <f>-INDEX(Parameters!$B:$B,MATCH(AE$3,Parameters!$A:$A,0))*$AC558</f>
        <v>0</v>
      </c>
      <c r="AF558" s="139">
        <f t="shared" si="300"/>
        <v>1000</v>
      </c>
      <c r="AG558" s="522">
        <f t="shared" si="301"/>
        <v>1016.6666666666666</v>
      </c>
      <c r="AH558" s="175"/>
      <c r="AI558" s="523">
        <f>MATCH($U558,'Tarieven W&amp;O'!$B:$B,0)</f>
        <v>60</v>
      </c>
      <c r="AJ558" s="204">
        <f>IF(AI558&lt;&gt;"nvt",INDEX('Tarieven W&amp;O'!$H:$H,$AI558),0)</f>
        <v>0</v>
      </c>
      <c r="AK558" s="204">
        <f>IF(AI558&lt;&gt;"nvt",INDEX('Tarieven W&amp;O'!$I:$I,$AI558),0)</f>
        <v>25</v>
      </c>
      <c r="AL558" s="524">
        <f>IF(AI558&lt;&gt;"nvt",-INDEX(Parameters!$B:$B,MATCH(AL$3,Parameters!$A:$A,0))*(AJ558+AK558),0)</f>
        <v>0</v>
      </c>
      <c r="AM558" s="525"/>
      <c r="AN558" s="139">
        <f t="shared" si="302"/>
        <v>25</v>
      </c>
      <c r="AO558" s="205">
        <f>AN558/INDEX(Parameters!$B:$B,MATCH("AfschrijftermijnVVE"&amp;12*$C558,Parameters!$A:$A,0))</f>
        <v>0.41666666666666669</v>
      </c>
      <c r="AP558" s="139">
        <f t="shared" si="303"/>
        <v>60</v>
      </c>
      <c r="AQ558" s="526">
        <f>IF(AP558&lt;&gt;"nvt",INDEX('Tarieven W&amp;O'!$G:$G,$AP558),0)</f>
        <v>42.94</v>
      </c>
      <c r="AR558" s="251">
        <f>IF($S558,INDEX('Tarieven W&amp;O'!$G:$G,MATCH(N558&amp;R558,'Tarieven W&amp;O'!$B:$B,0)),0)</f>
        <v>0</v>
      </c>
      <c r="AS558" s="205">
        <f>-INDEX(Parameters!$B:$B,MATCH(AS$3,Parameters!$A:$A,0))*(AQ558+AR558)</f>
        <v>0</v>
      </c>
      <c r="AT558" s="205">
        <f>INDEX(hulpblad!$E:$E,MATCH(M558&amp;Q558,hulpblad!$B:$B,0))</f>
        <v>2</v>
      </c>
      <c r="AU558" s="150">
        <f t="shared" si="283"/>
        <v>44.94</v>
      </c>
      <c r="AV558" s="150">
        <f t="shared" si="284"/>
        <v>45.356666666666662</v>
      </c>
      <c r="AX558" s="526">
        <f>Parameters!$B$6*AV558</f>
        <v>0.45356666666666662</v>
      </c>
      <c r="AY558" s="150">
        <v>0</v>
      </c>
      <c r="AZ558" s="150"/>
      <c r="BA558" s="150">
        <f t="shared" si="304"/>
        <v>0.45356666666666662</v>
      </c>
      <c r="BB558" s="150"/>
      <c r="BC558" s="522">
        <f t="shared" si="305"/>
        <v>45.810233333333329</v>
      </c>
      <c r="BD558" s="175"/>
      <c r="BE558" s="527">
        <f t="shared" si="285"/>
        <v>970.85643333333326</v>
      </c>
      <c r="BF558" s="181">
        <f t="shared" si="286"/>
        <v>0.95494075409836066</v>
      </c>
      <c r="BG558" s="520" t="b">
        <f t="shared" si="298"/>
        <v>0</v>
      </c>
      <c r="BI558" s="528" t="s">
        <v>2181</v>
      </c>
      <c r="BL558" s="151" t="str">
        <f t="shared" si="288"/>
        <v>EoKMetro - Nationaal</v>
      </c>
      <c r="BM558" s="529">
        <v>0</v>
      </c>
      <c r="BN558" s="180">
        <f>BM558/INDEX(Parameters!$B:$B,MATCH("AfschrijftermijnVVE"&amp;12*$C558,Parameters!$A:$A,0))</f>
        <v>0</v>
      </c>
      <c r="BO558" s="184">
        <f>INDEX('inkoop ULL tbv EVPN'!I:I,MATCH(BL558,'inkoop ULL tbv EVPN'!H:H,0))</f>
        <v>2</v>
      </c>
      <c r="BP558" s="184">
        <f t="shared" si="289"/>
        <v>2</v>
      </c>
      <c r="BR558" s="180">
        <f>Parameters!$B$12*AG558</f>
        <v>101.66666666666667</v>
      </c>
      <c r="BS558" s="180">
        <f>SUM(Distributievergoedingen!$F$12,Distributievergoedingen!$I$12,Distributievergoedingen!$L$12,Distributievergoedingen!$O$12)*AF558+SUM(Distributievergoedingen!$O$12*AA558+Distributievergoedingen!$R$12+Distributievergoedingen!$U$12+Distributievergoedingen!$X$12)/(MAX(36,12*C558))</f>
        <v>111.66666666666667</v>
      </c>
      <c r="BT558" s="150"/>
      <c r="BU558" s="150">
        <f t="shared" si="290"/>
        <v>213.33333333333334</v>
      </c>
      <c r="BW558" s="522">
        <f t="shared" si="291"/>
        <v>215.33333333333334</v>
      </c>
      <c r="BY558" s="527">
        <f t="shared" si="292"/>
        <v>801.33333333333326</v>
      </c>
      <c r="BZ558" s="181">
        <f t="shared" si="293"/>
        <v>0.78819672131147533</v>
      </c>
      <c r="CA558" s="520" t="b">
        <f t="shared" si="294"/>
        <v>0</v>
      </c>
    </row>
    <row r="559" spans="1:79" s="151" customFormat="1">
      <c r="A559" s="151" t="str">
        <f t="shared" si="287"/>
        <v>5EoKPremiumNationaal5</v>
      </c>
      <c r="B559" s="520" t="str">
        <f t="shared" si="295"/>
        <v>5EoKPremiumNationaal5</v>
      </c>
      <c r="C559" s="179">
        <v>5</v>
      </c>
      <c r="D559" s="179" t="s">
        <v>303</v>
      </c>
      <c r="E559" s="178" t="s">
        <v>267</v>
      </c>
      <c r="F559" s="178" t="s">
        <v>266</v>
      </c>
      <c r="G559" s="185" t="s">
        <v>409</v>
      </c>
      <c r="J559" s="520" t="str">
        <f t="shared" si="296"/>
        <v>PremiumNationaal5</v>
      </c>
      <c r="L559" s="204">
        <f>INDEX(Mapping!$H:$H,MATCH(C$3&amp;C559,Mapping!$B:$B,0))</f>
        <v>1</v>
      </c>
      <c r="M559" s="204" t="str">
        <f>INDEX(Mapping!$H:$H,MATCH(D$3&amp;$D559,Mapping!$B:$B,0))</f>
        <v>EoK</v>
      </c>
      <c r="N559" s="204" t="str">
        <f>INDEX(Mapping!$H:$H,MATCH(E$3&amp;E559,Mapping!$B:$B,0))</f>
        <v>Premium</v>
      </c>
      <c r="O559" s="204" t="str">
        <f>INDEX(Mapping!$H:$H,MATCH(F$3&amp;F559,Mapping!$B:$B,0))</f>
        <v>Metro</v>
      </c>
      <c r="P559" s="204">
        <f>INDEX(Mapping!$H:$H,MATCH(G$3&amp;G559,Mapping!$B:$B,0))</f>
        <v>5</v>
      </c>
      <c r="Q559" s="204" t="str">
        <f>INDEX(Mapping!$H:$H,MATCH(Q$3&amp;$F559,Mapping!$B:$B,0))</f>
        <v>Metro - Nationaal</v>
      </c>
      <c r="R559" s="204" t="str">
        <f>INDEX(Mapping!$H:$H,MATCH("ZM VPN Service Level"&amp;E559,Mapping!$B:$B,0))</f>
        <v>Advanced</v>
      </c>
      <c r="S559" s="139" t="b">
        <f>IF($D559="EoK",INDEX(Mapping!$I:$I,MATCH($G$3&amp;$G559,Mapping!B:B,0)),FALSE)</f>
        <v>0</v>
      </c>
      <c r="T559" s="139"/>
      <c r="U559" s="520" t="str">
        <f t="shared" si="297"/>
        <v>PremiumMetro5</v>
      </c>
      <c r="W559" s="521">
        <f>MATCH($J559,'Tarieven ZM'!$B:$B,0)</f>
        <v>107</v>
      </c>
      <c r="X559" s="204">
        <f>INDEX('Tarieven ZM'!$H:$H,$W559)</f>
        <v>1000</v>
      </c>
      <c r="Y559" s="198">
        <f>-INDEX(Parameters!$B:$B,MATCH(Y$3&amp;$C559,Parameters!$A:$A,0))*$X559</f>
        <v>0</v>
      </c>
      <c r="Z559" s="198">
        <f>-INDEX(Parameters!$B:$B,MATCH(Z$3&amp;$C559,Parameters!$A:$A,0))*$X559</f>
        <v>0</v>
      </c>
      <c r="AA559" s="139">
        <f t="shared" si="299"/>
        <v>1000</v>
      </c>
      <c r="AB559" s="205">
        <f>AA559/INDEX(Parameters!$B:$B,MATCH("AfschrijftermijnVVE"&amp;12*$C559,Parameters!$A:$A,0))</f>
        <v>16.666666666666668</v>
      </c>
      <c r="AC559" s="204">
        <f>INDEX('Tarieven ZM'!$G:$G,$W559)</f>
        <v>1000</v>
      </c>
      <c r="AD559" s="198">
        <f>-INDEX(Parameters!$B:$B,MATCH(AD$3&amp;$C559,Parameters!$A:$A,0))*$AC559</f>
        <v>0</v>
      </c>
      <c r="AE559" s="198">
        <f>-INDEX(Parameters!$B:$B,MATCH(AE$3,Parameters!$A:$A,0))*$AC559</f>
        <v>0</v>
      </c>
      <c r="AF559" s="139">
        <f t="shared" si="300"/>
        <v>1000</v>
      </c>
      <c r="AG559" s="522">
        <f t="shared" si="301"/>
        <v>1016.6666666666666</v>
      </c>
      <c r="AH559" s="175"/>
      <c r="AI559" s="523">
        <f>MATCH($U559,'Tarieven W&amp;O'!$B:$B,0)</f>
        <v>61</v>
      </c>
      <c r="AJ559" s="204">
        <f>IF(AI559&lt;&gt;"nvt",INDEX('Tarieven W&amp;O'!$H:$H,$AI559),0)</f>
        <v>0</v>
      </c>
      <c r="AK559" s="204">
        <f>IF(AI559&lt;&gt;"nvt",INDEX('Tarieven W&amp;O'!$I:$I,$AI559),0)</f>
        <v>25</v>
      </c>
      <c r="AL559" s="524">
        <f>IF(AI559&lt;&gt;"nvt",-INDEX(Parameters!$B:$B,MATCH(AL$3,Parameters!$A:$A,0))*(AJ559+AK559),0)</f>
        <v>0</v>
      </c>
      <c r="AM559" s="525"/>
      <c r="AN559" s="139">
        <f t="shared" si="302"/>
        <v>25</v>
      </c>
      <c r="AO559" s="205">
        <f>AN559/INDEX(Parameters!$B:$B,MATCH("AfschrijftermijnVVE"&amp;12*$C559,Parameters!$A:$A,0))</f>
        <v>0.41666666666666669</v>
      </c>
      <c r="AP559" s="139">
        <f t="shared" si="303"/>
        <v>61</v>
      </c>
      <c r="AQ559" s="526">
        <f>IF(AP559&lt;&gt;"nvt",INDEX('Tarieven W&amp;O'!$G:$G,$AP559),0)</f>
        <v>46.71</v>
      </c>
      <c r="AR559" s="251">
        <f>IF($S559,INDEX('Tarieven W&amp;O'!$G:$G,MATCH(N559&amp;R559,'Tarieven W&amp;O'!$B:$B,0)),0)</f>
        <v>0</v>
      </c>
      <c r="AS559" s="205">
        <f>-INDEX(Parameters!$B:$B,MATCH(AS$3,Parameters!$A:$A,0))*(AQ559+AR559)</f>
        <v>0</v>
      </c>
      <c r="AT559" s="205">
        <f>INDEX(hulpblad!$E:$E,MATCH(M559&amp;Q559,hulpblad!$B:$B,0))</f>
        <v>2</v>
      </c>
      <c r="AU559" s="150">
        <f t="shared" si="283"/>
        <v>48.71</v>
      </c>
      <c r="AV559" s="150">
        <f t="shared" si="284"/>
        <v>49.126666666666665</v>
      </c>
      <c r="AX559" s="526">
        <f>Parameters!$B$6*AV559</f>
        <v>0.49126666666666668</v>
      </c>
      <c r="AY559" s="150">
        <v>0</v>
      </c>
      <c r="AZ559" s="150"/>
      <c r="BA559" s="150">
        <f t="shared" si="304"/>
        <v>0.49126666666666668</v>
      </c>
      <c r="BB559" s="150"/>
      <c r="BC559" s="522">
        <f t="shared" si="305"/>
        <v>49.617933333333333</v>
      </c>
      <c r="BD559" s="175"/>
      <c r="BE559" s="527">
        <f t="shared" si="285"/>
        <v>967.0487333333333</v>
      </c>
      <c r="BF559" s="181">
        <f t="shared" si="286"/>
        <v>0.95119547540983607</v>
      </c>
      <c r="BG559" s="520" t="b">
        <f t="shared" si="298"/>
        <v>0</v>
      </c>
      <c r="BI559" s="528" t="s">
        <v>2181</v>
      </c>
      <c r="BL559" s="151" t="str">
        <f t="shared" si="288"/>
        <v>EoKMetro - Nationaal</v>
      </c>
      <c r="BM559" s="529">
        <v>0</v>
      </c>
      <c r="BN559" s="180">
        <f>BM559/INDEX(Parameters!$B:$B,MATCH("AfschrijftermijnVVE"&amp;12*$C559,Parameters!$A:$A,0))</f>
        <v>0</v>
      </c>
      <c r="BO559" s="184">
        <f>INDEX('inkoop ULL tbv EVPN'!I:I,MATCH(BL559,'inkoop ULL tbv EVPN'!H:H,0))</f>
        <v>2</v>
      </c>
      <c r="BP559" s="184">
        <f t="shared" si="289"/>
        <v>2</v>
      </c>
      <c r="BR559" s="180">
        <f>Parameters!$B$12*AG559</f>
        <v>101.66666666666667</v>
      </c>
      <c r="BS559" s="180">
        <f>SUM(Distributievergoedingen!$F$12,Distributievergoedingen!$I$12,Distributievergoedingen!$L$12,Distributievergoedingen!$O$12)*AF559+SUM(Distributievergoedingen!$O$12*AA559+Distributievergoedingen!$R$12+Distributievergoedingen!$U$12+Distributievergoedingen!$X$12)/(MAX(36,12*C559))</f>
        <v>111.66666666666667</v>
      </c>
      <c r="BT559" s="150"/>
      <c r="BU559" s="150">
        <f t="shared" si="290"/>
        <v>213.33333333333334</v>
      </c>
      <c r="BW559" s="522">
        <f t="shared" si="291"/>
        <v>215.33333333333334</v>
      </c>
      <c r="BY559" s="527">
        <f t="shared" si="292"/>
        <v>801.33333333333326</v>
      </c>
      <c r="BZ559" s="181">
        <f t="shared" si="293"/>
        <v>0.78819672131147533</v>
      </c>
      <c r="CA559" s="520" t="b">
        <f t="shared" si="294"/>
        <v>0</v>
      </c>
    </row>
    <row r="560" spans="1:79" s="151" customFormat="1">
      <c r="A560" s="151" t="str">
        <f t="shared" si="287"/>
        <v>5EoKPremiumNationaal6</v>
      </c>
      <c r="B560" s="520" t="str">
        <f t="shared" si="295"/>
        <v>5EoKPremiumNationaal6</v>
      </c>
      <c r="C560" s="179">
        <v>5</v>
      </c>
      <c r="D560" s="179" t="s">
        <v>303</v>
      </c>
      <c r="E560" s="178" t="s">
        <v>267</v>
      </c>
      <c r="F560" s="178" t="s">
        <v>266</v>
      </c>
      <c r="G560" s="185" t="s">
        <v>410</v>
      </c>
      <c r="J560" s="520" t="str">
        <f t="shared" si="296"/>
        <v>PremiumNationaal6</v>
      </c>
      <c r="L560" s="204">
        <f>INDEX(Mapping!$H:$H,MATCH(C$3&amp;C560,Mapping!$B:$B,0))</f>
        <v>1</v>
      </c>
      <c r="M560" s="204" t="str">
        <f>INDEX(Mapping!$H:$H,MATCH(D$3&amp;$D560,Mapping!$B:$B,0))</f>
        <v>EoK</v>
      </c>
      <c r="N560" s="204" t="str">
        <f>INDEX(Mapping!$H:$H,MATCH(E$3&amp;E560,Mapping!$B:$B,0))</f>
        <v>Premium</v>
      </c>
      <c r="O560" s="204" t="str">
        <f>INDEX(Mapping!$H:$H,MATCH(F$3&amp;F560,Mapping!$B:$B,0))</f>
        <v>Metro</v>
      </c>
      <c r="P560" s="204">
        <f>INDEX(Mapping!$H:$H,MATCH(G$3&amp;G560,Mapping!$B:$B,0))</f>
        <v>6</v>
      </c>
      <c r="Q560" s="204" t="str">
        <f>INDEX(Mapping!$H:$H,MATCH(Q$3&amp;$F560,Mapping!$B:$B,0))</f>
        <v>Metro - Nationaal</v>
      </c>
      <c r="R560" s="204" t="str">
        <f>INDEX(Mapping!$H:$H,MATCH("ZM VPN Service Level"&amp;E560,Mapping!$B:$B,0))</f>
        <v>Advanced</v>
      </c>
      <c r="S560" s="139" t="b">
        <f>IF($D560="EoK",INDEX(Mapping!$I:$I,MATCH($G$3&amp;$G560,Mapping!B:B,0)),FALSE)</f>
        <v>0</v>
      </c>
      <c r="T560" s="139"/>
      <c r="U560" s="520" t="str">
        <f t="shared" si="297"/>
        <v>PremiumMetro6</v>
      </c>
      <c r="W560" s="521">
        <f>MATCH($J560,'Tarieven ZM'!$B:$B,0)</f>
        <v>108</v>
      </c>
      <c r="X560" s="204">
        <f>INDEX('Tarieven ZM'!$H:$H,$W560)</f>
        <v>1000</v>
      </c>
      <c r="Y560" s="198">
        <f>-INDEX(Parameters!$B:$B,MATCH(Y$3&amp;$C560,Parameters!$A:$A,0))*$X560</f>
        <v>0</v>
      </c>
      <c r="Z560" s="198">
        <f>-INDEX(Parameters!$B:$B,MATCH(Z$3&amp;$C560,Parameters!$A:$A,0))*$X560</f>
        <v>0</v>
      </c>
      <c r="AA560" s="139">
        <f t="shared" si="299"/>
        <v>1000</v>
      </c>
      <c r="AB560" s="205">
        <f>AA560/INDEX(Parameters!$B:$B,MATCH("AfschrijftermijnVVE"&amp;12*$C560,Parameters!$A:$A,0))</f>
        <v>16.666666666666668</v>
      </c>
      <c r="AC560" s="204">
        <f>INDEX('Tarieven ZM'!$G:$G,$W560)</f>
        <v>1000</v>
      </c>
      <c r="AD560" s="198">
        <f>-INDEX(Parameters!$B:$B,MATCH(AD$3&amp;$C560,Parameters!$A:$A,0))*$AC560</f>
        <v>0</v>
      </c>
      <c r="AE560" s="198">
        <f>-INDEX(Parameters!$B:$B,MATCH(AE$3,Parameters!$A:$A,0))*$AC560</f>
        <v>0</v>
      </c>
      <c r="AF560" s="139">
        <f t="shared" si="300"/>
        <v>1000</v>
      </c>
      <c r="AG560" s="522">
        <f t="shared" si="301"/>
        <v>1016.6666666666666</v>
      </c>
      <c r="AH560" s="175"/>
      <c r="AI560" s="523">
        <f>MATCH($U560,'Tarieven W&amp;O'!$B:$B,0)</f>
        <v>62</v>
      </c>
      <c r="AJ560" s="204">
        <f>IF(AI560&lt;&gt;"nvt",INDEX('Tarieven W&amp;O'!$H:$H,$AI560),0)</f>
        <v>0</v>
      </c>
      <c r="AK560" s="204">
        <f>IF(AI560&lt;&gt;"nvt",INDEX('Tarieven W&amp;O'!$I:$I,$AI560),0)</f>
        <v>25</v>
      </c>
      <c r="AL560" s="524">
        <f>IF(AI560&lt;&gt;"nvt",-INDEX(Parameters!$B:$B,MATCH(AL$3,Parameters!$A:$A,0))*(AJ560+AK560),0)</f>
        <v>0</v>
      </c>
      <c r="AM560" s="525"/>
      <c r="AN560" s="139">
        <f t="shared" si="302"/>
        <v>25</v>
      </c>
      <c r="AO560" s="205">
        <f>AN560/INDEX(Parameters!$B:$B,MATCH("AfschrijftermijnVVE"&amp;12*$C560,Parameters!$A:$A,0))</f>
        <v>0.41666666666666669</v>
      </c>
      <c r="AP560" s="139">
        <f t="shared" si="303"/>
        <v>62</v>
      </c>
      <c r="AQ560" s="526">
        <f>IF(AP560&lt;&gt;"nvt",INDEX('Tarieven W&amp;O'!$G:$G,$AP560),0)</f>
        <v>50.48</v>
      </c>
      <c r="AR560" s="251">
        <f>IF($S560,INDEX('Tarieven W&amp;O'!$G:$G,MATCH(N560&amp;R560,'Tarieven W&amp;O'!$B:$B,0)),0)</f>
        <v>0</v>
      </c>
      <c r="AS560" s="205">
        <f>-INDEX(Parameters!$B:$B,MATCH(AS$3,Parameters!$A:$A,0))*(AQ560+AR560)</f>
        <v>0</v>
      </c>
      <c r="AT560" s="205">
        <f>INDEX(hulpblad!$E:$E,MATCH(M560&amp;Q560,hulpblad!$B:$B,0))</f>
        <v>2</v>
      </c>
      <c r="AU560" s="150">
        <f t="shared" si="283"/>
        <v>52.48</v>
      </c>
      <c r="AV560" s="150">
        <f t="shared" si="284"/>
        <v>52.896666666666661</v>
      </c>
      <c r="AX560" s="526">
        <f>Parameters!$B$6*AV560</f>
        <v>0.52896666666666659</v>
      </c>
      <c r="AY560" s="150">
        <v>0</v>
      </c>
      <c r="AZ560" s="150"/>
      <c r="BA560" s="150">
        <f t="shared" si="304"/>
        <v>0.52896666666666659</v>
      </c>
      <c r="BB560" s="150"/>
      <c r="BC560" s="522">
        <f t="shared" si="305"/>
        <v>53.42563333333333</v>
      </c>
      <c r="BD560" s="175"/>
      <c r="BE560" s="527">
        <f t="shared" si="285"/>
        <v>963.24103333333335</v>
      </c>
      <c r="BF560" s="181">
        <f t="shared" si="286"/>
        <v>0.94745019672131148</v>
      </c>
      <c r="BG560" s="520" t="b">
        <f t="shared" si="298"/>
        <v>0</v>
      </c>
      <c r="BI560" s="528" t="s">
        <v>2181</v>
      </c>
      <c r="BL560" s="151" t="str">
        <f t="shared" si="288"/>
        <v>EoKMetro - Nationaal</v>
      </c>
      <c r="BM560" s="529">
        <v>0</v>
      </c>
      <c r="BN560" s="180">
        <f>BM560/INDEX(Parameters!$B:$B,MATCH("AfschrijftermijnVVE"&amp;12*$C560,Parameters!$A:$A,0))</f>
        <v>0</v>
      </c>
      <c r="BO560" s="184">
        <f>INDEX('inkoop ULL tbv EVPN'!I:I,MATCH(BL560,'inkoop ULL tbv EVPN'!H:H,0))</f>
        <v>2</v>
      </c>
      <c r="BP560" s="184">
        <f t="shared" si="289"/>
        <v>2</v>
      </c>
      <c r="BR560" s="180">
        <f>Parameters!$B$12*AG560</f>
        <v>101.66666666666667</v>
      </c>
      <c r="BS560" s="180">
        <f>SUM(Distributievergoedingen!$F$12,Distributievergoedingen!$I$12,Distributievergoedingen!$L$12,Distributievergoedingen!$O$12)*AF560+SUM(Distributievergoedingen!$O$12*AA560+Distributievergoedingen!$R$12+Distributievergoedingen!$U$12+Distributievergoedingen!$X$12)/(MAX(36,12*C560))</f>
        <v>111.66666666666667</v>
      </c>
      <c r="BT560" s="150"/>
      <c r="BU560" s="150">
        <f t="shared" si="290"/>
        <v>213.33333333333334</v>
      </c>
      <c r="BW560" s="522">
        <f t="shared" si="291"/>
        <v>215.33333333333334</v>
      </c>
      <c r="BY560" s="527">
        <f t="shared" si="292"/>
        <v>801.33333333333326</v>
      </c>
      <c r="BZ560" s="181">
        <f t="shared" si="293"/>
        <v>0.78819672131147533</v>
      </c>
      <c r="CA560" s="520" t="b">
        <f t="shared" si="294"/>
        <v>0</v>
      </c>
    </row>
    <row r="561" spans="1:79" s="151" customFormat="1">
      <c r="A561" s="151" t="str">
        <f t="shared" si="287"/>
        <v>5EoKPremiumNationaal8</v>
      </c>
      <c r="B561" s="520" t="str">
        <f t="shared" si="295"/>
        <v>5EoKPremiumNationaal8</v>
      </c>
      <c r="C561" s="179">
        <v>5</v>
      </c>
      <c r="D561" s="179" t="s">
        <v>303</v>
      </c>
      <c r="E561" s="178" t="s">
        <v>267</v>
      </c>
      <c r="F561" s="178" t="s">
        <v>266</v>
      </c>
      <c r="G561" s="185" t="s">
        <v>411</v>
      </c>
      <c r="J561" s="520" t="str">
        <f t="shared" si="296"/>
        <v>PremiumNationaal8</v>
      </c>
      <c r="L561" s="204">
        <f>INDEX(Mapping!$H:$H,MATCH(C$3&amp;C561,Mapping!$B:$B,0))</f>
        <v>1</v>
      </c>
      <c r="M561" s="204" t="str">
        <f>INDEX(Mapping!$H:$H,MATCH(D$3&amp;$D561,Mapping!$B:$B,0))</f>
        <v>EoK</v>
      </c>
      <c r="N561" s="204" t="str">
        <f>INDEX(Mapping!$H:$H,MATCH(E$3&amp;E561,Mapping!$B:$B,0))</f>
        <v>Premium</v>
      </c>
      <c r="O561" s="204" t="str">
        <f>INDEX(Mapping!$H:$H,MATCH(F$3&amp;F561,Mapping!$B:$B,0))</f>
        <v>Metro</v>
      </c>
      <c r="P561" s="204">
        <f>INDEX(Mapping!$H:$H,MATCH(G$3&amp;G561,Mapping!$B:$B,0))</f>
        <v>8</v>
      </c>
      <c r="Q561" s="204" t="str">
        <f>INDEX(Mapping!$H:$H,MATCH(Q$3&amp;$F561,Mapping!$B:$B,0))</f>
        <v>Metro - Nationaal</v>
      </c>
      <c r="R561" s="204" t="str">
        <f>INDEX(Mapping!$H:$H,MATCH("ZM VPN Service Level"&amp;E561,Mapping!$B:$B,0))</f>
        <v>Advanced</v>
      </c>
      <c r="S561" s="139" t="b">
        <f>IF($D561="EoK",INDEX(Mapping!$I:$I,MATCH($G$3&amp;$G561,Mapping!B:B,0)),FALSE)</f>
        <v>0</v>
      </c>
      <c r="T561" s="139"/>
      <c r="U561" s="520" t="str">
        <f t="shared" si="297"/>
        <v>PremiumMetro8</v>
      </c>
      <c r="W561" s="521">
        <f>MATCH($J561,'Tarieven ZM'!$B:$B,0)</f>
        <v>109</v>
      </c>
      <c r="X561" s="204">
        <f>INDEX('Tarieven ZM'!$H:$H,$W561)</f>
        <v>1000</v>
      </c>
      <c r="Y561" s="198">
        <f>-INDEX(Parameters!$B:$B,MATCH(Y$3&amp;$C561,Parameters!$A:$A,0))*$X561</f>
        <v>0</v>
      </c>
      <c r="Z561" s="198">
        <f>-INDEX(Parameters!$B:$B,MATCH(Z$3&amp;$C561,Parameters!$A:$A,0))*$X561</f>
        <v>0</v>
      </c>
      <c r="AA561" s="139">
        <f t="shared" si="299"/>
        <v>1000</v>
      </c>
      <c r="AB561" s="205">
        <f>AA561/INDEX(Parameters!$B:$B,MATCH("AfschrijftermijnVVE"&amp;12*$C561,Parameters!$A:$A,0))</f>
        <v>16.666666666666668</v>
      </c>
      <c r="AC561" s="204">
        <f>INDEX('Tarieven ZM'!$G:$G,$W561)</f>
        <v>1000</v>
      </c>
      <c r="AD561" s="198">
        <f>-INDEX(Parameters!$B:$B,MATCH(AD$3&amp;$C561,Parameters!$A:$A,0))*$AC561</f>
        <v>0</v>
      </c>
      <c r="AE561" s="198">
        <f>-INDEX(Parameters!$B:$B,MATCH(AE$3,Parameters!$A:$A,0))*$AC561</f>
        <v>0</v>
      </c>
      <c r="AF561" s="139">
        <f t="shared" si="300"/>
        <v>1000</v>
      </c>
      <c r="AG561" s="522">
        <f t="shared" si="301"/>
        <v>1016.6666666666666</v>
      </c>
      <c r="AH561" s="175"/>
      <c r="AI561" s="523">
        <f>MATCH($U561,'Tarieven W&amp;O'!$B:$B,0)</f>
        <v>63</v>
      </c>
      <c r="AJ561" s="204">
        <f>IF(AI561&lt;&gt;"nvt",INDEX('Tarieven W&amp;O'!$H:$H,$AI561),0)</f>
        <v>0</v>
      </c>
      <c r="AK561" s="204">
        <f>IF(AI561&lt;&gt;"nvt",INDEX('Tarieven W&amp;O'!$I:$I,$AI561),0)</f>
        <v>25</v>
      </c>
      <c r="AL561" s="524">
        <f>IF(AI561&lt;&gt;"nvt",-INDEX(Parameters!$B:$B,MATCH(AL$3,Parameters!$A:$A,0))*(AJ561+AK561),0)</f>
        <v>0</v>
      </c>
      <c r="AM561" s="525"/>
      <c r="AN561" s="139">
        <f t="shared" si="302"/>
        <v>25</v>
      </c>
      <c r="AO561" s="205">
        <f>AN561/INDEX(Parameters!$B:$B,MATCH("AfschrijftermijnVVE"&amp;12*$C561,Parameters!$A:$A,0))</f>
        <v>0.41666666666666669</v>
      </c>
      <c r="AP561" s="139">
        <f t="shared" si="303"/>
        <v>63</v>
      </c>
      <c r="AQ561" s="526">
        <f>IF(AP561&lt;&gt;"nvt",INDEX('Tarieven W&amp;O'!$G:$G,$AP561),0)</f>
        <v>54.24</v>
      </c>
      <c r="AR561" s="251">
        <f>IF($S561,INDEX('Tarieven W&amp;O'!$G:$G,MATCH(N561&amp;R561,'Tarieven W&amp;O'!$B:$B,0)),0)</f>
        <v>0</v>
      </c>
      <c r="AS561" s="205">
        <f>-INDEX(Parameters!$B:$B,MATCH(AS$3,Parameters!$A:$A,0))*(AQ561+AR561)</f>
        <v>0</v>
      </c>
      <c r="AT561" s="205">
        <f>INDEX(hulpblad!$E:$E,MATCH(M561&amp;Q561,hulpblad!$B:$B,0))</f>
        <v>2</v>
      </c>
      <c r="AU561" s="150">
        <f t="shared" si="283"/>
        <v>56.24</v>
      </c>
      <c r="AV561" s="150">
        <f t="shared" si="284"/>
        <v>56.656666666666666</v>
      </c>
      <c r="AX561" s="526">
        <f>Parameters!$B$6*AV561</f>
        <v>0.56656666666666666</v>
      </c>
      <c r="AY561" s="150">
        <v>0</v>
      </c>
      <c r="AZ561" s="150"/>
      <c r="BA561" s="150">
        <f t="shared" si="304"/>
        <v>0.56656666666666666</v>
      </c>
      <c r="BB561" s="150"/>
      <c r="BC561" s="522">
        <f t="shared" si="305"/>
        <v>57.223233333333333</v>
      </c>
      <c r="BD561" s="175"/>
      <c r="BE561" s="527">
        <f t="shared" si="285"/>
        <v>959.44343333333325</v>
      </c>
      <c r="BF561" s="181">
        <f t="shared" si="286"/>
        <v>0.94371485245901632</v>
      </c>
      <c r="BG561" s="520" t="b">
        <f t="shared" si="298"/>
        <v>0</v>
      </c>
      <c r="BI561" s="528" t="s">
        <v>2181</v>
      </c>
      <c r="BL561" s="151" t="str">
        <f t="shared" si="288"/>
        <v>EoKMetro - Nationaal</v>
      </c>
      <c r="BM561" s="529">
        <v>0</v>
      </c>
      <c r="BN561" s="180">
        <f>BM561/INDEX(Parameters!$B:$B,MATCH("AfschrijftermijnVVE"&amp;12*$C561,Parameters!$A:$A,0))</f>
        <v>0</v>
      </c>
      <c r="BO561" s="184">
        <f>INDEX('inkoop ULL tbv EVPN'!I:I,MATCH(BL561,'inkoop ULL tbv EVPN'!H:H,0))</f>
        <v>2</v>
      </c>
      <c r="BP561" s="184">
        <f t="shared" si="289"/>
        <v>2</v>
      </c>
      <c r="BR561" s="180">
        <f>Parameters!$B$12*AG561</f>
        <v>101.66666666666667</v>
      </c>
      <c r="BS561" s="180">
        <f>SUM(Distributievergoedingen!$F$12,Distributievergoedingen!$I$12,Distributievergoedingen!$L$12,Distributievergoedingen!$O$12)*AF561+SUM(Distributievergoedingen!$O$12*AA561+Distributievergoedingen!$R$12+Distributievergoedingen!$U$12+Distributievergoedingen!$X$12)/(MAX(36,12*C561))</f>
        <v>111.66666666666667</v>
      </c>
      <c r="BT561" s="150"/>
      <c r="BU561" s="150">
        <f t="shared" si="290"/>
        <v>213.33333333333334</v>
      </c>
      <c r="BW561" s="522">
        <f t="shared" si="291"/>
        <v>215.33333333333334</v>
      </c>
      <c r="BY561" s="527">
        <f t="shared" si="292"/>
        <v>801.33333333333326</v>
      </c>
      <c r="BZ561" s="181">
        <f t="shared" si="293"/>
        <v>0.78819672131147533</v>
      </c>
      <c r="CA561" s="520" t="b">
        <f t="shared" si="294"/>
        <v>0</v>
      </c>
    </row>
    <row r="562" spans="1:79" s="151" customFormat="1">
      <c r="A562" s="151" t="str">
        <f t="shared" si="287"/>
        <v>5EoKPremiumNationaal10</v>
      </c>
      <c r="B562" s="520" t="str">
        <f t="shared" si="295"/>
        <v>5EoKPremiumNationaal10</v>
      </c>
      <c r="C562" s="179">
        <v>5</v>
      </c>
      <c r="D562" s="179" t="s">
        <v>303</v>
      </c>
      <c r="E562" s="178" t="s">
        <v>267</v>
      </c>
      <c r="F562" s="178" t="s">
        <v>266</v>
      </c>
      <c r="G562" s="185" t="s">
        <v>412</v>
      </c>
      <c r="J562" s="520" t="str">
        <f t="shared" si="296"/>
        <v>PremiumNationaal10</v>
      </c>
      <c r="L562" s="204">
        <f>INDEX(Mapping!$H:$H,MATCH(C$3&amp;C562,Mapping!$B:$B,0))</f>
        <v>1</v>
      </c>
      <c r="M562" s="204" t="str">
        <f>INDEX(Mapping!$H:$H,MATCH(D$3&amp;$D562,Mapping!$B:$B,0))</f>
        <v>EoK</v>
      </c>
      <c r="N562" s="204" t="str">
        <f>INDEX(Mapping!$H:$H,MATCH(E$3&amp;E562,Mapping!$B:$B,0))</f>
        <v>Premium</v>
      </c>
      <c r="O562" s="204" t="str">
        <f>INDEX(Mapping!$H:$H,MATCH(F$3&amp;F562,Mapping!$B:$B,0))</f>
        <v>Metro</v>
      </c>
      <c r="P562" s="204">
        <f>INDEX(Mapping!$H:$H,MATCH(G$3&amp;G562,Mapping!$B:$B,0))</f>
        <v>10</v>
      </c>
      <c r="Q562" s="204" t="str">
        <f>INDEX(Mapping!$H:$H,MATCH(Q$3&amp;$F562,Mapping!$B:$B,0))</f>
        <v>Metro - Nationaal</v>
      </c>
      <c r="R562" s="204" t="str">
        <f>INDEX(Mapping!$H:$H,MATCH("ZM VPN Service Level"&amp;E562,Mapping!$B:$B,0))</f>
        <v>Advanced</v>
      </c>
      <c r="S562" s="139" t="b">
        <f>IF($D562="EoK",INDEX(Mapping!$I:$I,MATCH($G$3&amp;$G562,Mapping!B:B,0)),FALSE)</f>
        <v>0</v>
      </c>
      <c r="T562" s="139"/>
      <c r="U562" s="520" t="str">
        <f t="shared" si="297"/>
        <v>PremiumMetro10</v>
      </c>
      <c r="W562" s="521">
        <f>MATCH($J562,'Tarieven ZM'!$B:$B,0)</f>
        <v>110</v>
      </c>
      <c r="X562" s="204">
        <f>INDEX('Tarieven ZM'!$H:$H,$W562)</f>
        <v>1000</v>
      </c>
      <c r="Y562" s="198">
        <f>-INDEX(Parameters!$B:$B,MATCH(Y$3&amp;$C562,Parameters!$A:$A,0))*$X562</f>
        <v>0</v>
      </c>
      <c r="Z562" s="198">
        <f>-INDEX(Parameters!$B:$B,MATCH(Z$3&amp;$C562,Parameters!$A:$A,0))*$X562</f>
        <v>0</v>
      </c>
      <c r="AA562" s="139">
        <f t="shared" si="299"/>
        <v>1000</v>
      </c>
      <c r="AB562" s="205">
        <f>AA562/INDEX(Parameters!$B:$B,MATCH("AfschrijftermijnVVE"&amp;12*$C562,Parameters!$A:$A,0))</f>
        <v>16.666666666666668</v>
      </c>
      <c r="AC562" s="204">
        <f>INDEX('Tarieven ZM'!$G:$G,$W562)</f>
        <v>1000</v>
      </c>
      <c r="AD562" s="198">
        <f>-INDEX(Parameters!$B:$B,MATCH(AD$3&amp;$C562,Parameters!$A:$A,0))*$AC562</f>
        <v>0</v>
      </c>
      <c r="AE562" s="198">
        <f>-INDEX(Parameters!$B:$B,MATCH(AE$3,Parameters!$A:$A,0))*$AC562</f>
        <v>0</v>
      </c>
      <c r="AF562" s="139">
        <f t="shared" si="300"/>
        <v>1000</v>
      </c>
      <c r="AG562" s="522">
        <f t="shared" si="301"/>
        <v>1016.6666666666666</v>
      </c>
      <c r="AH562" s="175"/>
      <c r="AI562" s="523">
        <f>MATCH($U562,'Tarieven W&amp;O'!$B:$B,0)</f>
        <v>64</v>
      </c>
      <c r="AJ562" s="204">
        <f>IF(AI562&lt;&gt;"nvt",INDEX('Tarieven W&amp;O'!$H:$H,$AI562),0)</f>
        <v>0</v>
      </c>
      <c r="AK562" s="204">
        <f>IF(AI562&lt;&gt;"nvt",INDEX('Tarieven W&amp;O'!$I:$I,$AI562),0)</f>
        <v>25</v>
      </c>
      <c r="AL562" s="524">
        <f>IF(AI562&lt;&gt;"nvt",-INDEX(Parameters!$B:$B,MATCH(AL$3,Parameters!$A:$A,0))*(AJ562+AK562),0)</f>
        <v>0</v>
      </c>
      <c r="AM562" s="525"/>
      <c r="AN562" s="139">
        <f t="shared" si="302"/>
        <v>25</v>
      </c>
      <c r="AO562" s="205">
        <f>AN562/INDEX(Parameters!$B:$B,MATCH("AfschrijftermijnVVE"&amp;12*$C562,Parameters!$A:$A,0))</f>
        <v>0.41666666666666669</v>
      </c>
      <c r="AP562" s="139">
        <f t="shared" si="303"/>
        <v>64</v>
      </c>
      <c r="AQ562" s="526">
        <f>IF(AP562&lt;&gt;"nvt",INDEX('Tarieven W&amp;O'!$G:$G,$AP562),0)</f>
        <v>58.01</v>
      </c>
      <c r="AR562" s="251">
        <f>IF($S562,INDEX('Tarieven W&amp;O'!$G:$G,MATCH(N562&amp;R562,'Tarieven W&amp;O'!$B:$B,0)),0)</f>
        <v>0</v>
      </c>
      <c r="AS562" s="205">
        <f>-INDEX(Parameters!$B:$B,MATCH(AS$3,Parameters!$A:$A,0))*(AQ562+AR562)</f>
        <v>0</v>
      </c>
      <c r="AT562" s="205">
        <f>INDEX(hulpblad!$E:$E,MATCH(M562&amp;Q562,hulpblad!$B:$B,0))</f>
        <v>2</v>
      </c>
      <c r="AU562" s="150">
        <f t="shared" si="283"/>
        <v>60.01</v>
      </c>
      <c r="AV562" s="150">
        <f t="shared" si="284"/>
        <v>60.426666666666662</v>
      </c>
      <c r="AX562" s="526">
        <f>Parameters!$B$6*AV562</f>
        <v>0.60426666666666662</v>
      </c>
      <c r="AY562" s="150">
        <v>0</v>
      </c>
      <c r="AZ562" s="150"/>
      <c r="BA562" s="150">
        <f t="shared" si="304"/>
        <v>0.60426666666666662</v>
      </c>
      <c r="BB562" s="150"/>
      <c r="BC562" s="522">
        <f t="shared" si="305"/>
        <v>61.03093333333333</v>
      </c>
      <c r="BD562" s="175"/>
      <c r="BE562" s="527">
        <f t="shared" si="285"/>
        <v>955.63573333333329</v>
      </c>
      <c r="BF562" s="181">
        <f t="shared" si="286"/>
        <v>0.93996957377049184</v>
      </c>
      <c r="BG562" s="520" t="b">
        <f t="shared" si="298"/>
        <v>0</v>
      </c>
      <c r="BI562" s="528" t="s">
        <v>2181</v>
      </c>
      <c r="BL562" s="151" t="str">
        <f t="shared" si="288"/>
        <v>EoKMetro - Nationaal</v>
      </c>
      <c r="BM562" s="529">
        <v>0</v>
      </c>
      <c r="BN562" s="180">
        <f>BM562/INDEX(Parameters!$B:$B,MATCH("AfschrijftermijnVVE"&amp;12*$C562,Parameters!$A:$A,0))</f>
        <v>0</v>
      </c>
      <c r="BO562" s="184">
        <f>INDEX('inkoop ULL tbv EVPN'!I:I,MATCH(BL562,'inkoop ULL tbv EVPN'!H:H,0))</f>
        <v>2</v>
      </c>
      <c r="BP562" s="184">
        <f t="shared" si="289"/>
        <v>2</v>
      </c>
      <c r="BR562" s="180">
        <f>Parameters!$B$12*AG562</f>
        <v>101.66666666666667</v>
      </c>
      <c r="BS562" s="180">
        <f>SUM(Distributievergoedingen!$F$12,Distributievergoedingen!$I$12,Distributievergoedingen!$L$12,Distributievergoedingen!$O$12)*AF562+SUM(Distributievergoedingen!$O$12*AA562+Distributievergoedingen!$R$12+Distributievergoedingen!$U$12+Distributievergoedingen!$X$12)/(MAX(36,12*C562))</f>
        <v>111.66666666666667</v>
      </c>
      <c r="BT562" s="150"/>
      <c r="BU562" s="150">
        <f t="shared" si="290"/>
        <v>213.33333333333334</v>
      </c>
      <c r="BW562" s="522">
        <f t="shared" si="291"/>
        <v>215.33333333333334</v>
      </c>
      <c r="BY562" s="527">
        <f t="shared" si="292"/>
        <v>801.33333333333326</v>
      </c>
      <c r="BZ562" s="181">
        <f t="shared" si="293"/>
        <v>0.78819672131147533</v>
      </c>
      <c r="CA562" s="520" t="b">
        <f t="shared" si="294"/>
        <v>0</v>
      </c>
    </row>
    <row r="563" spans="1:79" s="151" customFormat="1">
      <c r="A563" s="151" t="str">
        <f t="shared" si="287"/>
        <v>5EoKPremiumNationaal15</v>
      </c>
      <c r="B563" s="520" t="str">
        <f t="shared" si="295"/>
        <v>5EoKPremiumNationaal15</v>
      </c>
      <c r="C563" s="179">
        <v>5</v>
      </c>
      <c r="D563" s="179" t="s">
        <v>303</v>
      </c>
      <c r="E563" s="178" t="s">
        <v>267</v>
      </c>
      <c r="F563" s="178" t="s">
        <v>266</v>
      </c>
      <c r="G563" s="185" t="s">
        <v>413</v>
      </c>
      <c r="J563" s="520" t="str">
        <f t="shared" si="296"/>
        <v>PremiumNationaal15</v>
      </c>
      <c r="L563" s="204">
        <f>INDEX(Mapping!$H:$H,MATCH(C$3&amp;C563,Mapping!$B:$B,0))</f>
        <v>1</v>
      </c>
      <c r="M563" s="204" t="str">
        <f>INDEX(Mapping!$H:$H,MATCH(D$3&amp;$D563,Mapping!$B:$B,0))</f>
        <v>EoK</v>
      </c>
      <c r="N563" s="204" t="str">
        <f>INDEX(Mapping!$H:$H,MATCH(E$3&amp;E563,Mapping!$B:$B,0))</f>
        <v>Premium</v>
      </c>
      <c r="O563" s="204" t="str">
        <f>INDEX(Mapping!$H:$H,MATCH(F$3&amp;F563,Mapping!$B:$B,0))</f>
        <v>Metro</v>
      </c>
      <c r="P563" s="204">
        <f>INDEX(Mapping!$H:$H,MATCH(G$3&amp;G563,Mapping!$B:$B,0))</f>
        <v>15</v>
      </c>
      <c r="Q563" s="204" t="str">
        <f>INDEX(Mapping!$H:$H,MATCH(Q$3&amp;$F563,Mapping!$B:$B,0))</f>
        <v>Metro - Nationaal</v>
      </c>
      <c r="R563" s="204" t="str">
        <f>INDEX(Mapping!$H:$H,MATCH("ZM VPN Service Level"&amp;E563,Mapping!$B:$B,0))</f>
        <v>Advanced</v>
      </c>
      <c r="S563" s="139" t="b">
        <f>IF($D563="EoK",INDEX(Mapping!$I:$I,MATCH($G$3&amp;$G563,Mapping!B:B,0)),FALSE)</f>
        <v>0</v>
      </c>
      <c r="T563" s="139"/>
      <c r="U563" s="520" t="str">
        <f t="shared" si="297"/>
        <v>PremiumMetro15</v>
      </c>
      <c r="W563" s="521">
        <f>MATCH($J563,'Tarieven ZM'!$B:$B,0)</f>
        <v>111</v>
      </c>
      <c r="X563" s="204">
        <f>INDEX('Tarieven ZM'!$H:$H,$W563)</f>
        <v>1000</v>
      </c>
      <c r="Y563" s="198">
        <f>-INDEX(Parameters!$B:$B,MATCH(Y$3&amp;$C563,Parameters!$A:$A,0))*$X563</f>
        <v>0</v>
      </c>
      <c r="Z563" s="198">
        <f>-INDEX(Parameters!$B:$B,MATCH(Z$3&amp;$C563,Parameters!$A:$A,0))*$X563</f>
        <v>0</v>
      </c>
      <c r="AA563" s="139">
        <f t="shared" si="299"/>
        <v>1000</v>
      </c>
      <c r="AB563" s="205">
        <f>AA563/INDEX(Parameters!$B:$B,MATCH("AfschrijftermijnVVE"&amp;12*$C563,Parameters!$A:$A,0))</f>
        <v>16.666666666666668</v>
      </c>
      <c r="AC563" s="204">
        <f>INDEX('Tarieven ZM'!$G:$G,$W563)</f>
        <v>1000</v>
      </c>
      <c r="AD563" s="198">
        <f>-INDEX(Parameters!$B:$B,MATCH(AD$3&amp;$C563,Parameters!$A:$A,0))*$AC563</f>
        <v>0</v>
      </c>
      <c r="AE563" s="198">
        <f>-INDEX(Parameters!$B:$B,MATCH(AE$3,Parameters!$A:$A,0))*$AC563</f>
        <v>0</v>
      </c>
      <c r="AF563" s="139">
        <f t="shared" si="300"/>
        <v>1000</v>
      </c>
      <c r="AG563" s="522">
        <f t="shared" si="301"/>
        <v>1016.6666666666666</v>
      </c>
      <c r="AH563" s="175"/>
      <c r="AI563" s="523">
        <f>MATCH($U563,'Tarieven W&amp;O'!$B:$B,0)</f>
        <v>65</v>
      </c>
      <c r="AJ563" s="204">
        <f>IF(AI563&lt;&gt;"nvt",INDEX('Tarieven W&amp;O'!$H:$H,$AI563),0)</f>
        <v>0</v>
      </c>
      <c r="AK563" s="204">
        <f>IF(AI563&lt;&gt;"nvt",INDEX('Tarieven W&amp;O'!$I:$I,$AI563),0)</f>
        <v>25</v>
      </c>
      <c r="AL563" s="524">
        <f>IF(AI563&lt;&gt;"nvt",-INDEX(Parameters!$B:$B,MATCH(AL$3,Parameters!$A:$A,0))*(AJ563+AK563),0)</f>
        <v>0</v>
      </c>
      <c r="AM563" s="525"/>
      <c r="AN563" s="139">
        <f t="shared" si="302"/>
        <v>25</v>
      </c>
      <c r="AO563" s="205">
        <f>AN563/INDEX(Parameters!$B:$B,MATCH("AfschrijftermijnVVE"&amp;12*$C563,Parameters!$A:$A,0))</f>
        <v>0.41666666666666669</v>
      </c>
      <c r="AP563" s="139">
        <f t="shared" si="303"/>
        <v>65</v>
      </c>
      <c r="AQ563" s="526">
        <f>IF(AP563&lt;&gt;"nvt",INDEX('Tarieven W&amp;O'!$G:$G,$AP563),0)</f>
        <v>80.63</v>
      </c>
      <c r="AR563" s="251">
        <f>IF($S563,INDEX('Tarieven W&amp;O'!$G:$G,MATCH(N563&amp;R563,'Tarieven W&amp;O'!$B:$B,0)),0)</f>
        <v>0</v>
      </c>
      <c r="AS563" s="205">
        <f>-INDEX(Parameters!$B:$B,MATCH(AS$3,Parameters!$A:$A,0))*(AQ563+AR563)</f>
        <v>0</v>
      </c>
      <c r="AT563" s="205">
        <f>INDEX(hulpblad!$E:$E,MATCH(M563&amp;Q563,hulpblad!$B:$B,0))</f>
        <v>2</v>
      </c>
      <c r="AU563" s="150">
        <f t="shared" si="283"/>
        <v>82.63</v>
      </c>
      <c r="AV563" s="150">
        <f t="shared" si="284"/>
        <v>83.046666666666667</v>
      </c>
      <c r="AX563" s="526">
        <f>Parameters!$B$6*AV563</f>
        <v>0.83046666666666669</v>
      </c>
      <c r="AY563" s="150">
        <v>0</v>
      </c>
      <c r="AZ563" s="150"/>
      <c r="BA563" s="150">
        <f t="shared" si="304"/>
        <v>0.83046666666666669</v>
      </c>
      <c r="BB563" s="150"/>
      <c r="BC563" s="522">
        <f t="shared" si="305"/>
        <v>83.877133333333333</v>
      </c>
      <c r="BD563" s="175"/>
      <c r="BE563" s="527">
        <f t="shared" si="285"/>
        <v>932.78953333333334</v>
      </c>
      <c r="BF563" s="181">
        <f t="shared" si="286"/>
        <v>0.9174979016393443</v>
      </c>
      <c r="BG563" s="520" t="b">
        <f t="shared" si="298"/>
        <v>0</v>
      </c>
      <c r="BI563" s="528" t="s">
        <v>2181</v>
      </c>
      <c r="BL563" s="151" t="str">
        <f t="shared" si="288"/>
        <v>EoKMetro - Nationaal</v>
      </c>
      <c r="BM563" s="529">
        <v>0</v>
      </c>
      <c r="BN563" s="180">
        <f>BM563/INDEX(Parameters!$B:$B,MATCH("AfschrijftermijnVVE"&amp;12*$C563,Parameters!$A:$A,0))</f>
        <v>0</v>
      </c>
      <c r="BO563" s="184">
        <f>INDEX('inkoop ULL tbv EVPN'!I:I,MATCH(BL563,'inkoop ULL tbv EVPN'!H:H,0))</f>
        <v>2</v>
      </c>
      <c r="BP563" s="184">
        <f t="shared" si="289"/>
        <v>2</v>
      </c>
      <c r="BR563" s="180">
        <f>Parameters!$B$12*AG563</f>
        <v>101.66666666666667</v>
      </c>
      <c r="BS563" s="180">
        <f>SUM(Distributievergoedingen!$F$12,Distributievergoedingen!$I$12,Distributievergoedingen!$L$12,Distributievergoedingen!$O$12)*AF563+SUM(Distributievergoedingen!$O$12*AA563+Distributievergoedingen!$R$12+Distributievergoedingen!$U$12+Distributievergoedingen!$X$12)/(MAX(36,12*C563))</f>
        <v>111.66666666666667</v>
      </c>
      <c r="BT563" s="150"/>
      <c r="BU563" s="150">
        <f t="shared" si="290"/>
        <v>213.33333333333334</v>
      </c>
      <c r="BW563" s="522">
        <f t="shared" si="291"/>
        <v>215.33333333333334</v>
      </c>
      <c r="BY563" s="527">
        <f t="shared" si="292"/>
        <v>801.33333333333326</v>
      </c>
      <c r="BZ563" s="181">
        <f t="shared" si="293"/>
        <v>0.78819672131147533</v>
      </c>
      <c r="CA563" s="520" t="b">
        <f t="shared" si="294"/>
        <v>0</v>
      </c>
    </row>
    <row r="564" spans="1:79" s="151" customFormat="1">
      <c r="A564" s="151" t="str">
        <f t="shared" si="287"/>
        <v>5EoKPremiumNationaal20</v>
      </c>
      <c r="B564" s="520" t="str">
        <f t="shared" si="295"/>
        <v>5EoKPremiumNationaal20</v>
      </c>
      <c r="C564" s="179">
        <v>5</v>
      </c>
      <c r="D564" s="179" t="s">
        <v>303</v>
      </c>
      <c r="E564" s="178" t="s">
        <v>267</v>
      </c>
      <c r="F564" s="178" t="s">
        <v>266</v>
      </c>
      <c r="G564" s="185" t="s">
        <v>414</v>
      </c>
      <c r="J564" s="520" t="str">
        <f t="shared" si="296"/>
        <v>PremiumNationaal20</v>
      </c>
      <c r="L564" s="204">
        <f>INDEX(Mapping!$H:$H,MATCH(C$3&amp;C564,Mapping!$B:$B,0))</f>
        <v>1</v>
      </c>
      <c r="M564" s="204" t="str">
        <f>INDEX(Mapping!$H:$H,MATCH(D$3&amp;$D564,Mapping!$B:$B,0))</f>
        <v>EoK</v>
      </c>
      <c r="N564" s="204" t="str">
        <f>INDEX(Mapping!$H:$H,MATCH(E$3&amp;E564,Mapping!$B:$B,0))</f>
        <v>Premium</v>
      </c>
      <c r="O564" s="204" t="str">
        <f>INDEX(Mapping!$H:$H,MATCH(F$3&amp;F564,Mapping!$B:$B,0))</f>
        <v>Metro</v>
      </c>
      <c r="P564" s="204">
        <f>INDEX(Mapping!$H:$H,MATCH(G$3&amp;G564,Mapping!$B:$B,0))</f>
        <v>20</v>
      </c>
      <c r="Q564" s="204" t="str">
        <f>INDEX(Mapping!$H:$H,MATCH(Q$3&amp;$F564,Mapping!$B:$B,0))</f>
        <v>Metro - Nationaal</v>
      </c>
      <c r="R564" s="204" t="str">
        <f>INDEX(Mapping!$H:$H,MATCH("ZM VPN Service Level"&amp;E564,Mapping!$B:$B,0))</f>
        <v>Advanced</v>
      </c>
      <c r="S564" s="139" t="b">
        <f>IF($D564="EoK",INDEX(Mapping!$I:$I,MATCH($G$3&amp;$G564,Mapping!B:B,0)),FALSE)</f>
        <v>0</v>
      </c>
      <c r="T564" s="139"/>
      <c r="U564" s="520" t="str">
        <f t="shared" si="297"/>
        <v>PremiumMetro20</v>
      </c>
      <c r="W564" s="521">
        <f>MATCH($J564,'Tarieven ZM'!$B:$B,0)</f>
        <v>112</v>
      </c>
      <c r="X564" s="204">
        <f>INDEX('Tarieven ZM'!$H:$H,$W564)</f>
        <v>1000</v>
      </c>
      <c r="Y564" s="198">
        <f>-INDEX(Parameters!$B:$B,MATCH(Y$3&amp;$C564,Parameters!$A:$A,0))*$X564</f>
        <v>0</v>
      </c>
      <c r="Z564" s="198">
        <f>-INDEX(Parameters!$B:$B,MATCH(Z$3&amp;$C564,Parameters!$A:$A,0))*$X564</f>
        <v>0</v>
      </c>
      <c r="AA564" s="139">
        <f t="shared" si="299"/>
        <v>1000</v>
      </c>
      <c r="AB564" s="205">
        <f>AA564/INDEX(Parameters!$B:$B,MATCH("AfschrijftermijnVVE"&amp;12*$C564,Parameters!$A:$A,0))</f>
        <v>16.666666666666668</v>
      </c>
      <c r="AC564" s="204">
        <f>INDEX('Tarieven ZM'!$G:$G,$W564)</f>
        <v>1000</v>
      </c>
      <c r="AD564" s="198">
        <f>-INDEX(Parameters!$B:$B,MATCH(AD$3&amp;$C564,Parameters!$A:$A,0))*$AC564</f>
        <v>0</v>
      </c>
      <c r="AE564" s="198">
        <f>-INDEX(Parameters!$B:$B,MATCH(AE$3,Parameters!$A:$A,0))*$AC564</f>
        <v>0</v>
      </c>
      <c r="AF564" s="139">
        <f t="shared" si="300"/>
        <v>1000</v>
      </c>
      <c r="AG564" s="522">
        <f t="shared" si="301"/>
        <v>1016.6666666666666</v>
      </c>
      <c r="AH564" s="175"/>
      <c r="AI564" s="523">
        <f>MATCH($U564,'Tarieven W&amp;O'!$B:$B,0)</f>
        <v>66</v>
      </c>
      <c r="AJ564" s="204">
        <f>IF(AI564&lt;&gt;"nvt",INDEX('Tarieven W&amp;O'!$H:$H,$AI564),0)</f>
        <v>0</v>
      </c>
      <c r="AK564" s="204">
        <f>IF(AI564&lt;&gt;"nvt",INDEX('Tarieven W&amp;O'!$I:$I,$AI564),0)</f>
        <v>25</v>
      </c>
      <c r="AL564" s="524">
        <f>IF(AI564&lt;&gt;"nvt",-INDEX(Parameters!$B:$B,MATCH(AL$3,Parameters!$A:$A,0))*(AJ564+AK564),0)</f>
        <v>0</v>
      </c>
      <c r="AM564" s="525"/>
      <c r="AN564" s="139">
        <f t="shared" si="302"/>
        <v>25</v>
      </c>
      <c r="AO564" s="205">
        <f>AN564/INDEX(Parameters!$B:$B,MATCH("AfschrijftermijnVVE"&amp;12*$C564,Parameters!$A:$A,0))</f>
        <v>0.41666666666666669</v>
      </c>
      <c r="AP564" s="139">
        <f t="shared" si="303"/>
        <v>66</v>
      </c>
      <c r="AQ564" s="526">
        <f>IF(AP564&lt;&gt;"nvt",INDEX('Tarieven W&amp;O'!$G:$G,$AP564),0)</f>
        <v>88.17</v>
      </c>
      <c r="AR564" s="251">
        <f>IF($S564,INDEX('Tarieven W&amp;O'!$G:$G,MATCH(N564&amp;R564,'Tarieven W&amp;O'!$B:$B,0)),0)</f>
        <v>0</v>
      </c>
      <c r="AS564" s="205">
        <f>-INDEX(Parameters!$B:$B,MATCH(AS$3,Parameters!$A:$A,0))*(AQ564+AR564)</f>
        <v>0</v>
      </c>
      <c r="AT564" s="205">
        <f>INDEX(hulpblad!$E:$E,MATCH(M564&amp;Q564,hulpblad!$B:$B,0))</f>
        <v>2</v>
      </c>
      <c r="AU564" s="150">
        <f t="shared" si="283"/>
        <v>90.17</v>
      </c>
      <c r="AV564" s="150">
        <f t="shared" si="284"/>
        <v>90.586666666666673</v>
      </c>
      <c r="AX564" s="526">
        <f>Parameters!$B$6*AV564</f>
        <v>0.90586666666666671</v>
      </c>
      <c r="AY564" s="150">
        <v>0</v>
      </c>
      <c r="AZ564" s="150"/>
      <c r="BA564" s="150">
        <f t="shared" si="304"/>
        <v>0.90586666666666671</v>
      </c>
      <c r="BB564" s="150"/>
      <c r="BC564" s="522">
        <f t="shared" si="305"/>
        <v>91.492533333333341</v>
      </c>
      <c r="BD564" s="175"/>
      <c r="BE564" s="527">
        <f t="shared" si="285"/>
        <v>925.17413333333332</v>
      </c>
      <c r="BF564" s="181">
        <f t="shared" si="286"/>
        <v>0.91000734426229513</v>
      </c>
      <c r="BG564" s="520" t="b">
        <f t="shared" si="298"/>
        <v>0</v>
      </c>
      <c r="BI564" s="528" t="s">
        <v>2181</v>
      </c>
      <c r="BL564" s="151" t="str">
        <f t="shared" si="288"/>
        <v>EoKMetro - Nationaal</v>
      </c>
      <c r="BM564" s="529">
        <v>0</v>
      </c>
      <c r="BN564" s="180">
        <f>BM564/INDEX(Parameters!$B:$B,MATCH("AfschrijftermijnVVE"&amp;12*$C564,Parameters!$A:$A,0))</f>
        <v>0</v>
      </c>
      <c r="BO564" s="184">
        <f>INDEX('inkoop ULL tbv EVPN'!I:I,MATCH(BL564,'inkoop ULL tbv EVPN'!H:H,0))</f>
        <v>2</v>
      </c>
      <c r="BP564" s="184">
        <f t="shared" si="289"/>
        <v>2</v>
      </c>
      <c r="BR564" s="180">
        <f>Parameters!$B$12*AG564</f>
        <v>101.66666666666667</v>
      </c>
      <c r="BS564" s="180">
        <f>SUM(Distributievergoedingen!$F$12,Distributievergoedingen!$I$12,Distributievergoedingen!$L$12,Distributievergoedingen!$O$12)*AF564+SUM(Distributievergoedingen!$O$12*AA564+Distributievergoedingen!$R$12+Distributievergoedingen!$U$12+Distributievergoedingen!$X$12)/(MAX(36,12*C564))</f>
        <v>111.66666666666667</v>
      </c>
      <c r="BT564" s="150"/>
      <c r="BU564" s="150">
        <f t="shared" si="290"/>
        <v>213.33333333333334</v>
      </c>
      <c r="BW564" s="522">
        <f t="shared" si="291"/>
        <v>215.33333333333334</v>
      </c>
      <c r="BY564" s="527">
        <f t="shared" si="292"/>
        <v>801.33333333333326</v>
      </c>
      <c r="BZ564" s="181">
        <f t="shared" si="293"/>
        <v>0.78819672131147533</v>
      </c>
      <c r="CA564" s="520" t="b">
        <f t="shared" si="294"/>
        <v>0</v>
      </c>
    </row>
    <row r="565" spans="1:79" s="151" customFormat="1">
      <c r="A565" s="151" t="str">
        <f t="shared" si="287"/>
        <v>5EoKPremiumNationaal30</v>
      </c>
      <c r="B565" s="520" t="str">
        <f t="shared" si="295"/>
        <v>5EoKPremiumNationaal30</v>
      </c>
      <c r="C565" s="179">
        <v>5</v>
      </c>
      <c r="D565" s="179" t="s">
        <v>303</v>
      </c>
      <c r="E565" s="178" t="s">
        <v>267</v>
      </c>
      <c r="F565" s="178" t="s">
        <v>266</v>
      </c>
      <c r="G565" s="185" t="s">
        <v>415</v>
      </c>
      <c r="J565" s="520" t="str">
        <f t="shared" si="296"/>
        <v>PremiumNationaal30</v>
      </c>
      <c r="L565" s="204">
        <f>INDEX(Mapping!$H:$H,MATCH(C$3&amp;C565,Mapping!$B:$B,0))</f>
        <v>1</v>
      </c>
      <c r="M565" s="204" t="str">
        <f>INDEX(Mapping!$H:$H,MATCH(D$3&amp;$D565,Mapping!$B:$B,0))</f>
        <v>EoK</v>
      </c>
      <c r="N565" s="204" t="str">
        <f>INDEX(Mapping!$H:$H,MATCH(E$3&amp;E565,Mapping!$B:$B,0))</f>
        <v>Premium</v>
      </c>
      <c r="O565" s="204" t="str">
        <f>INDEX(Mapping!$H:$H,MATCH(F$3&amp;F565,Mapping!$B:$B,0))</f>
        <v>Metro</v>
      </c>
      <c r="P565" s="204">
        <f>INDEX(Mapping!$H:$H,MATCH(G$3&amp;G565,Mapping!$B:$B,0))</f>
        <v>30</v>
      </c>
      <c r="Q565" s="204" t="str">
        <f>INDEX(Mapping!$H:$H,MATCH(Q$3&amp;$F565,Mapping!$B:$B,0))</f>
        <v>Metro - Nationaal</v>
      </c>
      <c r="R565" s="204" t="str">
        <f>INDEX(Mapping!$H:$H,MATCH("ZM VPN Service Level"&amp;E565,Mapping!$B:$B,0))</f>
        <v>Advanced</v>
      </c>
      <c r="S565" s="139" t="b">
        <f>IF($D565="EoK",INDEX(Mapping!$I:$I,MATCH($G$3&amp;$G565,Mapping!B:B,0)),FALSE)</f>
        <v>0</v>
      </c>
      <c r="T565" s="139"/>
      <c r="U565" s="520" t="str">
        <f t="shared" si="297"/>
        <v>PremiumMetro30</v>
      </c>
      <c r="W565" s="521">
        <f>MATCH($J565,'Tarieven ZM'!$B:$B,0)</f>
        <v>113</v>
      </c>
      <c r="X565" s="204">
        <f>INDEX('Tarieven ZM'!$H:$H,$W565)</f>
        <v>1000</v>
      </c>
      <c r="Y565" s="198">
        <f>-INDEX(Parameters!$B:$B,MATCH(Y$3&amp;$C565,Parameters!$A:$A,0))*$X565</f>
        <v>0</v>
      </c>
      <c r="Z565" s="198">
        <f>-INDEX(Parameters!$B:$B,MATCH(Z$3&amp;$C565,Parameters!$A:$A,0))*$X565</f>
        <v>0</v>
      </c>
      <c r="AA565" s="139">
        <f t="shared" si="299"/>
        <v>1000</v>
      </c>
      <c r="AB565" s="205">
        <f>AA565/INDEX(Parameters!$B:$B,MATCH("AfschrijftermijnVVE"&amp;12*$C565,Parameters!$A:$A,0))</f>
        <v>16.666666666666668</v>
      </c>
      <c r="AC565" s="204">
        <f>INDEX('Tarieven ZM'!$G:$G,$W565)</f>
        <v>1000</v>
      </c>
      <c r="AD565" s="198">
        <f>-INDEX(Parameters!$B:$B,MATCH(AD$3&amp;$C565,Parameters!$A:$A,0))*$AC565</f>
        <v>0</v>
      </c>
      <c r="AE565" s="198">
        <f>-INDEX(Parameters!$B:$B,MATCH(AE$3,Parameters!$A:$A,0))*$AC565</f>
        <v>0</v>
      </c>
      <c r="AF565" s="139">
        <f t="shared" si="300"/>
        <v>1000</v>
      </c>
      <c r="AG565" s="522">
        <f t="shared" si="301"/>
        <v>1016.6666666666666</v>
      </c>
      <c r="AH565" s="175"/>
      <c r="AI565" s="523">
        <f>MATCH($U565,'Tarieven W&amp;O'!$B:$B,0)</f>
        <v>67</v>
      </c>
      <c r="AJ565" s="204">
        <f>IF(AI565&lt;&gt;"nvt",INDEX('Tarieven W&amp;O'!$H:$H,$AI565),0)</f>
        <v>0</v>
      </c>
      <c r="AK565" s="204">
        <f>IF(AI565&lt;&gt;"nvt",INDEX('Tarieven W&amp;O'!$I:$I,$AI565),0)</f>
        <v>25</v>
      </c>
      <c r="AL565" s="524">
        <f>IF(AI565&lt;&gt;"nvt",-INDEX(Parameters!$B:$B,MATCH(AL$3,Parameters!$A:$A,0))*(AJ565+AK565),0)</f>
        <v>0</v>
      </c>
      <c r="AM565" s="525"/>
      <c r="AN565" s="139">
        <f t="shared" si="302"/>
        <v>25</v>
      </c>
      <c r="AO565" s="205">
        <f>AN565/INDEX(Parameters!$B:$B,MATCH("AfschrijftermijnVVE"&amp;12*$C565,Parameters!$A:$A,0))</f>
        <v>0.41666666666666669</v>
      </c>
      <c r="AP565" s="139">
        <f t="shared" si="303"/>
        <v>67</v>
      </c>
      <c r="AQ565" s="526">
        <f>IF(AP565&lt;&gt;"nvt",INDEX('Tarieven W&amp;O'!$G:$G,$AP565),0)</f>
        <v>110.78</v>
      </c>
      <c r="AR565" s="251">
        <f>IF($S565,INDEX('Tarieven W&amp;O'!$G:$G,MATCH(N565&amp;R565,'Tarieven W&amp;O'!$B:$B,0)),0)</f>
        <v>0</v>
      </c>
      <c r="AS565" s="205">
        <f>-INDEX(Parameters!$B:$B,MATCH(AS$3,Parameters!$A:$A,0))*(AQ565+AR565)</f>
        <v>0</v>
      </c>
      <c r="AT565" s="205">
        <f>INDEX(hulpblad!$E:$E,MATCH(M565&amp;Q565,hulpblad!$B:$B,0))</f>
        <v>2</v>
      </c>
      <c r="AU565" s="150">
        <f t="shared" si="283"/>
        <v>112.78</v>
      </c>
      <c r="AV565" s="150">
        <f t="shared" si="284"/>
        <v>113.19666666666667</v>
      </c>
      <c r="AX565" s="526">
        <f>Parameters!$B$6*AV565</f>
        <v>1.1319666666666668</v>
      </c>
      <c r="AY565" s="150">
        <v>0</v>
      </c>
      <c r="AZ565" s="150"/>
      <c r="BA565" s="150">
        <f t="shared" si="304"/>
        <v>1.1319666666666668</v>
      </c>
      <c r="BB565" s="150"/>
      <c r="BC565" s="522">
        <f t="shared" si="305"/>
        <v>114.32863333333334</v>
      </c>
      <c r="BD565" s="175"/>
      <c r="BE565" s="527">
        <f t="shared" si="285"/>
        <v>902.33803333333333</v>
      </c>
      <c r="BF565" s="181">
        <f t="shared" si="286"/>
        <v>0.88754560655737713</v>
      </c>
      <c r="BG565" s="520" t="b">
        <f t="shared" si="298"/>
        <v>0</v>
      </c>
      <c r="BI565" s="528" t="s">
        <v>2181</v>
      </c>
      <c r="BL565" s="151" t="str">
        <f t="shared" si="288"/>
        <v>EoKMetro - Nationaal</v>
      </c>
      <c r="BM565" s="529">
        <v>0</v>
      </c>
      <c r="BN565" s="180">
        <f>BM565/INDEX(Parameters!$B:$B,MATCH("AfschrijftermijnVVE"&amp;12*$C565,Parameters!$A:$A,0))</f>
        <v>0</v>
      </c>
      <c r="BO565" s="184">
        <f>INDEX('inkoop ULL tbv EVPN'!I:I,MATCH(BL565,'inkoop ULL tbv EVPN'!H:H,0))</f>
        <v>2</v>
      </c>
      <c r="BP565" s="184">
        <f t="shared" si="289"/>
        <v>2</v>
      </c>
      <c r="BR565" s="180">
        <f>Parameters!$B$12*AG565</f>
        <v>101.66666666666667</v>
      </c>
      <c r="BS565" s="180">
        <f>SUM(Distributievergoedingen!$F$12,Distributievergoedingen!$I$12,Distributievergoedingen!$L$12,Distributievergoedingen!$O$12)*AF565+SUM(Distributievergoedingen!$O$12*AA565+Distributievergoedingen!$R$12+Distributievergoedingen!$U$12+Distributievergoedingen!$X$12)/(MAX(36,12*C565))</f>
        <v>111.66666666666667</v>
      </c>
      <c r="BT565" s="150"/>
      <c r="BU565" s="150">
        <f t="shared" si="290"/>
        <v>213.33333333333334</v>
      </c>
      <c r="BW565" s="522">
        <f t="shared" si="291"/>
        <v>215.33333333333334</v>
      </c>
      <c r="BY565" s="527">
        <f t="shared" si="292"/>
        <v>801.33333333333326</v>
      </c>
      <c r="BZ565" s="181">
        <f t="shared" si="293"/>
        <v>0.78819672131147533</v>
      </c>
      <c r="CA565" s="520" t="b">
        <f t="shared" si="294"/>
        <v>0</v>
      </c>
    </row>
    <row r="566" spans="1:79" s="151" customFormat="1">
      <c r="A566" s="151" t="str">
        <f t="shared" si="287"/>
        <v>5EoKPremiumNationaal50</v>
      </c>
      <c r="B566" s="520" t="str">
        <f t="shared" si="295"/>
        <v>5EoKPremiumNationaal50</v>
      </c>
      <c r="C566" s="179">
        <v>5</v>
      </c>
      <c r="D566" s="179" t="s">
        <v>303</v>
      </c>
      <c r="E566" s="178" t="s">
        <v>267</v>
      </c>
      <c r="F566" s="178" t="s">
        <v>266</v>
      </c>
      <c r="G566" s="185" t="s">
        <v>416</v>
      </c>
      <c r="J566" s="520" t="str">
        <f t="shared" si="296"/>
        <v>PremiumNationaal50</v>
      </c>
      <c r="L566" s="204">
        <f>INDEX(Mapping!$H:$H,MATCH(C$3&amp;C566,Mapping!$B:$B,0))</f>
        <v>1</v>
      </c>
      <c r="M566" s="204" t="str">
        <f>INDEX(Mapping!$H:$H,MATCH(D$3&amp;$D566,Mapping!$B:$B,0))</f>
        <v>EoK</v>
      </c>
      <c r="N566" s="204" t="str">
        <f>INDEX(Mapping!$H:$H,MATCH(E$3&amp;E566,Mapping!$B:$B,0))</f>
        <v>Premium</v>
      </c>
      <c r="O566" s="204" t="str">
        <f>INDEX(Mapping!$H:$H,MATCH(F$3&amp;F566,Mapping!$B:$B,0))</f>
        <v>Metro</v>
      </c>
      <c r="P566" s="204">
        <f>INDEX(Mapping!$H:$H,MATCH(G$3&amp;G566,Mapping!$B:$B,0))</f>
        <v>50</v>
      </c>
      <c r="Q566" s="204" t="str">
        <f>INDEX(Mapping!$H:$H,MATCH(Q$3&amp;$F566,Mapping!$B:$B,0))</f>
        <v>Metro - Nationaal</v>
      </c>
      <c r="R566" s="204" t="str">
        <f>INDEX(Mapping!$H:$H,MATCH("ZM VPN Service Level"&amp;E566,Mapping!$B:$B,0))</f>
        <v>Advanced</v>
      </c>
      <c r="S566" s="139" t="b">
        <f>IF($D566="EoK",INDEX(Mapping!$I:$I,MATCH($G$3&amp;$G566,Mapping!B:B,0)),FALSE)</f>
        <v>0</v>
      </c>
      <c r="T566" s="139"/>
      <c r="U566" s="520" t="str">
        <f t="shared" si="297"/>
        <v>PremiumMetro50</v>
      </c>
      <c r="W566" s="521">
        <f>MATCH($J566,'Tarieven ZM'!$B:$B,0)</f>
        <v>114</v>
      </c>
      <c r="X566" s="204">
        <f>INDEX('Tarieven ZM'!$H:$H,$W566)</f>
        <v>1000</v>
      </c>
      <c r="Y566" s="198">
        <f>-INDEX(Parameters!$B:$B,MATCH(Y$3&amp;$C566,Parameters!$A:$A,0))*$X566</f>
        <v>0</v>
      </c>
      <c r="Z566" s="198">
        <f>-INDEX(Parameters!$B:$B,MATCH(Z$3&amp;$C566,Parameters!$A:$A,0))*$X566</f>
        <v>0</v>
      </c>
      <c r="AA566" s="139">
        <f t="shared" si="299"/>
        <v>1000</v>
      </c>
      <c r="AB566" s="205">
        <f>AA566/INDEX(Parameters!$B:$B,MATCH("AfschrijftermijnVVE"&amp;12*$C566,Parameters!$A:$A,0))</f>
        <v>16.666666666666668</v>
      </c>
      <c r="AC566" s="204">
        <f>INDEX('Tarieven ZM'!$G:$G,$W566)</f>
        <v>1000</v>
      </c>
      <c r="AD566" s="198">
        <f>-INDEX(Parameters!$B:$B,MATCH(AD$3&amp;$C566,Parameters!$A:$A,0))*$AC566</f>
        <v>0</v>
      </c>
      <c r="AE566" s="198">
        <f>-INDEX(Parameters!$B:$B,MATCH(AE$3,Parameters!$A:$A,0))*$AC566</f>
        <v>0</v>
      </c>
      <c r="AF566" s="139">
        <f t="shared" si="300"/>
        <v>1000</v>
      </c>
      <c r="AG566" s="522">
        <f t="shared" si="301"/>
        <v>1016.6666666666666</v>
      </c>
      <c r="AH566" s="175"/>
      <c r="AI566" s="523">
        <f>MATCH($U566,'Tarieven W&amp;O'!$B:$B,0)</f>
        <v>68</v>
      </c>
      <c r="AJ566" s="204">
        <f>IF(AI566&lt;&gt;"nvt",INDEX('Tarieven W&amp;O'!$H:$H,$AI566),0)</f>
        <v>0</v>
      </c>
      <c r="AK566" s="204">
        <f>IF(AI566&lt;&gt;"nvt",INDEX('Tarieven W&amp;O'!$I:$I,$AI566),0)</f>
        <v>25</v>
      </c>
      <c r="AL566" s="524">
        <f>IF(AI566&lt;&gt;"nvt",-INDEX(Parameters!$B:$B,MATCH(AL$3,Parameters!$A:$A,0))*(AJ566+AK566),0)</f>
        <v>0</v>
      </c>
      <c r="AM566" s="525"/>
      <c r="AN566" s="139">
        <f t="shared" si="302"/>
        <v>25</v>
      </c>
      <c r="AO566" s="205">
        <f>AN566/INDEX(Parameters!$B:$B,MATCH("AfschrijftermijnVVE"&amp;12*$C566,Parameters!$A:$A,0))</f>
        <v>0.41666666666666669</v>
      </c>
      <c r="AP566" s="139">
        <f t="shared" si="303"/>
        <v>68</v>
      </c>
      <c r="AQ566" s="526">
        <f>IF(AP566&lt;&gt;"nvt",INDEX('Tarieven W&amp;O'!$G:$G,$AP566),0)</f>
        <v>133.4</v>
      </c>
      <c r="AR566" s="251">
        <f>IF($S566,INDEX('Tarieven W&amp;O'!$G:$G,MATCH(N566&amp;R566,'Tarieven W&amp;O'!$B:$B,0)),0)</f>
        <v>0</v>
      </c>
      <c r="AS566" s="205">
        <f>-INDEX(Parameters!$B:$B,MATCH(AS$3,Parameters!$A:$A,0))*(AQ566+AR566)</f>
        <v>0</v>
      </c>
      <c r="AT566" s="205">
        <f>INDEX(hulpblad!$E:$E,MATCH(M566&amp;Q566,hulpblad!$B:$B,0))</f>
        <v>2</v>
      </c>
      <c r="AU566" s="150">
        <f t="shared" si="283"/>
        <v>135.4</v>
      </c>
      <c r="AV566" s="150">
        <f t="shared" si="284"/>
        <v>135.81666666666666</v>
      </c>
      <c r="AX566" s="526">
        <f>Parameters!$B$6*AV566</f>
        <v>1.3581666666666667</v>
      </c>
      <c r="AY566" s="150">
        <v>0</v>
      </c>
      <c r="AZ566" s="150"/>
      <c r="BA566" s="150">
        <f t="shared" si="304"/>
        <v>1.3581666666666667</v>
      </c>
      <c r="BB566" s="150"/>
      <c r="BC566" s="522">
        <f t="shared" si="305"/>
        <v>137.17483333333334</v>
      </c>
      <c r="BD566" s="175"/>
      <c r="BE566" s="527">
        <f t="shared" si="285"/>
        <v>879.49183333333326</v>
      </c>
      <c r="BF566" s="181">
        <f t="shared" si="286"/>
        <v>0.86507393442622948</v>
      </c>
      <c r="BG566" s="520" t="b">
        <f t="shared" si="298"/>
        <v>0</v>
      </c>
      <c r="BI566" s="528" t="s">
        <v>2181</v>
      </c>
      <c r="BL566" s="151" t="str">
        <f t="shared" si="288"/>
        <v>EoKMetro - Nationaal</v>
      </c>
      <c r="BM566" s="529">
        <v>0</v>
      </c>
      <c r="BN566" s="180">
        <f>BM566/INDEX(Parameters!$B:$B,MATCH("AfschrijftermijnVVE"&amp;12*$C566,Parameters!$A:$A,0))</f>
        <v>0</v>
      </c>
      <c r="BO566" s="184">
        <f>INDEX('inkoop ULL tbv EVPN'!I:I,MATCH(BL566,'inkoop ULL tbv EVPN'!H:H,0))</f>
        <v>2</v>
      </c>
      <c r="BP566" s="184">
        <f t="shared" si="289"/>
        <v>2</v>
      </c>
      <c r="BR566" s="180">
        <f>Parameters!$B$12*AG566</f>
        <v>101.66666666666667</v>
      </c>
      <c r="BS566" s="180">
        <f>SUM(Distributievergoedingen!$F$12,Distributievergoedingen!$I$12,Distributievergoedingen!$L$12,Distributievergoedingen!$O$12)*AF566+SUM(Distributievergoedingen!$O$12*AA566+Distributievergoedingen!$R$12+Distributievergoedingen!$U$12+Distributievergoedingen!$X$12)/(MAX(36,12*C566))</f>
        <v>111.66666666666667</v>
      </c>
      <c r="BT566" s="150"/>
      <c r="BU566" s="150">
        <f t="shared" si="290"/>
        <v>213.33333333333334</v>
      </c>
      <c r="BW566" s="522">
        <f t="shared" si="291"/>
        <v>215.33333333333334</v>
      </c>
      <c r="BY566" s="527">
        <f t="shared" si="292"/>
        <v>801.33333333333326</v>
      </c>
      <c r="BZ566" s="181">
        <f t="shared" si="293"/>
        <v>0.78819672131147533</v>
      </c>
      <c r="CA566" s="520" t="b">
        <f t="shared" si="294"/>
        <v>0</v>
      </c>
    </row>
    <row r="567" spans="1:79" s="151" customFormat="1">
      <c r="A567" s="151" t="str">
        <f t="shared" si="287"/>
        <v>5EoKPremiumNationaal80</v>
      </c>
      <c r="B567" s="520" t="str">
        <f t="shared" si="295"/>
        <v>5EoKPremiumNationaal80</v>
      </c>
      <c r="C567" s="179">
        <v>5</v>
      </c>
      <c r="D567" s="179" t="s">
        <v>303</v>
      </c>
      <c r="E567" s="178" t="s">
        <v>267</v>
      </c>
      <c r="F567" s="178" t="s">
        <v>266</v>
      </c>
      <c r="G567" s="185" t="s">
        <v>417</v>
      </c>
      <c r="J567" s="520" t="str">
        <f t="shared" si="296"/>
        <v>PremiumNationaal80</v>
      </c>
      <c r="L567" s="204">
        <f>INDEX(Mapping!$H:$H,MATCH(C$3&amp;C567,Mapping!$B:$B,0))</f>
        <v>1</v>
      </c>
      <c r="M567" s="204" t="str">
        <f>INDEX(Mapping!$H:$H,MATCH(D$3&amp;$D567,Mapping!$B:$B,0))</f>
        <v>EoK</v>
      </c>
      <c r="N567" s="204" t="str">
        <f>INDEX(Mapping!$H:$H,MATCH(E$3&amp;E567,Mapping!$B:$B,0))</f>
        <v>Premium</v>
      </c>
      <c r="O567" s="204" t="str">
        <f>INDEX(Mapping!$H:$H,MATCH(F$3&amp;F567,Mapping!$B:$B,0))</f>
        <v>Metro</v>
      </c>
      <c r="P567" s="204">
        <f>INDEX(Mapping!$H:$H,MATCH(G$3&amp;G567,Mapping!$B:$B,0))</f>
        <v>80</v>
      </c>
      <c r="Q567" s="204" t="str">
        <f>INDEX(Mapping!$H:$H,MATCH(Q$3&amp;$F567,Mapping!$B:$B,0))</f>
        <v>Metro - Nationaal</v>
      </c>
      <c r="R567" s="204" t="str">
        <f>INDEX(Mapping!$H:$H,MATCH("ZM VPN Service Level"&amp;E567,Mapping!$B:$B,0))</f>
        <v>Advanced</v>
      </c>
      <c r="S567" s="139" t="b">
        <f>IF($D567="EoK",INDEX(Mapping!$I:$I,MATCH($G$3&amp;$G567,Mapping!B:B,0)),FALSE)</f>
        <v>0</v>
      </c>
      <c r="T567" s="139"/>
      <c r="U567" s="520" t="str">
        <f t="shared" si="297"/>
        <v>PremiumMetro80</v>
      </c>
      <c r="W567" s="521">
        <f>MATCH($J567,'Tarieven ZM'!$B:$B,0)</f>
        <v>115</v>
      </c>
      <c r="X567" s="204">
        <f>INDEX('Tarieven ZM'!$H:$H,$W567)</f>
        <v>1000</v>
      </c>
      <c r="Y567" s="198">
        <f>-INDEX(Parameters!$B:$B,MATCH(Y$3&amp;$C567,Parameters!$A:$A,0))*$X567</f>
        <v>0</v>
      </c>
      <c r="Z567" s="198">
        <f>-INDEX(Parameters!$B:$B,MATCH(Z$3&amp;$C567,Parameters!$A:$A,0))*$X567</f>
        <v>0</v>
      </c>
      <c r="AA567" s="139">
        <f t="shared" si="299"/>
        <v>1000</v>
      </c>
      <c r="AB567" s="205">
        <f>AA567/INDEX(Parameters!$B:$B,MATCH("AfschrijftermijnVVE"&amp;12*$C567,Parameters!$A:$A,0))</f>
        <v>16.666666666666668</v>
      </c>
      <c r="AC567" s="204">
        <f>INDEX('Tarieven ZM'!$G:$G,$W567)</f>
        <v>1000</v>
      </c>
      <c r="AD567" s="198">
        <f>-INDEX(Parameters!$B:$B,MATCH(AD$3&amp;$C567,Parameters!$A:$A,0))*$AC567</f>
        <v>0</v>
      </c>
      <c r="AE567" s="198">
        <f>-INDEX(Parameters!$B:$B,MATCH(AE$3,Parameters!$A:$A,0))*$AC567</f>
        <v>0</v>
      </c>
      <c r="AF567" s="139">
        <f t="shared" si="300"/>
        <v>1000</v>
      </c>
      <c r="AG567" s="522">
        <f t="shared" si="301"/>
        <v>1016.6666666666666</v>
      </c>
      <c r="AH567" s="175"/>
      <c r="AI567" s="523">
        <f>MATCH($U567,'Tarieven W&amp;O'!$B:$B,0)</f>
        <v>69</v>
      </c>
      <c r="AJ567" s="204">
        <f>IF(AI567&lt;&gt;"nvt",INDEX('Tarieven W&amp;O'!$H:$H,$AI567),0)</f>
        <v>0</v>
      </c>
      <c r="AK567" s="204">
        <f>IF(AI567&lt;&gt;"nvt",INDEX('Tarieven W&amp;O'!$I:$I,$AI567),0)</f>
        <v>25</v>
      </c>
      <c r="AL567" s="524">
        <f>IF(AI567&lt;&gt;"nvt",-INDEX(Parameters!$B:$B,MATCH(AL$3,Parameters!$A:$A,0))*(AJ567+AK567),0)</f>
        <v>0</v>
      </c>
      <c r="AM567" s="525"/>
      <c r="AN567" s="139">
        <f t="shared" si="302"/>
        <v>25</v>
      </c>
      <c r="AO567" s="205">
        <f>AN567/INDEX(Parameters!$B:$B,MATCH("AfschrijftermijnVVE"&amp;12*$C567,Parameters!$A:$A,0))</f>
        <v>0.41666666666666669</v>
      </c>
      <c r="AP567" s="139">
        <f t="shared" si="303"/>
        <v>69</v>
      </c>
      <c r="AQ567" s="526">
        <f>IF(AP567&lt;&gt;"nvt",INDEX('Tarieven W&amp;O'!$G:$G,$AP567),0)</f>
        <v>159.78</v>
      </c>
      <c r="AR567" s="251">
        <f>IF($S567,INDEX('Tarieven W&amp;O'!$G:$G,MATCH(N567&amp;R567,'Tarieven W&amp;O'!$B:$B,0)),0)</f>
        <v>0</v>
      </c>
      <c r="AS567" s="205">
        <f>-INDEX(Parameters!$B:$B,MATCH(AS$3,Parameters!$A:$A,0))*(AQ567+AR567)</f>
        <v>0</v>
      </c>
      <c r="AT567" s="205">
        <f>INDEX(hulpblad!$E:$E,MATCH(M567&amp;Q567,hulpblad!$B:$B,0))</f>
        <v>2</v>
      </c>
      <c r="AU567" s="150">
        <f t="shared" si="283"/>
        <v>161.78</v>
      </c>
      <c r="AV567" s="150">
        <f t="shared" si="284"/>
        <v>162.19666666666666</v>
      </c>
      <c r="AX567" s="526">
        <f>Parameters!$B$6*AV567</f>
        <v>1.6219666666666666</v>
      </c>
      <c r="AY567" s="150">
        <v>0</v>
      </c>
      <c r="AZ567" s="150"/>
      <c r="BA567" s="150">
        <f t="shared" si="304"/>
        <v>1.6219666666666666</v>
      </c>
      <c r="BB567" s="150"/>
      <c r="BC567" s="522">
        <f t="shared" si="305"/>
        <v>163.81863333333334</v>
      </c>
      <c r="BD567" s="175"/>
      <c r="BE567" s="527">
        <f t="shared" si="285"/>
        <v>852.84803333333332</v>
      </c>
      <c r="BF567" s="181">
        <f t="shared" si="286"/>
        <v>0.8388669180327869</v>
      </c>
      <c r="BG567" s="520" t="b">
        <f t="shared" si="298"/>
        <v>0</v>
      </c>
      <c r="BI567" s="528" t="s">
        <v>2181</v>
      </c>
      <c r="BL567" s="151" t="str">
        <f t="shared" si="288"/>
        <v>EoKMetro - Nationaal</v>
      </c>
      <c r="BM567" s="529">
        <v>0</v>
      </c>
      <c r="BN567" s="180">
        <f>BM567/INDEX(Parameters!$B:$B,MATCH("AfschrijftermijnVVE"&amp;12*$C567,Parameters!$A:$A,0))</f>
        <v>0</v>
      </c>
      <c r="BO567" s="184">
        <f>INDEX('inkoop ULL tbv EVPN'!I:I,MATCH(BL567,'inkoop ULL tbv EVPN'!H:H,0))</f>
        <v>2</v>
      </c>
      <c r="BP567" s="184">
        <f t="shared" si="289"/>
        <v>2</v>
      </c>
      <c r="BR567" s="180">
        <f>Parameters!$B$12*AG567</f>
        <v>101.66666666666667</v>
      </c>
      <c r="BS567" s="180">
        <f>SUM(Distributievergoedingen!$F$12,Distributievergoedingen!$I$12,Distributievergoedingen!$L$12,Distributievergoedingen!$O$12)*AF567+SUM(Distributievergoedingen!$O$12*AA567+Distributievergoedingen!$R$12+Distributievergoedingen!$U$12+Distributievergoedingen!$X$12)/(MAX(36,12*C567))</f>
        <v>111.66666666666667</v>
      </c>
      <c r="BT567" s="150"/>
      <c r="BU567" s="150">
        <f t="shared" si="290"/>
        <v>213.33333333333334</v>
      </c>
      <c r="BW567" s="522">
        <f t="shared" si="291"/>
        <v>215.33333333333334</v>
      </c>
      <c r="BY567" s="527">
        <f t="shared" si="292"/>
        <v>801.33333333333326</v>
      </c>
      <c r="BZ567" s="181">
        <f t="shared" si="293"/>
        <v>0.78819672131147533</v>
      </c>
      <c r="CA567" s="520" t="b">
        <f t="shared" si="294"/>
        <v>0</v>
      </c>
    </row>
    <row r="568" spans="1:79" s="151" customFormat="1">
      <c r="A568" s="151" t="str">
        <f t="shared" si="287"/>
        <v>5EoKPremiumNationaal100</v>
      </c>
      <c r="B568" s="520" t="str">
        <f t="shared" si="295"/>
        <v>5EoKPremiumNationaal100</v>
      </c>
      <c r="C568" s="179">
        <v>5</v>
      </c>
      <c r="D568" s="179" t="s">
        <v>303</v>
      </c>
      <c r="E568" s="178" t="s">
        <v>267</v>
      </c>
      <c r="F568" s="178" t="s">
        <v>266</v>
      </c>
      <c r="G568" s="185" t="s">
        <v>418</v>
      </c>
      <c r="J568" s="520" t="str">
        <f t="shared" si="296"/>
        <v>PremiumNationaal100</v>
      </c>
      <c r="L568" s="204">
        <f>INDEX(Mapping!$H:$H,MATCH(C$3&amp;C568,Mapping!$B:$B,0))</f>
        <v>1</v>
      </c>
      <c r="M568" s="204" t="str">
        <f>INDEX(Mapping!$H:$H,MATCH(D$3&amp;$D568,Mapping!$B:$B,0))</f>
        <v>EoK</v>
      </c>
      <c r="N568" s="204" t="str">
        <f>INDEX(Mapping!$H:$H,MATCH(E$3&amp;E568,Mapping!$B:$B,0))</f>
        <v>Premium</v>
      </c>
      <c r="O568" s="204" t="str">
        <f>INDEX(Mapping!$H:$H,MATCH(F$3&amp;F568,Mapping!$B:$B,0))</f>
        <v>Metro</v>
      </c>
      <c r="P568" s="204">
        <f>INDEX(Mapping!$H:$H,MATCH(G$3&amp;G568,Mapping!$B:$B,0))</f>
        <v>100</v>
      </c>
      <c r="Q568" s="204" t="str">
        <f>INDEX(Mapping!$H:$H,MATCH(Q$3&amp;$F568,Mapping!$B:$B,0))</f>
        <v>Metro - Nationaal</v>
      </c>
      <c r="R568" s="204" t="str">
        <f>INDEX(Mapping!$H:$H,MATCH("ZM VPN Service Level"&amp;E568,Mapping!$B:$B,0))</f>
        <v>Advanced</v>
      </c>
      <c r="S568" s="139" t="b">
        <f>IF($D568="EoK",INDEX(Mapping!$I:$I,MATCH($G$3&amp;$G568,Mapping!B:B,0)),FALSE)</f>
        <v>0</v>
      </c>
      <c r="T568" s="139"/>
      <c r="U568" s="520" t="str">
        <f t="shared" si="297"/>
        <v>PremiumMetro100</v>
      </c>
      <c r="W568" s="521">
        <f>MATCH($J568,'Tarieven ZM'!$B:$B,0)</f>
        <v>116</v>
      </c>
      <c r="X568" s="204">
        <f>INDEX('Tarieven ZM'!$H:$H,$W568)</f>
        <v>1000</v>
      </c>
      <c r="Y568" s="198">
        <f>-INDEX(Parameters!$B:$B,MATCH(Y$3&amp;$C568,Parameters!$A:$A,0))*$X568</f>
        <v>0</v>
      </c>
      <c r="Z568" s="198">
        <f>-INDEX(Parameters!$B:$B,MATCH(Z$3&amp;$C568,Parameters!$A:$A,0))*$X568</f>
        <v>0</v>
      </c>
      <c r="AA568" s="139">
        <f t="shared" si="299"/>
        <v>1000</v>
      </c>
      <c r="AB568" s="205">
        <f>AA568/INDEX(Parameters!$B:$B,MATCH("AfschrijftermijnVVE"&amp;12*$C568,Parameters!$A:$A,0))</f>
        <v>16.666666666666668</v>
      </c>
      <c r="AC568" s="204">
        <f>INDEX('Tarieven ZM'!$G:$G,$W568)</f>
        <v>1000</v>
      </c>
      <c r="AD568" s="198">
        <f>-INDEX(Parameters!$B:$B,MATCH(AD$3&amp;$C568,Parameters!$A:$A,0))*$AC568</f>
        <v>0</v>
      </c>
      <c r="AE568" s="198">
        <f>-INDEX(Parameters!$B:$B,MATCH(AE$3,Parameters!$A:$A,0))*$AC568</f>
        <v>0</v>
      </c>
      <c r="AF568" s="139">
        <f t="shared" si="300"/>
        <v>1000</v>
      </c>
      <c r="AG568" s="522">
        <f t="shared" si="301"/>
        <v>1016.6666666666666</v>
      </c>
      <c r="AH568" s="175"/>
      <c r="AI568" s="523">
        <f>MATCH($U568,'Tarieven W&amp;O'!$B:$B,0)</f>
        <v>70</v>
      </c>
      <c r="AJ568" s="204">
        <f>IF(AI568&lt;&gt;"nvt",INDEX('Tarieven W&amp;O'!$H:$H,$AI568),0)</f>
        <v>0</v>
      </c>
      <c r="AK568" s="204">
        <f>IF(AI568&lt;&gt;"nvt",INDEX('Tarieven W&amp;O'!$I:$I,$AI568),0)</f>
        <v>25</v>
      </c>
      <c r="AL568" s="524">
        <f>IF(AI568&lt;&gt;"nvt",-INDEX(Parameters!$B:$B,MATCH(AL$3,Parameters!$A:$A,0))*(AJ568+AK568),0)</f>
        <v>0</v>
      </c>
      <c r="AM568" s="525"/>
      <c r="AN568" s="139">
        <f t="shared" si="302"/>
        <v>25</v>
      </c>
      <c r="AO568" s="205">
        <f>AN568/INDEX(Parameters!$B:$B,MATCH("AfschrijftermijnVVE"&amp;12*$C568,Parameters!$A:$A,0))</f>
        <v>0.41666666666666669</v>
      </c>
      <c r="AP568" s="139">
        <f t="shared" si="303"/>
        <v>70</v>
      </c>
      <c r="AQ568" s="526">
        <f>IF(AP568&lt;&gt;"nvt",INDEX('Tarieven W&amp;O'!$G:$G,$AP568),0)</f>
        <v>178.63</v>
      </c>
      <c r="AR568" s="251">
        <f>IF($S568,INDEX('Tarieven W&amp;O'!$G:$G,MATCH(N568&amp;R568,'Tarieven W&amp;O'!$B:$B,0)),0)</f>
        <v>0</v>
      </c>
      <c r="AS568" s="205">
        <f>-INDEX(Parameters!$B:$B,MATCH(AS$3,Parameters!$A:$A,0))*(AQ568+AR568)</f>
        <v>0</v>
      </c>
      <c r="AT568" s="205">
        <f>INDEX(hulpblad!$E:$E,MATCH(M568&amp;Q568,hulpblad!$B:$B,0))</f>
        <v>2</v>
      </c>
      <c r="AU568" s="150">
        <f t="shared" si="283"/>
        <v>180.63</v>
      </c>
      <c r="AV568" s="150">
        <f t="shared" si="284"/>
        <v>181.04666666666665</v>
      </c>
      <c r="AX568" s="526">
        <f>Parameters!$B$6*AV568</f>
        <v>1.8104666666666667</v>
      </c>
      <c r="AY568" s="150">
        <v>0</v>
      </c>
      <c r="AZ568" s="150"/>
      <c r="BA568" s="150">
        <f t="shared" si="304"/>
        <v>1.8104666666666667</v>
      </c>
      <c r="BB568" s="150"/>
      <c r="BC568" s="522">
        <f t="shared" si="305"/>
        <v>182.85713333333331</v>
      </c>
      <c r="BD568" s="175"/>
      <c r="BE568" s="527">
        <f t="shared" si="285"/>
        <v>833.80953333333332</v>
      </c>
      <c r="BF568" s="181">
        <f t="shared" si="286"/>
        <v>0.82014052459016396</v>
      </c>
      <c r="BG568" s="520" t="b">
        <f t="shared" si="298"/>
        <v>0</v>
      </c>
      <c r="BI568" s="528" t="s">
        <v>2181</v>
      </c>
      <c r="BL568" s="151" t="str">
        <f t="shared" si="288"/>
        <v>EoKMetro - Nationaal</v>
      </c>
      <c r="BM568" s="529">
        <v>0</v>
      </c>
      <c r="BN568" s="180">
        <f>BM568/INDEX(Parameters!$B:$B,MATCH("AfschrijftermijnVVE"&amp;12*$C568,Parameters!$A:$A,0))</f>
        <v>0</v>
      </c>
      <c r="BO568" s="184">
        <f>INDEX('inkoop ULL tbv EVPN'!I:I,MATCH(BL568,'inkoop ULL tbv EVPN'!H:H,0))</f>
        <v>2</v>
      </c>
      <c r="BP568" s="184">
        <f t="shared" si="289"/>
        <v>2</v>
      </c>
      <c r="BR568" s="180">
        <f>Parameters!$B$12*AG568</f>
        <v>101.66666666666667</v>
      </c>
      <c r="BS568" s="180">
        <f>SUM(Distributievergoedingen!$F$12,Distributievergoedingen!$I$12,Distributievergoedingen!$L$12,Distributievergoedingen!$O$12)*AF568+SUM(Distributievergoedingen!$O$12*AA568+Distributievergoedingen!$R$12+Distributievergoedingen!$U$12+Distributievergoedingen!$X$12)/(MAX(36,12*C568))</f>
        <v>111.66666666666667</v>
      </c>
      <c r="BT568" s="150"/>
      <c r="BU568" s="150">
        <f t="shared" si="290"/>
        <v>213.33333333333334</v>
      </c>
      <c r="BW568" s="522">
        <f t="shared" si="291"/>
        <v>215.33333333333334</v>
      </c>
      <c r="BY568" s="527">
        <f t="shared" si="292"/>
        <v>801.33333333333326</v>
      </c>
      <c r="BZ568" s="181">
        <f t="shared" si="293"/>
        <v>0.78819672131147533</v>
      </c>
      <c r="CA568" s="520" t="b">
        <f t="shared" si="294"/>
        <v>0</v>
      </c>
    </row>
    <row r="569" spans="1:79" s="151" customFormat="1">
      <c r="A569" s="151" t="str">
        <f t="shared" si="287"/>
        <v>5EoKPremiumNationaal200</v>
      </c>
      <c r="B569" s="520" t="str">
        <f t="shared" si="295"/>
        <v>5EoKPremiumNationaal200</v>
      </c>
      <c r="C569" s="179">
        <v>5</v>
      </c>
      <c r="D569" s="179" t="s">
        <v>303</v>
      </c>
      <c r="E569" s="178" t="s">
        <v>267</v>
      </c>
      <c r="F569" s="178" t="s">
        <v>266</v>
      </c>
      <c r="G569" s="185" t="s">
        <v>419</v>
      </c>
      <c r="J569" s="520" t="str">
        <f t="shared" si="296"/>
        <v>PremiumNationaal200</v>
      </c>
      <c r="L569" s="204">
        <f>INDEX(Mapping!$H:$H,MATCH(C$3&amp;C569,Mapping!$B:$B,0))</f>
        <v>1</v>
      </c>
      <c r="M569" s="204" t="str">
        <f>INDEX(Mapping!$H:$H,MATCH(D$3&amp;$D569,Mapping!$B:$B,0))</f>
        <v>EoK</v>
      </c>
      <c r="N569" s="204" t="str">
        <f>INDEX(Mapping!$H:$H,MATCH(E$3&amp;E569,Mapping!$B:$B,0))</f>
        <v>Premium</v>
      </c>
      <c r="O569" s="204" t="str">
        <f>INDEX(Mapping!$H:$H,MATCH(F$3&amp;F569,Mapping!$B:$B,0))</f>
        <v>Metro</v>
      </c>
      <c r="P569" s="204">
        <f>INDEX(Mapping!$H:$H,MATCH(G$3&amp;G569,Mapping!$B:$B,0))</f>
        <v>200</v>
      </c>
      <c r="Q569" s="204" t="str">
        <f>INDEX(Mapping!$H:$H,MATCH(Q$3&amp;$F569,Mapping!$B:$B,0))</f>
        <v>Metro - Nationaal</v>
      </c>
      <c r="R569" s="204" t="str">
        <f>INDEX(Mapping!$H:$H,MATCH("ZM VPN Service Level"&amp;E569,Mapping!$B:$B,0))</f>
        <v>Advanced</v>
      </c>
      <c r="S569" s="139" t="b">
        <f>IF($D569="EoK",INDEX(Mapping!$I:$I,MATCH($G$3&amp;$G569,Mapping!B:B,0)),FALSE)</f>
        <v>0</v>
      </c>
      <c r="T569" s="139"/>
      <c r="U569" s="520" t="str">
        <f t="shared" si="297"/>
        <v>PremiumMetro200</v>
      </c>
      <c r="W569" s="521">
        <f>MATCH($J569,'Tarieven ZM'!$B:$B,0)</f>
        <v>117</v>
      </c>
      <c r="X569" s="204">
        <f>INDEX('Tarieven ZM'!$H:$H,$W569)</f>
        <v>1000</v>
      </c>
      <c r="Y569" s="198">
        <f>-INDEX(Parameters!$B:$B,MATCH(Y$3&amp;$C569,Parameters!$A:$A,0))*$X569</f>
        <v>0</v>
      </c>
      <c r="Z569" s="198">
        <f>-INDEX(Parameters!$B:$B,MATCH(Z$3&amp;$C569,Parameters!$A:$A,0))*$X569</f>
        <v>0</v>
      </c>
      <c r="AA569" s="139">
        <f t="shared" si="299"/>
        <v>1000</v>
      </c>
      <c r="AB569" s="205">
        <f>AA569/INDEX(Parameters!$B:$B,MATCH("AfschrijftermijnVVE"&amp;12*$C569,Parameters!$A:$A,0))</f>
        <v>16.666666666666668</v>
      </c>
      <c r="AC569" s="204">
        <f>INDEX('Tarieven ZM'!$G:$G,$W569)</f>
        <v>1000</v>
      </c>
      <c r="AD569" s="198">
        <f>-INDEX(Parameters!$B:$B,MATCH(AD$3&amp;$C569,Parameters!$A:$A,0))*$AC569</f>
        <v>0</v>
      </c>
      <c r="AE569" s="198">
        <f>-INDEX(Parameters!$B:$B,MATCH(AE$3,Parameters!$A:$A,0))*$AC569</f>
        <v>0</v>
      </c>
      <c r="AF569" s="139">
        <f t="shared" si="300"/>
        <v>1000</v>
      </c>
      <c r="AG569" s="522">
        <f t="shared" si="301"/>
        <v>1016.6666666666666</v>
      </c>
      <c r="AH569" s="175"/>
      <c r="AI569" s="523">
        <f>MATCH($U569,'Tarieven W&amp;O'!$B:$B,0)</f>
        <v>71</v>
      </c>
      <c r="AJ569" s="204">
        <f>IF(AI569&lt;&gt;"nvt",INDEX('Tarieven W&amp;O'!$H:$H,$AI569),0)</f>
        <v>0</v>
      </c>
      <c r="AK569" s="204">
        <f>IF(AI569&lt;&gt;"nvt",INDEX('Tarieven W&amp;O'!$I:$I,$AI569),0)</f>
        <v>25</v>
      </c>
      <c r="AL569" s="524">
        <f>IF(AI569&lt;&gt;"nvt",-INDEX(Parameters!$B:$B,MATCH(AL$3,Parameters!$A:$A,0))*(AJ569+AK569),0)</f>
        <v>0</v>
      </c>
      <c r="AM569" s="525"/>
      <c r="AN569" s="139">
        <f t="shared" si="302"/>
        <v>25</v>
      </c>
      <c r="AO569" s="205">
        <f>AN569/INDEX(Parameters!$B:$B,MATCH("AfschrijftermijnVVE"&amp;12*$C569,Parameters!$A:$A,0))</f>
        <v>0.41666666666666669</v>
      </c>
      <c r="AP569" s="139">
        <f t="shared" si="303"/>
        <v>71</v>
      </c>
      <c r="AQ569" s="526">
        <f>IF(AP569&lt;&gt;"nvt",INDEX('Tarieven W&amp;O'!$G:$G,$AP569),0)</f>
        <v>216.32</v>
      </c>
      <c r="AR569" s="251">
        <f>IF($S569,INDEX('Tarieven W&amp;O'!$G:$G,MATCH(N569&amp;R569,'Tarieven W&amp;O'!$B:$B,0)),0)</f>
        <v>0</v>
      </c>
      <c r="AS569" s="205">
        <f>-INDEX(Parameters!$B:$B,MATCH(AS$3,Parameters!$A:$A,0))*(AQ569+AR569)</f>
        <v>0</v>
      </c>
      <c r="AT569" s="205">
        <f>INDEX(hulpblad!$E:$E,MATCH(M569&amp;Q569,hulpblad!$B:$B,0))</f>
        <v>2</v>
      </c>
      <c r="AU569" s="150">
        <f t="shared" si="283"/>
        <v>218.32</v>
      </c>
      <c r="AV569" s="150">
        <f t="shared" si="284"/>
        <v>218.73666666666665</v>
      </c>
      <c r="AX569" s="526">
        <f>Parameters!$B$6*AV569</f>
        <v>2.1873666666666667</v>
      </c>
      <c r="AY569" s="150">
        <v>0</v>
      </c>
      <c r="AZ569" s="150"/>
      <c r="BA569" s="150">
        <f t="shared" si="304"/>
        <v>2.1873666666666667</v>
      </c>
      <c r="BB569" s="150"/>
      <c r="BC569" s="522">
        <f t="shared" si="305"/>
        <v>220.92403333333331</v>
      </c>
      <c r="BD569" s="175"/>
      <c r="BE569" s="527">
        <f t="shared" si="285"/>
        <v>795.74263333333329</v>
      </c>
      <c r="BF569" s="181">
        <f t="shared" si="286"/>
        <v>0.78269767213114749</v>
      </c>
      <c r="BG569" s="520" t="b">
        <f t="shared" si="298"/>
        <v>0</v>
      </c>
      <c r="BI569" s="528" t="s">
        <v>2181</v>
      </c>
      <c r="BL569" s="151" t="str">
        <f t="shared" si="288"/>
        <v>EoKMetro - Nationaal</v>
      </c>
      <c r="BM569" s="529">
        <v>0</v>
      </c>
      <c r="BN569" s="180">
        <f>BM569/INDEX(Parameters!$B:$B,MATCH("AfschrijftermijnVVE"&amp;12*$C569,Parameters!$A:$A,0))</f>
        <v>0</v>
      </c>
      <c r="BO569" s="184">
        <f>INDEX('inkoop ULL tbv EVPN'!I:I,MATCH(BL569,'inkoop ULL tbv EVPN'!H:H,0))</f>
        <v>2</v>
      </c>
      <c r="BP569" s="184">
        <f t="shared" si="289"/>
        <v>2</v>
      </c>
      <c r="BR569" s="180">
        <f>Parameters!$B$12*AG569</f>
        <v>101.66666666666667</v>
      </c>
      <c r="BS569" s="180">
        <f>SUM(Distributievergoedingen!$F$12,Distributievergoedingen!$I$12,Distributievergoedingen!$L$12,Distributievergoedingen!$O$12)*AF569+SUM(Distributievergoedingen!$O$12*AA569+Distributievergoedingen!$R$12+Distributievergoedingen!$U$12+Distributievergoedingen!$X$12)/(MAX(36,12*C569))</f>
        <v>111.66666666666667</v>
      </c>
      <c r="BT569" s="150"/>
      <c r="BU569" s="150">
        <f t="shared" si="290"/>
        <v>213.33333333333334</v>
      </c>
      <c r="BW569" s="522">
        <f t="shared" si="291"/>
        <v>215.33333333333334</v>
      </c>
      <c r="BY569" s="527">
        <f t="shared" si="292"/>
        <v>801.33333333333326</v>
      </c>
      <c r="BZ569" s="181">
        <f t="shared" si="293"/>
        <v>0.78819672131147533</v>
      </c>
      <c r="CA569" s="520" t="b">
        <f t="shared" si="294"/>
        <v>0</v>
      </c>
    </row>
    <row r="570" spans="1:79" s="151" customFormat="1">
      <c r="A570" s="151" t="str">
        <f t="shared" si="287"/>
        <v>5EoKPremiumNationaal300</v>
      </c>
      <c r="B570" s="520" t="str">
        <f t="shared" si="295"/>
        <v>5EoKPremiumNationaal300</v>
      </c>
      <c r="C570" s="179">
        <v>5</v>
      </c>
      <c r="D570" s="179" t="s">
        <v>303</v>
      </c>
      <c r="E570" s="178" t="s">
        <v>267</v>
      </c>
      <c r="F570" s="178" t="s">
        <v>266</v>
      </c>
      <c r="G570" s="185" t="s">
        <v>420</v>
      </c>
      <c r="J570" s="520" t="str">
        <f t="shared" si="296"/>
        <v>PremiumNationaal300</v>
      </c>
      <c r="L570" s="204">
        <f>INDEX(Mapping!$H:$H,MATCH(C$3&amp;C570,Mapping!$B:$B,0))</f>
        <v>1</v>
      </c>
      <c r="M570" s="204" t="str">
        <f>INDEX(Mapping!$H:$H,MATCH(D$3&amp;$D570,Mapping!$B:$B,0))</f>
        <v>EoK</v>
      </c>
      <c r="N570" s="204" t="str">
        <f>INDEX(Mapping!$H:$H,MATCH(E$3&amp;E570,Mapping!$B:$B,0))</f>
        <v>Premium</v>
      </c>
      <c r="O570" s="204" t="str">
        <f>INDEX(Mapping!$H:$H,MATCH(F$3&amp;F570,Mapping!$B:$B,0))</f>
        <v>Metro</v>
      </c>
      <c r="P570" s="204">
        <f>INDEX(Mapping!$H:$H,MATCH(G$3&amp;G570,Mapping!$B:$B,0))</f>
        <v>300</v>
      </c>
      <c r="Q570" s="204" t="str">
        <f>INDEX(Mapping!$H:$H,MATCH(Q$3&amp;$F570,Mapping!$B:$B,0))</f>
        <v>Metro - Nationaal</v>
      </c>
      <c r="R570" s="204" t="str">
        <f>INDEX(Mapping!$H:$H,MATCH("ZM VPN Service Level"&amp;E570,Mapping!$B:$B,0))</f>
        <v>Advanced</v>
      </c>
      <c r="S570" s="139" t="b">
        <f>IF($D570="EoK",INDEX(Mapping!$I:$I,MATCH($G$3&amp;$G570,Mapping!B:B,0)),FALSE)</f>
        <v>0</v>
      </c>
      <c r="T570" s="139"/>
      <c r="U570" s="520" t="str">
        <f t="shared" si="297"/>
        <v>PremiumMetro300</v>
      </c>
      <c r="W570" s="521">
        <f>MATCH($J570,'Tarieven ZM'!$B:$B,0)</f>
        <v>118</v>
      </c>
      <c r="X570" s="204">
        <f>INDEX('Tarieven ZM'!$H:$H,$W570)</f>
        <v>1000</v>
      </c>
      <c r="Y570" s="198">
        <f>-INDEX(Parameters!$B:$B,MATCH(Y$3&amp;$C570,Parameters!$A:$A,0))*$X570</f>
        <v>0</v>
      </c>
      <c r="Z570" s="198">
        <f>-INDEX(Parameters!$B:$B,MATCH(Z$3&amp;$C570,Parameters!$A:$A,0))*$X570</f>
        <v>0</v>
      </c>
      <c r="AA570" s="139">
        <f t="shared" si="299"/>
        <v>1000</v>
      </c>
      <c r="AB570" s="205">
        <f>AA570/INDEX(Parameters!$B:$B,MATCH("AfschrijftermijnVVE"&amp;12*$C570,Parameters!$A:$A,0))</f>
        <v>16.666666666666668</v>
      </c>
      <c r="AC570" s="204">
        <f>INDEX('Tarieven ZM'!$G:$G,$W570)</f>
        <v>1000</v>
      </c>
      <c r="AD570" s="198">
        <f>-INDEX(Parameters!$B:$B,MATCH(AD$3&amp;$C570,Parameters!$A:$A,0))*$AC570</f>
        <v>0</v>
      </c>
      <c r="AE570" s="198">
        <f>-INDEX(Parameters!$B:$B,MATCH(AE$3,Parameters!$A:$A,0))*$AC570</f>
        <v>0</v>
      </c>
      <c r="AF570" s="139">
        <f t="shared" si="300"/>
        <v>1000</v>
      </c>
      <c r="AG570" s="522">
        <f t="shared" si="301"/>
        <v>1016.6666666666666</v>
      </c>
      <c r="AH570" s="175"/>
      <c r="AI570" s="523">
        <f>MATCH($U570,'Tarieven W&amp;O'!$B:$B,0)</f>
        <v>72</v>
      </c>
      <c r="AJ570" s="204">
        <f>IF(AI570&lt;&gt;"nvt",INDEX('Tarieven W&amp;O'!$H:$H,$AI570),0)</f>
        <v>0</v>
      </c>
      <c r="AK570" s="204">
        <f>IF(AI570&lt;&gt;"nvt",INDEX('Tarieven W&amp;O'!$I:$I,$AI570),0)</f>
        <v>25</v>
      </c>
      <c r="AL570" s="524">
        <f>IF(AI570&lt;&gt;"nvt",-INDEX(Parameters!$B:$B,MATCH(AL$3,Parameters!$A:$A,0))*(AJ570+AK570),0)</f>
        <v>0</v>
      </c>
      <c r="AM570" s="525"/>
      <c r="AN570" s="139">
        <f t="shared" si="302"/>
        <v>25</v>
      </c>
      <c r="AO570" s="205">
        <f>AN570/INDEX(Parameters!$B:$B,MATCH("AfschrijftermijnVVE"&amp;12*$C570,Parameters!$A:$A,0))</f>
        <v>0.41666666666666669</v>
      </c>
      <c r="AP570" s="139">
        <f t="shared" si="303"/>
        <v>72</v>
      </c>
      <c r="AQ570" s="526">
        <f>IF(AP570&lt;&gt;"nvt",INDEX('Tarieven W&amp;O'!$G:$G,$AP570),0)</f>
        <v>254.01</v>
      </c>
      <c r="AR570" s="251">
        <f>IF($S570,INDEX('Tarieven W&amp;O'!$G:$G,MATCH(N570&amp;R570,'Tarieven W&amp;O'!$B:$B,0)),0)</f>
        <v>0</v>
      </c>
      <c r="AS570" s="205">
        <f>-INDEX(Parameters!$B:$B,MATCH(AS$3,Parameters!$A:$A,0))*(AQ570+AR570)</f>
        <v>0</v>
      </c>
      <c r="AT570" s="205">
        <f>INDEX(hulpblad!$E:$E,MATCH(M570&amp;Q570,hulpblad!$B:$B,0))</f>
        <v>2</v>
      </c>
      <c r="AU570" s="150">
        <f t="shared" si="283"/>
        <v>256.01</v>
      </c>
      <c r="AV570" s="150">
        <f t="shared" si="284"/>
        <v>256.42666666666668</v>
      </c>
      <c r="AX570" s="526">
        <f>Parameters!$B$6*AV570</f>
        <v>2.5642666666666667</v>
      </c>
      <c r="AY570" s="150">
        <v>0</v>
      </c>
      <c r="AZ570" s="150"/>
      <c r="BA570" s="150">
        <f t="shared" si="304"/>
        <v>2.5642666666666667</v>
      </c>
      <c r="BB570" s="150"/>
      <c r="BC570" s="522">
        <f t="shared" si="305"/>
        <v>258.99093333333332</v>
      </c>
      <c r="BD570" s="175"/>
      <c r="BE570" s="527">
        <f t="shared" si="285"/>
        <v>757.67573333333326</v>
      </c>
      <c r="BF570" s="181">
        <f t="shared" si="286"/>
        <v>0.74525481967213114</v>
      </c>
      <c r="BG570" s="520" t="b">
        <f t="shared" si="298"/>
        <v>0</v>
      </c>
      <c r="BI570" s="528" t="s">
        <v>2181</v>
      </c>
      <c r="BL570" s="151" t="str">
        <f t="shared" si="288"/>
        <v>EoKMetro - Nationaal</v>
      </c>
      <c r="BM570" s="529">
        <v>0</v>
      </c>
      <c r="BN570" s="180">
        <f>BM570/INDEX(Parameters!$B:$B,MATCH("AfschrijftermijnVVE"&amp;12*$C570,Parameters!$A:$A,0))</f>
        <v>0</v>
      </c>
      <c r="BO570" s="184">
        <f>INDEX('inkoop ULL tbv EVPN'!I:I,MATCH(BL570,'inkoop ULL tbv EVPN'!H:H,0))</f>
        <v>2</v>
      </c>
      <c r="BP570" s="184">
        <f t="shared" si="289"/>
        <v>2</v>
      </c>
      <c r="BR570" s="180">
        <f>Parameters!$B$12*AG570</f>
        <v>101.66666666666667</v>
      </c>
      <c r="BS570" s="180">
        <f>SUM(Distributievergoedingen!$F$12,Distributievergoedingen!$I$12,Distributievergoedingen!$L$12,Distributievergoedingen!$O$12)*AF570+SUM(Distributievergoedingen!$O$12*AA570+Distributievergoedingen!$R$12+Distributievergoedingen!$U$12+Distributievergoedingen!$X$12)/(MAX(36,12*C570))</f>
        <v>111.66666666666667</v>
      </c>
      <c r="BT570" s="150"/>
      <c r="BU570" s="150">
        <f t="shared" si="290"/>
        <v>213.33333333333334</v>
      </c>
      <c r="BW570" s="522">
        <f t="shared" si="291"/>
        <v>215.33333333333334</v>
      </c>
      <c r="BY570" s="527">
        <f t="shared" si="292"/>
        <v>801.33333333333326</v>
      </c>
      <c r="BZ570" s="181">
        <f t="shared" si="293"/>
        <v>0.78819672131147533</v>
      </c>
      <c r="CA570" s="520" t="b">
        <f t="shared" si="294"/>
        <v>0</v>
      </c>
    </row>
    <row r="571" spans="1:79" s="151" customFormat="1">
      <c r="A571" s="151" t="str">
        <f t="shared" si="287"/>
        <v>5EoKPremiumNationaal500</v>
      </c>
      <c r="B571" s="520" t="str">
        <f t="shared" si="295"/>
        <v>5EoKPremiumNationaal500</v>
      </c>
      <c r="C571" s="179">
        <v>5</v>
      </c>
      <c r="D571" s="179" t="s">
        <v>303</v>
      </c>
      <c r="E571" s="178" t="s">
        <v>267</v>
      </c>
      <c r="F571" s="178" t="s">
        <v>266</v>
      </c>
      <c r="G571" s="185" t="s">
        <v>421</v>
      </c>
      <c r="J571" s="520" t="str">
        <f t="shared" si="296"/>
        <v>PremiumNationaal500</v>
      </c>
      <c r="L571" s="204">
        <f>INDEX(Mapping!$H:$H,MATCH(C$3&amp;C571,Mapping!$B:$B,0))</f>
        <v>1</v>
      </c>
      <c r="M571" s="204" t="str">
        <f>INDEX(Mapping!$H:$H,MATCH(D$3&amp;$D571,Mapping!$B:$B,0))</f>
        <v>EoK</v>
      </c>
      <c r="N571" s="204" t="str">
        <f>INDEX(Mapping!$H:$H,MATCH(E$3&amp;E571,Mapping!$B:$B,0))</f>
        <v>Premium</v>
      </c>
      <c r="O571" s="204" t="str">
        <f>INDEX(Mapping!$H:$H,MATCH(F$3&amp;F571,Mapping!$B:$B,0))</f>
        <v>Metro</v>
      </c>
      <c r="P571" s="204">
        <f>INDEX(Mapping!$H:$H,MATCH(G$3&amp;G571,Mapping!$B:$B,0))</f>
        <v>500</v>
      </c>
      <c r="Q571" s="204" t="str">
        <f>INDEX(Mapping!$H:$H,MATCH(Q$3&amp;$F571,Mapping!$B:$B,0))</f>
        <v>Metro - Nationaal</v>
      </c>
      <c r="R571" s="204" t="str">
        <f>INDEX(Mapping!$H:$H,MATCH("ZM VPN Service Level"&amp;E571,Mapping!$B:$B,0))</f>
        <v>Advanced</v>
      </c>
      <c r="S571" s="139" t="b">
        <f>IF($D571="EoK",INDEX(Mapping!$I:$I,MATCH($G$3&amp;$G571,Mapping!B:B,0)),FALSE)</f>
        <v>0</v>
      </c>
      <c r="T571" s="139"/>
      <c r="U571" s="520" t="str">
        <f t="shared" si="297"/>
        <v>PremiumMetro500</v>
      </c>
      <c r="W571" s="521">
        <f>MATCH($J571,'Tarieven ZM'!$B:$B,0)</f>
        <v>119</v>
      </c>
      <c r="X571" s="204">
        <f>INDEX('Tarieven ZM'!$H:$H,$W571)</f>
        <v>1000</v>
      </c>
      <c r="Y571" s="198">
        <f>-INDEX(Parameters!$B:$B,MATCH(Y$3&amp;$C571,Parameters!$A:$A,0))*$X571</f>
        <v>0</v>
      </c>
      <c r="Z571" s="198">
        <f>-INDEX(Parameters!$B:$B,MATCH(Z$3&amp;$C571,Parameters!$A:$A,0))*$X571</f>
        <v>0</v>
      </c>
      <c r="AA571" s="139">
        <f t="shared" si="299"/>
        <v>1000</v>
      </c>
      <c r="AB571" s="205">
        <f>AA571/INDEX(Parameters!$B:$B,MATCH("AfschrijftermijnVVE"&amp;12*$C571,Parameters!$A:$A,0))</f>
        <v>16.666666666666668</v>
      </c>
      <c r="AC571" s="204">
        <f>INDEX('Tarieven ZM'!$G:$G,$W571)</f>
        <v>1000</v>
      </c>
      <c r="AD571" s="198">
        <f>-INDEX(Parameters!$B:$B,MATCH(AD$3&amp;$C571,Parameters!$A:$A,0))*$AC571</f>
        <v>0</v>
      </c>
      <c r="AE571" s="198">
        <f>-INDEX(Parameters!$B:$B,MATCH(AE$3,Parameters!$A:$A,0))*$AC571</f>
        <v>0</v>
      </c>
      <c r="AF571" s="139">
        <f t="shared" si="300"/>
        <v>1000</v>
      </c>
      <c r="AG571" s="522">
        <f t="shared" si="301"/>
        <v>1016.6666666666666</v>
      </c>
      <c r="AH571" s="175"/>
      <c r="AI571" s="523">
        <f>MATCH($U571,'Tarieven W&amp;O'!$B:$B,0)</f>
        <v>73</v>
      </c>
      <c r="AJ571" s="204">
        <f>IF(AI571&lt;&gt;"nvt",INDEX('Tarieven W&amp;O'!$H:$H,$AI571),0)</f>
        <v>0</v>
      </c>
      <c r="AK571" s="204">
        <f>IF(AI571&lt;&gt;"nvt",INDEX('Tarieven W&amp;O'!$I:$I,$AI571),0)</f>
        <v>25</v>
      </c>
      <c r="AL571" s="524">
        <f>IF(AI571&lt;&gt;"nvt",-INDEX(Parameters!$B:$B,MATCH(AL$3,Parameters!$A:$A,0))*(AJ571+AK571),0)</f>
        <v>0</v>
      </c>
      <c r="AM571" s="525"/>
      <c r="AN571" s="139">
        <f t="shared" si="302"/>
        <v>25</v>
      </c>
      <c r="AO571" s="205">
        <f>AN571/INDEX(Parameters!$B:$B,MATCH("AfschrijftermijnVVE"&amp;12*$C571,Parameters!$A:$A,0))</f>
        <v>0.41666666666666669</v>
      </c>
      <c r="AP571" s="139">
        <f t="shared" si="303"/>
        <v>73</v>
      </c>
      <c r="AQ571" s="526">
        <f>IF(AP571&lt;&gt;"nvt",INDEX('Tarieven W&amp;O'!$G:$G,$AP571),0)</f>
        <v>310.54000000000002</v>
      </c>
      <c r="AR571" s="251">
        <f>IF($S571,INDEX('Tarieven W&amp;O'!$G:$G,MATCH(N571&amp;R571,'Tarieven W&amp;O'!$B:$B,0)),0)</f>
        <v>0</v>
      </c>
      <c r="AS571" s="205">
        <f>-INDEX(Parameters!$B:$B,MATCH(AS$3,Parameters!$A:$A,0))*(AQ571+AR571)</f>
        <v>0</v>
      </c>
      <c r="AT571" s="205">
        <f>INDEX(hulpblad!$E:$E,MATCH(M571&amp;Q571,hulpblad!$B:$B,0))</f>
        <v>2</v>
      </c>
      <c r="AU571" s="150">
        <f t="shared" si="283"/>
        <v>312.54000000000002</v>
      </c>
      <c r="AV571" s="150">
        <f t="shared" si="284"/>
        <v>312.95666666666671</v>
      </c>
      <c r="AX571" s="526">
        <f>Parameters!$B$6*AV571</f>
        <v>3.1295666666666673</v>
      </c>
      <c r="AY571" s="150">
        <v>0</v>
      </c>
      <c r="AZ571" s="150"/>
      <c r="BA571" s="150">
        <f t="shared" si="304"/>
        <v>3.1295666666666673</v>
      </c>
      <c r="BB571" s="150"/>
      <c r="BC571" s="522">
        <f t="shared" si="305"/>
        <v>316.08623333333338</v>
      </c>
      <c r="BD571" s="175"/>
      <c r="BE571" s="527">
        <f t="shared" si="285"/>
        <v>700.5804333333333</v>
      </c>
      <c r="BF571" s="181">
        <f t="shared" si="286"/>
        <v>0.68909550819672127</v>
      </c>
      <c r="BG571" s="520" t="b">
        <f t="shared" si="298"/>
        <v>0</v>
      </c>
      <c r="BI571" s="528" t="s">
        <v>2181</v>
      </c>
      <c r="BL571" s="151" t="str">
        <f t="shared" si="288"/>
        <v>EoKMetro - Nationaal</v>
      </c>
      <c r="BM571" s="529">
        <v>0</v>
      </c>
      <c r="BN571" s="180">
        <f>BM571/INDEX(Parameters!$B:$B,MATCH("AfschrijftermijnVVE"&amp;12*$C571,Parameters!$A:$A,0))</f>
        <v>0</v>
      </c>
      <c r="BO571" s="184">
        <f>INDEX('inkoop ULL tbv EVPN'!I:I,MATCH(BL571,'inkoop ULL tbv EVPN'!H:H,0))</f>
        <v>2</v>
      </c>
      <c r="BP571" s="184">
        <f t="shared" si="289"/>
        <v>2</v>
      </c>
      <c r="BR571" s="180">
        <f>Parameters!$B$12*AG571</f>
        <v>101.66666666666667</v>
      </c>
      <c r="BS571" s="180">
        <f>SUM(Distributievergoedingen!$F$12,Distributievergoedingen!$I$12,Distributievergoedingen!$L$12,Distributievergoedingen!$O$12)*AF571+SUM(Distributievergoedingen!$O$12*AA571+Distributievergoedingen!$R$12+Distributievergoedingen!$U$12+Distributievergoedingen!$X$12)/(MAX(36,12*C571))</f>
        <v>111.66666666666667</v>
      </c>
      <c r="BT571" s="150"/>
      <c r="BU571" s="150">
        <f t="shared" si="290"/>
        <v>213.33333333333334</v>
      </c>
      <c r="BW571" s="522">
        <f t="shared" si="291"/>
        <v>215.33333333333334</v>
      </c>
      <c r="BY571" s="527">
        <f t="shared" si="292"/>
        <v>801.33333333333326</v>
      </c>
      <c r="BZ571" s="181">
        <f t="shared" si="293"/>
        <v>0.78819672131147533</v>
      </c>
      <c r="CA571" s="520" t="b">
        <f t="shared" si="294"/>
        <v>0</v>
      </c>
    </row>
    <row r="572" spans="1:79" s="151" customFormat="1">
      <c r="A572" s="151" t="str">
        <f t="shared" si="287"/>
        <v>5EoKPremiumNationaal800</v>
      </c>
      <c r="B572" s="520" t="str">
        <f t="shared" si="295"/>
        <v>5EoKPremiumNationaal800</v>
      </c>
      <c r="C572" s="179">
        <v>5</v>
      </c>
      <c r="D572" s="179" t="s">
        <v>303</v>
      </c>
      <c r="E572" s="178" t="s">
        <v>267</v>
      </c>
      <c r="F572" s="178" t="s">
        <v>266</v>
      </c>
      <c r="G572" s="185" t="s">
        <v>422</v>
      </c>
      <c r="J572" s="520" t="str">
        <f t="shared" si="296"/>
        <v>PremiumNationaal800</v>
      </c>
      <c r="L572" s="204">
        <f>INDEX(Mapping!$H:$H,MATCH(C$3&amp;C572,Mapping!$B:$B,0))</f>
        <v>1</v>
      </c>
      <c r="M572" s="204" t="str">
        <f>INDEX(Mapping!$H:$H,MATCH(D$3&amp;$D572,Mapping!$B:$B,0))</f>
        <v>EoK</v>
      </c>
      <c r="N572" s="204" t="str">
        <f>INDEX(Mapping!$H:$H,MATCH(E$3&amp;E572,Mapping!$B:$B,0))</f>
        <v>Premium</v>
      </c>
      <c r="O572" s="204" t="str">
        <f>INDEX(Mapping!$H:$H,MATCH(F$3&amp;F572,Mapping!$B:$B,0))</f>
        <v>Metro</v>
      </c>
      <c r="P572" s="204">
        <f>INDEX(Mapping!$H:$H,MATCH(G$3&amp;G572,Mapping!$B:$B,0))</f>
        <v>800</v>
      </c>
      <c r="Q572" s="204" t="str">
        <f>INDEX(Mapping!$H:$H,MATCH(Q$3&amp;$F572,Mapping!$B:$B,0))</f>
        <v>Metro - Nationaal</v>
      </c>
      <c r="R572" s="204" t="str">
        <f>INDEX(Mapping!$H:$H,MATCH("ZM VPN Service Level"&amp;E572,Mapping!$B:$B,0))</f>
        <v>Advanced</v>
      </c>
      <c r="S572" s="139" t="b">
        <f>IF($D572="EoK",INDEX(Mapping!$I:$I,MATCH($G$3&amp;$G572,Mapping!B:B,0)),FALSE)</f>
        <v>0</v>
      </c>
      <c r="T572" s="139"/>
      <c r="U572" s="520" t="str">
        <f t="shared" si="297"/>
        <v>PremiumMetro800</v>
      </c>
      <c r="W572" s="521">
        <f>MATCH($J572,'Tarieven ZM'!$B:$B,0)</f>
        <v>120</v>
      </c>
      <c r="X572" s="204">
        <f>INDEX('Tarieven ZM'!$H:$H,$W572)</f>
        <v>1000</v>
      </c>
      <c r="Y572" s="198">
        <f>-INDEX(Parameters!$B:$B,MATCH(Y$3&amp;$C572,Parameters!$A:$A,0))*$X572</f>
        <v>0</v>
      </c>
      <c r="Z572" s="198">
        <f>-INDEX(Parameters!$B:$B,MATCH(Z$3&amp;$C572,Parameters!$A:$A,0))*$X572</f>
        <v>0</v>
      </c>
      <c r="AA572" s="139">
        <f t="shared" si="299"/>
        <v>1000</v>
      </c>
      <c r="AB572" s="205">
        <f>AA572/INDEX(Parameters!$B:$B,MATCH("AfschrijftermijnVVE"&amp;12*$C572,Parameters!$A:$A,0))</f>
        <v>16.666666666666668</v>
      </c>
      <c r="AC572" s="204">
        <f>INDEX('Tarieven ZM'!$G:$G,$W572)</f>
        <v>1000</v>
      </c>
      <c r="AD572" s="198">
        <f>-INDEX(Parameters!$B:$B,MATCH(AD$3&amp;$C572,Parameters!$A:$A,0))*$AC572</f>
        <v>0</v>
      </c>
      <c r="AE572" s="198">
        <f>-INDEX(Parameters!$B:$B,MATCH(AE$3,Parameters!$A:$A,0))*$AC572</f>
        <v>0</v>
      </c>
      <c r="AF572" s="139">
        <f t="shared" si="300"/>
        <v>1000</v>
      </c>
      <c r="AG572" s="522">
        <f t="shared" si="301"/>
        <v>1016.6666666666666</v>
      </c>
      <c r="AH572" s="175"/>
      <c r="AI572" s="523">
        <f>MATCH($U572,'Tarieven W&amp;O'!$B:$B,0)</f>
        <v>74</v>
      </c>
      <c r="AJ572" s="204">
        <f>IF(AI572&lt;&gt;"nvt",INDEX('Tarieven W&amp;O'!$H:$H,$AI572),0)</f>
        <v>0</v>
      </c>
      <c r="AK572" s="204">
        <f>IF(AI572&lt;&gt;"nvt",INDEX('Tarieven W&amp;O'!$I:$I,$AI572),0)</f>
        <v>25</v>
      </c>
      <c r="AL572" s="524">
        <f>IF(AI572&lt;&gt;"nvt",-INDEX(Parameters!$B:$B,MATCH(AL$3,Parameters!$A:$A,0))*(AJ572+AK572),0)</f>
        <v>0</v>
      </c>
      <c r="AM572" s="525"/>
      <c r="AN572" s="139">
        <f t="shared" si="302"/>
        <v>25</v>
      </c>
      <c r="AO572" s="205">
        <f>AN572/INDEX(Parameters!$B:$B,MATCH("AfschrijftermijnVVE"&amp;12*$C572,Parameters!$A:$A,0))</f>
        <v>0.41666666666666669</v>
      </c>
      <c r="AP572" s="139">
        <f t="shared" si="303"/>
        <v>74</v>
      </c>
      <c r="AQ572" s="526">
        <f>IF(AP572&lt;&gt;"nvt",INDEX('Tarieven W&amp;O'!$G:$G,$AP572),0)</f>
        <v>348.23</v>
      </c>
      <c r="AR572" s="251">
        <f>IF($S572,INDEX('Tarieven W&amp;O'!$G:$G,MATCH(N572&amp;R572,'Tarieven W&amp;O'!$B:$B,0)),0)</f>
        <v>0</v>
      </c>
      <c r="AS572" s="205">
        <f>-INDEX(Parameters!$B:$B,MATCH(AS$3,Parameters!$A:$A,0))*(AQ572+AR572)</f>
        <v>0</v>
      </c>
      <c r="AT572" s="205">
        <f>INDEX(hulpblad!$E:$E,MATCH(M572&amp;Q572,hulpblad!$B:$B,0))</f>
        <v>2</v>
      </c>
      <c r="AU572" s="150">
        <f t="shared" si="283"/>
        <v>350.23</v>
      </c>
      <c r="AV572" s="150">
        <f t="shared" si="284"/>
        <v>350.6466666666667</v>
      </c>
      <c r="AX572" s="526">
        <f>Parameters!$B$6*AV572</f>
        <v>3.5064666666666673</v>
      </c>
      <c r="AY572" s="150">
        <v>0</v>
      </c>
      <c r="AZ572" s="150"/>
      <c r="BA572" s="150">
        <f t="shared" si="304"/>
        <v>3.5064666666666673</v>
      </c>
      <c r="BB572" s="150"/>
      <c r="BC572" s="522">
        <f t="shared" si="305"/>
        <v>354.15313333333336</v>
      </c>
      <c r="BD572" s="175"/>
      <c r="BE572" s="527">
        <f t="shared" si="285"/>
        <v>662.51353333333327</v>
      </c>
      <c r="BF572" s="181">
        <f t="shared" si="286"/>
        <v>0.65165265573770492</v>
      </c>
      <c r="BG572" s="520" t="b">
        <f t="shared" si="298"/>
        <v>0</v>
      </c>
      <c r="BI572" s="528" t="s">
        <v>2181</v>
      </c>
      <c r="BL572" s="151" t="str">
        <f t="shared" si="288"/>
        <v>EoKMetro - Nationaal</v>
      </c>
      <c r="BM572" s="529">
        <v>0</v>
      </c>
      <c r="BN572" s="180">
        <f>BM572/INDEX(Parameters!$B:$B,MATCH("AfschrijftermijnVVE"&amp;12*$C572,Parameters!$A:$A,0))</f>
        <v>0</v>
      </c>
      <c r="BO572" s="184">
        <f>INDEX('inkoop ULL tbv EVPN'!I:I,MATCH(BL572,'inkoop ULL tbv EVPN'!H:H,0))</f>
        <v>2</v>
      </c>
      <c r="BP572" s="184">
        <f t="shared" si="289"/>
        <v>2</v>
      </c>
      <c r="BR572" s="180">
        <f>Parameters!$B$12*AG572</f>
        <v>101.66666666666667</v>
      </c>
      <c r="BS572" s="180">
        <f>SUM(Distributievergoedingen!$F$12,Distributievergoedingen!$I$12,Distributievergoedingen!$L$12,Distributievergoedingen!$O$12)*AF572+SUM(Distributievergoedingen!$O$12*AA572+Distributievergoedingen!$R$12+Distributievergoedingen!$U$12+Distributievergoedingen!$X$12)/(MAX(36,12*C572))</f>
        <v>111.66666666666667</v>
      </c>
      <c r="BT572" s="150"/>
      <c r="BU572" s="150">
        <f t="shared" si="290"/>
        <v>213.33333333333334</v>
      </c>
      <c r="BW572" s="522">
        <f t="shared" si="291"/>
        <v>215.33333333333334</v>
      </c>
      <c r="BY572" s="527">
        <f t="shared" si="292"/>
        <v>801.33333333333326</v>
      </c>
      <c r="BZ572" s="181">
        <f t="shared" si="293"/>
        <v>0.78819672131147533</v>
      </c>
      <c r="CA572" s="520" t="b">
        <f t="shared" si="294"/>
        <v>0</v>
      </c>
    </row>
    <row r="573" spans="1:79" s="151" customFormat="1">
      <c r="A573" s="151" t="str">
        <f t="shared" si="287"/>
        <v>5EoKPremiumNationaal1000</v>
      </c>
      <c r="B573" s="520" t="str">
        <f t="shared" si="295"/>
        <v>5EoKPremiumNationaal1000</v>
      </c>
      <c r="C573" s="179">
        <v>5</v>
      </c>
      <c r="D573" s="179" t="s">
        <v>303</v>
      </c>
      <c r="E573" s="178" t="s">
        <v>267</v>
      </c>
      <c r="F573" s="178" t="s">
        <v>266</v>
      </c>
      <c r="G573" s="185" t="s">
        <v>423</v>
      </c>
      <c r="J573" s="520" t="str">
        <f t="shared" si="296"/>
        <v>PremiumNationaal1000</v>
      </c>
      <c r="L573" s="204">
        <f>INDEX(Mapping!$H:$H,MATCH(C$3&amp;C573,Mapping!$B:$B,0))</f>
        <v>1</v>
      </c>
      <c r="M573" s="204" t="str">
        <f>INDEX(Mapping!$H:$H,MATCH(D$3&amp;$D573,Mapping!$B:$B,0))</f>
        <v>EoK</v>
      </c>
      <c r="N573" s="204" t="str">
        <f>INDEX(Mapping!$H:$H,MATCH(E$3&amp;E573,Mapping!$B:$B,0))</f>
        <v>Premium</v>
      </c>
      <c r="O573" s="204" t="str">
        <f>INDEX(Mapping!$H:$H,MATCH(F$3&amp;F573,Mapping!$B:$B,0))</f>
        <v>Metro</v>
      </c>
      <c r="P573" s="204">
        <f>INDEX(Mapping!$H:$H,MATCH(G$3&amp;G573,Mapping!$B:$B,0))</f>
        <v>1000</v>
      </c>
      <c r="Q573" s="204" t="str">
        <f>INDEX(Mapping!$H:$H,MATCH(Q$3&amp;$F573,Mapping!$B:$B,0))</f>
        <v>Metro - Nationaal</v>
      </c>
      <c r="R573" s="204" t="str">
        <f>INDEX(Mapping!$H:$H,MATCH("ZM VPN Service Level"&amp;E573,Mapping!$B:$B,0))</f>
        <v>Advanced</v>
      </c>
      <c r="S573" s="139" t="b">
        <f>IF($D573="EoK",INDEX(Mapping!$I:$I,MATCH($G$3&amp;$G573,Mapping!B:B,0)),FALSE)</f>
        <v>0</v>
      </c>
      <c r="T573" s="139"/>
      <c r="U573" s="520" t="str">
        <f t="shared" si="297"/>
        <v>PremiumMetro1000</v>
      </c>
      <c r="W573" s="521">
        <f>MATCH($J573,'Tarieven ZM'!$B:$B,0)</f>
        <v>121</v>
      </c>
      <c r="X573" s="204">
        <f>INDEX('Tarieven ZM'!$H:$H,$W573)</f>
        <v>1000</v>
      </c>
      <c r="Y573" s="198">
        <f>-INDEX(Parameters!$B:$B,MATCH(Y$3&amp;$C573,Parameters!$A:$A,0))*$X573</f>
        <v>0</v>
      </c>
      <c r="Z573" s="198">
        <f>-INDEX(Parameters!$B:$B,MATCH(Z$3&amp;$C573,Parameters!$A:$A,0))*$X573</f>
        <v>0</v>
      </c>
      <c r="AA573" s="139">
        <f t="shared" si="299"/>
        <v>1000</v>
      </c>
      <c r="AB573" s="205">
        <f>AA573/INDEX(Parameters!$B:$B,MATCH("AfschrijftermijnVVE"&amp;12*$C573,Parameters!$A:$A,0))</f>
        <v>16.666666666666668</v>
      </c>
      <c r="AC573" s="204">
        <f>INDEX('Tarieven ZM'!$G:$G,$W573)</f>
        <v>1000</v>
      </c>
      <c r="AD573" s="198">
        <f>-INDEX(Parameters!$B:$B,MATCH(AD$3&amp;$C573,Parameters!$A:$A,0))*$AC573</f>
        <v>0</v>
      </c>
      <c r="AE573" s="198">
        <f>-INDEX(Parameters!$B:$B,MATCH(AE$3,Parameters!$A:$A,0))*$AC573</f>
        <v>0</v>
      </c>
      <c r="AF573" s="139">
        <f t="shared" si="300"/>
        <v>1000</v>
      </c>
      <c r="AG573" s="522">
        <f t="shared" si="301"/>
        <v>1016.6666666666666</v>
      </c>
      <c r="AH573" s="175"/>
      <c r="AI573" s="523">
        <f>MATCH($U573,'Tarieven W&amp;O'!$B:$B,0)</f>
        <v>75</v>
      </c>
      <c r="AJ573" s="204">
        <f>IF(AI573&lt;&gt;"nvt",INDEX('Tarieven W&amp;O'!$H:$H,$AI573),0)</f>
        <v>0</v>
      </c>
      <c r="AK573" s="204">
        <f>IF(AI573&lt;&gt;"nvt",INDEX('Tarieven W&amp;O'!$I:$I,$AI573),0)</f>
        <v>25</v>
      </c>
      <c r="AL573" s="524">
        <f>IF(AI573&lt;&gt;"nvt",-INDEX(Parameters!$B:$B,MATCH(AL$3,Parameters!$A:$A,0))*(AJ573+AK573),0)</f>
        <v>0</v>
      </c>
      <c r="AM573" s="525"/>
      <c r="AN573" s="139">
        <f t="shared" si="302"/>
        <v>25</v>
      </c>
      <c r="AO573" s="205">
        <f>AN573/INDEX(Parameters!$B:$B,MATCH("AfschrijftermijnVVE"&amp;12*$C573,Parameters!$A:$A,0))</f>
        <v>0.41666666666666669</v>
      </c>
      <c r="AP573" s="139">
        <f t="shared" si="303"/>
        <v>75</v>
      </c>
      <c r="AQ573" s="526">
        <f>IF(AP573&lt;&gt;"nvt",INDEX('Tarieven W&amp;O'!$G:$G,$AP573),0)</f>
        <v>385.93</v>
      </c>
      <c r="AR573" s="251">
        <f>IF($S573,INDEX('Tarieven W&amp;O'!$G:$G,MATCH(N573&amp;R573,'Tarieven W&amp;O'!$B:$B,0)),0)</f>
        <v>0</v>
      </c>
      <c r="AS573" s="205">
        <f>-INDEX(Parameters!$B:$B,MATCH(AS$3,Parameters!$A:$A,0))*(AQ573+AR573)</f>
        <v>0</v>
      </c>
      <c r="AT573" s="205">
        <f>INDEX(hulpblad!$E:$E,MATCH(M573&amp;Q573,hulpblad!$B:$B,0))</f>
        <v>2</v>
      </c>
      <c r="AU573" s="150">
        <f t="shared" si="283"/>
        <v>387.93</v>
      </c>
      <c r="AV573" s="150">
        <f t="shared" si="284"/>
        <v>388.34666666666669</v>
      </c>
      <c r="AX573" s="526">
        <f>Parameters!$B$6*AV573</f>
        <v>3.8834666666666671</v>
      </c>
      <c r="AY573" s="150">
        <v>0</v>
      </c>
      <c r="AZ573" s="150"/>
      <c r="BA573" s="150">
        <f t="shared" si="304"/>
        <v>3.8834666666666671</v>
      </c>
      <c r="BB573" s="150"/>
      <c r="BC573" s="522">
        <f t="shared" si="305"/>
        <v>392.23013333333336</v>
      </c>
      <c r="BD573" s="175"/>
      <c r="BE573" s="527">
        <f t="shared" si="285"/>
        <v>624.43653333333327</v>
      </c>
      <c r="BF573" s="181">
        <f t="shared" si="286"/>
        <v>0.61419986885245903</v>
      </c>
      <c r="BG573" s="520" t="b">
        <f t="shared" si="298"/>
        <v>0</v>
      </c>
      <c r="BI573" s="528" t="s">
        <v>2181</v>
      </c>
      <c r="BL573" s="151" t="str">
        <f t="shared" si="288"/>
        <v>EoKMetro - Nationaal</v>
      </c>
      <c r="BM573" s="529">
        <v>0</v>
      </c>
      <c r="BN573" s="180">
        <f>BM573/INDEX(Parameters!$B:$B,MATCH("AfschrijftermijnVVE"&amp;12*$C573,Parameters!$A:$A,0))</f>
        <v>0</v>
      </c>
      <c r="BO573" s="184">
        <f>INDEX('inkoop ULL tbv EVPN'!I:I,MATCH(BL573,'inkoop ULL tbv EVPN'!H:H,0))</f>
        <v>2</v>
      </c>
      <c r="BP573" s="184">
        <f t="shared" si="289"/>
        <v>2</v>
      </c>
      <c r="BR573" s="180">
        <f>Parameters!$B$12*AG573</f>
        <v>101.66666666666667</v>
      </c>
      <c r="BS573" s="180">
        <f>SUM(Distributievergoedingen!$F$12,Distributievergoedingen!$I$12,Distributievergoedingen!$L$12,Distributievergoedingen!$O$12)*AF573+SUM(Distributievergoedingen!$O$12*AA573+Distributievergoedingen!$R$12+Distributievergoedingen!$U$12+Distributievergoedingen!$X$12)/(MAX(36,12*C573))</f>
        <v>111.66666666666667</v>
      </c>
      <c r="BT573" s="150"/>
      <c r="BU573" s="150">
        <f t="shared" si="290"/>
        <v>213.33333333333334</v>
      </c>
      <c r="BW573" s="522">
        <f t="shared" si="291"/>
        <v>215.33333333333334</v>
      </c>
      <c r="BY573" s="527">
        <f t="shared" si="292"/>
        <v>801.33333333333326</v>
      </c>
      <c r="BZ573" s="181">
        <f t="shared" si="293"/>
        <v>0.78819672131147533</v>
      </c>
      <c r="CA573" s="520" t="b">
        <f t="shared" si="294"/>
        <v>0</v>
      </c>
    </row>
  </sheetData>
  <autoFilter ref="A3:CA3"/>
  <mergeCells count="13">
    <mergeCell ref="C2:J2"/>
    <mergeCell ref="L2:U2"/>
    <mergeCell ref="AP2:AU2"/>
    <mergeCell ref="W2:AB2"/>
    <mergeCell ref="AC2:AF2"/>
    <mergeCell ref="AI2:AO2"/>
    <mergeCell ref="BM1:BP1"/>
    <mergeCell ref="BR1:BU1"/>
    <mergeCell ref="BY1:CA1"/>
    <mergeCell ref="W1:AG1"/>
    <mergeCell ref="BE1:BG1"/>
    <mergeCell ref="AI1:AV1"/>
    <mergeCell ref="AX1:BA1"/>
  </mergeCells>
  <conditionalFormatting sqref="BI4:BI573">
    <cfRule type="containsText" dxfId="3" priority="1" operator="containsText" text="nee">
      <formula>NOT(ISERROR(SEARCH("nee",BI4)))</formula>
    </cfRule>
    <cfRule type="containsText" dxfId="2" priority="2" operator="containsText" text="ja">
      <formula>NOT(ISERROR(SEARCH("ja",BI4)))</formula>
    </cfRule>
  </conditionalFormatting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11">
    <tabColor theme="4" tint="0.39997558519241921"/>
  </sheetPr>
  <dimension ref="A1:CA48"/>
  <sheetViews>
    <sheetView topLeftCell="BL1" zoomScale="110" zoomScaleNormal="110" workbookViewId="0">
      <selection activeCell="BY8" sqref="BY8"/>
    </sheetView>
  </sheetViews>
  <sheetFormatPr defaultRowHeight="15"/>
  <cols>
    <col min="1" max="1" width="25.7109375" customWidth="1"/>
    <col min="2" max="2" width="25.28515625" bestFit="1" customWidth="1"/>
    <col min="4" max="4" width="7.85546875" customWidth="1"/>
    <col min="5" max="5" width="14.7109375" customWidth="1"/>
    <col min="6" max="6" width="12.28515625" customWidth="1"/>
    <col min="7" max="7" width="11.85546875" customWidth="1"/>
    <col min="8" max="8" width="13.7109375" customWidth="1"/>
    <col min="9" max="9" width="2.5703125" customWidth="1"/>
    <col min="10" max="10" width="25.7109375" customWidth="1"/>
    <col min="11" max="11" width="5.28515625" customWidth="1"/>
    <col min="13" max="13" width="11.42578125" customWidth="1"/>
    <col min="14" max="14" width="14.5703125" customWidth="1"/>
    <col min="15" max="15" width="11.42578125" customWidth="1"/>
    <col min="17" max="17" width="10.42578125" customWidth="1"/>
    <col min="18" max="18" width="12.85546875" customWidth="1"/>
    <col min="19" max="20" width="2" customWidth="1"/>
    <col min="21" max="21" width="20.85546875" customWidth="1"/>
    <col min="25" max="25" width="10.85546875" customWidth="1"/>
    <col min="33" max="33" width="10.5703125" bestFit="1" customWidth="1"/>
    <col min="45" max="45" width="8.5703125" customWidth="1"/>
    <col min="49" max="49" width="4.140625" customWidth="1"/>
    <col min="52" max="52" width="1.42578125" customWidth="1"/>
    <col min="54" max="54" width="2.42578125" customWidth="1"/>
    <col min="55" max="55" width="9.85546875" customWidth="1"/>
    <col min="60" max="60" width="4.5703125" customWidth="1"/>
    <col min="61" max="61" width="17" customWidth="1"/>
    <col min="62" max="62" width="31.140625" customWidth="1"/>
    <col min="64" max="64" width="22.42578125" bestFit="1" customWidth="1"/>
    <col min="67" max="67" width="14.140625" customWidth="1"/>
    <col min="72" max="72" width="1.28515625" customWidth="1"/>
  </cols>
  <sheetData>
    <row r="1" spans="1:79" s="95" customFormat="1">
      <c r="A1" s="109"/>
      <c r="B1" s="127"/>
      <c r="C1" s="110"/>
      <c r="D1" s="110"/>
      <c r="E1" s="110"/>
      <c r="F1" s="110"/>
      <c r="G1" s="110"/>
      <c r="H1" s="110"/>
      <c r="I1" s="110"/>
      <c r="J1" s="127"/>
      <c r="K1" s="110"/>
      <c r="L1" s="109"/>
      <c r="M1" s="110"/>
      <c r="N1" s="110"/>
      <c r="O1" s="110"/>
      <c r="P1" s="110"/>
      <c r="Q1" s="110"/>
      <c r="R1" s="110"/>
      <c r="S1" s="110"/>
      <c r="T1" s="110"/>
      <c r="U1" s="127"/>
      <c r="V1" s="110"/>
      <c r="W1" s="635" t="s">
        <v>191</v>
      </c>
      <c r="X1" s="636"/>
      <c r="Y1" s="636"/>
      <c r="Z1" s="636"/>
      <c r="AA1" s="636"/>
      <c r="AB1" s="636"/>
      <c r="AC1" s="636"/>
      <c r="AD1" s="636"/>
      <c r="AE1" s="636"/>
      <c r="AF1" s="636"/>
      <c r="AG1" s="637"/>
      <c r="AH1" s="188"/>
      <c r="AI1" s="641" t="s">
        <v>192</v>
      </c>
      <c r="AJ1" s="642"/>
      <c r="AK1" s="642"/>
      <c r="AL1" s="642"/>
      <c r="AM1" s="642"/>
      <c r="AN1" s="642"/>
      <c r="AO1" s="642"/>
      <c r="AP1" s="642"/>
      <c r="AQ1" s="642"/>
      <c r="AR1" s="642"/>
      <c r="AS1" s="642"/>
      <c r="AT1" s="642"/>
      <c r="AU1" s="642"/>
      <c r="AV1" s="642"/>
      <c r="AW1"/>
      <c r="AX1" s="626" t="s">
        <v>375</v>
      </c>
      <c r="AY1" s="626"/>
      <c r="AZ1" s="626"/>
      <c r="BA1" s="626"/>
      <c r="BB1"/>
      <c r="BC1" s="168"/>
      <c r="BD1" s="169"/>
      <c r="BE1" s="627" t="s">
        <v>193</v>
      </c>
      <c r="BF1" s="633"/>
      <c r="BG1" s="634"/>
      <c r="BH1" s="136"/>
      <c r="BI1" s="140" t="s">
        <v>244</v>
      </c>
      <c r="BJ1" s="141"/>
      <c r="BK1" s="132"/>
      <c r="BM1" s="625" t="s">
        <v>3323</v>
      </c>
      <c r="BN1" s="625"/>
      <c r="BO1" s="625"/>
      <c r="BP1" s="625"/>
      <c r="BR1" s="626" t="s">
        <v>3324</v>
      </c>
      <c r="BS1" s="626"/>
      <c r="BT1" s="626"/>
      <c r="BU1" s="626"/>
      <c r="BW1" s="170" t="s">
        <v>3325</v>
      </c>
      <c r="BY1" s="627" t="s">
        <v>3326</v>
      </c>
      <c r="BZ1" s="628"/>
      <c r="CA1" s="629"/>
    </row>
    <row r="2" spans="1:79" s="95" customFormat="1">
      <c r="A2" s="111"/>
      <c r="B2" s="149"/>
      <c r="C2" s="631" t="s">
        <v>236</v>
      </c>
      <c r="D2" s="631"/>
      <c r="E2" s="631"/>
      <c r="F2" s="631"/>
      <c r="G2" s="631"/>
      <c r="H2" s="631"/>
      <c r="I2" s="631"/>
      <c r="J2" s="632"/>
      <c r="K2" s="187"/>
      <c r="L2" s="630" t="s">
        <v>237</v>
      </c>
      <c r="M2" s="631"/>
      <c r="N2" s="631"/>
      <c r="O2" s="631"/>
      <c r="P2" s="631"/>
      <c r="Q2" s="631"/>
      <c r="R2" s="631"/>
      <c r="S2" s="631"/>
      <c r="T2" s="631"/>
      <c r="U2" s="632"/>
      <c r="V2" s="187"/>
      <c r="W2" s="639" t="s">
        <v>188</v>
      </c>
      <c r="X2" s="638"/>
      <c r="Y2" s="638"/>
      <c r="Z2" s="638"/>
      <c r="AA2" s="638"/>
      <c r="AB2" s="638"/>
      <c r="AC2" s="638" t="s">
        <v>187</v>
      </c>
      <c r="AD2" s="638"/>
      <c r="AE2" s="638"/>
      <c r="AF2" s="638"/>
      <c r="AG2" s="124" t="s">
        <v>201</v>
      </c>
      <c r="AH2" s="112"/>
      <c r="AI2" s="640" t="s">
        <v>188</v>
      </c>
      <c r="AJ2" s="625"/>
      <c r="AK2" s="625"/>
      <c r="AL2" s="625"/>
      <c r="AM2" s="625"/>
      <c r="AN2" s="625"/>
      <c r="AO2" s="625"/>
      <c r="AP2" s="625" t="s">
        <v>187</v>
      </c>
      <c r="AQ2" s="625"/>
      <c r="AR2" s="625"/>
      <c r="AS2" s="625"/>
      <c r="AT2" s="625"/>
      <c r="AU2" s="625"/>
      <c r="AV2" s="170" t="s">
        <v>376</v>
      </c>
      <c r="AW2"/>
      <c r="AX2" s="595"/>
      <c r="AY2" s="595"/>
      <c r="AZ2" s="595"/>
      <c r="BA2" s="595"/>
      <c r="BB2"/>
      <c r="BC2" s="171" t="s">
        <v>377</v>
      </c>
      <c r="BD2" s="137"/>
      <c r="BE2" s="121"/>
      <c r="BF2" s="113"/>
      <c r="BG2" s="114"/>
      <c r="BH2" s="137"/>
      <c r="BI2" s="134"/>
      <c r="BJ2" s="135"/>
      <c r="BK2" s="132"/>
      <c r="BM2" s="170"/>
      <c r="BN2" s="170"/>
      <c r="BO2" s="170"/>
      <c r="BP2" s="170"/>
      <c r="BQ2" s="402"/>
      <c r="BR2" s="595"/>
      <c r="BS2" s="595"/>
      <c r="BT2" s="595"/>
      <c r="BU2" s="595"/>
      <c r="BV2" s="402"/>
      <c r="BW2" s="171" t="s">
        <v>377</v>
      </c>
      <c r="BX2" s="137"/>
      <c r="BY2" s="121"/>
      <c r="BZ2" s="113"/>
      <c r="CA2" s="114"/>
    </row>
    <row r="3" spans="1:79" s="108" customFormat="1" ht="75">
      <c r="A3" s="115" t="s">
        <v>251</v>
      </c>
      <c r="B3" s="128" t="s">
        <v>252</v>
      </c>
      <c r="C3" s="116" t="s">
        <v>180</v>
      </c>
      <c r="D3" s="116" t="s">
        <v>181</v>
      </c>
      <c r="E3" s="116" t="s">
        <v>212</v>
      </c>
      <c r="F3" s="116" t="s">
        <v>439</v>
      </c>
      <c r="G3" s="116" t="s">
        <v>241</v>
      </c>
      <c r="H3" s="116" t="s">
        <v>301</v>
      </c>
      <c r="I3" s="116"/>
      <c r="J3" s="128" t="s">
        <v>202</v>
      </c>
      <c r="K3" s="116"/>
      <c r="L3" s="115" t="s">
        <v>184</v>
      </c>
      <c r="M3" s="116" t="s">
        <v>185</v>
      </c>
      <c r="N3" s="116" t="s">
        <v>247</v>
      </c>
      <c r="O3" s="116" t="s">
        <v>238</v>
      </c>
      <c r="P3" s="116" t="s">
        <v>238</v>
      </c>
      <c r="Q3" s="116" t="s">
        <v>239</v>
      </c>
      <c r="R3" s="116" t="s">
        <v>428</v>
      </c>
      <c r="S3" s="116"/>
      <c r="T3" s="116"/>
      <c r="U3" s="128" t="s">
        <v>216</v>
      </c>
      <c r="V3" s="116"/>
      <c r="W3" s="125" t="s">
        <v>220</v>
      </c>
      <c r="X3" s="117" t="s">
        <v>188</v>
      </c>
      <c r="Y3" s="117" t="s">
        <v>243</v>
      </c>
      <c r="Z3" s="117" t="s">
        <v>429</v>
      </c>
      <c r="AA3" s="117" t="s">
        <v>222</v>
      </c>
      <c r="AB3" s="117" t="s">
        <v>250</v>
      </c>
      <c r="AC3" s="117" t="s">
        <v>187</v>
      </c>
      <c r="AD3" s="117" t="s">
        <v>248</v>
      </c>
      <c r="AE3" s="117" t="s">
        <v>341</v>
      </c>
      <c r="AF3" s="117" t="s">
        <v>195</v>
      </c>
      <c r="AG3" s="126" t="s">
        <v>196</v>
      </c>
      <c r="AH3" s="117"/>
      <c r="AI3" s="123" t="s">
        <v>232</v>
      </c>
      <c r="AJ3" s="118" t="s">
        <v>189</v>
      </c>
      <c r="AK3" s="118" t="s">
        <v>190</v>
      </c>
      <c r="AL3" s="118" t="s">
        <v>234</v>
      </c>
      <c r="AM3" s="118" t="s">
        <v>249</v>
      </c>
      <c r="AN3" s="118" t="s">
        <v>222</v>
      </c>
      <c r="AO3" s="118" t="s">
        <v>250</v>
      </c>
      <c r="AP3" s="118" t="s">
        <v>233</v>
      </c>
      <c r="AQ3" s="118" t="s">
        <v>187</v>
      </c>
      <c r="AR3" s="118" t="s">
        <v>235</v>
      </c>
      <c r="AS3" s="118" t="s">
        <v>430</v>
      </c>
      <c r="AT3" s="118" t="s">
        <v>242</v>
      </c>
      <c r="AU3" s="118" t="s">
        <v>195</v>
      </c>
      <c r="AV3" s="118" t="s">
        <v>196</v>
      </c>
      <c r="AW3"/>
      <c r="AX3" s="172" t="s">
        <v>197</v>
      </c>
      <c r="AY3" s="172" t="s">
        <v>378</v>
      </c>
      <c r="AZ3" s="172"/>
      <c r="BA3" s="172" t="s">
        <v>379</v>
      </c>
      <c r="BB3" s="173"/>
      <c r="BC3" s="174" t="s">
        <v>380</v>
      </c>
      <c r="BD3" s="173"/>
      <c r="BE3" s="122" t="s">
        <v>199</v>
      </c>
      <c r="BF3" s="119" t="s">
        <v>200</v>
      </c>
      <c r="BG3" s="120" t="s">
        <v>198</v>
      </c>
      <c r="BH3" s="138"/>
      <c r="BI3" s="142" t="s">
        <v>245</v>
      </c>
      <c r="BJ3" s="143" t="s">
        <v>246</v>
      </c>
      <c r="BK3" s="133"/>
      <c r="BL3" s="108" t="s">
        <v>3327</v>
      </c>
      <c r="BM3" s="403" t="s">
        <v>222</v>
      </c>
      <c r="BN3" s="403" t="s">
        <v>250</v>
      </c>
      <c r="BO3" s="403" t="s">
        <v>195</v>
      </c>
      <c r="BP3" s="403" t="s">
        <v>3328</v>
      </c>
      <c r="BQ3" s="173"/>
      <c r="BR3" s="172" t="s">
        <v>3329</v>
      </c>
      <c r="BS3" s="172" t="s">
        <v>378</v>
      </c>
      <c r="BT3" s="172"/>
      <c r="BU3" s="172" t="s">
        <v>379</v>
      </c>
      <c r="BV3" s="173"/>
      <c r="BW3" s="174" t="s">
        <v>3330</v>
      </c>
      <c r="BX3" s="173"/>
      <c r="BY3" s="122" t="s">
        <v>199</v>
      </c>
      <c r="BZ3" s="119" t="s">
        <v>200</v>
      </c>
      <c r="CA3" s="120" t="s">
        <v>198</v>
      </c>
    </row>
    <row r="4" spans="1:79" s="151" customFormat="1">
      <c r="A4" s="151" t="s">
        <v>194</v>
      </c>
      <c r="B4" s="520" t="str">
        <f t="shared" ref="B4:B23" si="0">C4&amp;D4&amp;E4&amp;F4&amp;G4&amp;H4</f>
        <v>1EoKPremium2e PVCCity1</v>
      </c>
      <c r="C4" s="179">
        <v>1</v>
      </c>
      <c r="D4" s="179" t="s">
        <v>303</v>
      </c>
      <c r="E4" s="178" t="s">
        <v>267</v>
      </c>
      <c r="F4" s="178" t="s">
        <v>440</v>
      </c>
      <c r="G4" s="530" t="s">
        <v>262</v>
      </c>
      <c r="H4" s="531" t="s">
        <v>362</v>
      </c>
      <c r="J4" s="520" t="str">
        <f t="shared" ref="J4:J12" si="1">E4&amp;F4&amp;G4&amp;H4</f>
        <v>Premium2e PVCCity1</v>
      </c>
      <c r="L4" s="204">
        <f>INDEX(Mapping!$H:$H,MATCH(C$3&amp;C4,Mapping!$B:$B,0))</f>
        <v>1</v>
      </c>
      <c r="M4" s="204" t="str">
        <f>INDEX(Mapping!$H:$H,MATCH(D$3&amp;D4,Mapping!$B:$B,0))</f>
        <v>EoK</v>
      </c>
      <c r="N4" s="204" t="str">
        <f>INDEX(Mapping!$H:$H,MATCH(E$3&amp;E4,Mapping!$B:$B,0))</f>
        <v>Premium</v>
      </c>
      <c r="O4" s="204" t="str">
        <f>INDEX(Mapping!$H:$H,MATCH(F$3&amp;F4,Mapping!$B:$B,0))</f>
        <v>multiple</v>
      </c>
      <c r="P4" s="204" t="str">
        <f>INDEX(Mapping!$H:$H,MATCH(G$3&amp;G4,Mapping!$B:$B,0))</f>
        <v>Metro</v>
      </c>
      <c r="Q4" s="204">
        <f>INDEX(Mapping!$H:$H,MATCH(H$3&amp;H4,Mapping!$B:$B,0))</f>
        <v>1</v>
      </c>
      <c r="R4" s="204" t="str">
        <f>INDEX(Mapping!$H:$H,MATCH(R$3&amp;$G4,Mapping!$B:$B,0))</f>
        <v>Metro - Regionaal</v>
      </c>
      <c r="S4" s="139"/>
      <c r="T4" s="139"/>
      <c r="U4" s="520" t="str">
        <f t="shared" ref="U4:U23" si="2">N4&amp;O4&amp;P4&amp;Q4</f>
        <v>PremiummultipleMetro1</v>
      </c>
      <c r="W4" s="521">
        <f>MATCH($J4,'Tarieven ZM'!$B:$B,0)</f>
        <v>123</v>
      </c>
      <c r="X4" s="204">
        <f>INDEX('Tarieven ZM'!$H:$H,$W4)</f>
        <v>1000</v>
      </c>
      <c r="Y4" s="198">
        <f>-INDEX(Parameters!$B:$B,MATCH(Y$3&amp;$C4,Parameters!$A:$A,0))*$X4</f>
        <v>0</v>
      </c>
      <c r="Z4" s="198">
        <f>-INDEX(Parameters!$B:$B,MATCH(Z$3&amp;$C4,Parameters!$A:$A,0))*$X4</f>
        <v>0</v>
      </c>
      <c r="AA4" s="139">
        <f t="shared" ref="AA4:AA12" si="3">SUM(X4:Z4)</f>
        <v>1000</v>
      </c>
      <c r="AB4" s="532">
        <f>AA4/INDEX(Parameters!$B:$B,MATCH("AfschrijftermijnVVE"&amp;12*$C4,Parameters!$A:$A,0))</f>
        <v>27.777777777777779</v>
      </c>
      <c r="AC4" s="204">
        <f>INDEX('Tarieven ZM'!$G:$G,$W4)</f>
        <v>1000</v>
      </c>
      <c r="AD4" s="198">
        <f>-INDEX(Parameters!$B:$B,MATCH(AD$3&amp;$C4,Parameters!$A:$A,0))*$AC4</f>
        <v>0</v>
      </c>
      <c r="AE4" s="198">
        <f>-INDEX(Parameters!$B:$B,MATCH(AE$3,Parameters!$A:$A,0))*$AC4</f>
        <v>0</v>
      </c>
      <c r="AF4" s="139">
        <f t="shared" ref="AF4:AF12" si="4">SUM(AC4:AE4)</f>
        <v>1000</v>
      </c>
      <c r="AG4" s="522">
        <f t="shared" ref="AG4:AG12" si="5">SUM(AB4,AF4)</f>
        <v>1027.7777777777778</v>
      </c>
      <c r="AH4" s="175"/>
      <c r="AI4" s="523">
        <f>MATCH($U4,'Tarieven W&amp;O'!$B:$B,0)</f>
        <v>99</v>
      </c>
      <c r="AJ4" s="204">
        <f>IF(AI4&lt;&gt;"nvt",INDEX('Tarieven W&amp;O'!$H:$H,$AI4),0)</f>
        <v>0</v>
      </c>
      <c r="AK4" s="204">
        <f>IF(AI4&lt;&gt;"nvt",INDEX('Tarieven W&amp;O'!$I:$I,$AI4),0)</f>
        <v>25</v>
      </c>
      <c r="AL4" s="524">
        <f>IF(AI4&lt;&gt;"nvt",-INDEX(Parameters!$B:$B,MATCH(AL$3,Parameters!$A:$A,0))*(AJ4+AK4),0)</f>
        <v>0</v>
      </c>
      <c r="AM4" s="525"/>
      <c r="AN4" s="139">
        <f t="shared" ref="AN4:AN12" si="6">SUM(AJ4:AM4)</f>
        <v>25</v>
      </c>
      <c r="AO4" s="205">
        <f>AN4/INDEX(Parameters!$B:$B,MATCH("AfschrijftermijnVVE"&amp;12*$C4,Parameters!$A:$A,0))</f>
        <v>0.69444444444444442</v>
      </c>
      <c r="AP4" s="139">
        <f t="shared" ref="AP4:AP12" si="7">AI4</f>
        <v>99</v>
      </c>
      <c r="AQ4" s="526">
        <f>IF(AP4&lt;&gt;"nvt",INDEX('Tarieven W&amp;O'!$G:$G,$AP4),0)</f>
        <v>11.31</v>
      </c>
      <c r="AR4" s="251">
        <f>-INDEX(Parameters!$B:$B,MATCH(AR$3,Parameters!$A:$A,0))*(AQ4)</f>
        <v>0</v>
      </c>
      <c r="AS4" s="205"/>
      <c r="AT4" s="205">
        <f>INDEX(hulpblad!$E:$E,MATCH(M4&amp;R4,hulpblad!$B:$B,0))</f>
        <v>1</v>
      </c>
      <c r="AU4" s="150">
        <f t="shared" ref="AU4:AU12" si="8">SUM(AQ4:AT4)</f>
        <v>12.31</v>
      </c>
      <c r="AV4" s="150">
        <f t="shared" ref="AV4:AV12" si="9">SUM(AO4,AU4)</f>
        <v>13.004444444444445</v>
      </c>
      <c r="AX4" s="526">
        <f>Parameters!$B$6*AV4</f>
        <v>0.13004444444444446</v>
      </c>
      <c r="AY4" s="150">
        <v>0</v>
      </c>
      <c r="AZ4" s="150"/>
      <c r="BA4" s="150">
        <f t="shared" ref="BA4:BA12" si="10">SUM(AX4:AZ4)</f>
        <v>0.13004444444444446</v>
      </c>
      <c r="BB4" s="150"/>
      <c r="BC4" s="522">
        <f t="shared" ref="BC4:BC12" si="11">SUM(AV4,BA4)</f>
        <v>13.134488888888889</v>
      </c>
      <c r="BD4" s="175"/>
      <c r="BE4" s="527">
        <f t="shared" ref="BE4:BE12" si="12">AG4-BC4</f>
        <v>1014.6432888888889</v>
      </c>
      <c r="BF4" s="181">
        <f t="shared" ref="BF4:BF12" si="13">IF(AG4=0,-999%,BE4/AG4)</f>
        <v>0.98722049729729733</v>
      </c>
      <c r="BG4" s="520" t="b">
        <f t="shared" ref="BG4:BG12" si="14">BF4&lt;0</f>
        <v>0</v>
      </c>
      <c r="BI4" s="151" t="s">
        <v>2181</v>
      </c>
      <c r="BL4" s="151" t="str">
        <f t="shared" ref="BL4:BL23" si="15">M4&amp;R4</f>
        <v>EoKMetro - Regionaal</v>
      </c>
      <c r="BM4" s="529">
        <v>0</v>
      </c>
      <c r="BN4" s="180">
        <f>BM4/INDEX(Parameters!$B:$B,MATCH("AfschrijftermijnVVE"&amp;12*$C4,Parameters!$A:$A,0))</f>
        <v>0</v>
      </c>
      <c r="BO4" s="184">
        <f>INDEX('inkoop ULL tbv EVPN'!I:I,MATCH(BL4,'inkoop ULL tbv EVPN'!H:H,0))</f>
        <v>2</v>
      </c>
      <c r="BP4" s="184">
        <f t="shared" ref="BP4:BP23" si="16">BN4+BO4</f>
        <v>2</v>
      </c>
      <c r="BR4" s="180">
        <f>Parameters!$B$12*AG4</f>
        <v>102.77777777777779</v>
      </c>
      <c r="BS4" s="180">
        <f>SUM(Distributievergoedingen!$F$12,Distributievergoedingen!$I$12,Distributievergoedingen!$L$12,Distributievergoedingen!$O$12)*AF4+SUM(Distributievergoedingen!$O$12*AA4+Distributievergoedingen!$R$12+Distributievergoedingen!$U$12+Distributievergoedingen!$X$12)/(MAX(36,12*C4))</f>
        <v>112.77777777777777</v>
      </c>
      <c r="BT4" s="150"/>
      <c r="BU4" s="150">
        <f t="shared" ref="BU4:BU23" si="17">SUM(BR4:BT4)</f>
        <v>215.55555555555554</v>
      </c>
      <c r="BW4" s="522">
        <f t="shared" ref="BW4:BW23" si="18">SUM(BP4,BU4)</f>
        <v>217.55555555555554</v>
      </c>
      <c r="BY4" s="527">
        <f t="shared" ref="BY4:BY23" si="19">AG4-BW4</f>
        <v>810.22222222222229</v>
      </c>
      <c r="BZ4" s="181">
        <f t="shared" ref="BZ4:BZ23" si="20">IF(AG4=0,-999%,BY4/AG4)</f>
        <v>0.78832432432432431</v>
      </c>
      <c r="CA4" s="520" t="b">
        <f t="shared" ref="CA4:CA23" si="21">BZ4&lt;0</f>
        <v>0</v>
      </c>
    </row>
    <row r="5" spans="1:79" s="151" customFormat="1">
      <c r="A5" s="151" t="s">
        <v>194</v>
      </c>
      <c r="B5" s="520" t="str">
        <f t="shared" si="0"/>
        <v>1EoKPremium2e PVCCity2</v>
      </c>
      <c r="C5" s="179">
        <v>1</v>
      </c>
      <c r="D5" s="179" t="s">
        <v>303</v>
      </c>
      <c r="E5" s="178" t="s">
        <v>267</v>
      </c>
      <c r="F5" s="178" t="s">
        <v>440</v>
      </c>
      <c r="G5" s="530" t="s">
        <v>262</v>
      </c>
      <c r="H5" s="531" t="s">
        <v>363</v>
      </c>
      <c r="J5" s="520" t="str">
        <f t="shared" si="1"/>
        <v>Premium2e PVCCity2</v>
      </c>
      <c r="L5" s="204">
        <f>INDEX(Mapping!$H:$H,MATCH(C$3&amp;C5,Mapping!$B:$B,0))</f>
        <v>1</v>
      </c>
      <c r="M5" s="204" t="str">
        <f>INDEX(Mapping!$H:$H,MATCH(D$3&amp;D5,Mapping!$B:$B,0))</f>
        <v>EoK</v>
      </c>
      <c r="N5" s="204" t="str">
        <f>INDEX(Mapping!$H:$H,MATCH(E$3&amp;E5,Mapping!$B:$B,0))</f>
        <v>Premium</v>
      </c>
      <c r="O5" s="204" t="str">
        <f>INDEX(Mapping!$H:$H,MATCH(F$3&amp;F5,Mapping!$B:$B,0))</f>
        <v>multiple</v>
      </c>
      <c r="P5" s="204" t="str">
        <f>INDEX(Mapping!$H:$H,MATCH(G$3&amp;G5,Mapping!$B:$B,0))</f>
        <v>Metro</v>
      </c>
      <c r="Q5" s="204">
        <f>INDEX(Mapping!$H:$H,MATCH(H$3&amp;H5,Mapping!$B:$B,0))</f>
        <v>2</v>
      </c>
      <c r="R5" s="204" t="str">
        <f>INDEX(Mapping!$H:$H,MATCH(R$3&amp;$G5,Mapping!$B:$B,0))</f>
        <v>Metro - Regionaal</v>
      </c>
      <c r="S5" s="139"/>
      <c r="T5" s="139"/>
      <c r="U5" s="520" t="str">
        <f t="shared" si="2"/>
        <v>PremiummultipleMetro2</v>
      </c>
      <c r="W5" s="521">
        <f>MATCH($J5,'Tarieven ZM'!$B:$B,0)</f>
        <v>124</v>
      </c>
      <c r="X5" s="204">
        <f>INDEX('Tarieven ZM'!$H:$H,$W5)</f>
        <v>1000</v>
      </c>
      <c r="Y5" s="198">
        <f>-INDEX(Parameters!$B:$B,MATCH(Y$3&amp;$C5,Parameters!$A:$A,0))*$X5</f>
        <v>0</v>
      </c>
      <c r="Z5" s="198">
        <f>-INDEX(Parameters!$B:$B,MATCH(Z$3&amp;$C5,Parameters!$A:$A,0))*$X5</f>
        <v>0</v>
      </c>
      <c r="AA5" s="139">
        <f t="shared" si="3"/>
        <v>1000</v>
      </c>
      <c r="AB5" s="532">
        <f>AA5/INDEX(Parameters!$B:$B,MATCH("AfschrijftermijnVVE"&amp;12*$C5,Parameters!$A:$A,0))</f>
        <v>27.777777777777779</v>
      </c>
      <c r="AC5" s="204">
        <f>INDEX('Tarieven ZM'!$G:$G,$W5)</f>
        <v>1000</v>
      </c>
      <c r="AD5" s="198">
        <f>-INDEX(Parameters!$B:$B,MATCH(AD$3&amp;$C5,Parameters!$A:$A,0))*$AC5</f>
        <v>0</v>
      </c>
      <c r="AE5" s="198">
        <f>-INDEX(Parameters!$B:$B,MATCH(AE$3,Parameters!$A:$A,0))*$AC5</f>
        <v>0</v>
      </c>
      <c r="AF5" s="139">
        <f t="shared" si="4"/>
        <v>1000</v>
      </c>
      <c r="AG5" s="522">
        <f t="shared" si="5"/>
        <v>1027.7777777777778</v>
      </c>
      <c r="AH5" s="175"/>
      <c r="AI5" s="523">
        <f>MATCH($U5,'Tarieven W&amp;O'!$B:$B,0)</f>
        <v>100</v>
      </c>
      <c r="AJ5" s="204">
        <f>IF(AI5&lt;&gt;"nvt",INDEX('Tarieven W&amp;O'!$H:$H,$AI5),0)</f>
        <v>0</v>
      </c>
      <c r="AK5" s="204">
        <f>IF(AI5&lt;&gt;"nvt",INDEX('Tarieven W&amp;O'!$I:$I,$AI5),0)</f>
        <v>25</v>
      </c>
      <c r="AL5" s="524">
        <f>IF(AI5&lt;&gt;"nvt",-INDEX(Parameters!$B:$B,MATCH(AL$3,Parameters!$A:$A,0))*(AJ5+AK5),0)</f>
        <v>0</v>
      </c>
      <c r="AM5" s="525"/>
      <c r="AN5" s="139">
        <f t="shared" si="6"/>
        <v>25</v>
      </c>
      <c r="AO5" s="205">
        <f>AN5/INDEX(Parameters!$B:$B,MATCH("AfschrijftermijnVVE"&amp;12*$C5,Parameters!$A:$A,0))</f>
        <v>0.69444444444444442</v>
      </c>
      <c r="AP5" s="139">
        <f t="shared" si="7"/>
        <v>100</v>
      </c>
      <c r="AQ5" s="526">
        <f>IF(AP5&lt;&gt;"nvt",INDEX('Tarieven W&amp;O'!$G:$G,$AP5),0)</f>
        <v>23.37</v>
      </c>
      <c r="AR5" s="251">
        <f>-INDEX(Parameters!$B:$B,MATCH(AR$3,Parameters!$A:$A,0))*(AQ5)</f>
        <v>0</v>
      </c>
      <c r="AS5" s="205"/>
      <c r="AT5" s="205">
        <f>INDEX(hulpblad!$E:$E,MATCH(M5&amp;R5,hulpblad!$B:$B,0))</f>
        <v>1</v>
      </c>
      <c r="AU5" s="150">
        <f t="shared" si="8"/>
        <v>24.37</v>
      </c>
      <c r="AV5" s="150">
        <f t="shared" si="9"/>
        <v>25.064444444444444</v>
      </c>
      <c r="AX5" s="526">
        <f>Parameters!$B$6*AV5</f>
        <v>0.25064444444444445</v>
      </c>
      <c r="AY5" s="150">
        <v>0</v>
      </c>
      <c r="AZ5" s="150"/>
      <c r="BA5" s="150">
        <f t="shared" si="10"/>
        <v>0.25064444444444445</v>
      </c>
      <c r="BB5" s="150"/>
      <c r="BC5" s="522">
        <f t="shared" si="11"/>
        <v>25.315088888888887</v>
      </c>
      <c r="BD5" s="175"/>
      <c r="BE5" s="527">
        <f t="shared" si="12"/>
        <v>1002.4626888888889</v>
      </c>
      <c r="BF5" s="181">
        <f t="shared" si="13"/>
        <v>0.97536910270270272</v>
      </c>
      <c r="BG5" s="520" t="b">
        <f t="shared" si="14"/>
        <v>0</v>
      </c>
      <c r="BI5" s="151" t="s">
        <v>2181</v>
      </c>
      <c r="BL5" s="151" t="str">
        <f t="shared" si="15"/>
        <v>EoKMetro - Regionaal</v>
      </c>
      <c r="BM5" s="529">
        <v>0</v>
      </c>
      <c r="BN5" s="180">
        <f>BM5/INDEX(Parameters!$B:$B,MATCH("AfschrijftermijnVVE"&amp;12*$C5,Parameters!$A:$A,0))</f>
        <v>0</v>
      </c>
      <c r="BO5" s="184">
        <f>INDEX('inkoop ULL tbv EVPN'!I:I,MATCH(BL5,'inkoop ULL tbv EVPN'!H:H,0))</f>
        <v>2</v>
      </c>
      <c r="BP5" s="184">
        <f t="shared" si="16"/>
        <v>2</v>
      </c>
      <c r="BR5" s="180">
        <f>Parameters!$B$12*AG5</f>
        <v>102.77777777777779</v>
      </c>
      <c r="BS5" s="180">
        <f>SUM(Distributievergoedingen!$F$12,Distributievergoedingen!$I$12,Distributievergoedingen!$L$12,Distributievergoedingen!$O$12)*AF5+SUM(Distributievergoedingen!$O$12*AA5+Distributievergoedingen!$R$12+Distributievergoedingen!$U$12+Distributievergoedingen!$X$12)/(MAX(36,12*C5))</f>
        <v>112.77777777777777</v>
      </c>
      <c r="BT5" s="150"/>
      <c r="BU5" s="150">
        <f t="shared" si="17"/>
        <v>215.55555555555554</v>
      </c>
      <c r="BW5" s="522">
        <f t="shared" si="18"/>
        <v>217.55555555555554</v>
      </c>
      <c r="BY5" s="527">
        <f t="shared" si="19"/>
        <v>810.22222222222229</v>
      </c>
      <c r="BZ5" s="181">
        <f t="shared" si="20"/>
        <v>0.78832432432432431</v>
      </c>
      <c r="CA5" s="520" t="b">
        <f t="shared" si="21"/>
        <v>0</v>
      </c>
    </row>
    <row r="6" spans="1:79" s="151" customFormat="1">
      <c r="A6" s="151" t="s">
        <v>194</v>
      </c>
      <c r="B6" s="520" t="str">
        <f t="shared" si="0"/>
        <v>1EoKPremium2e PVCCity4</v>
      </c>
      <c r="C6" s="179">
        <v>1</v>
      </c>
      <c r="D6" s="179" t="s">
        <v>303</v>
      </c>
      <c r="E6" s="178" t="s">
        <v>267</v>
      </c>
      <c r="F6" s="178" t="s">
        <v>440</v>
      </c>
      <c r="G6" s="530" t="s">
        <v>262</v>
      </c>
      <c r="H6" s="531" t="s">
        <v>408</v>
      </c>
      <c r="J6" s="520" t="str">
        <f t="shared" si="1"/>
        <v>Premium2e PVCCity4</v>
      </c>
      <c r="L6" s="204">
        <f>INDEX(Mapping!$H:$H,MATCH(C$3&amp;C6,Mapping!$B:$B,0))</f>
        <v>1</v>
      </c>
      <c r="M6" s="204" t="str">
        <f>INDEX(Mapping!$H:$H,MATCH(D$3&amp;D6,Mapping!$B:$B,0))</f>
        <v>EoK</v>
      </c>
      <c r="N6" s="204" t="str">
        <f>INDEX(Mapping!$H:$H,MATCH(E$3&amp;E6,Mapping!$B:$B,0))</f>
        <v>Premium</v>
      </c>
      <c r="O6" s="204" t="str">
        <f>INDEX(Mapping!$H:$H,MATCH(F$3&amp;F6,Mapping!$B:$B,0))</f>
        <v>multiple</v>
      </c>
      <c r="P6" s="204" t="str">
        <f>INDEX(Mapping!$H:$H,MATCH(G$3&amp;G6,Mapping!$B:$B,0))</f>
        <v>Metro</v>
      </c>
      <c r="Q6" s="204">
        <f>INDEX(Mapping!$H:$H,MATCH(H$3&amp;H6,Mapping!$B:$B,0))</f>
        <v>4</v>
      </c>
      <c r="R6" s="204" t="str">
        <f>INDEX(Mapping!$H:$H,MATCH(R$3&amp;$G6,Mapping!$B:$B,0))</f>
        <v>Metro - Regionaal</v>
      </c>
      <c r="S6" s="139"/>
      <c r="T6" s="139"/>
      <c r="U6" s="520" t="str">
        <f t="shared" si="2"/>
        <v>PremiummultipleMetro4</v>
      </c>
      <c r="W6" s="521">
        <f>MATCH($J6,'Tarieven ZM'!$B:$B,0)</f>
        <v>125</v>
      </c>
      <c r="X6" s="204">
        <f>INDEX('Tarieven ZM'!$H:$H,$W6)</f>
        <v>1000</v>
      </c>
      <c r="Y6" s="198">
        <f>-INDEX(Parameters!$B:$B,MATCH(Y$3&amp;$C6,Parameters!$A:$A,0))*$X6</f>
        <v>0</v>
      </c>
      <c r="Z6" s="198">
        <f>-INDEX(Parameters!$B:$B,MATCH(Z$3&amp;$C6,Parameters!$A:$A,0))*$X6</f>
        <v>0</v>
      </c>
      <c r="AA6" s="139">
        <f t="shared" si="3"/>
        <v>1000</v>
      </c>
      <c r="AB6" s="532">
        <f>AA6/INDEX(Parameters!$B:$B,MATCH("AfschrijftermijnVVE"&amp;12*$C6,Parameters!$A:$A,0))</f>
        <v>27.777777777777779</v>
      </c>
      <c r="AC6" s="204">
        <f>INDEX('Tarieven ZM'!$G:$G,$W6)</f>
        <v>1000</v>
      </c>
      <c r="AD6" s="198">
        <f>-INDEX(Parameters!$B:$B,MATCH(AD$3&amp;$C6,Parameters!$A:$A,0))*$AC6</f>
        <v>0</v>
      </c>
      <c r="AE6" s="198">
        <f>-INDEX(Parameters!$B:$B,MATCH(AE$3,Parameters!$A:$A,0))*$AC6</f>
        <v>0</v>
      </c>
      <c r="AF6" s="139">
        <f t="shared" si="4"/>
        <v>1000</v>
      </c>
      <c r="AG6" s="522">
        <f t="shared" si="5"/>
        <v>1027.7777777777778</v>
      </c>
      <c r="AH6" s="175"/>
      <c r="AI6" s="523">
        <f>MATCH($U6,'Tarieven W&amp;O'!$B:$B,0)</f>
        <v>101</v>
      </c>
      <c r="AJ6" s="204">
        <f>IF(AI6&lt;&gt;"nvt",INDEX('Tarieven W&amp;O'!$H:$H,$AI6),0)</f>
        <v>0</v>
      </c>
      <c r="AK6" s="204">
        <f>IF(AI6&lt;&gt;"nvt",INDEX('Tarieven W&amp;O'!$I:$I,$AI6),0)</f>
        <v>25</v>
      </c>
      <c r="AL6" s="524">
        <f>IF(AI6&lt;&gt;"nvt",-INDEX(Parameters!$B:$B,MATCH(AL$3,Parameters!$A:$A,0))*(AJ6+AK6),0)</f>
        <v>0</v>
      </c>
      <c r="AM6" s="525"/>
      <c r="AN6" s="139">
        <f t="shared" si="6"/>
        <v>25</v>
      </c>
      <c r="AO6" s="205">
        <f>AN6/INDEX(Parameters!$B:$B,MATCH("AfschrijftermijnVVE"&amp;12*$C6,Parameters!$A:$A,0))</f>
        <v>0.69444444444444442</v>
      </c>
      <c r="AP6" s="139">
        <f t="shared" si="7"/>
        <v>101</v>
      </c>
      <c r="AQ6" s="526">
        <f>IF(AP6&lt;&gt;"nvt",INDEX('Tarieven W&amp;O'!$G:$G,$AP6),0)</f>
        <v>45.98</v>
      </c>
      <c r="AR6" s="251">
        <f>-INDEX(Parameters!$B:$B,MATCH(AR$3,Parameters!$A:$A,0))*(AQ6)</f>
        <v>0</v>
      </c>
      <c r="AS6" s="205"/>
      <c r="AT6" s="205">
        <f>INDEX(hulpblad!$E:$E,MATCH(M6&amp;R6,hulpblad!$B:$B,0))</f>
        <v>1</v>
      </c>
      <c r="AU6" s="150">
        <f t="shared" si="8"/>
        <v>46.98</v>
      </c>
      <c r="AV6" s="150">
        <f t="shared" si="9"/>
        <v>47.67444444444444</v>
      </c>
      <c r="AX6" s="526">
        <f>Parameters!$B$6*AV6</f>
        <v>0.47674444444444442</v>
      </c>
      <c r="AY6" s="150">
        <v>0</v>
      </c>
      <c r="AZ6" s="150"/>
      <c r="BA6" s="150">
        <f t="shared" si="10"/>
        <v>0.47674444444444442</v>
      </c>
      <c r="BB6" s="150"/>
      <c r="BC6" s="522">
        <f t="shared" si="11"/>
        <v>48.151188888888882</v>
      </c>
      <c r="BD6" s="175"/>
      <c r="BE6" s="527">
        <f t="shared" si="12"/>
        <v>979.62658888888893</v>
      </c>
      <c r="BF6" s="181">
        <f t="shared" si="13"/>
        <v>0.9531501945945946</v>
      </c>
      <c r="BG6" s="520" t="b">
        <f t="shared" si="14"/>
        <v>0</v>
      </c>
      <c r="BI6" s="151" t="s">
        <v>2181</v>
      </c>
      <c r="BL6" s="151" t="str">
        <f t="shared" si="15"/>
        <v>EoKMetro - Regionaal</v>
      </c>
      <c r="BM6" s="529">
        <v>0</v>
      </c>
      <c r="BN6" s="180">
        <f>BM6/INDEX(Parameters!$B:$B,MATCH("AfschrijftermijnVVE"&amp;12*$C6,Parameters!$A:$A,0))</f>
        <v>0</v>
      </c>
      <c r="BO6" s="184">
        <f>INDEX('inkoop ULL tbv EVPN'!I:I,MATCH(BL6,'inkoop ULL tbv EVPN'!H:H,0))</f>
        <v>2</v>
      </c>
      <c r="BP6" s="184">
        <f t="shared" si="16"/>
        <v>2</v>
      </c>
      <c r="BR6" s="180">
        <f>Parameters!$B$12*AG6</f>
        <v>102.77777777777779</v>
      </c>
      <c r="BS6" s="180">
        <f>SUM(Distributievergoedingen!$F$12,Distributievergoedingen!$I$12,Distributievergoedingen!$L$12,Distributievergoedingen!$O$12)*AF6+SUM(Distributievergoedingen!$O$12*AA6+Distributievergoedingen!$R$12+Distributievergoedingen!$U$12+Distributievergoedingen!$X$12)/(MAX(36,12*C6))</f>
        <v>112.77777777777777</v>
      </c>
      <c r="BT6" s="150"/>
      <c r="BU6" s="150">
        <f t="shared" si="17"/>
        <v>215.55555555555554</v>
      </c>
      <c r="BW6" s="522">
        <f t="shared" si="18"/>
        <v>217.55555555555554</v>
      </c>
      <c r="BY6" s="527">
        <f t="shared" si="19"/>
        <v>810.22222222222229</v>
      </c>
      <c r="BZ6" s="181">
        <f t="shared" si="20"/>
        <v>0.78832432432432431</v>
      </c>
      <c r="CA6" s="520" t="b">
        <f t="shared" si="21"/>
        <v>0</v>
      </c>
    </row>
    <row r="7" spans="1:79" s="151" customFormat="1">
      <c r="A7" s="151" t="s">
        <v>194</v>
      </c>
      <c r="B7" s="520" t="str">
        <f t="shared" si="0"/>
        <v>1EoKPremium2e PVCRegionaal1</v>
      </c>
      <c r="C7" s="179">
        <v>1</v>
      </c>
      <c r="D7" s="179" t="s">
        <v>303</v>
      </c>
      <c r="E7" s="178" t="s">
        <v>267</v>
      </c>
      <c r="F7" s="178" t="s">
        <v>440</v>
      </c>
      <c r="G7" s="530" t="s">
        <v>265</v>
      </c>
      <c r="H7" s="531" t="s">
        <v>362</v>
      </c>
      <c r="J7" s="520" t="str">
        <f t="shared" si="1"/>
        <v>Premium2e PVCRegionaal1</v>
      </c>
      <c r="L7" s="204">
        <f>INDEX(Mapping!$H:$H,MATCH(C$3&amp;C7,Mapping!$B:$B,0))</f>
        <v>1</v>
      </c>
      <c r="M7" s="204" t="str">
        <f>INDEX(Mapping!$H:$H,MATCH(D$3&amp;D7,Mapping!$B:$B,0))</f>
        <v>EoK</v>
      </c>
      <c r="N7" s="204" t="str">
        <f>INDEX(Mapping!$H:$H,MATCH(E$3&amp;E7,Mapping!$B:$B,0))</f>
        <v>Premium</v>
      </c>
      <c r="O7" s="204" t="str">
        <f>INDEX(Mapping!$H:$H,MATCH(F$3&amp;F7,Mapping!$B:$B,0))</f>
        <v>multiple</v>
      </c>
      <c r="P7" s="204" t="str">
        <f>INDEX(Mapping!$H:$H,MATCH(G$3&amp;G7,Mapping!$B:$B,0))</f>
        <v>Metro</v>
      </c>
      <c r="Q7" s="204">
        <f>INDEX(Mapping!$H:$H,MATCH(H$3&amp;H7,Mapping!$B:$B,0))</f>
        <v>1</v>
      </c>
      <c r="R7" s="204" t="str">
        <f>INDEX(Mapping!$H:$H,MATCH(R$3&amp;$G7,Mapping!$B:$B,0))</f>
        <v>Metro - Nationaal</v>
      </c>
      <c r="S7" s="139"/>
      <c r="T7" s="139"/>
      <c r="U7" s="520" t="str">
        <f t="shared" si="2"/>
        <v>PremiummultipleMetro1</v>
      </c>
      <c r="W7" s="521">
        <f>MATCH($J7,'Tarieven ZM'!$B:$B,0)</f>
        <v>126</v>
      </c>
      <c r="X7" s="204">
        <f>INDEX('Tarieven ZM'!$H:$H,$W7)</f>
        <v>1000</v>
      </c>
      <c r="Y7" s="198">
        <f>-INDEX(Parameters!$B:$B,MATCH(Y$3&amp;$C7,Parameters!$A:$A,0))*$X7</f>
        <v>0</v>
      </c>
      <c r="Z7" s="198">
        <f>-INDEX(Parameters!$B:$B,MATCH(Z$3&amp;$C7,Parameters!$A:$A,0))*$X7</f>
        <v>0</v>
      </c>
      <c r="AA7" s="139">
        <f t="shared" si="3"/>
        <v>1000</v>
      </c>
      <c r="AB7" s="532">
        <f>AA7/INDEX(Parameters!$B:$B,MATCH("AfschrijftermijnVVE"&amp;12*$C7,Parameters!$A:$A,0))</f>
        <v>27.777777777777779</v>
      </c>
      <c r="AC7" s="204">
        <f>INDEX('Tarieven ZM'!$G:$G,$W7)</f>
        <v>1000</v>
      </c>
      <c r="AD7" s="198">
        <f>-INDEX(Parameters!$B:$B,MATCH(AD$3&amp;$C7,Parameters!$A:$A,0))*$AC7</f>
        <v>0</v>
      </c>
      <c r="AE7" s="198">
        <f>-INDEX(Parameters!$B:$B,MATCH(AE$3,Parameters!$A:$A,0))*$AC7</f>
        <v>0</v>
      </c>
      <c r="AF7" s="139">
        <f t="shared" si="4"/>
        <v>1000</v>
      </c>
      <c r="AG7" s="522">
        <f t="shared" si="5"/>
        <v>1027.7777777777778</v>
      </c>
      <c r="AH7" s="175"/>
      <c r="AI7" s="523">
        <f>MATCH($U7,'Tarieven W&amp;O'!$B:$B,0)</f>
        <v>99</v>
      </c>
      <c r="AJ7" s="204">
        <f>IF(AI7&lt;&gt;"nvt",INDEX('Tarieven W&amp;O'!$H:$H,$AI7),0)</f>
        <v>0</v>
      </c>
      <c r="AK7" s="204">
        <f>IF(AI7&lt;&gt;"nvt",INDEX('Tarieven W&amp;O'!$I:$I,$AI7),0)</f>
        <v>25</v>
      </c>
      <c r="AL7" s="524">
        <f>IF(AI7&lt;&gt;"nvt",-INDEX(Parameters!$B:$B,MATCH(AL$3,Parameters!$A:$A,0))*(AJ7+AK7),0)</f>
        <v>0</v>
      </c>
      <c r="AM7" s="525"/>
      <c r="AN7" s="139">
        <f t="shared" si="6"/>
        <v>25</v>
      </c>
      <c r="AO7" s="205">
        <f>AN7/INDEX(Parameters!$B:$B,MATCH("AfschrijftermijnVVE"&amp;12*$C7,Parameters!$A:$A,0))</f>
        <v>0.69444444444444442</v>
      </c>
      <c r="AP7" s="139">
        <f t="shared" si="7"/>
        <v>99</v>
      </c>
      <c r="AQ7" s="526">
        <f>IF(AP7&lt;&gt;"nvt",INDEX('Tarieven W&amp;O'!$G:$G,$AP7),0)</f>
        <v>11.31</v>
      </c>
      <c r="AR7" s="251">
        <f>-INDEX(Parameters!$B:$B,MATCH(AR$3,Parameters!$A:$A,0))*(AQ7)</f>
        <v>0</v>
      </c>
      <c r="AS7" s="205"/>
      <c r="AT7" s="205">
        <f>INDEX(hulpblad!$E:$E,MATCH(M7&amp;R7,hulpblad!$B:$B,0))</f>
        <v>2</v>
      </c>
      <c r="AU7" s="150">
        <f t="shared" si="8"/>
        <v>13.31</v>
      </c>
      <c r="AV7" s="150">
        <f t="shared" si="9"/>
        <v>14.004444444444445</v>
      </c>
      <c r="AX7" s="526">
        <f>Parameters!$B$6*AV7</f>
        <v>0.14004444444444444</v>
      </c>
      <c r="AY7" s="150">
        <v>0</v>
      </c>
      <c r="AZ7" s="150"/>
      <c r="BA7" s="150">
        <f t="shared" si="10"/>
        <v>0.14004444444444444</v>
      </c>
      <c r="BB7" s="150"/>
      <c r="BC7" s="522">
        <f t="shared" si="11"/>
        <v>14.14448888888889</v>
      </c>
      <c r="BD7" s="175"/>
      <c r="BE7" s="527">
        <f t="shared" si="12"/>
        <v>1013.633288888889</v>
      </c>
      <c r="BF7" s="181">
        <f t="shared" si="13"/>
        <v>0.9862377945945946</v>
      </c>
      <c r="BG7" s="520" t="b">
        <f t="shared" si="14"/>
        <v>0</v>
      </c>
      <c r="BI7" s="151" t="s">
        <v>3443</v>
      </c>
      <c r="BL7" s="151" t="str">
        <f t="shared" si="15"/>
        <v>EoKMetro - Nationaal</v>
      </c>
      <c r="BM7" s="529">
        <v>0</v>
      </c>
      <c r="BN7" s="180">
        <f>BM7/INDEX(Parameters!$B:$B,MATCH("AfschrijftermijnVVE"&amp;12*$C7,Parameters!$A:$A,0))</f>
        <v>0</v>
      </c>
      <c r="BO7" s="184">
        <f>INDEX('inkoop ULL tbv EVPN'!I:I,MATCH(BL7,'inkoop ULL tbv EVPN'!H:H,0))</f>
        <v>2</v>
      </c>
      <c r="BP7" s="184">
        <f t="shared" si="16"/>
        <v>2</v>
      </c>
      <c r="BR7" s="180">
        <f>Parameters!$B$12*AG7</f>
        <v>102.77777777777779</v>
      </c>
      <c r="BS7" s="180">
        <f>SUM(Distributievergoedingen!$F$12,Distributievergoedingen!$I$12,Distributievergoedingen!$L$12,Distributievergoedingen!$O$12)*AF7+SUM(Distributievergoedingen!$O$12*AA7+Distributievergoedingen!$R$12+Distributievergoedingen!$U$12+Distributievergoedingen!$X$12)/(MAX(36,12*C7))</f>
        <v>112.77777777777777</v>
      </c>
      <c r="BT7" s="150"/>
      <c r="BU7" s="150">
        <f t="shared" si="17"/>
        <v>215.55555555555554</v>
      </c>
      <c r="BW7" s="522">
        <f t="shared" si="18"/>
        <v>217.55555555555554</v>
      </c>
      <c r="BY7" s="527">
        <f t="shared" si="19"/>
        <v>810.22222222222229</v>
      </c>
      <c r="BZ7" s="181">
        <f t="shared" si="20"/>
        <v>0.78832432432432431</v>
      </c>
      <c r="CA7" s="520" t="b">
        <f t="shared" si="21"/>
        <v>0</v>
      </c>
    </row>
    <row r="8" spans="1:79" s="151" customFormat="1">
      <c r="A8" s="151" t="s">
        <v>194</v>
      </c>
      <c r="B8" s="520" t="str">
        <f t="shared" si="0"/>
        <v>1EoKPremium2e PVCRegionaal2</v>
      </c>
      <c r="C8" s="179">
        <v>1</v>
      </c>
      <c r="D8" s="179" t="s">
        <v>303</v>
      </c>
      <c r="E8" s="178" t="s">
        <v>267</v>
      </c>
      <c r="F8" s="178" t="s">
        <v>440</v>
      </c>
      <c r="G8" s="530" t="s">
        <v>265</v>
      </c>
      <c r="H8" s="531" t="s">
        <v>363</v>
      </c>
      <c r="J8" s="520" t="str">
        <f t="shared" si="1"/>
        <v>Premium2e PVCRegionaal2</v>
      </c>
      <c r="L8" s="204">
        <f>INDEX(Mapping!$H:$H,MATCH(C$3&amp;C8,Mapping!$B:$B,0))</f>
        <v>1</v>
      </c>
      <c r="M8" s="204" t="str">
        <f>INDEX(Mapping!$H:$H,MATCH(D$3&amp;D8,Mapping!$B:$B,0))</f>
        <v>EoK</v>
      </c>
      <c r="N8" s="204" t="str">
        <f>INDEX(Mapping!$H:$H,MATCH(E$3&amp;E8,Mapping!$B:$B,0))</f>
        <v>Premium</v>
      </c>
      <c r="O8" s="204" t="str">
        <f>INDEX(Mapping!$H:$H,MATCH(F$3&amp;F8,Mapping!$B:$B,0))</f>
        <v>multiple</v>
      </c>
      <c r="P8" s="204" t="str">
        <f>INDEX(Mapping!$H:$H,MATCH(G$3&amp;G8,Mapping!$B:$B,0))</f>
        <v>Metro</v>
      </c>
      <c r="Q8" s="204">
        <f>INDEX(Mapping!$H:$H,MATCH(H$3&amp;H8,Mapping!$B:$B,0))</f>
        <v>2</v>
      </c>
      <c r="R8" s="204" t="str">
        <f>INDEX(Mapping!$H:$H,MATCH(R$3&amp;$G8,Mapping!$B:$B,0))</f>
        <v>Metro - Nationaal</v>
      </c>
      <c r="S8" s="139"/>
      <c r="T8" s="139"/>
      <c r="U8" s="520" t="str">
        <f t="shared" si="2"/>
        <v>PremiummultipleMetro2</v>
      </c>
      <c r="W8" s="521">
        <f>MATCH($J8,'Tarieven ZM'!$B:$B,0)</f>
        <v>127</v>
      </c>
      <c r="X8" s="204">
        <f>INDEX('Tarieven ZM'!$H:$H,$W8)</f>
        <v>1000</v>
      </c>
      <c r="Y8" s="198">
        <f>-INDEX(Parameters!$B:$B,MATCH(Y$3&amp;$C8,Parameters!$A:$A,0))*$X8</f>
        <v>0</v>
      </c>
      <c r="Z8" s="198">
        <f>-INDEX(Parameters!$B:$B,MATCH(Z$3&amp;$C8,Parameters!$A:$A,0))*$X8</f>
        <v>0</v>
      </c>
      <c r="AA8" s="139">
        <f t="shared" si="3"/>
        <v>1000</v>
      </c>
      <c r="AB8" s="532">
        <f>AA8/INDEX(Parameters!$B:$B,MATCH("AfschrijftermijnVVE"&amp;12*$C8,Parameters!$A:$A,0))</f>
        <v>27.777777777777779</v>
      </c>
      <c r="AC8" s="204">
        <f>INDEX('Tarieven ZM'!$G:$G,$W8)</f>
        <v>1000</v>
      </c>
      <c r="AD8" s="198">
        <f>-INDEX(Parameters!$B:$B,MATCH(AD$3&amp;$C8,Parameters!$A:$A,0))*$AC8</f>
        <v>0</v>
      </c>
      <c r="AE8" s="198">
        <f>-INDEX(Parameters!$B:$B,MATCH(AE$3,Parameters!$A:$A,0))*$AC8</f>
        <v>0</v>
      </c>
      <c r="AF8" s="139">
        <f t="shared" si="4"/>
        <v>1000</v>
      </c>
      <c r="AG8" s="522">
        <f t="shared" si="5"/>
        <v>1027.7777777777778</v>
      </c>
      <c r="AH8" s="175"/>
      <c r="AI8" s="523">
        <f>MATCH($U8,'Tarieven W&amp;O'!$B:$B,0)</f>
        <v>100</v>
      </c>
      <c r="AJ8" s="204">
        <f>IF(AI8&lt;&gt;"nvt",INDEX('Tarieven W&amp;O'!$H:$H,$AI8),0)</f>
        <v>0</v>
      </c>
      <c r="AK8" s="204">
        <f>IF(AI8&lt;&gt;"nvt",INDEX('Tarieven W&amp;O'!$I:$I,$AI8),0)</f>
        <v>25</v>
      </c>
      <c r="AL8" s="524">
        <f>IF(AI8&lt;&gt;"nvt",-INDEX(Parameters!$B:$B,MATCH(AL$3,Parameters!$A:$A,0))*(AJ8+AK8),0)</f>
        <v>0</v>
      </c>
      <c r="AM8" s="525"/>
      <c r="AN8" s="139">
        <f t="shared" si="6"/>
        <v>25</v>
      </c>
      <c r="AO8" s="205">
        <f>AN8/INDEX(Parameters!$B:$B,MATCH("AfschrijftermijnVVE"&amp;12*$C8,Parameters!$A:$A,0))</f>
        <v>0.69444444444444442</v>
      </c>
      <c r="AP8" s="139">
        <f t="shared" si="7"/>
        <v>100</v>
      </c>
      <c r="AQ8" s="526">
        <f>IF(AP8&lt;&gt;"nvt",INDEX('Tarieven W&amp;O'!$G:$G,$AP8),0)</f>
        <v>23.37</v>
      </c>
      <c r="AR8" s="251">
        <f>-INDEX(Parameters!$B:$B,MATCH(AR$3,Parameters!$A:$A,0))*(AQ8)</f>
        <v>0</v>
      </c>
      <c r="AS8" s="205"/>
      <c r="AT8" s="205">
        <f>INDEX(hulpblad!$E:$E,MATCH(M8&amp;R8,hulpblad!$B:$B,0))</f>
        <v>2</v>
      </c>
      <c r="AU8" s="150">
        <f t="shared" si="8"/>
        <v>25.37</v>
      </c>
      <c r="AV8" s="150">
        <f t="shared" si="9"/>
        <v>26.064444444444444</v>
      </c>
      <c r="AX8" s="526">
        <f>Parameters!$B$6*AV8</f>
        <v>0.26064444444444446</v>
      </c>
      <c r="AY8" s="150">
        <v>0</v>
      </c>
      <c r="AZ8" s="150"/>
      <c r="BA8" s="150">
        <f t="shared" si="10"/>
        <v>0.26064444444444446</v>
      </c>
      <c r="BB8" s="150"/>
      <c r="BC8" s="522">
        <f t="shared" si="11"/>
        <v>26.325088888888889</v>
      </c>
      <c r="BD8" s="175"/>
      <c r="BE8" s="527">
        <f t="shared" si="12"/>
        <v>1001.4526888888889</v>
      </c>
      <c r="BF8" s="181">
        <f t="shared" si="13"/>
        <v>0.97438639999999999</v>
      </c>
      <c r="BG8" s="520" t="b">
        <f t="shared" si="14"/>
        <v>0</v>
      </c>
      <c r="BI8" s="151" t="s">
        <v>2181</v>
      </c>
      <c r="BL8" s="151" t="str">
        <f t="shared" si="15"/>
        <v>EoKMetro - Nationaal</v>
      </c>
      <c r="BM8" s="529">
        <v>0</v>
      </c>
      <c r="BN8" s="180">
        <f>BM8/INDEX(Parameters!$B:$B,MATCH("AfschrijftermijnVVE"&amp;12*$C8,Parameters!$A:$A,0))</f>
        <v>0</v>
      </c>
      <c r="BO8" s="184">
        <f>INDEX('inkoop ULL tbv EVPN'!I:I,MATCH(BL8,'inkoop ULL tbv EVPN'!H:H,0))</f>
        <v>2</v>
      </c>
      <c r="BP8" s="184">
        <f t="shared" si="16"/>
        <v>2</v>
      </c>
      <c r="BR8" s="180">
        <f>Parameters!$B$12*AG8</f>
        <v>102.77777777777779</v>
      </c>
      <c r="BS8" s="180">
        <f>SUM(Distributievergoedingen!$F$12,Distributievergoedingen!$I$12,Distributievergoedingen!$L$12,Distributievergoedingen!$O$12)*AF8+SUM(Distributievergoedingen!$O$12*AA8+Distributievergoedingen!$R$12+Distributievergoedingen!$U$12+Distributievergoedingen!$X$12)/(MAX(36,12*C8))</f>
        <v>112.77777777777777</v>
      </c>
      <c r="BT8" s="150"/>
      <c r="BU8" s="150">
        <f t="shared" si="17"/>
        <v>215.55555555555554</v>
      </c>
      <c r="BW8" s="522">
        <f t="shared" si="18"/>
        <v>217.55555555555554</v>
      </c>
      <c r="BY8" s="527">
        <f t="shared" si="19"/>
        <v>810.22222222222229</v>
      </c>
      <c r="BZ8" s="181">
        <f t="shared" si="20"/>
        <v>0.78832432432432431</v>
      </c>
      <c r="CA8" s="520" t="b">
        <f t="shared" si="21"/>
        <v>0</v>
      </c>
    </row>
    <row r="9" spans="1:79" s="151" customFormat="1">
      <c r="A9" s="151" t="s">
        <v>194</v>
      </c>
      <c r="B9" s="520" t="str">
        <f t="shared" si="0"/>
        <v>1EoKPremium2e PVCRegionaal4</v>
      </c>
      <c r="C9" s="179">
        <v>1</v>
      </c>
      <c r="D9" s="179" t="s">
        <v>303</v>
      </c>
      <c r="E9" s="178" t="s">
        <v>267</v>
      </c>
      <c r="F9" s="178" t="s">
        <v>440</v>
      </c>
      <c r="G9" s="530" t="s">
        <v>265</v>
      </c>
      <c r="H9" s="531" t="s">
        <v>408</v>
      </c>
      <c r="J9" s="520" t="str">
        <f t="shared" si="1"/>
        <v>Premium2e PVCRegionaal4</v>
      </c>
      <c r="L9" s="204">
        <f>INDEX(Mapping!$H:$H,MATCH(C$3&amp;C9,Mapping!$B:$B,0))</f>
        <v>1</v>
      </c>
      <c r="M9" s="204" t="str">
        <f>INDEX(Mapping!$H:$H,MATCH(D$3&amp;D9,Mapping!$B:$B,0))</f>
        <v>EoK</v>
      </c>
      <c r="N9" s="204" t="str">
        <f>INDEX(Mapping!$H:$H,MATCH(E$3&amp;E9,Mapping!$B:$B,0))</f>
        <v>Premium</v>
      </c>
      <c r="O9" s="204" t="str">
        <f>INDEX(Mapping!$H:$H,MATCH(F$3&amp;F9,Mapping!$B:$B,0))</f>
        <v>multiple</v>
      </c>
      <c r="P9" s="204" t="str">
        <f>INDEX(Mapping!$H:$H,MATCH(G$3&amp;G9,Mapping!$B:$B,0))</f>
        <v>Metro</v>
      </c>
      <c r="Q9" s="204">
        <f>INDEX(Mapping!$H:$H,MATCH(H$3&amp;H9,Mapping!$B:$B,0))</f>
        <v>4</v>
      </c>
      <c r="R9" s="204" t="str">
        <f>INDEX(Mapping!$H:$H,MATCH(R$3&amp;$G9,Mapping!$B:$B,0))</f>
        <v>Metro - Nationaal</v>
      </c>
      <c r="S9" s="139"/>
      <c r="T9" s="139"/>
      <c r="U9" s="520" t="str">
        <f t="shared" si="2"/>
        <v>PremiummultipleMetro4</v>
      </c>
      <c r="W9" s="521">
        <f>MATCH($J9,'Tarieven ZM'!$B:$B,0)</f>
        <v>128</v>
      </c>
      <c r="X9" s="204">
        <f>INDEX('Tarieven ZM'!$H:$H,$W9)</f>
        <v>1000</v>
      </c>
      <c r="Y9" s="198">
        <f>-INDEX(Parameters!$B:$B,MATCH(Y$3&amp;$C9,Parameters!$A:$A,0))*$X9</f>
        <v>0</v>
      </c>
      <c r="Z9" s="198">
        <f>-INDEX(Parameters!$B:$B,MATCH(Z$3&amp;$C9,Parameters!$A:$A,0))*$X9</f>
        <v>0</v>
      </c>
      <c r="AA9" s="139">
        <f t="shared" si="3"/>
        <v>1000</v>
      </c>
      <c r="AB9" s="532">
        <f>AA9/INDEX(Parameters!$B:$B,MATCH("AfschrijftermijnVVE"&amp;12*$C9,Parameters!$A:$A,0))</f>
        <v>27.777777777777779</v>
      </c>
      <c r="AC9" s="204">
        <f>INDEX('Tarieven ZM'!$G:$G,$W9)</f>
        <v>1000</v>
      </c>
      <c r="AD9" s="198">
        <f>-INDEX(Parameters!$B:$B,MATCH(AD$3&amp;$C9,Parameters!$A:$A,0))*$AC9</f>
        <v>0</v>
      </c>
      <c r="AE9" s="198">
        <f>-INDEX(Parameters!$B:$B,MATCH(AE$3,Parameters!$A:$A,0))*$AC9</f>
        <v>0</v>
      </c>
      <c r="AF9" s="139">
        <f t="shared" si="4"/>
        <v>1000</v>
      </c>
      <c r="AG9" s="522">
        <f t="shared" si="5"/>
        <v>1027.7777777777778</v>
      </c>
      <c r="AH9" s="175"/>
      <c r="AI9" s="523">
        <f>MATCH($U9,'Tarieven W&amp;O'!$B:$B,0)</f>
        <v>101</v>
      </c>
      <c r="AJ9" s="204">
        <f>IF(AI9&lt;&gt;"nvt",INDEX('Tarieven W&amp;O'!$H:$H,$AI9),0)</f>
        <v>0</v>
      </c>
      <c r="AK9" s="204">
        <f>IF(AI9&lt;&gt;"nvt",INDEX('Tarieven W&amp;O'!$I:$I,$AI9),0)</f>
        <v>25</v>
      </c>
      <c r="AL9" s="524">
        <f>IF(AI9&lt;&gt;"nvt",-INDEX(Parameters!$B:$B,MATCH(AL$3,Parameters!$A:$A,0))*(AJ9+AK9),0)</f>
        <v>0</v>
      </c>
      <c r="AM9" s="525"/>
      <c r="AN9" s="139">
        <f t="shared" si="6"/>
        <v>25</v>
      </c>
      <c r="AO9" s="205">
        <f>AN9/INDEX(Parameters!$B:$B,MATCH("AfschrijftermijnVVE"&amp;12*$C9,Parameters!$A:$A,0))</f>
        <v>0.69444444444444442</v>
      </c>
      <c r="AP9" s="139">
        <f t="shared" si="7"/>
        <v>101</v>
      </c>
      <c r="AQ9" s="526">
        <f>IF(AP9&lt;&gt;"nvt",INDEX('Tarieven W&amp;O'!$G:$G,$AP9),0)</f>
        <v>45.98</v>
      </c>
      <c r="AR9" s="251">
        <f>-INDEX(Parameters!$B:$B,MATCH(AR$3,Parameters!$A:$A,0))*(AQ9)</f>
        <v>0</v>
      </c>
      <c r="AS9" s="205"/>
      <c r="AT9" s="205">
        <f>INDEX(hulpblad!$E:$E,MATCH(M9&amp;R9,hulpblad!$B:$B,0))</f>
        <v>2</v>
      </c>
      <c r="AU9" s="150">
        <f t="shared" si="8"/>
        <v>47.98</v>
      </c>
      <c r="AV9" s="150">
        <f t="shared" si="9"/>
        <v>48.67444444444444</v>
      </c>
      <c r="AX9" s="526">
        <f>Parameters!$B$6*AV9</f>
        <v>0.48674444444444442</v>
      </c>
      <c r="AY9" s="150">
        <v>0</v>
      </c>
      <c r="AZ9" s="150"/>
      <c r="BA9" s="150">
        <f t="shared" si="10"/>
        <v>0.48674444444444442</v>
      </c>
      <c r="BB9" s="150"/>
      <c r="BC9" s="522">
        <f t="shared" si="11"/>
        <v>49.161188888888887</v>
      </c>
      <c r="BD9" s="175"/>
      <c r="BE9" s="527">
        <f t="shared" si="12"/>
        <v>978.61658888888894</v>
      </c>
      <c r="BF9" s="181">
        <f t="shared" si="13"/>
        <v>0.95216749189189187</v>
      </c>
      <c r="BG9" s="520" t="b">
        <f t="shared" si="14"/>
        <v>0</v>
      </c>
      <c r="BI9" s="151" t="s">
        <v>2181</v>
      </c>
      <c r="BL9" s="151" t="str">
        <f t="shared" si="15"/>
        <v>EoKMetro - Nationaal</v>
      </c>
      <c r="BM9" s="529">
        <v>0</v>
      </c>
      <c r="BN9" s="180">
        <f>BM9/INDEX(Parameters!$B:$B,MATCH("AfschrijftermijnVVE"&amp;12*$C9,Parameters!$A:$A,0))</f>
        <v>0</v>
      </c>
      <c r="BO9" s="184">
        <f>INDEX('inkoop ULL tbv EVPN'!I:I,MATCH(BL9,'inkoop ULL tbv EVPN'!H:H,0))</f>
        <v>2</v>
      </c>
      <c r="BP9" s="184">
        <f t="shared" si="16"/>
        <v>2</v>
      </c>
      <c r="BR9" s="180">
        <f>Parameters!$B$12*AG9</f>
        <v>102.77777777777779</v>
      </c>
      <c r="BS9" s="180">
        <f>SUM(Distributievergoedingen!$F$12,Distributievergoedingen!$I$12,Distributievergoedingen!$L$12,Distributievergoedingen!$O$12)*AF9+SUM(Distributievergoedingen!$O$12*AA9+Distributievergoedingen!$R$12+Distributievergoedingen!$U$12+Distributievergoedingen!$X$12)/(MAX(36,12*C9))</f>
        <v>112.77777777777777</v>
      </c>
      <c r="BT9" s="150"/>
      <c r="BU9" s="150">
        <f t="shared" si="17"/>
        <v>215.55555555555554</v>
      </c>
      <c r="BW9" s="522">
        <f t="shared" si="18"/>
        <v>217.55555555555554</v>
      </c>
      <c r="BY9" s="527">
        <f t="shared" si="19"/>
        <v>810.22222222222229</v>
      </c>
      <c r="BZ9" s="181">
        <f t="shared" si="20"/>
        <v>0.78832432432432431</v>
      </c>
      <c r="CA9" s="520" t="b">
        <f t="shared" si="21"/>
        <v>0</v>
      </c>
    </row>
    <row r="10" spans="1:79" s="151" customFormat="1">
      <c r="A10" s="151" t="s">
        <v>194</v>
      </c>
      <c r="B10" s="520" t="str">
        <f t="shared" si="0"/>
        <v>1EoKPremium2e PVCNationaal1</v>
      </c>
      <c r="C10" s="179">
        <v>1</v>
      </c>
      <c r="D10" s="179" t="s">
        <v>303</v>
      </c>
      <c r="E10" s="178" t="s">
        <v>267</v>
      </c>
      <c r="F10" s="178" t="s">
        <v>440</v>
      </c>
      <c r="G10" s="530" t="s">
        <v>266</v>
      </c>
      <c r="H10" s="531" t="s">
        <v>362</v>
      </c>
      <c r="J10" s="520" t="str">
        <f t="shared" si="1"/>
        <v>Premium2e PVCNationaal1</v>
      </c>
      <c r="L10" s="204">
        <f>INDEX(Mapping!$H:$H,MATCH(C$3&amp;C10,Mapping!$B:$B,0))</f>
        <v>1</v>
      </c>
      <c r="M10" s="204" t="str">
        <f>INDEX(Mapping!$H:$H,MATCH(D$3&amp;D10,Mapping!$B:$B,0))</f>
        <v>EoK</v>
      </c>
      <c r="N10" s="204" t="str">
        <f>INDEX(Mapping!$H:$H,MATCH(E$3&amp;E10,Mapping!$B:$B,0))</f>
        <v>Premium</v>
      </c>
      <c r="O10" s="204" t="str">
        <f>INDEX(Mapping!$H:$H,MATCH(F$3&amp;F10,Mapping!$B:$B,0))</f>
        <v>multiple</v>
      </c>
      <c r="P10" s="204" t="str">
        <f>INDEX(Mapping!$H:$H,MATCH(G$3&amp;G10,Mapping!$B:$B,0))</f>
        <v>Metro</v>
      </c>
      <c r="Q10" s="204">
        <f>INDEX(Mapping!$H:$H,MATCH(H$3&amp;H10,Mapping!$B:$B,0))</f>
        <v>1</v>
      </c>
      <c r="R10" s="204" t="str">
        <f>INDEX(Mapping!$H:$H,MATCH(R$3&amp;$G10,Mapping!$B:$B,0))</f>
        <v>Metro - Nationaal</v>
      </c>
      <c r="S10" s="139"/>
      <c r="T10" s="139"/>
      <c r="U10" s="520" t="str">
        <f t="shared" si="2"/>
        <v>PremiummultipleMetro1</v>
      </c>
      <c r="W10" s="521">
        <f>MATCH($J10,'Tarieven ZM'!$B:$B,0)</f>
        <v>129</v>
      </c>
      <c r="X10" s="204">
        <f>INDEX('Tarieven ZM'!$H:$H,$W10)</f>
        <v>1000</v>
      </c>
      <c r="Y10" s="198">
        <f>-INDEX(Parameters!$B:$B,MATCH(Y$3&amp;$C10,Parameters!$A:$A,0))*$X10</f>
        <v>0</v>
      </c>
      <c r="Z10" s="198">
        <f>-INDEX(Parameters!$B:$B,MATCH(Z$3&amp;$C10,Parameters!$A:$A,0))*$X10</f>
        <v>0</v>
      </c>
      <c r="AA10" s="139">
        <f t="shared" si="3"/>
        <v>1000</v>
      </c>
      <c r="AB10" s="532">
        <f>AA10/INDEX(Parameters!$B:$B,MATCH("AfschrijftermijnVVE"&amp;12*$C10,Parameters!$A:$A,0))</f>
        <v>27.777777777777779</v>
      </c>
      <c r="AC10" s="204">
        <f>INDEX('Tarieven ZM'!$G:$G,$W10)</f>
        <v>1000</v>
      </c>
      <c r="AD10" s="198">
        <f>-INDEX(Parameters!$B:$B,MATCH(AD$3&amp;$C10,Parameters!$A:$A,0))*$AC10</f>
        <v>0</v>
      </c>
      <c r="AE10" s="198">
        <f>-INDEX(Parameters!$B:$B,MATCH(AE$3,Parameters!$A:$A,0))*$AC10</f>
        <v>0</v>
      </c>
      <c r="AF10" s="139">
        <f t="shared" si="4"/>
        <v>1000</v>
      </c>
      <c r="AG10" s="522">
        <f t="shared" si="5"/>
        <v>1027.7777777777778</v>
      </c>
      <c r="AH10" s="175"/>
      <c r="AI10" s="523">
        <f>MATCH($U10,'Tarieven W&amp;O'!$B:$B,0)</f>
        <v>99</v>
      </c>
      <c r="AJ10" s="204">
        <f>IF(AI10&lt;&gt;"nvt",INDEX('Tarieven W&amp;O'!$H:$H,$AI10),0)</f>
        <v>0</v>
      </c>
      <c r="AK10" s="204">
        <f>IF(AI10&lt;&gt;"nvt",INDEX('Tarieven W&amp;O'!$I:$I,$AI10),0)</f>
        <v>25</v>
      </c>
      <c r="AL10" s="524">
        <f>IF(AI10&lt;&gt;"nvt",-INDEX(Parameters!$B:$B,MATCH(AL$3,Parameters!$A:$A,0))*(AJ10+AK10),0)</f>
        <v>0</v>
      </c>
      <c r="AM10" s="525"/>
      <c r="AN10" s="139">
        <f t="shared" si="6"/>
        <v>25</v>
      </c>
      <c r="AO10" s="205">
        <f>AN10/INDEX(Parameters!$B:$B,MATCH("AfschrijftermijnVVE"&amp;12*$C10,Parameters!$A:$A,0))</f>
        <v>0.69444444444444442</v>
      </c>
      <c r="AP10" s="139">
        <f t="shared" si="7"/>
        <v>99</v>
      </c>
      <c r="AQ10" s="526">
        <f>IF(AP10&lt;&gt;"nvt",INDEX('Tarieven W&amp;O'!$G:$G,$AP10),0)</f>
        <v>11.31</v>
      </c>
      <c r="AR10" s="251">
        <f>-INDEX(Parameters!$B:$B,MATCH(AR$3,Parameters!$A:$A,0))*(AQ10)</f>
        <v>0</v>
      </c>
      <c r="AS10" s="205"/>
      <c r="AT10" s="205">
        <f>INDEX(hulpblad!$E:$E,MATCH(M10&amp;R10,hulpblad!$B:$B,0))</f>
        <v>2</v>
      </c>
      <c r="AU10" s="150">
        <f t="shared" si="8"/>
        <v>13.31</v>
      </c>
      <c r="AV10" s="150">
        <f t="shared" si="9"/>
        <v>14.004444444444445</v>
      </c>
      <c r="AX10" s="526">
        <f>Parameters!$B$6*AV10</f>
        <v>0.14004444444444444</v>
      </c>
      <c r="AY10" s="150">
        <v>0</v>
      </c>
      <c r="AZ10" s="150"/>
      <c r="BA10" s="150">
        <f t="shared" si="10"/>
        <v>0.14004444444444444</v>
      </c>
      <c r="BB10" s="150"/>
      <c r="BC10" s="522">
        <f t="shared" si="11"/>
        <v>14.14448888888889</v>
      </c>
      <c r="BD10" s="175"/>
      <c r="BE10" s="527">
        <f t="shared" si="12"/>
        <v>1013.633288888889</v>
      </c>
      <c r="BF10" s="181">
        <f t="shared" si="13"/>
        <v>0.9862377945945946</v>
      </c>
      <c r="BG10" s="520" t="b">
        <f t="shared" si="14"/>
        <v>0</v>
      </c>
      <c r="BI10" s="151" t="s">
        <v>2181</v>
      </c>
      <c r="BL10" s="151" t="str">
        <f t="shared" si="15"/>
        <v>EoKMetro - Nationaal</v>
      </c>
      <c r="BM10" s="529">
        <v>0</v>
      </c>
      <c r="BN10" s="180">
        <f>BM10/INDEX(Parameters!$B:$B,MATCH("AfschrijftermijnVVE"&amp;12*$C10,Parameters!$A:$A,0))</f>
        <v>0</v>
      </c>
      <c r="BO10" s="184">
        <f>INDEX('inkoop ULL tbv EVPN'!I:I,MATCH(BL10,'inkoop ULL tbv EVPN'!H:H,0))</f>
        <v>2</v>
      </c>
      <c r="BP10" s="184">
        <f t="shared" si="16"/>
        <v>2</v>
      </c>
      <c r="BR10" s="180">
        <f>Parameters!$B$12*AG10</f>
        <v>102.77777777777779</v>
      </c>
      <c r="BS10" s="180">
        <f>SUM(Distributievergoedingen!$F$12,Distributievergoedingen!$I$12,Distributievergoedingen!$L$12,Distributievergoedingen!$O$12)*AF10+SUM(Distributievergoedingen!$O$12*AA10+Distributievergoedingen!$R$12+Distributievergoedingen!$U$12+Distributievergoedingen!$X$12)/(MAX(36,12*C10))</f>
        <v>112.77777777777777</v>
      </c>
      <c r="BT10" s="150"/>
      <c r="BU10" s="150">
        <f t="shared" si="17"/>
        <v>215.55555555555554</v>
      </c>
      <c r="BW10" s="522">
        <f t="shared" si="18"/>
        <v>217.55555555555554</v>
      </c>
      <c r="BY10" s="527">
        <f t="shared" si="19"/>
        <v>810.22222222222229</v>
      </c>
      <c r="BZ10" s="181">
        <f t="shared" si="20"/>
        <v>0.78832432432432431</v>
      </c>
      <c r="CA10" s="520" t="b">
        <f t="shared" si="21"/>
        <v>0</v>
      </c>
    </row>
    <row r="11" spans="1:79" s="151" customFormat="1">
      <c r="A11" s="151" t="s">
        <v>194</v>
      </c>
      <c r="B11" s="520" t="str">
        <f t="shared" si="0"/>
        <v>1EoKPremium2e PVCNationaal2</v>
      </c>
      <c r="C11" s="179">
        <v>1</v>
      </c>
      <c r="D11" s="179" t="s">
        <v>303</v>
      </c>
      <c r="E11" s="178" t="s">
        <v>267</v>
      </c>
      <c r="F11" s="178" t="s">
        <v>440</v>
      </c>
      <c r="G11" s="530" t="s">
        <v>266</v>
      </c>
      <c r="H11" s="531" t="s">
        <v>363</v>
      </c>
      <c r="J11" s="520" t="str">
        <f t="shared" si="1"/>
        <v>Premium2e PVCNationaal2</v>
      </c>
      <c r="L11" s="204">
        <f>INDEX(Mapping!$H:$H,MATCH(C$3&amp;C11,Mapping!$B:$B,0))</f>
        <v>1</v>
      </c>
      <c r="M11" s="204" t="str">
        <f>INDEX(Mapping!$H:$H,MATCH(D$3&amp;D11,Mapping!$B:$B,0))</f>
        <v>EoK</v>
      </c>
      <c r="N11" s="204" t="str">
        <f>INDEX(Mapping!$H:$H,MATCH(E$3&amp;E11,Mapping!$B:$B,0))</f>
        <v>Premium</v>
      </c>
      <c r="O11" s="204" t="str">
        <f>INDEX(Mapping!$H:$H,MATCH(F$3&amp;F11,Mapping!$B:$B,0))</f>
        <v>multiple</v>
      </c>
      <c r="P11" s="204" t="str">
        <f>INDEX(Mapping!$H:$H,MATCH(G$3&amp;G11,Mapping!$B:$B,0))</f>
        <v>Metro</v>
      </c>
      <c r="Q11" s="204">
        <f>INDEX(Mapping!$H:$H,MATCH(H$3&amp;H11,Mapping!$B:$B,0))</f>
        <v>2</v>
      </c>
      <c r="R11" s="204" t="str">
        <f>INDEX(Mapping!$H:$H,MATCH(R$3&amp;$G11,Mapping!$B:$B,0))</f>
        <v>Metro - Nationaal</v>
      </c>
      <c r="S11" s="139"/>
      <c r="T11" s="139"/>
      <c r="U11" s="520" t="str">
        <f t="shared" si="2"/>
        <v>PremiummultipleMetro2</v>
      </c>
      <c r="W11" s="521">
        <f>MATCH($J11,'Tarieven ZM'!$B:$B,0)</f>
        <v>130</v>
      </c>
      <c r="X11" s="204">
        <f>INDEX('Tarieven ZM'!$H:$H,$W11)</f>
        <v>1000</v>
      </c>
      <c r="Y11" s="198">
        <f>-INDEX(Parameters!$B:$B,MATCH(Y$3&amp;$C11,Parameters!$A:$A,0))*$X11</f>
        <v>0</v>
      </c>
      <c r="Z11" s="198">
        <f>-INDEX(Parameters!$B:$B,MATCH(Z$3&amp;$C11,Parameters!$A:$A,0))*$X11</f>
        <v>0</v>
      </c>
      <c r="AA11" s="139">
        <f t="shared" si="3"/>
        <v>1000</v>
      </c>
      <c r="AB11" s="532">
        <f>AA11/INDEX(Parameters!$B:$B,MATCH("AfschrijftermijnVVE"&amp;12*$C11,Parameters!$A:$A,0))</f>
        <v>27.777777777777779</v>
      </c>
      <c r="AC11" s="204">
        <f>INDEX('Tarieven ZM'!$G:$G,$W11)</f>
        <v>1000</v>
      </c>
      <c r="AD11" s="198">
        <f>-INDEX(Parameters!$B:$B,MATCH(AD$3&amp;$C11,Parameters!$A:$A,0))*$AC11</f>
        <v>0</v>
      </c>
      <c r="AE11" s="198">
        <f>-INDEX(Parameters!$B:$B,MATCH(AE$3,Parameters!$A:$A,0))*$AC11</f>
        <v>0</v>
      </c>
      <c r="AF11" s="139">
        <f t="shared" si="4"/>
        <v>1000</v>
      </c>
      <c r="AG11" s="522">
        <f t="shared" si="5"/>
        <v>1027.7777777777778</v>
      </c>
      <c r="AH11" s="175"/>
      <c r="AI11" s="523">
        <f>MATCH($U11,'Tarieven W&amp;O'!$B:$B,0)</f>
        <v>100</v>
      </c>
      <c r="AJ11" s="204">
        <f>IF(AI11&lt;&gt;"nvt",INDEX('Tarieven W&amp;O'!$H:$H,$AI11),0)</f>
        <v>0</v>
      </c>
      <c r="AK11" s="204">
        <f>IF(AI11&lt;&gt;"nvt",INDEX('Tarieven W&amp;O'!$I:$I,$AI11),0)</f>
        <v>25</v>
      </c>
      <c r="AL11" s="524">
        <f>IF(AI11&lt;&gt;"nvt",-INDEX(Parameters!$B:$B,MATCH(AL$3,Parameters!$A:$A,0))*(AJ11+AK11),0)</f>
        <v>0</v>
      </c>
      <c r="AM11" s="525"/>
      <c r="AN11" s="139">
        <f t="shared" si="6"/>
        <v>25</v>
      </c>
      <c r="AO11" s="205">
        <f>AN11/INDEX(Parameters!$B:$B,MATCH("AfschrijftermijnVVE"&amp;12*$C11,Parameters!$A:$A,0))</f>
        <v>0.69444444444444442</v>
      </c>
      <c r="AP11" s="139">
        <f t="shared" si="7"/>
        <v>100</v>
      </c>
      <c r="AQ11" s="526">
        <f>IF(AP11&lt;&gt;"nvt",INDEX('Tarieven W&amp;O'!$G:$G,$AP11),0)</f>
        <v>23.37</v>
      </c>
      <c r="AR11" s="251">
        <f>-INDEX(Parameters!$B:$B,MATCH(AR$3,Parameters!$A:$A,0))*(AQ11)</f>
        <v>0</v>
      </c>
      <c r="AS11" s="205"/>
      <c r="AT11" s="205">
        <f>INDEX(hulpblad!$E:$E,MATCH(M11&amp;R11,hulpblad!$B:$B,0))</f>
        <v>2</v>
      </c>
      <c r="AU11" s="150">
        <f t="shared" si="8"/>
        <v>25.37</v>
      </c>
      <c r="AV11" s="150">
        <f t="shared" si="9"/>
        <v>26.064444444444444</v>
      </c>
      <c r="AX11" s="526">
        <f>Parameters!$B$6*AV11</f>
        <v>0.26064444444444446</v>
      </c>
      <c r="AY11" s="150">
        <v>0</v>
      </c>
      <c r="AZ11" s="150"/>
      <c r="BA11" s="150">
        <f t="shared" si="10"/>
        <v>0.26064444444444446</v>
      </c>
      <c r="BB11" s="150"/>
      <c r="BC11" s="522">
        <f t="shared" si="11"/>
        <v>26.325088888888889</v>
      </c>
      <c r="BD11" s="175"/>
      <c r="BE11" s="527">
        <f t="shared" si="12"/>
        <v>1001.4526888888889</v>
      </c>
      <c r="BF11" s="181">
        <f t="shared" si="13"/>
        <v>0.97438639999999999</v>
      </c>
      <c r="BG11" s="520" t="b">
        <f t="shared" si="14"/>
        <v>0</v>
      </c>
      <c r="BI11" s="151" t="s">
        <v>2181</v>
      </c>
      <c r="BL11" s="151" t="str">
        <f t="shared" si="15"/>
        <v>EoKMetro - Nationaal</v>
      </c>
      <c r="BM11" s="529">
        <v>0</v>
      </c>
      <c r="BN11" s="180">
        <f>BM11/INDEX(Parameters!$B:$B,MATCH("AfschrijftermijnVVE"&amp;12*$C11,Parameters!$A:$A,0))</f>
        <v>0</v>
      </c>
      <c r="BO11" s="184">
        <f>INDEX('inkoop ULL tbv EVPN'!I:I,MATCH(BL11,'inkoop ULL tbv EVPN'!H:H,0))</f>
        <v>2</v>
      </c>
      <c r="BP11" s="184">
        <f t="shared" si="16"/>
        <v>2</v>
      </c>
      <c r="BR11" s="180">
        <f>Parameters!$B$12*AG11</f>
        <v>102.77777777777779</v>
      </c>
      <c r="BS11" s="180">
        <f>SUM(Distributievergoedingen!$F$12,Distributievergoedingen!$I$12,Distributievergoedingen!$L$12,Distributievergoedingen!$O$12)*AF11+SUM(Distributievergoedingen!$O$12*AA11+Distributievergoedingen!$R$12+Distributievergoedingen!$U$12+Distributievergoedingen!$X$12)/(MAX(36,12*C11))</f>
        <v>112.77777777777777</v>
      </c>
      <c r="BT11" s="150"/>
      <c r="BU11" s="150">
        <f t="shared" si="17"/>
        <v>215.55555555555554</v>
      </c>
      <c r="BW11" s="522">
        <f t="shared" si="18"/>
        <v>217.55555555555554</v>
      </c>
      <c r="BY11" s="527">
        <f t="shared" si="19"/>
        <v>810.22222222222229</v>
      </c>
      <c r="BZ11" s="181">
        <f t="shared" si="20"/>
        <v>0.78832432432432431</v>
      </c>
      <c r="CA11" s="520" t="b">
        <f t="shared" si="21"/>
        <v>0</v>
      </c>
    </row>
    <row r="12" spans="1:79" s="151" customFormat="1">
      <c r="A12" s="151" t="s">
        <v>194</v>
      </c>
      <c r="B12" s="520" t="str">
        <f t="shared" si="0"/>
        <v>1EoKPremium2e PVCNationaal4</v>
      </c>
      <c r="C12" s="179">
        <v>1</v>
      </c>
      <c r="D12" s="179" t="s">
        <v>303</v>
      </c>
      <c r="E12" s="178" t="s">
        <v>267</v>
      </c>
      <c r="F12" s="178" t="s">
        <v>440</v>
      </c>
      <c r="G12" s="530" t="s">
        <v>266</v>
      </c>
      <c r="H12" s="531" t="s">
        <v>408</v>
      </c>
      <c r="J12" s="520" t="str">
        <f t="shared" si="1"/>
        <v>Premium2e PVCNationaal4</v>
      </c>
      <c r="L12" s="204">
        <f>INDEX(Mapping!$H:$H,MATCH(C$3&amp;C12,Mapping!$B:$B,0))</f>
        <v>1</v>
      </c>
      <c r="M12" s="204" t="str">
        <f>INDEX(Mapping!$H:$H,MATCH(D$3&amp;D12,Mapping!$B:$B,0))</f>
        <v>EoK</v>
      </c>
      <c r="N12" s="204" t="str">
        <f>INDEX(Mapping!$H:$H,MATCH(E$3&amp;E12,Mapping!$B:$B,0))</f>
        <v>Premium</v>
      </c>
      <c r="O12" s="204" t="str">
        <f>INDEX(Mapping!$H:$H,MATCH(F$3&amp;F12,Mapping!$B:$B,0))</f>
        <v>multiple</v>
      </c>
      <c r="P12" s="204" t="str">
        <f>INDEX(Mapping!$H:$H,MATCH(G$3&amp;G12,Mapping!$B:$B,0))</f>
        <v>Metro</v>
      </c>
      <c r="Q12" s="204">
        <f>INDEX(Mapping!$H:$H,MATCH(H$3&amp;H12,Mapping!$B:$B,0))</f>
        <v>4</v>
      </c>
      <c r="R12" s="204" t="str">
        <f>INDEX(Mapping!$H:$H,MATCH(R$3&amp;$G12,Mapping!$B:$B,0))</f>
        <v>Metro - Nationaal</v>
      </c>
      <c r="S12" s="139"/>
      <c r="T12" s="139"/>
      <c r="U12" s="520" t="str">
        <f t="shared" si="2"/>
        <v>PremiummultipleMetro4</v>
      </c>
      <c r="W12" s="521">
        <f>MATCH($J12,'Tarieven ZM'!$B:$B,0)</f>
        <v>131</v>
      </c>
      <c r="X12" s="204">
        <f>INDEX('Tarieven ZM'!$H:$H,$W12)</f>
        <v>1000</v>
      </c>
      <c r="Y12" s="198">
        <f>-INDEX(Parameters!$B:$B,MATCH(Y$3&amp;$C12,Parameters!$A:$A,0))*$X12</f>
        <v>0</v>
      </c>
      <c r="Z12" s="198">
        <f>-INDEX(Parameters!$B:$B,MATCH(Z$3&amp;$C12,Parameters!$A:$A,0))*$X12</f>
        <v>0</v>
      </c>
      <c r="AA12" s="139">
        <f t="shared" si="3"/>
        <v>1000</v>
      </c>
      <c r="AB12" s="532">
        <f>AA12/INDEX(Parameters!$B:$B,MATCH("AfschrijftermijnVVE"&amp;12*$C12,Parameters!$A:$A,0))</f>
        <v>27.777777777777779</v>
      </c>
      <c r="AC12" s="204">
        <f>INDEX('Tarieven ZM'!$G:$G,$W12)</f>
        <v>1000</v>
      </c>
      <c r="AD12" s="198">
        <f>-INDEX(Parameters!$B:$B,MATCH(AD$3&amp;$C12,Parameters!$A:$A,0))*$AC12</f>
        <v>0</v>
      </c>
      <c r="AE12" s="198">
        <f>-INDEX(Parameters!$B:$B,MATCH(AE$3,Parameters!$A:$A,0))*$AC12</f>
        <v>0</v>
      </c>
      <c r="AF12" s="139">
        <f t="shared" si="4"/>
        <v>1000</v>
      </c>
      <c r="AG12" s="522">
        <f t="shared" si="5"/>
        <v>1027.7777777777778</v>
      </c>
      <c r="AH12" s="175"/>
      <c r="AI12" s="523">
        <f>MATCH($U12,'Tarieven W&amp;O'!$B:$B,0)</f>
        <v>101</v>
      </c>
      <c r="AJ12" s="204">
        <f>IF(AI12&lt;&gt;"nvt",INDEX('Tarieven W&amp;O'!$H:$H,$AI12),0)</f>
        <v>0</v>
      </c>
      <c r="AK12" s="204">
        <f>IF(AI12&lt;&gt;"nvt",INDEX('Tarieven W&amp;O'!$I:$I,$AI12),0)</f>
        <v>25</v>
      </c>
      <c r="AL12" s="524">
        <f>IF(AI12&lt;&gt;"nvt",-INDEX(Parameters!$B:$B,MATCH(AL$3,Parameters!$A:$A,0))*(AJ12+AK12),0)</f>
        <v>0</v>
      </c>
      <c r="AM12" s="525"/>
      <c r="AN12" s="139">
        <f t="shared" si="6"/>
        <v>25</v>
      </c>
      <c r="AO12" s="205">
        <f>AN12/INDEX(Parameters!$B:$B,MATCH("AfschrijftermijnVVE"&amp;12*$C12,Parameters!$A:$A,0))</f>
        <v>0.69444444444444442</v>
      </c>
      <c r="AP12" s="139">
        <f t="shared" si="7"/>
        <v>101</v>
      </c>
      <c r="AQ12" s="526">
        <f>IF(AP12&lt;&gt;"nvt",INDEX('Tarieven W&amp;O'!$G:$G,$AP12),0)</f>
        <v>45.98</v>
      </c>
      <c r="AR12" s="251">
        <f>-INDEX(Parameters!$B:$B,MATCH(AR$3,Parameters!$A:$A,0))*(AQ12)</f>
        <v>0</v>
      </c>
      <c r="AS12" s="205"/>
      <c r="AT12" s="205">
        <f>INDEX(hulpblad!$E:$E,MATCH(M12&amp;R12,hulpblad!$B:$B,0))</f>
        <v>2</v>
      </c>
      <c r="AU12" s="150">
        <f t="shared" si="8"/>
        <v>47.98</v>
      </c>
      <c r="AV12" s="150">
        <f t="shared" si="9"/>
        <v>48.67444444444444</v>
      </c>
      <c r="AX12" s="526">
        <f>Parameters!$B$6*AV12</f>
        <v>0.48674444444444442</v>
      </c>
      <c r="AY12" s="150">
        <v>0</v>
      </c>
      <c r="AZ12" s="150"/>
      <c r="BA12" s="150">
        <f t="shared" si="10"/>
        <v>0.48674444444444442</v>
      </c>
      <c r="BB12" s="150"/>
      <c r="BC12" s="522">
        <f t="shared" si="11"/>
        <v>49.161188888888887</v>
      </c>
      <c r="BD12" s="175"/>
      <c r="BE12" s="527">
        <f t="shared" si="12"/>
        <v>978.61658888888894</v>
      </c>
      <c r="BF12" s="181">
        <f t="shared" si="13"/>
        <v>0.95216749189189187</v>
      </c>
      <c r="BG12" s="520" t="b">
        <f t="shared" si="14"/>
        <v>0</v>
      </c>
      <c r="BI12" s="151" t="s">
        <v>2181</v>
      </c>
      <c r="BL12" s="151" t="str">
        <f t="shared" si="15"/>
        <v>EoKMetro - Nationaal</v>
      </c>
      <c r="BM12" s="529">
        <v>0</v>
      </c>
      <c r="BN12" s="180">
        <f>BM12/INDEX(Parameters!$B:$B,MATCH("AfschrijftermijnVVE"&amp;12*$C12,Parameters!$A:$A,0))</f>
        <v>0</v>
      </c>
      <c r="BO12" s="184">
        <f>INDEX('inkoop ULL tbv EVPN'!I:I,MATCH(BL12,'inkoop ULL tbv EVPN'!H:H,0))</f>
        <v>2</v>
      </c>
      <c r="BP12" s="184">
        <f t="shared" si="16"/>
        <v>2</v>
      </c>
      <c r="BR12" s="180">
        <f>Parameters!$B$12*AG12</f>
        <v>102.77777777777779</v>
      </c>
      <c r="BS12" s="180">
        <f>SUM(Distributievergoedingen!$F$12,Distributievergoedingen!$I$12,Distributievergoedingen!$L$12,Distributievergoedingen!$O$12)*AF12+SUM(Distributievergoedingen!$O$12*AA12+Distributievergoedingen!$R$12+Distributievergoedingen!$U$12+Distributievergoedingen!$X$12)/(MAX(36,12*C12))</f>
        <v>112.77777777777777</v>
      </c>
      <c r="BT12" s="150"/>
      <c r="BU12" s="150">
        <f t="shared" si="17"/>
        <v>215.55555555555554</v>
      </c>
      <c r="BW12" s="522">
        <f t="shared" si="18"/>
        <v>217.55555555555554</v>
      </c>
      <c r="BY12" s="527">
        <f t="shared" si="19"/>
        <v>810.22222222222229</v>
      </c>
      <c r="BZ12" s="181">
        <f t="shared" si="20"/>
        <v>0.78832432432432431</v>
      </c>
      <c r="CA12" s="520" t="b">
        <f t="shared" si="21"/>
        <v>0</v>
      </c>
    </row>
    <row r="13" spans="1:79" s="151" customFormat="1">
      <c r="A13" s="151" t="s">
        <v>194</v>
      </c>
      <c r="B13" s="520" t="str">
        <f t="shared" si="0"/>
        <v>2EoKPremium2e PVCCity1</v>
      </c>
      <c r="C13" s="179">
        <v>2</v>
      </c>
      <c r="D13" s="179" t="s">
        <v>303</v>
      </c>
      <c r="E13" s="178" t="s">
        <v>267</v>
      </c>
      <c r="F13" s="178" t="s">
        <v>440</v>
      </c>
      <c r="G13" s="530" t="s">
        <v>262</v>
      </c>
      <c r="H13" s="531" t="s">
        <v>362</v>
      </c>
      <c r="J13" s="520" t="str">
        <f t="shared" ref="J13:J21" si="22">E13&amp;F13&amp;G13&amp;H13</f>
        <v>Premium2e PVCCity1</v>
      </c>
      <c r="L13" s="204">
        <f>INDEX(Mapping!$H:$H,MATCH(C$3&amp;C13,Mapping!$B:$B,0))</f>
        <v>1</v>
      </c>
      <c r="M13" s="204" t="str">
        <f>INDEX(Mapping!$H:$H,MATCH(D$3&amp;D13,Mapping!$B:$B,0))</f>
        <v>EoK</v>
      </c>
      <c r="N13" s="204" t="str">
        <f>INDEX(Mapping!$H:$H,MATCH(E$3&amp;E13,Mapping!$B:$B,0))</f>
        <v>Premium</v>
      </c>
      <c r="O13" s="204" t="str">
        <f>INDEX(Mapping!$H:$H,MATCH(F$3&amp;F13,Mapping!$B:$B,0))</f>
        <v>multiple</v>
      </c>
      <c r="P13" s="204" t="str">
        <f>INDEX(Mapping!$H:$H,MATCH(G$3&amp;G13,Mapping!$B:$B,0))</f>
        <v>Metro</v>
      </c>
      <c r="Q13" s="204">
        <f>INDEX(Mapping!$H:$H,MATCH(H$3&amp;H13,Mapping!$B:$B,0))</f>
        <v>1</v>
      </c>
      <c r="R13" s="204" t="str">
        <f>INDEX(Mapping!$H:$H,MATCH(R$3&amp;$G13,Mapping!$B:$B,0))</f>
        <v>Metro - Regionaal</v>
      </c>
      <c r="S13" s="139"/>
      <c r="T13" s="139"/>
      <c r="U13" s="520" t="str">
        <f t="shared" si="2"/>
        <v>PremiummultipleMetro1</v>
      </c>
      <c r="W13" s="521">
        <f>MATCH($J13,'Tarieven ZM'!$B:$B,0)</f>
        <v>123</v>
      </c>
      <c r="X13" s="204">
        <f>INDEX('Tarieven ZM'!$H:$H,$W13)</f>
        <v>1000</v>
      </c>
      <c r="Y13" s="198">
        <f>-INDEX(Parameters!$B:$B,MATCH(Y$3&amp;$C13,Parameters!$A:$A,0))*$X13</f>
        <v>0</v>
      </c>
      <c r="Z13" s="198">
        <f>-INDEX(Parameters!$B:$B,MATCH(Z$3&amp;$C13,Parameters!$A:$A,0))*$X13</f>
        <v>0</v>
      </c>
      <c r="AA13" s="139">
        <f t="shared" ref="AA13:AA21" si="23">SUM(X13:Z13)</f>
        <v>1000</v>
      </c>
      <c r="AB13" s="532">
        <f>AA13/INDEX(Parameters!$B:$B,MATCH("AfschrijftermijnVVE"&amp;12*$C13,Parameters!$A:$A,0))</f>
        <v>27.777777777777779</v>
      </c>
      <c r="AC13" s="204">
        <f>INDEX('Tarieven ZM'!$G:$G,$W13)</f>
        <v>1000</v>
      </c>
      <c r="AD13" s="198">
        <f>-INDEX(Parameters!$B:$B,MATCH(AD$3&amp;$C13,Parameters!$A:$A,0))*$AC13</f>
        <v>0</v>
      </c>
      <c r="AE13" s="198">
        <f>-INDEX(Parameters!$B:$B,MATCH(AE$3,Parameters!$A:$A,0))*$AC13</f>
        <v>0</v>
      </c>
      <c r="AF13" s="139">
        <f t="shared" ref="AF13:AF21" si="24">SUM(AC13:AE13)</f>
        <v>1000</v>
      </c>
      <c r="AG13" s="522">
        <f t="shared" ref="AG13:AG21" si="25">SUM(AB13,AF13)</f>
        <v>1027.7777777777778</v>
      </c>
      <c r="AH13" s="175"/>
      <c r="AI13" s="523">
        <f>MATCH($U13,'Tarieven W&amp;O'!$B:$B,0)</f>
        <v>99</v>
      </c>
      <c r="AJ13" s="204">
        <f>IF(AI13&lt;&gt;"nvt",INDEX('Tarieven W&amp;O'!$H:$H,$AI13),0)</f>
        <v>0</v>
      </c>
      <c r="AK13" s="204">
        <f>IF(AI13&lt;&gt;"nvt",INDEX('Tarieven W&amp;O'!$I:$I,$AI13),0)</f>
        <v>25</v>
      </c>
      <c r="AL13" s="524">
        <f>IF(AI13&lt;&gt;"nvt",-INDEX(Parameters!$B:$B,MATCH(AL$3,Parameters!$A:$A,0))*(AJ13+AK13),0)</f>
        <v>0</v>
      </c>
      <c r="AM13" s="525"/>
      <c r="AN13" s="139">
        <f t="shared" ref="AN13:AN21" si="26">SUM(AJ13:AM13)</f>
        <v>25</v>
      </c>
      <c r="AO13" s="205">
        <f>AN13/INDEX(Parameters!$B:$B,MATCH("AfschrijftermijnVVE"&amp;12*$C13,Parameters!$A:$A,0))</f>
        <v>0.69444444444444442</v>
      </c>
      <c r="AP13" s="139">
        <f t="shared" ref="AP13:AP21" si="27">AI13</f>
        <v>99</v>
      </c>
      <c r="AQ13" s="526">
        <f>IF(AP13&lt;&gt;"nvt",INDEX('Tarieven W&amp;O'!$G:$G,$AP13),0)</f>
        <v>11.31</v>
      </c>
      <c r="AR13" s="251">
        <f>-INDEX(Parameters!$B:$B,MATCH(AR$3,Parameters!$A:$A,0))*(AQ13)</f>
        <v>0</v>
      </c>
      <c r="AS13" s="205"/>
      <c r="AT13" s="205">
        <f>INDEX(hulpblad!$E:$E,MATCH(M13&amp;R13,hulpblad!$B:$B,0))</f>
        <v>1</v>
      </c>
      <c r="AU13" s="150">
        <f t="shared" ref="AU13:AU21" si="28">SUM(AQ13:AT13)</f>
        <v>12.31</v>
      </c>
      <c r="AV13" s="150">
        <f t="shared" ref="AV13:AV21" si="29">SUM(AO13,AU13)</f>
        <v>13.004444444444445</v>
      </c>
      <c r="AX13" s="526">
        <f>Parameters!$B$6*AV13</f>
        <v>0.13004444444444446</v>
      </c>
      <c r="AY13" s="150">
        <v>0</v>
      </c>
      <c r="AZ13" s="150"/>
      <c r="BA13" s="150">
        <f t="shared" ref="BA13:BA21" si="30">SUM(AX13:AZ13)</f>
        <v>0.13004444444444446</v>
      </c>
      <c r="BB13" s="150"/>
      <c r="BC13" s="522">
        <f t="shared" ref="BC13:BC21" si="31">SUM(AV13,BA13)</f>
        <v>13.134488888888889</v>
      </c>
      <c r="BD13" s="175"/>
      <c r="BE13" s="527">
        <f t="shared" ref="BE13:BE21" si="32">AG13-BC13</f>
        <v>1014.6432888888889</v>
      </c>
      <c r="BF13" s="181">
        <f t="shared" ref="BF13:BF21" si="33">IF(AG13=0,-999%,BE13/AG13)</f>
        <v>0.98722049729729733</v>
      </c>
      <c r="BG13" s="520" t="b">
        <f t="shared" ref="BG13:BG21" si="34">BF13&lt;0</f>
        <v>0</v>
      </c>
      <c r="BI13" s="151" t="s">
        <v>2181</v>
      </c>
      <c r="BL13" s="151" t="str">
        <f t="shared" si="15"/>
        <v>EoKMetro - Regionaal</v>
      </c>
      <c r="BM13" s="529">
        <v>0</v>
      </c>
      <c r="BN13" s="180">
        <f>BM13/INDEX(Parameters!$B:$B,MATCH("AfschrijftermijnVVE"&amp;12*$C13,Parameters!$A:$A,0))</f>
        <v>0</v>
      </c>
      <c r="BO13" s="184">
        <f>INDEX('inkoop ULL tbv EVPN'!I:I,MATCH(BL13,'inkoop ULL tbv EVPN'!H:H,0))</f>
        <v>2</v>
      </c>
      <c r="BP13" s="184">
        <f t="shared" si="16"/>
        <v>2</v>
      </c>
      <c r="BR13" s="180">
        <f>Parameters!$B$12*AG13</f>
        <v>102.77777777777779</v>
      </c>
      <c r="BS13" s="180">
        <f>SUM(Distributievergoedingen!$F$12,Distributievergoedingen!$I$12,Distributievergoedingen!$L$12,Distributievergoedingen!$O$12)*AF13+SUM(Distributievergoedingen!$O$12*AA13+Distributievergoedingen!$R$12+Distributievergoedingen!$U$12+Distributievergoedingen!$X$12)/(MAX(36,12*C13))</f>
        <v>112.77777777777777</v>
      </c>
      <c r="BT13" s="150"/>
      <c r="BU13" s="150">
        <f t="shared" si="17"/>
        <v>215.55555555555554</v>
      </c>
      <c r="BW13" s="522">
        <f t="shared" si="18"/>
        <v>217.55555555555554</v>
      </c>
      <c r="BY13" s="527">
        <f t="shared" si="19"/>
        <v>810.22222222222229</v>
      </c>
      <c r="BZ13" s="181">
        <f t="shared" si="20"/>
        <v>0.78832432432432431</v>
      </c>
      <c r="CA13" s="520" t="b">
        <f t="shared" si="21"/>
        <v>0</v>
      </c>
    </row>
    <row r="14" spans="1:79" s="151" customFormat="1">
      <c r="A14" s="151" t="s">
        <v>194</v>
      </c>
      <c r="B14" s="520" t="str">
        <f t="shared" si="0"/>
        <v>2EoKPremium2e PVCCity2</v>
      </c>
      <c r="C14" s="179">
        <v>2</v>
      </c>
      <c r="D14" s="179" t="s">
        <v>303</v>
      </c>
      <c r="E14" s="178" t="s">
        <v>267</v>
      </c>
      <c r="F14" s="178" t="s">
        <v>440</v>
      </c>
      <c r="G14" s="530" t="s">
        <v>262</v>
      </c>
      <c r="H14" s="531" t="s">
        <v>363</v>
      </c>
      <c r="J14" s="520" t="str">
        <f t="shared" si="22"/>
        <v>Premium2e PVCCity2</v>
      </c>
      <c r="L14" s="204">
        <f>INDEX(Mapping!$H:$H,MATCH(C$3&amp;C14,Mapping!$B:$B,0))</f>
        <v>1</v>
      </c>
      <c r="M14" s="204" t="str">
        <f>INDEX(Mapping!$H:$H,MATCH(D$3&amp;D14,Mapping!$B:$B,0))</f>
        <v>EoK</v>
      </c>
      <c r="N14" s="204" t="str">
        <f>INDEX(Mapping!$H:$H,MATCH(E$3&amp;E14,Mapping!$B:$B,0))</f>
        <v>Premium</v>
      </c>
      <c r="O14" s="204" t="str">
        <f>INDEX(Mapping!$H:$H,MATCH(F$3&amp;F14,Mapping!$B:$B,0))</f>
        <v>multiple</v>
      </c>
      <c r="P14" s="204" t="str">
        <f>INDEX(Mapping!$H:$H,MATCH(G$3&amp;G14,Mapping!$B:$B,0))</f>
        <v>Metro</v>
      </c>
      <c r="Q14" s="204">
        <f>INDEX(Mapping!$H:$H,MATCH(H$3&amp;H14,Mapping!$B:$B,0))</f>
        <v>2</v>
      </c>
      <c r="R14" s="204" t="str">
        <f>INDEX(Mapping!$H:$H,MATCH(R$3&amp;$G14,Mapping!$B:$B,0))</f>
        <v>Metro - Regionaal</v>
      </c>
      <c r="S14" s="139"/>
      <c r="T14" s="139"/>
      <c r="U14" s="520" t="str">
        <f t="shared" si="2"/>
        <v>PremiummultipleMetro2</v>
      </c>
      <c r="W14" s="521">
        <f>MATCH($J14,'Tarieven ZM'!$B:$B,0)</f>
        <v>124</v>
      </c>
      <c r="X14" s="204">
        <f>INDEX('Tarieven ZM'!$H:$H,$W14)</f>
        <v>1000</v>
      </c>
      <c r="Y14" s="198">
        <f>-INDEX(Parameters!$B:$B,MATCH(Y$3&amp;$C14,Parameters!$A:$A,0))*$X14</f>
        <v>0</v>
      </c>
      <c r="Z14" s="198">
        <f>-INDEX(Parameters!$B:$B,MATCH(Z$3&amp;$C14,Parameters!$A:$A,0))*$X14</f>
        <v>0</v>
      </c>
      <c r="AA14" s="139">
        <f t="shared" si="23"/>
        <v>1000</v>
      </c>
      <c r="AB14" s="532">
        <f>AA14/INDEX(Parameters!$B:$B,MATCH("AfschrijftermijnVVE"&amp;12*$C14,Parameters!$A:$A,0))</f>
        <v>27.777777777777779</v>
      </c>
      <c r="AC14" s="204">
        <f>INDEX('Tarieven ZM'!$G:$G,$W14)</f>
        <v>1000</v>
      </c>
      <c r="AD14" s="198">
        <f>-INDEX(Parameters!$B:$B,MATCH(AD$3&amp;$C14,Parameters!$A:$A,0))*$AC14</f>
        <v>0</v>
      </c>
      <c r="AE14" s="198">
        <f>-INDEX(Parameters!$B:$B,MATCH(AE$3,Parameters!$A:$A,0))*$AC14</f>
        <v>0</v>
      </c>
      <c r="AF14" s="139">
        <f t="shared" si="24"/>
        <v>1000</v>
      </c>
      <c r="AG14" s="522">
        <f t="shared" si="25"/>
        <v>1027.7777777777778</v>
      </c>
      <c r="AH14" s="175"/>
      <c r="AI14" s="523">
        <f>MATCH($U14,'Tarieven W&amp;O'!$B:$B,0)</f>
        <v>100</v>
      </c>
      <c r="AJ14" s="204">
        <f>IF(AI14&lt;&gt;"nvt",INDEX('Tarieven W&amp;O'!$H:$H,$AI14),0)</f>
        <v>0</v>
      </c>
      <c r="AK14" s="204">
        <f>IF(AI14&lt;&gt;"nvt",INDEX('Tarieven W&amp;O'!$I:$I,$AI14),0)</f>
        <v>25</v>
      </c>
      <c r="AL14" s="524">
        <f>IF(AI14&lt;&gt;"nvt",-INDEX(Parameters!$B:$B,MATCH(AL$3,Parameters!$A:$A,0))*(AJ14+AK14),0)</f>
        <v>0</v>
      </c>
      <c r="AM14" s="525"/>
      <c r="AN14" s="139">
        <f t="shared" si="26"/>
        <v>25</v>
      </c>
      <c r="AO14" s="205">
        <f>AN14/INDEX(Parameters!$B:$B,MATCH("AfschrijftermijnVVE"&amp;12*$C14,Parameters!$A:$A,0))</f>
        <v>0.69444444444444442</v>
      </c>
      <c r="AP14" s="139">
        <f t="shared" si="27"/>
        <v>100</v>
      </c>
      <c r="AQ14" s="526">
        <f>IF(AP14&lt;&gt;"nvt",INDEX('Tarieven W&amp;O'!$G:$G,$AP14),0)</f>
        <v>23.37</v>
      </c>
      <c r="AR14" s="251">
        <f>-INDEX(Parameters!$B:$B,MATCH(AR$3,Parameters!$A:$A,0))*(AQ14)</f>
        <v>0</v>
      </c>
      <c r="AS14" s="205"/>
      <c r="AT14" s="205">
        <f>INDEX(hulpblad!$E:$E,MATCH(M14&amp;R14,hulpblad!$B:$B,0))</f>
        <v>1</v>
      </c>
      <c r="AU14" s="150">
        <f t="shared" si="28"/>
        <v>24.37</v>
      </c>
      <c r="AV14" s="150">
        <f t="shared" si="29"/>
        <v>25.064444444444444</v>
      </c>
      <c r="AX14" s="526">
        <f>Parameters!$B$6*AV14</f>
        <v>0.25064444444444445</v>
      </c>
      <c r="AY14" s="150">
        <v>0</v>
      </c>
      <c r="AZ14" s="150"/>
      <c r="BA14" s="150">
        <f t="shared" si="30"/>
        <v>0.25064444444444445</v>
      </c>
      <c r="BB14" s="150"/>
      <c r="BC14" s="522">
        <f t="shared" si="31"/>
        <v>25.315088888888887</v>
      </c>
      <c r="BD14" s="175"/>
      <c r="BE14" s="527">
        <f t="shared" si="32"/>
        <v>1002.4626888888889</v>
      </c>
      <c r="BF14" s="181">
        <f t="shared" si="33"/>
        <v>0.97536910270270272</v>
      </c>
      <c r="BG14" s="520" t="b">
        <f t="shared" si="34"/>
        <v>0</v>
      </c>
      <c r="BI14" s="151" t="s">
        <v>2181</v>
      </c>
      <c r="BL14" s="151" t="str">
        <f t="shared" si="15"/>
        <v>EoKMetro - Regionaal</v>
      </c>
      <c r="BM14" s="529">
        <v>0</v>
      </c>
      <c r="BN14" s="180">
        <f>BM14/INDEX(Parameters!$B:$B,MATCH("AfschrijftermijnVVE"&amp;12*$C14,Parameters!$A:$A,0))</f>
        <v>0</v>
      </c>
      <c r="BO14" s="184">
        <f>INDEX('inkoop ULL tbv EVPN'!I:I,MATCH(BL14,'inkoop ULL tbv EVPN'!H:H,0))</f>
        <v>2</v>
      </c>
      <c r="BP14" s="184">
        <f t="shared" si="16"/>
        <v>2</v>
      </c>
      <c r="BR14" s="180">
        <f>Parameters!$B$12*AG14</f>
        <v>102.77777777777779</v>
      </c>
      <c r="BS14" s="180">
        <f>SUM(Distributievergoedingen!$F$12,Distributievergoedingen!$I$12,Distributievergoedingen!$L$12,Distributievergoedingen!$O$12)*AF14+SUM(Distributievergoedingen!$O$12*AA14+Distributievergoedingen!$R$12+Distributievergoedingen!$U$12+Distributievergoedingen!$X$12)/(MAX(36,12*C14))</f>
        <v>112.77777777777777</v>
      </c>
      <c r="BT14" s="150"/>
      <c r="BU14" s="150">
        <f t="shared" si="17"/>
        <v>215.55555555555554</v>
      </c>
      <c r="BW14" s="522">
        <f t="shared" si="18"/>
        <v>217.55555555555554</v>
      </c>
      <c r="BY14" s="527">
        <f t="shared" si="19"/>
        <v>810.22222222222229</v>
      </c>
      <c r="BZ14" s="181">
        <f t="shared" si="20"/>
        <v>0.78832432432432431</v>
      </c>
      <c r="CA14" s="520" t="b">
        <f t="shared" si="21"/>
        <v>0</v>
      </c>
    </row>
    <row r="15" spans="1:79" s="151" customFormat="1">
      <c r="A15" s="151" t="s">
        <v>194</v>
      </c>
      <c r="B15" s="520" t="str">
        <f t="shared" si="0"/>
        <v>2EoKPremium2e PVCCity4</v>
      </c>
      <c r="C15" s="179">
        <v>2</v>
      </c>
      <c r="D15" s="179" t="s">
        <v>303</v>
      </c>
      <c r="E15" s="178" t="s">
        <v>267</v>
      </c>
      <c r="F15" s="178" t="s">
        <v>440</v>
      </c>
      <c r="G15" s="530" t="s">
        <v>262</v>
      </c>
      <c r="H15" s="531" t="s">
        <v>408</v>
      </c>
      <c r="J15" s="520" t="str">
        <f t="shared" si="22"/>
        <v>Premium2e PVCCity4</v>
      </c>
      <c r="L15" s="204">
        <f>INDEX(Mapping!$H:$H,MATCH(C$3&amp;C15,Mapping!$B:$B,0))</f>
        <v>1</v>
      </c>
      <c r="M15" s="204" t="str">
        <f>INDEX(Mapping!$H:$H,MATCH(D$3&amp;D15,Mapping!$B:$B,0))</f>
        <v>EoK</v>
      </c>
      <c r="N15" s="204" t="str">
        <f>INDEX(Mapping!$H:$H,MATCH(E$3&amp;E15,Mapping!$B:$B,0))</f>
        <v>Premium</v>
      </c>
      <c r="O15" s="204" t="str">
        <f>INDEX(Mapping!$H:$H,MATCH(F$3&amp;F15,Mapping!$B:$B,0))</f>
        <v>multiple</v>
      </c>
      <c r="P15" s="204" t="str">
        <f>INDEX(Mapping!$H:$H,MATCH(G$3&amp;G15,Mapping!$B:$B,0))</f>
        <v>Metro</v>
      </c>
      <c r="Q15" s="204">
        <f>INDEX(Mapping!$H:$H,MATCH(H$3&amp;H15,Mapping!$B:$B,0))</f>
        <v>4</v>
      </c>
      <c r="R15" s="204" t="str">
        <f>INDEX(Mapping!$H:$H,MATCH(R$3&amp;$G15,Mapping!$B:$B,0))</f>
        <v>Metro - Regionaal</v>
      </c>
      <c r="S15" s="139"/>
      <c r="T15" s="139"/>
      <c r="U15" s="520" t="str">
        <f t="shared" si="2"/>
        <v>PremiummultipleMetro4</v>
      </c>
      <c r="W15" s="521">
        <f>MATCH($J15,'Tarieven ZM'!$B:$B,0)</f>
        <v>125</v>
      </c>
      <c r="X15" s="204">
        <f>INDEX('Tarieven ZM'!$H:$H,$W15)</f>
        <v>1000</v>
      </c>
      <c r="Y15" s="198">
        <f>-INDEX(Parameters!$B:$B,MATCH(Y$3&amp;$C15,Parameters!$A:$A,0))*$X15</f>
        <v>0</v>
      </c>
      <c r="Z15" s="198">
        <f>-INDEX(Parameters!$B:$B,MATCH(Z$3&amp;$C15,Parameters!$A:$A,0))*$X15</f>
        <v>0</v>
      </c>
      <c r="AA15" s="139">
        <f t="shared" si="23"/>
        <v>1000</v>
      </c>
      <c r="AB15" s="532">
        <f>AA15/INDEX(Parameters!$B:$B,MATCH("AfschrijftermijnVVE"&amp;12*$C15,Parameters!$A:$A,0))</f>
        <v>27.777777777777779</v>
      </c>
      <c r="AC15" s="204">
        <f>INDEX('Tarieven ZM'!$G:$G,$W15)</f>
        <v>1000</v>
      </c>
      <c r="AD15" s="198">
        <f>-INDEX(Parameters!$B:$B,MATCH(AD$3&amp;$C15,Parameters!$A:$A,0))*$AC15</f>
        <v>0</v>
      </c>
      <c r="AE15" s="198">
        <f>-INDEX(Parameters!$B:$B,MATCH(AE$3,Parameters!$A:$A,0))*$AC15</f>
        <v>0</v>
      </c>
      <c r="AF15" s="139">
        <f t="shared" si="24"/>
        <v>1000</v>
      </c>
      <c r="AG15" s="522">
        <f t="shared" si="25"/>
        <v>1027.7777777777778</v>
      </c>
      <c r="AH15" s="175"/>
      <c r="AI15" s="523">
        <f>MATCH($U15,'Tarieven W&amp;O'!$B:$B,0)</f>
        <v>101</v>
      </c>
      <c r="AJ15" s="204">
        <f>IF(AI15&lt;&gt;"nvt",INDEX('Tarieven W&amp;O'!$H:$H,$AI15),0)</f>
        <v>0</v>
      </c>
      <c r="AK15" s="204">
        <f>IF(AI15&lt;&gt;"nvt",INDEX('Tarieven W&amp;O'!$I:$I,$AI15),0)</f>
        <v>25</v>
      </c>
      <c r="AL15" s="524">
        <f>IF(AI15&lt;&gt;"nvt",-INDEX(Parameters!$B:$B,MATCH(AL$3,Parameters!$A:$A,0))*(AJ15+AK15),0)</f>
        <v>0</v>
      </c>
      <c r="AM15" s="525"/>
      <c r="AN15" s="139">
        <f t="shared" si="26"/>
        <v>25</v>
      </c>
      <c r="AO15" s="205">
        <f>AN15/INDEX(Parameters!$B:$B,MATCH("AfschrijftermijnVVE"&amp;12*$C15,Parameters!$A:$A,0))</f>
        <v>0.69444444444444442</v>
      </c>
      <c r="AP15" s="139">
        <f t="shared" si="27"/>
        <v>101</v>
      </c>
      <c r="AQ15" s="526">
        <f>IF(AP15&lt;&gt;"nvt",INDEX('Tarieven W&amp;O'!$G:$G,$AP15),0)</f>
        <v>45.98</v>
      </c>
      <c r="AR15" s="251">
        <f>-INDEX(Parameters!$B:$B,MATCH(AR$3,Parameters!$A:$A,0))*(AQ15)</f>
        <v>0</v>
      </c>
      <c r="AS15" s="205"/>
      <c r="AT15" s="205">
        <f>INDEX(hulpblad!$E:$E,MATCH(M15&amp;R15,hulpblad!$B:$B,0))</f>
        <v>1</v>
      </c>
      <c r="AU15" s="150">
        <f t="shared" si="28"/>
        <v>46.98</v>
      </c>
      <c r="AV15" s="150">
        <f t="shared" si="29"/>
        <v>47.67444444444444</v>
      </c>
      <c r="AX15" s="526">
        <f>Parameters!$B$6*AV15</f>
        <v>0.47674444444444442</v>
      </c>
      <c r="AY15" s="150">
        <v>0</v>
      </c>
      <c r="AZ15" s="150"/>
      <c r="BA15" s="150">
        <f t="shared" si="30"/>
        <v>0.47674444444444442</v>
      </c>
      <c r="BB15" s="150"/>
      <c r="BC15" s="522">
        <f t="shared" si="31"/>
        <v>48.151188888888882</v>
      </c>
      <c r="BD15" s="175"/>
      <c r="BE15" s="527">
        <f t="shared" si="32"/>
        <v>979.62658888888893</v>
      </c>
      <c r="BF15" s="181">
        <f t="shared" si="33"/>
        <v>0.9531501945945946</v>
      </c>
      <c r="BG15" s="520" t="b">
        <f t="shared" si="34"/>
        <v>0</v>
      </c>
      <c r="BI15" s="151" t="s">
        <v>2181</v>
      </c>
      <c r="BL15" s="151" t="str">
        <f t="shared" si="15"/>
        <v>EoKMetro - Regionaal</v>
      </c>
      <c r="BM15" s="529">
        <v>0</v>
      </c>
      <c r="BN15" s="180">
        <f>BM15/INDEX(Parameters!$B:$B,MATCH("AfschrijftermijnVVE"&amp;12*$C15,Parameters!$A:$A,0))</f>
        <v>0</v>
      </c>
      <c r="BO15" s="184">
        <f>INDEX('inkoop ULL tbv EVPN'!I:I,MATCH(BL15,'inkoop ULL tbv EVPN'!H:H,0))</f>
        <v>2</v>
      </c>
      <c r="BP15" s="184">
        <f t="shared" si="16"/>
        <v>2</v>
      </c>
      <c r="BR15" s="180">
        <f>Parameters!$B$12*AG15</f>
        <v>102.77777777777779</v>
      </c>
      <c r="BS15" s="180">
        <f>SUM(Distributievergoedingen!$F$12,Distributievergoedingen!$I$12,Distributievergoedingen!$L$12,Distributievergoedingen!$O$12)*AF15+SUM(Distributievergoedingen!$O$12*AA15+Distributievergoedingen!$R$12+Distributievergoedingen!$U$12+Distributievergoedingen!$X$12)/(MAX(36,12*C15))</f>
        <v>112.77777777777777</v>
      </c>
      <c r="BT15" s="150"/>
      <c r="BU15" s="150">
        <f t="shared" si="17"/>
        <v>215.55555555555554</v>
      </c>
      <c r="BW15" s="522">
        <f t="shared" si="18"/>
        <v>217.55555555555554</v>
      </c>
      <c r="BY15" s="527">
        <f t="shared" si="19"/>
        <v>810.22222222222229</v>
      </c>
      <c r="BZ15" s="181">
        <f t="shared" si="20"/>
        <v>0.78832432432432431</v>
      </c>
      <c r="CA15" s="520" t="b">
        <f t="shared" si="21"/>
        <v>0</v>
      </c>
    </row>
    <row r="16" spans="1:79" s="151" customFormat="1">
      <c r="A16" s="151" t="s">
        <v>194</v>
      </c>
      <c r="B16" s="520" t="str">
        <f t="shared" si="0"/>
        <v>2EoKPremium2e PVCRegionaal1</v>
      </c>
      <c r="C16" s="179">
        <v>2</v>
      </c>
      <c r="D16" s="179" t="s">
        <v>303</v>
      </c>
      <c r="E16" s="178" t="s">
        <v>267</v>
      </c>
      <c r="F16" s="178" t="s">
        <v>440</v>
      </c>
      <c r="G16" s="530" t="s">
        <v>265</v>
      </c>
      <c r="H16" s="531" t="s">
        <v>362</v>
      </c>
      <c r="J16" s="520" t="str">
        <f t="shared" si="22"/>
        <v>Premium2e PVCRegionaal1</v>
      </c>
      <c r="L16" s="204">
        <f>INDEX(Mapping!$H:$H,MATCH(C$3&amp;C16,Mapping!$B:$B,0))</f>
        <v>1</v>
      </c>
      <c r="M16" s="204" t="str">
        <f>INDEX(Mapping!$H:$H,MATCH(D$3&amp;D16,Mapping!$B:$B,0))</f>
        <v>EoK</v>
      </c>
      <c r="N16" s="204" t="str">
        <f>INDEX(Mapping!$H:$H,MATCH(E$3&amp;E16,Mapping!$B:$B,0))</f>
        <v>Premium</v>
      </c>
      <c r="O16" s="204" t="str">
        <f>INDEX(Mapping!$H:$H,MATCH(F$3&amp;F16,Mapping!$B:$B,0))</f>
        <v>multiple</v>
      </c>
      <c r="P16" s="204" t="str">
        <f>INDEX(Mapping!$H:$H,MATCH(G$3&amp;G16,Mapping!$B:$B,0))</f>
        <v>Metro</v>
      </c>
      <c r="Q16" s="204">
        <f>INDEX(Mapping!$H:$H,MATCH(H$3&amp;H16,Mapping!$B:$B,0))</f>
        <v>1</v>
      </c>
      <c r="R16" s="204" t="str">
        <f>INDEX(Mapping!$H:$H,MATCH(R$3&amp;$G16,Mapping!$B:$B,0))</f>
        <v>Metro - Nationaal</v>
      </c>
      <c r="S16" s="139"/>
      <c r="T16" s="139"/>
      <c r="U16" s="520" t="str">
        <f t="shared" si="2"/>
        <v>PremiummultipleMetro1</v>
      </c>
      <c r="W16" s="521">
        <f>MATCH($J16,'Tarieven ZM'!$B:$B,0)</f>
        <v>126</v>
      </c>
      <c r="X16" s="204">
        <f>INDEX('Tarieven ZM'!$H:$H,$W16)</f>
        <v>1000</v>
      </c>
      <c r="Y16" s="198">
        <f>-INDEX(Parameters!$B:$B,MATCH(Y$3&amp;$C16,Parameters!$A:$A,0))*$X16</f>
        <v>0</v>
      </c>
      <c r="Z16" s="198">
        <f>-INDEX(Parameters!$B:$B,MATCH(Z$3&amp;$C16,Parameters!$A:$A,0))*$X16</f>
        <v>0</v>
      </c>
      <c r="AA16" s="139">
        <f t="shared" si="23"/>
        <v>1000</v>
      </c>
      <c r="AB16" s="532">
        <f>AA16/INDEX(Parameters!$B:$B,MATCH("AfschrijftermijnVVE"&amp;12*$C16,Parameters!$A:$A,0))</f>
        <v>27.777777777777779</v>
      </c>
      <c r="AC16" s="204">
        <f>INDEX('Tarieven ZM'!$G:$G,$W16)</f>
        <v>1000</v>
      </c>
      <c r="AD16" s="198">
        <f>-INDEX(Parameters!$B:$B,MATCH(AD$3&amp;$C16,Parameters!$A:$A,0))*$AC16</f>
        <v>0</v>
      </c>
      <c r="AE16" s="198">
        <f>-INDEX(Parameters!$B:$B,MATCH(AE$3,Parameters!$A:$A,0))*$AC16</f>
        <v>0</v>
      </c>
      <c r="AF16" s="139">
        <f t="shared" si="24"/>
        <v>1000</v>
      </c>
      <c r="AG16" s="522">
        <f t="shared" si="25"/>
        <v>1027.7777777777778</v>
      </c>
      <c r="AH16" s="175"/>
      <c r="AI16" s="523">
        <f>MATCH($U16,'Tarieven W&amp;O'!$B:$B,0)</f>
        <v>99</v>
      </c>
      <c r="AJ16" s="204">
        <f>IF(AI16&lt;&gt;"nvt",INDEX('Tarieven W&amp;O'!$H:$H,$AI16),0)</f>
        <v>0</v>
      </c>
      <c r="AK16" s="204">
        <f>IF(AI16&lt;&gt;"nvt",INDEX('Tarieven W&amp;O'!$I:$I,$AI16),0)</f>
        <v>25</v>
      </c>
      <c r="AL16" s="524">
        <f>IF(AI16&lt;&gt;"nvt",-INDEX(Parameters!$B:$B,MATCH(AL$3,Parameters!$A:$A,0))*(AJ16+AK16),0)</f>
        <v>0</v>
      </c>
      <c r="AM16" s="525"/>
      <c r="AN16" s="139">
        <f t="shared" si="26"/>
        <v>25</v>
      </c>
      <c r="AO16" s="205">
        <f>AN16/INDEX(Parameters!$B:$B,MATCH("AfschrijftermijnVVE"&amp;12*$C16,Parameters!$A:$A,0))</f>
        <v>0.69444444444444442</v>
      </c>
      <c r="AP16" s="139">
        <f t="shared" si="27"/>
        <v>99</v>
      </c>
      <c r="AQ16" s="526">
        <f>IF(AP16&lt;&gt;"nvt",INDEX('Tarieven W&amp;O'!$G:$G,$AP16),0)</f>
        <v>11.31</v>
      </c>
      <c r="AR16" s="251">
        <f>-INDEX(Parameters!$B:$B,MATCH(AR$3,Parameters!$A:$A,0))*(AQ16)</f>
        <v>0</v>
      </c>
      <c r="AS16" s="205"/>
      <c r="AT16" s="205">
        <f>INDEX(hulpblad!$E:$E,MATCH(M16&amp;R16,hulpblad!$B:$B,0))</f>
        <v>2</v>
      </c>
      <c r="AU16" s="150">
        <f t="shared" si="28"/>
        <v>13.31</v>
      </c>
      <c r="AV16" s="150">
        <f t="shared" si="29"/>
        <v>14.004444444444445</v>
      </c>
      <c r="AX16" s="526">
        <f>Parameters!$B$6*AV16</f>
        <v>0.14004444444444444</v>
      </c>
      <c r="AY16" s="150">
        <v>0</v>
      </c>
      <c r="AZ16" s="150"/>
      <c r="BA16" s="150">
        <f t="shared" si="30"/>
        <v>0.14004444444444444</v>
      </c>
      <c r="BB16" s="150"/>
      <c r="BC16" s="522">
        <f t="shared" si="31"/>
        <v>14.14448888888889</v>
      </c>
      <c r="BD16" s="175"/>
      <c r="BE16" s="527">
        <f t="shared" si="32"/>
        <v>1013.633288888889</v>
      </c>
      <c r="BF16" s="181">
        <f t="shared" si="33"/>
        <v>0.9862377945945946</v>
      </c>
      <c r="BG16" s="520" t="b">
        <f t="shared" si="34"/>
        <v>0</v>
      </c>
      <c r="BI16" s="151" t="s">
        <v>2181</v>
      </c>
      <c r="BL16" s="151" t="str">
        <f t="shared" si="15"/>
        <v>EoKMetro - Nationaal</v>
      </c>
      <c r="BM16" s="529">
        <v>0</v>
      </c>
      <c r="BN16" s="180">
        <f>BM16/INDEX(Parameters!$B:$B,MATCH("AfschrijftermijnVVE"&amp;12*$C16,Parameters!$A:$A,0))</f>
        <v>0</v>
      </c>
      <c r="BO16" s="184">
        <f>INDEX('inkoop ULL tbv EVPN'!I:I,MATCH(BL16,'inkoop ULL tbv EVPN'!H:H,0))</f>
        <v>2</v>
      </c>
      <c r="BP16" s="184">
        <f t="shared" si="16"/>
        <v>2</v>
      </c>
      <c r="BR16" s="180">
        <f>Parameters!$B$12*AG16</f>
        <v>102.77777777777779</v>
      </c>
      <c r="BS16" s="180">
        <f>SUM(Distributievergoedingen!$F$12,Distributievergoedingen!$I$12,Distributievergoedingen!$L$12,Distributievergoedingen!$O$12)*AF16+SUM(Distributievergoedingen!$O$12*AA16+Distributievergoedingen!$R$12+Distributievergoedingen!$U$12+Distributievergoedingen!$X$12)/(MAX(36,12*C16))</f>
        <v>112.77777777777777</v>
      </c>
      <c r="BT16" s="150"/>
      <c r="BU16" s="150">
        <f t="shared" si="17"/>
        <v>215.55555555555554</v>
      </c>
      <c r="BW16" s="522">
        <f t="shared" si="18"/>
        <v>217.55555555555554</v>
      </c>
      <c r="BY16" s="527">
        <f t="shared" si="19"/>
        <v>810.22222222222229</v>
      </c>
      <c r="BZ16" s="181">
        <f t="shared" si="20"/>
        <v>0.78832432432432431</v>
      </c>
      <c r="CA16" s="520" t="b">
        <f t="shared" si="21"/>
        <v>0</v>
      </c>
    </row>
    <row r="17" spans="1:79" s="151" customFormat="1">
      <c r="A17" s="151" t="s">
        <v>194</v>
      </c>
      <c r="B17" s="520" t="str">
        <f t="shared" si="0"/>
        <v>2EoKPremium2e PVCRegionaal2</v>
      </c>
      <c r="C17" s="179">
        <v>2</v>
      </c>
      <c r="D17" s="179" t="s">
        <v>303</v>
      </c>
      <c r="E17" s="178" t="s">
        <v>267</v>
      </c>
      <c r="F17" s="178" t="s">
        <v>440</v>
      </c>
      <c r="G17" s="530" t="s">
        <v>265</v>
      </c>
      <c r="H17" s="531" t="s">
        <v>363</v>
      </c>
      <c r="J17" s="520" t="str">
        <f t="shared" si="22"/>
        <v>Premium2e PVCRegionaal2</v>
      </c>
      <c r="L17" s="204">
        <f>INDEX(Mapping!$H:$H,MATCH(C$3&amp;C17,Mapping!$B:$B,0))</f>
        <v>1</v>
      </c>
      <c r="M17" s="204" t="str">
        <f>INDEX(Mapping!$H:$H,MATCH(D$3&amp;D17,Mapping!$B:$B,0))</f>
        <v>EoK</v>
      </c>
      <c r="N17" s="204" t="str">
        <f>INDEX(Mapping!$H:$H,MATCH(E$3&amp;E17,Mapping!$B:$B,0))</f>
        <v>Premium</v>
      </c>
      <c r="O17" s="204" t="str">
        <f>INDEX(Mapping!$H:$H,MATCH(F$3&amp;F17,Mapping!$B:$B,0))</f>
        <v>multiple</v>
      </c>
      <c r="P17" s="204" t="str">
        <f>INDEX(Mapping!$H:$H,MATCH(G$3&amp;G17,Mapping!$B:$B,0))</f>
        <v>Metro</v>
      </c>
      <c r="Q17" s="204">
        <f>INDEX(Mapping!$H:$H,MATCH(H$3&amp;H17,Mapping!$B:$B,0))</f>
        <v>2</v>
      </c>
      <c r="R17" s="204" t="str">
        <f>INDEX(Mapping!$H:$H,MATCH(R$3&amp;$G17,Mapping!$B:$B,0))</f>
        <v>Metro - Nationaal</v>
      </c>
      <c r="S17" s="139"/>
      <c r="T17" s="139"/>
      <c r="U17" s="520" t="str">
        <f t="shared" si="2"/>
        <v>PremiummultipleMetro2</v>
      </c>
      <c r="W17" s="521">
        <f>MATCH($J17,'Tarieven ZM'!$B:$B,0)</f>
        <v>127</v>
      </c>
      <c r="X17" s="204">
        <f>INDEX('Tarieven ZM'!$H:$H,$W17)</f>
        <v>1000</v>
      </c>
      <c r="Y17" s="198">
        <f>-INDEX(Parameters!$B:$B,MATCH(Y$3&amp;$C17,Parameters!$A:$A,0))*$X17</f>
        <v>0</v>
      </c>
      <c r="Z17" s="198">
        <f>-INDEX(Parameters!$B:$B,MATCH(Z$3&amp;$C17,Parameters!$A:$A,0))*$X17</f>
        <v>0</v>
      </c>
      <c r="AA17" s="139">
        <f t="shared" si="23"/>
        <v>1000</v>
      </c>
      <c r="AB17" s="532">
        <f>AA17/INDEX(Parameters!$B:$B,MATCH("AfschrijftermijnVVE"&amp;12*$C17,Parameters!$A:$A,0))</f>
        <v>27.777777777777779</v>
      </c>
      <c r="AC17" s="204">
        <f>INDEX('Tarieven ZM'!$G:$G,$W17)</f>
        <v>1000</v>
      </c>
      <c r="AD17" s="198">
        <f>-INDEX(Parameters!$B:$B,MATCH(AD$3&amp;$C17,Parameters!$A:$A,0))*$AC17</f>
        <v>0</v>
      </c>
      <c r="AE17" s="198">
        <f>-INDEX(Parameters!$B:$B,MATCH(AE$3,Parameters!$A:$A,0))*$AC17</f>
        <v>0</v>
      </c>
      <c r="AF17" s="139">
        <f t="shared" si="24"/>
        <v>1000</v>
      </c>
      <c r="AG17" s="522">
        <f t="shared" si="25"/>
        <v>1027.7777777777778</v>
      </c>
      <c r="AH17" s="175"/>
      <c r="AI17" s="523">
        <f>MATCH($U17,'Tarieven W&amp;O'!$B:$B,0)</f>
        <v>100</v>
      </c>
      <c r="AJ17" s="204">
        <f>IF(AI17&lt;&gt;"nvt",INDEX('Tarieven W&amp;O'!$H:$H,$AI17),0)</f>
        <v>0</v>
      </c>
      <c r="AK17" s="204">
        <f>IF(AI17&lt;&gt;"nvt",INDEX('Tarieven W&amp;O'!$I:$I,$AI17),0)</f>
        <v>25</v>
      </c>
      <c r="AL17" s="524">
        <f>IF(AI17&lt;&gt;"nvt",-INDEX(Parameters!$B:$B,MATCH(AL$3,Parameters!$A:$A,0))*(AJ17+AK17),0)</f>
        <v>0</v>
      </c>
      <c r="AM17" s="525"/>
      <c r="AN17" s="139">
        <f t="shared" si="26"/>
        <v>25</v>
      </c>
      <c r="AO17" s="205">
        <f>AN17/INDEX(Parameters!$B:$B,MATCH("AfschrijftermijnVVE"&amp;12*$C17,Parameters!$A:$A,0))</f>
        <v>0.69444444444444442</v>
      </c>
      <c r="AP17" s="139">
        <f t="shared" si="27"/>
        <v>100</v>
      </c>
      <c r="AQ17" s="526">
        <f>IF(AP17&lt;&gt;"nvt",INDEX('Tarieven W&amp;O'!$G:$G,$AP17),0)</f>
        <v>23.37</v>
      </c>
      <c r="AR17" s="251">
        <f>-INDEX(Parameters!$B:$B,MATCH(AR$3,Parameters!$A:$A,0))*(AQ17)</f>
        <v>0</v>
      </c>
      <c r="AS17" s="205"/>
      <c r="AT17" s="205">
        <f>INDEX(hulpblad!$E:$E,MATCH(M17&amp;R17,hulpblad!$B:$B,0))</f>
        <v>2</v>
      </c>
      <c r="AU17" s="150">
        <f t="shared" si="28"/>
        <v>25.37</v>
      </c>
      <c r="AV17" s="150">
        <f t="shared" si="29"/>
        <v>26.064444444444444</v>
      </c>
      <c r="AX17" s="526">
        <f>Parameters!$B$6*AV17</f>
        <v>0.26064444444444446</v>
      </c>
      <c r="AY17" s="150">
        <v>0</v>
      </c>
      <c r="AZ17" s="150"/>
      <c r="BA17" s="150">
        <f t="shared" si="30"/>
        <v>0.26064444444444446</v>
      </c>
      <c r="BB17" s="150"/>
      <c r="BC17" s="522">
        <f t="shared" si="31"/>
        <v>26.325088888888889</v>
      </c>
      <c r="BD17" s="175"/>
      <c r="BE17" s="527">
        <f t="shared" si="32"/>
        <v>1001.4526888888889</v>
      </c>
      <c r="BF17" s="181">
        <f t="shared" si="33"/>
        <v>0.97438639999999999</v>
      </c>
      <c r="BG17" s="520" t="b">
        <f t="shared" si="34"/>
        <v>0</v>
      </c>
      <c r="BI17" s="151" t="s">
        <v>2181</v>
      </c>
      <c r="BL17" s="151" t="str">
        <f t="shared" si="15"/>
        <v>EoKMetro - Nationaal</v>
      </c>
      <c r="BM17" s="529">
        <v>0</v>
      </c>
      <c r="BN17" s="180">
        <f>BM17/INDEX(Parameters!$B:$B,MATCH("AfschrijftermijnVVE"&amp;12*$C17,Parameters!$A:$A,0))</f>
        <v>0</v>
      </c>
      <c r="BO17" s="184">
        <f>INDEX('inkoop ULL tbv EVPN'!I:I,MATCH(BL17,'inkoop ULL tbv EVPN'!H:H,0))</f>
        <v>2</v>
      </c>
      <c r="BP17" s="184">
        <f t="shared" si="16"/>
        <v>2</v>
      </c>
      <c r="BR17" s="180">
        <f>Parameters!$B$12*AG17</f>
        <v>102.77777777777779</v>
      </c>
      <c r="BS17" s="180">
        <f>SUM(Distributievergoedingen!$F$12,Distributievergoedingen!$I$12,Distributievergoedingen!$L$12,Distributievergoedingen!$O$12)*AF17+SUM(Distributievergoedingen!$O$12*AA17+Distributievergoedingen!$R$12+Distributievergoedingen!$U$12+Distributievergoedingen!$X$12)/(MAX(36,12*C17))</f>
        <v>112.77777777777777</v>
      </c>
      <c r="BT17" s="150"/>
      <c r="BU17" s="150">
        <f t="shared" si="17"/>
        <v>215.55555555555554</v>
      </c>
      <c r="BW17" s="522">
        <f t="shared" si="18"/>
        <v>217.55555555555554</v>
      </c>
      <c r="BY17" s="527">
        <f t="shared" si="19"/>
        <v>810.22222222222229</v>
      </c>
      <c r="BZ17" s="181">
        <f t="shared" si="20"/>
        <v>0.78832432432432431</v>
      </c>
      <c r="CA17" s="520" t="b">
        <f t="shared" si="21"/>
        <v>0</v>
      </c>
    </row>
    <row r="18" spans="1:79" s="151" customFormat="1">
      <c r="A18" s="151" t="s">
        <v>194</v>
      </c>
      <c r="B18" s="520" t="str">
        <f t="shared" si="0"/>
        <v>2EoKPremium2e PVCRegionaal4</v>
      </c>
      <c r="C18" s="179">
        <v>2</v>
      </c>
      <c r="D18" s="179" t="s">
        <v>303</v>
      </c>
      <c r="E18" s="178" t="s">
        <v>267</v>
      </c>
      <c r="F18" s="178" t="s">
        <v>440</v>
      </c>
      <c r="G18" s="530" t="s">
        <v>265</v>
      </c>
      <c r="H18" s="531" t="s">
        <v>408</v>
      </c>
      <c r="J18" s="520" t="str">
        <f t="shared" si="22"/>
        <v>Premium2e PVCRegionaal4</v>
      </c>
      <c r="L18" s="204">
        <f>INDEX(Mapping!$H:$H,MATCH(C$3&amp;C18,Mapping!$B:$B,0))</f>
        <v>1</v>
      </c>
      <c r="M18" s="204" t="str">
        <f>INDEX(Mapping!$H:$H,MATCH(D$3&amp;D18,Mapping!$B:$B,0))</f>
        <v>EoK</v>
      </c>
      <c r="N18" s="204" t="str">
        <f>INDEX(Mapping!$H:$H,MATCH(E$3&amp;E18,Mapping!$B:$B,0))</f>
        <v>Premium</v>
      </c>
      <c r="O18" s="204" t="str">
        <f>INDEX(Mapping!$H:$H,MATCH(F$3&amp;F18,Mapping!$B:$B,0))</f>
        <v>multiple</v>
      </c>
      <c r="P18" s="204" t="str">
        <f>INDEX(Mapping!$H:$H,MATCH(G$3&amp;G18,Mapping!$B:$B,0))</f>
        <v>Metro</v>
      </c>
      <c r="Q18" s="204">
        <f>INDEX(Mapping!$H:$H,MATCH(H$3&amp;H18,Mapping!$B:$B,0))</f>
        <v>4</v>
      </c>
      <c r="R18" s="204" t="str">
        <f>INDEX(Mapping!$H:$H,MATCH(R$3&amp;$G18,Mapping!$B:$B,0))</f>
        <v>Metro - Nationaal</v>
      </c>
      <c r="S18" s="139"/>
      <c r="T18" s="139"/>
      <c r="U18" s="520" t="str">
        <f t="shared" si="2"/>
        <v>PremiummultipleMetro4</v>
      </c>
      <c r="W18" s="521">
        <f>MATCH($J18,'Tarieven ZM'!$B:$B,0)</f>
        <v>128</v>
      </c>
      <c r="X18" s="204">
        <f>INDEX('Tarieven ZM'!$H:$H,$W18)</f>
        <v>1000</v>
      </c>
      <c r="Y18" s="198">
        <f>-INDEX(Parameters!$B:$B,MATCH(Y$3&amp;$C18,Parameters!$A:$A,0))*$X18</f>
        <v>0</v>
      </c>
      <c r="Z18" s="198">
        <f>-INDEX(Parameters!$B:$B,MATCH(Z$3&amp;$C18,Parameters!$A:$A,0))*$X18</f>
        <v>0</v>
      </c>
      <c r="AA18" s="139">
        <f t="shared" si="23"/>
        <v>1000</v>
      </c>
      <c r="AB18" s="532">
        <f>AA18/INDEX(Parameters!$B:$B,MATCH("AfschrijftermijnVVE"&amp;12*$C18,Parameters!$A:$A,0))</f>
        <v>27.777777777777779</v>
      </c>
      <c r="AC18" s="204">
        <f>INDEX('Tarieven ZM'!$G:$G,$W18)</f>
        <v>1000</v>
      </c>
      <c r="AD18" s="198">
        <f>-INDEX(Parameters!$B:$B,MATCH(AD$3&amp;$C18,Parameters!$A:$A,0))*$AC18</f>
        <v>0</v>
      </c>
      <c r="AE18" s="198">
        <f>-INDEX(Parameters!$B:$B,MATCH(AE$3,Parameters!$A:$A,0))*$AC18</f>
        <v>0</v>
      </c>
      <c r="AF18" s="139">
        <f t="shared" si="24"/>
        <v>1000</v>
      </c>
      <c r="AG18" s="522">
        <f t="shared" si="25"/>
        <v>1027.7777777777778</v>
      </c>
      <c r="AH18" s="175"/>
      <c r="AI18" s="523">
        <f>MATCH($U18,'Tarieven W&amp;O'!$B:$B,0)</f>
        <v>101</v>
      </c>
      <c r="AJ18" s="204">
        <f>IF(AI18&lt;&gt;"nvt",INDEX('Tarieven W&amp;O'!$H:$H,$AI18),0)</f>
        <v>0</v>
      </c>
      <c r="AK18" s="204">
        <f>IF(AI18&lt;&gt;"nvt",INDEX('Tarieven W&amp;O'!$I:$I,$AI18),0)</f>
        <v>25</v>
      </c>
      <c r="AL18" s="524">
        <f>IF(AI18&lt;&gt;"nvt",-INDEX(Parameters!$B:$B,MATCH(AL$3,Parameters!$A:$A,0))*(AJ18+AK18),0)</f>
        <v>0</v>
      </c>
      <c r="AM18" s="525"/>
      <c r="AN18" s="139">
        <f t="shared" si="26"/>
        <v>25</v>
      </c>
      <c r="AO18" s="205">
        <f>AN18/INDEX(Parameters!$B:$B,MATCH("AfschrijftermijnVVE"&amp;12*$C18,Parameters!$A:$A,0))</f>
        <v>0.69444444444444442</v>
      </c>
      <c r="AP18" s="139">
        <f t="shared" si="27"/>
        <v>101</v>
      </c>
      <c r="AQ18" s="526">
        <f>IF(AP18&lt;&gt;"nvt",INDEX('Tarieven W&amp;O'!$G:$G,$AP18),0)</f>
        <v>45.98</v>
      </c>
      <c r="AR18" s="251">
        <f>-INDEX(Parameters!$B:$B,MATCH(AR$3,Parameters!$A:$A,0))*(AQ18)</f>
        <v>0</v>
      </c>
      <c r="AS18" s="205"/>
      <c r="AT18" s="205">
        <f>INDEX(hulpblad!$E:$E,MATCH(M18&amp;R18,hulpblad!$B:$B,0))</f>
        <v>2</v>
      </c>
      <c r="AU18" s="150">
        <f t="shared" si="28"/>
        <v>47.98</v>
      </c>
      <c r="AV18" s="150">
        <f t="shared" si="29"/>
        <v>48.67444444444444</v>
      </c>
      <c r="AX18" s="526">
        <f>Parameters!$B$6*AV18</f>
        <v>0.48674444444444442</v>
      </c>
      <c r="AY18" s="150">
        <v>0</v>
      </c>
      <c r="AZ18" s="150"/>
      <c r="BA18" s="150">
        <f t="shared" si="30"/>
        <v>0.48674444444444442</v>
      </c>
      <c r="BB18" s="150"/>
      <c r="BC18" s="522">
        <f t="shared" si="31"/>
        <v>49.161188888888887</v>
      </c>
      <c r="BD18" s="175"/>
      <c r="BE18" s="527">
        <f t="shared" si="32"/>
        <v>978.61658888888894</v>
      </c>
      <c r="BF18" s="181">
        <f t="shared" si="33"/>
        <v>0.95216749189189187</v>
      </c>
      <c r="BG18" s="520" t="b">
        <f t="shared" si="34"/>
        <v>0</v>
      </c>
      <c r="BI18" s="151" t="s">
        <v>2181</v>
      </c>
      <c r="BL18" s="151" t="str">
        <f t="shared" si="15"/>
        <v>EoKMetro - Nationaal</v>
      </c>
      <c r="BM18" s="529">
        <v>0</v>
      </c>
      <c r="BN18" s="180">
        <f>BM18/INDEX(Parameters!$B:$B,MATCH("AfschrijftermijnVVE"&amp;12*$C18,Parameters!$A:$A,0))</f>
        <v>0</v>
      </c>
      <c r="BO18" s="184">
        <f>INDEX('inkoop ULL tbv EVPN'!I:I,MATCH(BL18,'inkoop ULL tbv EVPN'!H:H,0))</f>
        <v>2</v>
      </c>
      <c r="BP18" s="184">
        <f t="shared" si="16"/>
        <v>2</v>
      </c>
      <c r="BR18" s="180">
        <f>Parameters!$B$12*AG18</f>
        <v>102.77777777777779</v>
      </c>
      <c r="BS18" s="180">
        <f>SUM(Distributievergoedingen!$F$12,Distributievergoedingen!$I$12,Distributievergoedingen!$L$12,Distributievergoedingen!$O$12)*AF18+SUM(Distributievergoedingen!$O$12*AA18+Distributievergoedingen!$R$12+Distributievergoedingen!$U$12+Distributievergoedingen!$X$12)/(MAX(36,12*C18))</f>
        <v>112.77777777777777</v>
      </c>
      <c r="BT18" s="150"/>
      <c r="BU18" s="150">
        <f t="shared" si="17"/>
        <v>215.55555555555554</v>
      </c>
      <c r="BW18" s="522">
        <f t="shared" si="18"/>
        <v>217.55555555555554</v>
      </c>
      <c r="BY18" s="527">
        <f t="shared" si="19"/>
        <v>810.22222222222229</v>
      </c>
      <c r="BZ18" s="181">
        <f t="shared" si="20"/>
        <v>0.78832432432432431</v>
      </c>
      <c r="CA18" s="520" t="b">
        <f t="shared" si="21"/>
        <v>0</v>
      </c>
    </row>
    <row r="19" spans="1:79" s="151" customFormat="1">
      <c r="A19" s="151" t="s">
        <v>194</v>
      </c>
      <c r="B19" s="520" t="str">
        <f t="shared" si="0"/>
        <v>2EoKPremium2e PVCNationaal1</v>
      </c>
      <c r="C19" s="179">
        <v>2</v>
      </c>
      <c r="D19" s="179" t="s">
        <v>303</v>
      </c>
      <c r="E19" s="178" t="s">
        <v>267</v>
      </c>
      <c r="F19" s="178" t="s">
        <v>440</v>
      </c>
      <c r="G19" s="530" t="s">
        <v>266</v>
      </c>
      <c r="H19" s="531" t="s">
        <v>362</v>
      </c>
      <c r="J19" s="520" t="str">
        <f t="shared" si="22"/>
        <v>Premium2e PVCNationaal1</v>
      </c>
      <c r="L19" s="204">
        <f>INDEX(Mapping!$H:$H,MATCH(C$3&amp;C19,Mapping!$B:$B,0))</f>
        <v>1</v>
      </c>
      <c r="M19" s="204" t="str">
        <f>INDEX(Mapping!$H:$H,MATCH(D$3&amp;D19,Mapping!$B:$B,0))</f>
        <v>EoK</v>
      </c>
      <c r="N19" s="204" t="str">
        <f>INDEX(Mapping!$H:$H,MATCH(E$3&amp;E19,Mapping!$B:$B,0))</f>
        <v>Premium</v>
      </c>
      <c r="O19" s="204" t="str">
        <f>INDEX(Mapping!$H:$H,MATCH(F$3&amp;F19,Mapping!$B:$B,0))</f>
        <v>multiple</v>
      </c>
      <c r="P19" s="204" t="str">
        <f>INDEX(Mapping!$H:$H,MATCH(G$3&amp;G19,Mapping!$B:$B,0))</f>
        <v>Metro</v>
      </c>
      <c r="Q19" s="204">
        <f>INDEX(Mapping!$H:$H,MATCH(H$3&amp;H19,Mapping!$B:$B,0))</f>
        <v>1</v>
      </c>
      <c r="R19" s="204" t="str">
        <f>INDEX(Mapping!$H:$H,MATCH(R$3&amp;$G19,Mapping!$B:$B,0))</f>
        <v>Metro - Nationaal</v>
      </c>
      <c r="S19" s="139"/>
      <c r="T19" s="139"/>
      <c r="U19" s="520" t="str">
        <f t="shared" si="2"/>
        <v>PremiummultipleMetro1</v>
      </c>
      <c r="W19" s="521">
        <f>MATCH($J19,'Tarieven ZM'!$B:$B,0)</f>
        <v>129</v>
      </c>
      <c r="X19" s="204">
        <f>INDEX('Tarieven ZM'!$H:$H,$W19)</f>
        <v>1000</v>
      </c>
      <c r="Y19" s="198">
        <f>-INDEX(Parameters!$B:$B,MATCH(Y$3&amp;$C19,Parameters!$A:$A,0))*$X19</f>
        <v>0</v>
      </c>
      <c r="Z19" s="198">
        <f>-INDEX(Parameters!$B:$B,MATCH(Z$3&amp;$C19,Parameters!$A:$A,0))*$X19</f>
        <v>0</v>
      </c>
      <c r="AA19" s="139">
        <f t="shared" si="23"/>
        <v>1000</v>
      </c>
      <c r="AB19" s="532">
        <f>AA19/INDEX(Parameters!$B:$B,MATCH("AfschrijftermijnVVE"&amp;12*$C19,Parameters!$A:$A,0))</f>
        <v>27.777777777777779</v>
      </c>
      <c r="AC19" s="204">
        <f>INDEX('Tarieven ZM'!$G:$G,$W19)</f>
        <v>1000</v>
      </c>
      <c r="AD19" s="198">
        <f>-INDEX(Parameters!$B:$B,MATCH(AD$3&amp;$C19,Parameters!$A:$A,0))*$AC19</f>
        <v>0</v>
      </c>
      <c r="AE19" s="198">
        <f>-INDEX(Parameters!$B:$B,MATCH(AE$3,Parameters!$A:$A,0))*$AC19</f>
        <v>0</v>
      </c>
      <c r="AF19" s="139">
        <f t="shared" si="24"/>
        <v>1000</v>
      </c>
      <c r="AG19" s="522">
        <f t="shared" si="25"/>
        <v>1027.7777777777778</v>
      </c>
      <c r="AH19" s="175"/>
      <c r="AI19" s="523">
        <f>MATCH($U19,'Tarieven W&amp;O'!$B:$B,0)</f>
        <v>99</v>
      </c>
      <c r="AJ19" s="204">
        <f>IF(AI19&lt;&gt;"nvt",INDEX('Tarieven W&amp;O'!$H:$H,$AI19),0)</f>
        <v>0</v>
      </c>
      <c r="AK19" s="204">
        <f>IF(AI19&lt;&gt;"nvt",INDEX('Tarieven W&amp;O'!$I:$I,$AI19),0)</f>
        <v>25</v>
      </c>
      <c r="AL19" s="524">
        <f>IF(AI19&lt;&gt;"nvt",-INDEX(Parameters!$B:$B,MATCH(AL$3,Parameters!$A:$A,0))*(AJ19+AK19),0)</f>
        <v>0</v>
      </c>
      <c r="AM19" s="525"/>
      <c r="AN19" s="139">
        <f t="shared" si="26"/>
        <v>25</v>
      </c>
      <c r="AO19" s="205">
        <f>AN19/INDEX(Parameters!$B:$B,MATCH("AfschrijftermijnVVE"&amp;12*$C19,Parameters!$A:$A,0))</f>
        <v>0.69444444444444442</v>
      </c>
      <c r="AP19" s="139">
        <f t="shared" si="27"/>
        <v>99</v>
      </c>
      <c r="AQ19" s="526">
        <f>IF(AP19&lt;&gt;"nvt",INDEX('Tarieven W&amp;O'!$G:$G,$AP19),0)</f>
        <v>11.31</v>
      </c>
      <c r="AR19" s="251">
        <f>-INDEX(Parameters!$B:$B,MATCH(AR$3,Parameters!$A:$A,0))*(AQ19)</f>
        <v>0</v>
      </c>
      <c r="AS19" s="205"/>
      <c r="AT19" s="205">
        <f>INDEX(hulpblad!$E:$E,MATCH(M19&amp;R19,hulpblad!$B:$B,0))</f>
        <v>2</v>
      </c>
      <c r="AU19" s="150">
        <f t="shared" si="28"/>
        <v>13.31</v>
      </c>
      <c r="AV19" s="150">
        <f t="shared" si="29"/>
        <v>14.004444444444445</v>
      </c>
      <c r="AX19" s="526">
        <f>Parameters!$B$6*AV19</f>
        <v>0.14004444444444444</v>
      </c>
      <c r="AY19" s="150">
        <v>0</v>
      </c>
      <c r="AZ19" s="150"/>
      <c r="BA19" s="150">
        <f t="shared" si="30"/>
        <v>0.14004444444444444</v>
      </c>
      <c r="BB19" s="150"/>
      <c r="BC19" s="522">
        <f t="shared" si="31"/>
        <v>14.14448888888889</v>
      </c>
      <c r="BD19" s="175"/>
      <c r="BE19" s="527">
        <f t="shared" si="32"/>
        <v>1013.633288888889</v>
      </c>
      <c r="BF19" s="181">
        <f t="shared" si="33"/>
        <v>0.9862377945945946</v>
      </c>
      <c r="BG19" s="520" t="b">
        <f t="shared" si="34"/>
        <v>0</v>
      </c>
      <c r="BI19" s="151" t="s">
        <v>2181</v>
      </c>
      <c r="BL19" s="151" t="str">
        <f t="shared" si="15"/>
        <v>EoKMetro - Nationaal</v>
      </c>
      <c r="BM19" s="529">
        <v>0</v>
      </c>
      <c r="BN19" s="180">
        <f>BM19/INDEX(Parameters!$B:$B,MATCH("AfschrijftermijnVVE"&amp;12*$C19,Parameters!$A:$A,0))</f>
        <v>0</v>
      </c>
      <c r="BO19" s="184">
        <f>INDEX('inkoop ULL tbv EVPN'!I:I,MATCH(BL19,'inkoop ULL tbv EVPN'!H:H,0))</f>
        <v>2</v>
      </c>
      <c r="BP19" s="184">
        <f t="shared" si="16"/>
        <v>2</v>
      </c>
      <c r="BR19" s="180">
        <f>Parameters!$B$12*AG19</f>
        <v>102.77777777777779</v>
      </c>
      <c r="BS19" s="180">
        <f>SUM(Distributievergoedingen!$F$12,Distributievergoedingen!$I$12,Distributievergoedingen!$L$12,Distributievergoedingen!$O$12)*AF19+SUM(Distributievergoedingen!$O$12*AA19+Distributievergoedingen!$R$12+Distributievergoedingen!$U$12+Distributievergoedingen!$X$12)/(MAX(36,12*C19))</f>
        <v>112.77777777777777</v>
      </c>
      <c r="BT19" s="150"/>
      <c r="BU19" s="150">
        <f t="shared" si="17"/>
        <v>215.55555555555554</v>
      </c>
      <c r="BW19" s="522">
        <f t="shared" si="18"/>
        <v>217.55555555555554</v>
      </c>
      <c r="BY19" s="527">
        <f t="shared" si="19"/>
        <v>810.22222222222229</v>
      </c>
      <c r="BZ19" s="181">
        <f t="shared" si="20"/>
        <v>0.78832432432432431</v>
      </c>
      <c r="CA19" s="520" t="b">
        <f t="shared" si="21"/>
        <v>0</v>
      </c>
    </row>
    <row r="20" spans="1:79" s="151" customFormat="1">
      <c r="A20" s="151" t="s">
        <v>194</v>
      </c>
      <c r="B20" s="520" t="str">
        <f t="shared" si="0"/>
        <v>2EoKPremium2e PVCNationaal2</v>
      </c>
      <c r="C20" s="179">
        <v>2</v>
      </c>
      <c r="D20" s="179" t="s">
        <v>303</v>
      </c>
      <c r="E20" s="178" t="s">
        <v>267</v>
      </c>
      <c r="F20" s="178" t="s">
        <v>440</v>
      </c>
      <c r="G20" s="530" t="s">
        <v>266</v>
      </c>
      <c r="H20" s="531" t="s">
        <v>363</v>
      </c>
      <c r="J20" s="520" t="str">
        <f t="shared" si="22"/>
        <v>Premium2e PVCNationaal2</v>
      </c>
      <c r="L20" s="204">
        <f>INDEX(Mapping!$H:$H,MATCH(C$3&amp;C20,Mapping!$B:$B,0))</f>
        <v>1</v>
      </c>
      <c r="M20" s="204" t="str">
        <f>INDEX(Mapping!$H:$H,MATCH(D$3&amp;D20,Mapping!$B:$B,0))</f>
        <v>EoK</v>
      </c>
      <c r="N20" s="204" t="str">
        <f>INDEX(Mapping!$H:$H,MATCH(E$3&amp;E20,Mapping!$B:$B,0))</f>
        <v>Premium</v>
      </c>
      <c r="O20" s="204" t="str">
        <f>INDEX(Mapping!$H:$H,MATCH(F$3&amp;F20,Mapping!$B:$B,0))</f>
        <v>multiple</v>
      </c>
      <c r="P20" s="204" t="str">
        <f>INDEX(Mapping!$H:$H,MATCH(G$3&amp;G20,Mapping!$B:$B,0))</f>
        <v>Metro</v>
      </c>
      <c r="Q20" s="204">
        <f>INDEX(Mapping!$H:$H,MATCH(H$3&amp;H20,Mapping!$B:$B,0))</f>
        <v>2</v>
      </c>
      <c r="R20" s="204" t="str">
        <f>INDEX(Mapping!$H:$H,MATCH(R$3&amp;$G20,Mapping!$B:$B,0))</f>
        <v>Metro - Nationaal</v>
      </c>
      <c r="S20" s="139"/>
      <c r="T20" s="139"/>
      <c r="U20" s="520" t="str">
        <f t="shared" si="2"/>
        <v>PremiummultipleMetro2</v>
      </c>
      <c r="W20" s="521">
        <f>MATCH($J20,'Tarieven ZM'!$B:$B,0)</f>
        <v>130</v>
      </c>
      <c r="X20" s="204">
        <f>INDEX('Tarieven ZM'!$H:$H,$W20)</f>
        <v>1000</v>
      </c>
      <c r="Y20" s="198">
        <f>-INDEX(Parameters!$B:$B,MATCH(Y$3&amp;$C20,Parameters!$A:$A,0))*$X20</f>
        <v>0</v>
      </c>
      <c r="Z20" s="198">
        <f>-INDEX(Parameters!$B:$B,MATCH(Z$3&amp;$C20,Parameters!$A:$A,0))*$X20</f>
        <v>0</v>
      </c>
      <c r="AA20" s="139">
        <f t="shared" si="23"/>
        <v>1000</v>
      </c>
      <c r="AB20" s="532">
        <f>AA20/INDEX(Parameters!$B:$B,MATCH("AfschrijftermijnVVE"&amp;12*$C20,Parameters!$A:$A,0))</f>
        <v>27.777777777777779</v>
      </c>
      <c r="AC20" s="204">
        <f>INDEX('Tarieven ZM'!$G:$G,$W20)</f>
        <v>1000</v>
      </c>
      <c r="AD20" s="198">
        <f>-INDEX(Parameters!$B:$B,MATCH(AD$3&amp;$C20,Parameters!$A:$A,0))*$AC20</f>
        <v>0</v>
      </c>
      <c r="AE20" s="198">
        <f>-INDEX(Parameters!$B:$B,MATCH(AE$3,Parameters!$A:$A,0))*$AC20</f>
        <v>0</v>
      </c>
      <c r="AF20" s="139">
        <f t="shared" si="24"/>
        <v>1000</v>
      </c>
      <c r="AG20" s="522">
        <f t="shared" si="25"/>
        <v>1027.7777777777778</v>
      </c>
      <c r="AH20" s="175"/>
      <c r="AI20" s="523">
        <f>MATCH($U20,'Tarieven W&amp;O'!$B:$B,0)</f>
        <v>100</v>
      </c>
      <c r="AJ20" s="204">
        <f>IF(AI20&lt;&gt;"nvt",INDEX('Tarieven W&amp;O'!$H:$H,$AI20),0)</f>
        <v>0</v>
      </c>
      <c r="AK20" s="204">
        <f>IF(AI20&lt;&gt;"nvt",INDEX('Tarieven W&amp;O'!$I:$I,$AI20),0)</f>
        <v>25</v>
      </c>
      <c r="AL20" s="524">
        <f>IF(AI20&lt;&gt;"nvt",-INDEX(Parameters!$B:$B,MATCH(AL$3,Parameters!$A:$A,0))*(AJ20+AK20),0)</f>
        <v>0</v>
      </c>
      <c r="AM20" s="525"/>
      <c r="AN20" s="139">
        <f t="shared" si="26"/>
        <v>25</v>
      </c>
      <c r="AO20" s="205">
        <f>AN20/INDEX(Parameters!$B:$B,MATCH("AfschrijftermijnVVE"&amp;12*$C20,Parameters!$A:$A,0))</f>
        <v>0.69444444444444442</v>
      </c>
      <c r="AP20" s="139">
        <f t="shared" si="27"/>
        <v>100</v>
      </c>
      <c r="AQ20" s="526">
        <f>IF(AP20&lt;&gt;"nvt",INDEX('Tarieven W&amp;O'!$G:$G,$AP20),0)</f>
        <v>23.37</v>
      </c>
      <c r="AR20" s="251">
        <f>-INDEX(Parameters!$B:$B,MATCH(AR$3,Parameters!$A:$A,0))*(AQ20)</f>
        <v>0</v>
      </c>
      <c r="AS20" s="205"/>
      <c r="AT20" s="205">
        <f>INDEX(hulpblad!$E:$E,MATCH(M20&amp;R20,hulpblad!$B:$B,0))</f>
        <v>2</v>
      </c>
      <c r="AU20" s="150">
        <f t="shared" si="28"/>
        <v>25.37</v>
      </c>
      <c r="AV20" s="150">
        <f t="shared" si="29"/>
        <v>26.064444444444444</v>
      </c>
      <c r="AX20" s="526">
        <f>Parameters!$B$6*AV20</f>
        <v>0.26064444444444446</v>
      </c>
      <c r="AY20" s="150">
        <v>0</v>
      </c>
      <c r="AZ20" s="150"/>
      <c r="BA20" s="150">
        <f t="shared" si="30"/>
        <v>0.26064444444444446</v>
      </c>
      <c r="BB20" s="150"/>
      <c r="BC20" s="522">
        <f t="shared" si="31"/>
        <v>26.325088888888889</v>
      </c>
      <c r="BD20" s="175"/>
      <c r="BE20" s="527">
        <f t="shared" si="32"/>
        <v>1001.4526888888889</v>
      </c>
      <c r="BF20" s="181">
        <f t="shared" si="33"/>
        <v>0.97438639999999999</v>
      </c>
      <c r="BG20" s="520" t="b">
        <f t="shared" si="34"/>
        <v>0</v>
      </c>
      <c r="BI20" s="151" t="s">
        <v>2181</v>
      </c>
      <c r="BL20" s="151" t="str">
        <f t="shared" si="15"/>
        <v>EoKMetro - Nationaal</v>
      </c>
      <c r="BM20" s="529">
        <v>0</v>
      </c>
      <c r="BN20" s="180">
        <f>BM20/INDEX(Parameters!$B:$B,MATCH("AfschrijftermijnVVE"&amp;12*$C20,Parameters!$A:$A,0))</f>
        <v>0</v>
      </c>
      <c r="BO20" s="184">
        <f>INDEX('inkoop ULL tbv EVPN'!I:I,MATCH(BL20,'inkoop ULL tbv EVPN'!H:H,0))</f>
        <v>2</v>
      </c>
      <c r="BP20" s="184">
        <f t="shared" si="16"/>
        <v>2</v>
      </c>
      <c r="BR20" s="180">
        <f>Parameters!$B$12*AG20</f>
        <v>102.77777777777779</v>
      </c>
      <c r="BS20" s="180">
        <f>SUM(Distributievergoedingen!$F$12,Distributievergoedingen!$I$12,Distributievergoedingen!$L$12,Distributievergoedingen!$O$12)*AF20+SUM(Distributievergoedingen!$O$12*AA20+Distributievergoedingen!$R$12+Distributievergoedingen!$U$12+Distributievergoedingen!$X$12)/(MAX(36,12*C20))</f>
        <v>112.77777777777777</v>
      </c>
      <c r="BT20" s="150"/>
      <c r="BU20" s="150">
        <f t="shared" si="17"/>
        <v>215.55555555555554</v>
      </c>
      <c r="BW20" s="522">
        <f t="shared" si="18"/>
        <v>217.55555555555554</v>
      </c>
      <c r="BY20" s="527">
        <f t="shared" si="19"/>
        <v>810.22222222222229</v>
      </c>
      <c r="BZ20" s="181">
        <f t="shared" si="20"/>
        <v>0.78832432432432431</v>
      </c>
      <c r="CA20" s="520" t="b">
        <f t="shared" si="21"/>
        <v>0</v>
      </c>
    </row>
    <row r="21" spans="1:79" s="151" customFormat="1">
      <c r="A21" s="151" t="s">
        <v>194</v>
      </c>
      <c r="B21" s="520" t="str">
        <f t="shared" si="0"/>
        <v>2EoKPremium2e PVCNationaal4</v>
      </c>
      <c r="C21" s="179">
        <v>2</v>
      </c>
      <c r="D21" s="179" t="s">
        <v>303</v>
      </c>
      <c r="E21" s="178" t="s">
        <v>267</v>
      </c>
      <c r="F21" s="178" t="s">
        <v>440</v>
      </c>
      <c r="G21" s="530" t="s">
        <v>266</v>
      </c>
      <c r="H21" s="531" t="s">
        <v>408</v>
      </c>
      <c r="J21" s="520" t="str">
        <f t="shared" si="22"/>
        <v>Premium2e PVCNationaal4</v>
      </c>
      <c r="L21" s="204">
        <f>INDEX(Mapping!$H:$H,MATCH(C$3&amp;C21,Mapping!$B:$B,0))</f>
        <v>1</v>
      </c>
      <c r="M21" s="204" t="str">
        <f>INDEX(Mapping!$H:$H,MATCH(D$3&amp;D21,Mapping!$B:$B,0))</f>
        <v>EoK</v>
      </c>
      <c r="N21" s="204" t="str">
        <f>INDEX(Mapping!$H:$H,MATCH(E$3&amp;E21,Mapping!$B:$B,0))</f>
        <v>Premium</v>
      </c>
      <c r="O21" s="204" t="str">
        <f>INDEX(Mapping!$H:$H,MATCH(F$3&amp;F21,Mapping!$B:$B,0))</f>
        <v>multiple</v>
      </c>
      <c r="P21" s="204" t="str">
        <f>INDEX(Mapping!$H:$H,MATCH(G$3&amp;G21,Mapping!$B:$B,0))</f>
        <v>Metro</v>
      </c>
      <c r="Q21" s="204">
        <f>INDEX(Mapping!$H:$H,MATCH(H$3&amp;H21,Mapping!$B:$B,0))</f>
        <v>4</v>
      </c>
      <c r="R21" s="204" t="str">
        <f>INDEX(Mapping!$H:$H,MATCH(R$3&amp;$G21,Mapping!$B:$B,0))</f>
        <v>Metro - Nationaal</v>
      </c>
      <c r="S21" s="139"/>
      <c r="T21" s="139"/>
      <c r="U21" s="520" t="str">
        <f t="shared" si="2"/>
        <v>PremiummultipleMetro4</v>
      </c>
      <c r="W21" s="521">
        <f>MATCH($J21,'Tarieven ZM'!$B:$B,0)</f>
        <v>131</v>
      </c>
      <c r="X21" s="204">
        <f>INDEX('Tarieven ZM'!$H:$H,$W21)</f>
        <v>1000</v>
      </c>
      <c r="Y21" s="198">
        <f>-INDEX(Parameters!$B:$B,MATCH(Y$3&amp;$C21,Parameters!$A:$A,0))*$X21</f>
        <v>0</v>
      </c>
      <c r="Z21" s="198">
        <f>-INDEX(Parameters!$B:$B,MATCH(Z$3&amp;$C21,Parameters!$A:$A,0))*$X21</f>
        <v>0</v>
      </c>
      <c r="AA21" s="139">
        <f t="shared" si="23"/>
        <v>1000</v>
      </c>
      <c r="AB21" s="532">
        <f>AA21/INDEX(Parameters!$B:$B,MATCH("AfschrijftermijnVVE"&amp;12*$C21,Parameters!$A:$A,0))</f>
        <v>27.777777777777779</v>
      </c>
      <c r="AC21" s="204">
        <f>INDEX('Tarieven ZM'!$G:$G,$W21)</f>
        <v>1000</v>
      </c>
      <c r="AD21" s="198">
        <f>-INDEX(Parameters!$B:$B,MATCH(AD$3&amp;$C21,Parameters!$A:$A,0))*$AC21</f>
        <v>0</v>
      </c>
      <c r="AE21" s="198">
        <f>-INDEX(Parameters!$B:$B,MATCH(AE$3,Parameters!$A:$A,0))*$AC21</f>
        <v>0</v>
      </c>
      <c r="AF21" s="139">
        <f t="shared" si="24"/>
        <v>1000</v>
      </c>
      <c r="AG21" s="522">
        <f t="shared" si="25"/>
        <v>1027.7777777777778</v>
      </c>
      <c r="AH21" s="175"/>
      <c r="AI21" s="523">
        <f>MATCH($U21,'Tarieven W&amp;O'!$B:$B,0)</f>
        <v>101</v>
      </c>
      <c r="AJ21" s="204">
        <f>IF(AI21&lt;&gt;"nvt",INDEX('Tarieven W&amp;O'!$H:$H,$AI21),0)</f>
        <v>0</v>
      </c>
      <c r="AK21" s="204">
        <f>IF(AI21&lt;&gt;"nvt",INDEX('Tarieven W&amp;O'!$I:$I,$AI21),0)</f>
        <v>25</v>
      </c>
      <c r="AL21" s="524">
        <f>IF(AI21&lt;&gt;"nvt",-INDEX(Parameters!$B:$B,MATCH(AL$3,Parameters!$A:$A,0))*(AJ21+AK21),0)</f>
        <v>0</v>
      </c>
      <c r="AM21" s="525"/>
      <c r="AN21" s="139">
        <f t="shared" si="26"/>
        <v>25</v>
      </c>
      <c r="AO21" s="205">
        <f>AN21/INDEX(Parameters!$B:$B,MATCH("AfschrijftermijnVVE"&amp;12*$C21,Parameters!$A:$A,0))</f>
        <v>0.69444444444444442</v>
      </c>
      <c r="AP21" s="139">
        <f t="shared" si="27"/>
        <v>101</v>
      </c>
      <c r="AQ21" s="526">
        <f>IF(AP21&lt;&gt;"nvt",INDEX('Tarieven W&amp;O'!$G:$G,$AP21),0)</f>
        <v>45.98</v>
      </c>
      <c r="AR21" s="251">
        <f>-INDEX(Parameters!$B:$B,MATCH(AR$3,Parameters!$A:$A,0))*(AQ21)</f>
        <v>0</v>
      </c>
      <c r="AS21" s="205"/>
      <c r="AT21" s="205">
        <f>INDEX(hulpblad!$E:$E,MATCH(M21&amp;R21,hulpblad!$B:$B,0))</f>
        <v>2</v>
      </c>
      <c r="AU21" s="150">
        <f t="shared" si="28"/>
        <v>47.98</v>
      </c>
      <c r="AV21" s="150">
        <f t="shared" si="29"/>
        <v>48.67444444444444</v>
      </c>
      <c r="AX21" s="526">
        <f>Parameters!$B$6*AV21</f>
        <v>0.48674444444444442</v>
      </c>
      <c r="AY21" s="150">
        <v>0</v>
      </c>
      <c r="AZ21" s="150"/>
      <c r="BA21" s="150">
        <f t="shared" si="30"/>
        <v>0.48674444444444442</v>
      </c>
      <c r="BB21" s="150"/>
      <c r="BC21" s="522">
        <f t="shared" si="31"/>
        <v>49.161188888888887</v>
      </c>
      <c r="BD21" s="175"/>
      <c r="BE21" s="527">
        <f t="shared" si="32"/>
        <v>978.61658888888894</v>
      </c>
      <c r="BF21" s="181">
        <f t="shared" si="33"/>
        <v>0.95216749189189187</v>
      </c>
      <c r="BG21" s="520" t="b">
        <f t="shared" si="34"/>
        <v>0</v>
      </c>
      <c r="BI21" s="151" t="s">
        <v>2181</v>
      </c>
      <c r="BL21" s="151" t="str">
        <f t="shared" si="15"/>
        <v>EoKMetro - Nationaal</v>
      </c>
      <c r="BM21" s="529">
        <v>0</v>
      </c>
      <c r="BN21" s="180">
        <f>BM21/INDEX(Parameters!$B:$B,MATCH("AfschrijftermijnVVE"&amp;12*$C21,Parameters!$A:$A,0))</f>
        <v>0</v>
      </c>
      <c r="BO21" s="184">
        <f>INDEX('inkoop ULL tbv EVPN'!I:I,MATCH(BL21,'inkoop ULL tbv EVPN'!H:H,0))</f>
        <v>2</v>
      </c>
      <c r="BP21" s="184">
        <f t="shared" si="16"/>
        <v>2</v>
      </c>
      <c r="BR21" s="180">
        <f>Parameters!$B$12*AG21</f>
        <v>102.77777777777779</v>
      </c>
      <c r="BS21" s="180">
        <f>SUM(Distributievergoedingen!$F$12,Distributievergoedingen!$I$12,Distributievergoedingen!$L$12,Distributievergoedingen!$O$12)*AF21+SUM(Distributievergoedingen!$O$12*AA21+Distributievergoedingen!$R$12+Distributievergoedingen!$U$12+Distributievergoedingen!$X$12)/(MAX(36,12*C21))</f>
        <v>112.77777777777777</v>
      </c>
      <c r="BT21" s="150"/>
      <c r="BU21" s="150">
        <f t="shared" si="17"/>
        <v>215.55555555555554</v>
      </c>
      <c r="BW21" s="522">
        <f t="shared" si="18"/>
        <v>217.55555555555554</v>
      </c>
      <c r="BY21" s="527">
        <f t="shared" si="19"/>
        <v>810.22222222222229</v>
      </c>
      <c r="BZ21" s="181">
        <f t="shared" si="20"/>
        <v>0.78832432432432431</v>
      </c>
      <c r="CA21" s="520" t="b">
        <f t="shared" si="21"/>
        <v>0</v>
      </c>
    </row>
    <row r="22" spans="1:79" s="151" customFormat="1">
      <c r="A22" s="151" t="s">
        <v>194</v>
      </c>
      <c r="B22" s="520" t="str">
        <f t="shared" si="0"/>
        <v>3EoKPremium2e PVCCity1</v>
      </c>
      <c r="C22" s="179">
        <v>3</v>
      </c>
      <c r="D22" s="179" t="s">
        <v>303</v>
      </c>
      <c r="E22" s="178" t="s">
        <v>267</v>
      </c>
      <c r="F22" s="178" t="s">
        <v>440</v>
      </c>
      <c r="G22" s="530" t="s">
        <v>262</v>
      </c>
      <c r="H22" s="531" t="s">
        <v>362</v>
      </c>
      <c r="J22" s="520" t="str">
        <f t="shared" ref="J22:J30" si="35">E22&amp;F22&amp;G22&amp;H22</f>
        <v>Premium2e PVCCity1</v>
      </c>
      <c r="L22" s="204">
        <f>INDEX(Mapping!$H:$H,MATCH(C$3&amp;C22,Mapping!$B:$B,0))</f>
        <v>1</v>
      </c>
      <c r="M22" s="204" t="str">
        <f>INDEX(Mapping!$H:$H,MATCH(D$3&amp;D22,Mapping!$B:$B,0))</f>
        <v>EoK</v>
      </c>
      <c r="N22" s="204" t="str">
        <f>INDEX(Mapping!$H:$H,MATCH(E$3&amp;E22,Mapping!$B:$B,0))</f>
        <v>Premium</v>
      </c>
      <c r="O22" s="204" t="str">
        <f>INDEX(Mapping!$H:$H,MATCH(F$3&amp;F22,Mapping!$B:$B,0))</f>
        <v>multiple</v>
      </c>
      <c r="P22" s="204" t="str">
        <f>INDEX(Mapping!$H:$H,MATCH(G$3&amp;G22,Mapping!$B:$B,0))</f>
        <v>Metro</v>
      </c>
      <c r="Q22" s="204">
        <f>INDEX(Mapping!$H:$H,MATCH(H$3&amp;H22,Mapping!$B:$B,0))</f>
        <v>1</v>
      </c>
      <c r="R22" s="204" t="str">
        <f>INDEX(Mapping!$H:$H,MATCH(R$3&amp;$G22,Mapping!$B:$B,0))</f>
        <v>Metro - Regionaal</v>
      </c>
      <c r="S22" s="139"/>
      <c r="T22" s="139"/>
      <c r="U22" s="520" t="str">
        <f t="shared" si="2"/>
        <v>PremiummultipleMetro1</v>
      </c>
      <c r="W22" s="521">
        <f>MATCH($J22,'Tarieven ZM'!$B:$B,0)</f>
        <v>123</v>
      </c>
      <c r="X22" s="204">
        <f>INDEX('Tarieven ZM'!$H:$H,$W22)</f>
        <v>1000</v>
      </c>
      <c r="Y22" s="198">
        <f>-INDEX(Parameters!$B:$B,MATCH(Y$3&amp;$C22,Parameters!$A:$A,0))*$X22</f>
        <v>0</v>
      </c>
      <c r="Z22" s="198">
        <f>-INDEX(Parameters!$B:$B,MATCH(Z$3&amp;$C22,Parameters!$A:$A,0))*$X22</f>
        <v>0</v>
      </c>
      <c r="AA22" s="139">
        <f t="shared" ref="AA22:AA30" si="36">SUM(X22:Z22)</f>
        <v>1000</v>
      </c>
      <c r="AB22" s="532">
        <f>AA22/INDEX(Parameters!$B:$B,MATCH("AfschrijftermijnVVE"&amp;12*$C22,Parameters!$A:$A,0))</f>
        <v>27.777777777777779</v>
      </c>
      <c r="AC22" s="204">
        <f>INDEX('Tarieven ZM'!$G:$G,$W22)</f>
        <v>1000</v>
      </c>
      <c r="AD22" s="198">
        <f>-INDEX(Parameters!$B:$B,MATCH(AD$3&amp;$C22,Parameters!$A:$A,0))*$AC22</f>
        <v>0</v>
      </c>
      <c r="AE22" s="198">
        <f>-INDEX(Parameters!$B:$B,MATCH(AE$3,Parameters!$A:$A,0))*$AC22</f>
        <v>0</v>
      </c>
      <c r="AF22" s="139">
        <f t="shared" ref="AF22:AF30" si="37">SUM(AC22:AE22)</f>
        <v>1000</v>
      </c>
      <c r="AG22" s="522">
        <f t="shared" ref="AG22:AG30" si="38">SUM(AB22,AF22)</f>
        <v>1027.7777777777778</v>
      </c>
      <c r="AH22" s="175"/>
      <c r="AI22" s="523">
        <f>MATCH($U22,'Tarieven W&amp;O'!$B:$B,0)</f>
        <v>99</v>
      </c>
      <c r="AJ22" s="204">
        <f>IF(AI22&lt;&gt;"nvt",INDEX('Tarieven W&amp;O'!$H:$H,$AI22),0)</f>
        <v>0</v>
      </c>
      <c r="AK22" s="204">
        <f>IF(AI22&lt;&gt;"nvt",INDEX('Tarieven W&amp;O'!$I:$I,$AI22),0)</f>
        <v>25</v>
      </c>
      <c r="AL22" s="524">
        <f>IF(AI22&lt;&gt;"nvt",-INDEX(Parameters!$B:$B,MATCH(AL$3,Parameters!$A:$A,0))*(AJ22+AK22),0)</f>
        <v>0</v>
      </c>
      <c r="AM22" s="525"/>
      <c r="AN22" s="139">
        <f t="shared" ref="AN22:AN30" si="39">SUM(AJ22:AM22)</f>
        <v>25</v>
      </c>
      <c r="AO22" s="205">
        <f>AN22/INDEX(Parameters!$B:$B,MATCH("AfschrijftermijnVVE"&amp;12*$C22,Parameters!$A:$A,0))</f>
        <v>0.69444444444444442</v>
      </c>
      <c r="AP22" s="139">
        <f t="shared" ref="AP22:AP30" si="40">AI22</f>
        <v>99</v>
      </c>
      <c r="AQ22" s="526">
        <f>IF(AP22&lt;&gt;"nvt",INDEX('Tarieven W&amp;O'!$G:$G,$AP22),0)</f>
        <v>11.31</v>
      </c>
      <c r="AR22" s="251">
        <f>-INDEX(Parameters!$B:$B,MATCH(AR$3,Parameters!$A:$A,0))*(AQ22)</f>
        <v>0</v>
      </c>
      <c r="AS22" s="205"/>
      <c r="AT22" s="205">
        <f>INDEX(hulpblad!$E:$E,MATCH(M22&amp;R22,hulpblad!$B:$B,0))</f>
        <v>1</v>
      </c>
      <c r="AU22" s="150">
        <f t="shared" ref="AU22:AU30" si="41">SUM(AQ22:AT22)</f>
        <v>12.31</v>
      </c>
      <c r="AV22" s="150">
        <f t="shared" ref="AV22:AV30" si="42">SUM(AO22,AU22)</f>
        <v>13.004444444444445</v>
      </c>
      <c r="AX22" s="526">
        <f>Parameters!$B$6*AV22</f>
        <v>0.13004444444444446</v>
      </c>
      <c r="AY22" s="150">
        <v>0</v>
      </c>
      <c r="AZ22" s="150"/>
      <c r="BA22" s="150">
        <f t="shared" ref="BA22:BA30" si="43">SUM(AX22:AZ22)</f>
        <v>0.13004444444444446</v>
      </c>
      <c r="BB22" s="150"/>
      <c r="BC22" s="522">
        <f t="shared" ref="BC22:BC30" si="44">SUM(AV22,BA22)</f>
        <v>13.134488888888889</v>
      </c>
      <c r="BD22" s="175"/>
      <c r="BE22" s="527">
        <f t="shared" ref="BE22:BE30" si="45">AG22-BC22</f>
        <v>1014.6432888888889</v>
      </c>
      <c r="BF22" s="181">
        <f t="shared" ref="BF22:BF30" si="46">IF(AG22=0,-999%,BE22/AG22)</f>
        <v>0.98722049729729733</v>
      </c>
      <c r="BG22" s="520" t="b">
        <f t="shared" ref="BG22:BG30" si="47">BF22&lt;0</f>
        <v>0</v>
      </c>
      <c r="BI22" s="151" t="s">
        <v>2181</v>
      </c>
      <c r="BL22" s="151" t="str">
        <f t="shared" si="15"/>
        <v>EoKMetro - Regionaal</v>
      </c>
      <c r="BM22" s="529">
        <v>0</v>
      </c>
      <c r="BN22" s="180">
        <f>BM22/INDEX(Parameters!$B:$B,MATCH("AfschrijftermijnVVE"&amp;12*$C22,Parameters!$A:$A,0))</f>
        <v>0</v>
      </c>
      <c r="BO22" s="184">
        <f>INDEX('inkoop ULL tbv EVPN'!I:I,MATCH(BL22,'inkoop ULL tbv EVPN'!H:H,0))</f>
        <v>2</v>
      </c>
      <c r="BP22" s="184">
        <f t="shared" si="16"/>
        <v>2</v>
      </c>
      <c r="BR22" s="180">
        <f>Parameters!$B$12*AG22</f>
        <v>102.77777777777779</v>
      </c>
      <c r="BS22" s="180">
        <f>SUM(Distributievergoedingen!$F$12,Distributievergoedingen!$I$12,Distributievergoedingen!$L$12,Distributievergoedingen!$O$12)*AF22+SUM(Distributievergoedingen!$O$12*AA22+Distributievergoedingen!$R$12+Distributievergoedingen!$U$12+Distributievergoedingen!$X$12)/(MAX(36,12*C22))</f>
        <v>112.77777777777777</v>
      </c>
      <c r="BT22" s="150"/>
      <c r="BU22" s="150">
        <f t="shared" si="17"/>
        <v>215.55555555555554</v>
      </c>
      <c r="BW22" s="522">
        <f t="shared" si="18"/>
        <v>217.55555555555554</v>
      </c>
      <c r="BY22" s="527">
        <f t="shared" si="19"/>
        <v>810.22222222222229</v>
      </c>
      <c r="BZ22" s="181">
        <f t="shared" si="20"/>
        <v>0.78832432432432431</v>
      </c>
      <c r="CA22" s="520" t="b">
        <f t="shared" si="21"/>
        <v>0</v>
      </c>
    </row>
    <row r="23" spans="1:79" s="151" customFormat="1">
      <c r="A23" s="151" t="s">
        <v>194</v>
      </c>
      <c r="B23" s="520" t="str">
        <f t="shared" si="0"/>
        <v>3EoKPremium2e PVCCity2</v>
      </c>
      <c r="C23" s="179">
        <v>3</v>
      </c>
      <c r="D23" s="179" t="s">
        <v>303</v>
      </c>
      <c r="E23" s="178" t="s">
        <v>267</v>
      </c>
      <c r="F23" s="178" t="s">
        <v>440</v>
      </c>
      <c r="G23" s="530" t="s">
        <v>262</v>
      </c>
      <c r="H23" s="531" t="s">
        <v>363</v>
      </c>
      <c r="J23" s="520" t="str">
        <f t="shared" si="35"/>
        <v>Premium2e PVCCity2</v>
      </c>
      <c r="L23" s="204">
        <f>INDEX(Mapping!$H:$H,MATCH(C$3&amp;C23,Mapping!$B:$B,0))</f>
        <v>1</v>
      </c>
      <c r="M23" s="204" t="str">
        <f>INDEX(Mapping!$H:$H,MATCH(D$3&amp;D23,Mapping!$B:$B,0))</f>
        <v>EoK</v>
      </c>
      <c r="N23" s="204" t="str">
        <f>INDEX(Mapping!$H:$H,MATCH(E$3&amp;E23,Mapping!$B:$B,0))</f>
        <v>Premium</v>
      </c>
      <c r="O23" s="204" t="str">
        <f>INDEX(Mapping!$H:$H,MATCH(F$3&amp;F23,Mapping!$B:$B,0))</f>
        <v>multiple</v>
      </c>
      <c r="P23" s="204" t="str">
        <f>INDEX(Mapping!$H:$H,MATCH(G$3&amp;G23,Mapping!$B:$B,0))</f>
        <v>Metro</v>
      </c>
      <c r="Q23" s="204">
        <f>INDEX(Mapping!$H:$H,MATCH(H$3&amp;H23,Mapping!$B:$B,0))</f>
        <v>2</v>
      </c>
      <c r="R23" s="204" t="str">
        <f>INDEX(Mapping!$H:$H,MATCH(R$3&amp;$G23,Mapping!$B:$B,0))</f>
        <v>Metro - Regionaal</v>
      </c>
      <c r="S23" s="139"/>
      <c r="T23" s="139"/>
      <c r="U23" s="520" t="str">
        <f t="shared" si="2"/>
        <v>PremiummultipleMetro2</v>
      </c>
      <c r="W23" s="521">
        <f>MATCH($J23,'Tarieven ZM'!$B:$B,0)</f>
        <v>124</v>
      </c>
      <c r="X23" s="204">
        <f>INDEX('Tarieven ZM'!$H:$H,$W23)</f>
        <v>1000</v>
      </c>
      <c r="Y23" s="198">
        <f>-INDEX(Parameters!$B:$B,MATCH(Y$3&amp;$C23,Parameters!$A:$A,0))*$X23</f>
        <v>0</v>
      </c>
      <c r="Z23" s="198">
        <f>-INDEX(Parameters!$B:$B,MATCH(Z$3&amp;$C23,Parameters!$A:$A,0))*$X23</f>
        <v>0</v>
      </c>
      <c r="AA23" s="139">
        <f t="shared" si="36"/>
        <v>1000</v>
      </c>
      <c r="AB23" s="532">
        <f>AA23/INDEX(Parameters!$B:$B,MATCH("AfschrijftermijnVVE"&amp;12*$C23,Parameters!$A:$A,0))</f>
        <v>27.777777777777779</v>
      </c>
      <c r="AC23" s="204">
        <f>INDEX('Tarieven ZM'!$G:$G,$W23)</f>
        <v>1000</v>
      </c>
      <c r="AD23" s="198">
        <f>-INDEX(Parameters!$B:$B,MATCH(AD$3&amp;$C23,Parameters!$A:$A,0))*$AC23</f>
        <v>0</v>
      </c>
      <c r="AE23" s="198">
        <f>-INDEX(Parameters!$B:$B,MATCH(AE$3,Parameters!$A:$A,0))*$AC23</f>
        <v>0</v>
      </c>
      <c r="AF23" s="139">
        <f t="shared" si="37"/>
        <v>1000</v>
      </c>
      <c r="AG23" s="522">
        <f t="shared" si="38"/>
        <v>1027.7777777777778</v>
      </c>
      <c r="AH23" s="175"/>
      <c r="AI23" s="523">
        <f>MATCH($U23,'Tarieven W&amp;O'!$B:$B,0)</f>
        <v>100</v>
      </c>
      <c r="AJ23" s="204">
        <f>IF(AI23&lt;&gt;"nvt",INDEX('Tarieven W&amp;O'!$H:$H,$AI23),0)</f>
        <v>0</v>
      </c>
      <c r="AK23" s="204">
        <f>IF(AI23&lt;&gt;"nvt",INDEX('Tarieven W&amp;O'!$I:$I,$AI23),0)</f>
        <v>25</v>
      </c>
      <c r="AL23" s="524">
        <f>IF(AI23&lt;&gt;"nvt",-INDEX(Parameters!$B:$B,MATCH(AL$3,Parameters!$A:$A,0))*(AJ23+AK23),0)</f>
        <v>0</v>
      </c>
      <c r="AM23" s="525"/>
      <c r="AN23" s="139">
        <f t="shared" si="39"/>
        <v>25</v>
      </c>
      <c r="AO23" s="205">
        <f>AN23/INDEX(Parameters!$B:$B,MATCH("AfschrijftermijnVVE"&amp;12*$C23,Parameters!$A:$A,0))</f>
        <v>0.69444444444444442</v>
      </c>
      <c r="AP23" s="139">
        <f t="shared" si="40"/>
        <v>100</v>
      </c>
      <c r="AQ23" s="526">
        <f>IF(AP23&lt;&gt;"nvt",INDEX('Tarieven W&amp;O'!$G:$G,$AP23),0)</f>
        <v>23.37</v>
      </c>
      <c r="AR23" s="251">
        <f>-INDEX(Parameters!$B:$B,MATCH(AR$3,Parameters!$A:$A,0))*(AQ23)</f>
        <v>0</v>
      </c>
      <c r="AS23" s="205"/>
      <c r="AT23" s="205">
        <f>INDEX(hulpblad!$E:$E,MATCH(M23&amp;R23,hulpblad!$B:$B,0))</f>
        <v>1</v>
      </c>
      <c r="AU23" s="150">
        <f t="shared" si="41"/>
        <v>24.37</v>
      </c>
      <c r="AV23" s="150">
        <f t="shared" si="42"/>
        <v>25.064444444444444</v>
      </c>
      <c r="AX23" s="526">
        <f>Parameters!$B$6*AV23</f>
        <v>0.25064444444444445</v>
      </c>
      <c r="AY23" s="150">
        <v>0</v>
      </c>
      <c r="AZ23" s="150"/>
      <c r="BA23" s="150">
        <f t="shared" si="43"/>
        <v>0.25064444444444445</v>
      </c>
      <c r="BB23" s="150"/>
      <c r="BC23" s="522">
        <f t="shared" si="44"/>
        <v>25.315088888888887</v>
      </c>
      <c r="BD23" s="175"/>
      <c r="BE23" s="527">
        <f t="shared" si="45"/>
        <v>1002.4626888888889</v>
      </c>
      <c r="BF23" s="181">
        <f t="shared" si="46"/>
        <v>0.97536910270270272</v>
      </c>
      <c r="BG23" s="520" t="b">
        <f t="shared" si="47"/>
        <v>0</v>
      </c>
      <c r="BI23" s="151" t="s">
        <v>2181</v>
      </c>
      <c r="BL23" s="151" t="str">
        <f t="shared" si="15"/>
        <v>EoKMetro - Regionaal</v>
      </c>
      <c r="BM23" s="529">
        <v>0</v>
      </c>
      <c r="BN23" s="180">
        <f>BM23/INDEX(Parameters!$B:$B,MATCH("AfschrijftermijnVVE"&amp;12*$C23,Parameters!$A:$A,0))</f>
        <v>0</v>
      </c>
      <c r="BO23" s="184">
        <f>INDEX('inkoop ULL tbv EVPN'!I:I,MATCH(BL23,'inkoop ULL tbv EVPN'!H:H,0))</f>
        <v>2</v>
      </c>
      <c r="BP23" s="184">
        <f t="shared" si="16"/>
        <v>2</v>
      </c>
      <c r="BR23" s="180">
        <f>Parameters!$B$12*AG23</f>
        <v>102.77777777777779</v>
      </c>
      <c r="BS23" s="180">
        <f>SUM(Distributievergoedingen!$F$12,Distributievergoedingen!$I$12,Distributievergoedingen!$L$12,Distributievergoedingen!$O$12)*AF23+SUM(Distributievergoedingen!$O$12*AA23+Distributievergoedingen!$R$12+Distributievergoedingen!$U$12+Distributievergoedingen!$X$12)/(MAX(36,12*C23))</f>
        <v>112.77777777777777</v>
      </c>
      <c r="BT23" s="150"/>
      <c r="BU23" s="150">
        <f t="shared" si="17"/>
        <v>215.55555555555554</v>
      </c>
      <c r="BW23" s="522">
        <f t="shared" si="18"/>
        <v>217.55555555555554</v>
      </c>
      <c r="BY23" s="527">
        <f t="shared" si="19"/>
        <v>810.22222222222229</v>
      </c>
      <c r="BZ23" s="181">
        <f t="shared" si="20"/>
        <v>0.78832432432432431</v>
      </c>
      <c r="CA23" s="520" t="b">
        <f t="shared" si="21"/>
        <v>0</v>
      </c>
    </row>
    <row r="24" spans="1:79" s="151" customFormat="1">
      <c r="A24" s="151" t="s">
        <v>194</v>
      </c>
      <c r="B24" s="520" t="str">
        <f t="shared" ref="B24:B48" si="48">C24&amp;D24&amp;E24&amp;F24&amp;G24&amp;H24</f>
        <v>3EoKPremium2e PVCCity4</v>
      </c>
      <c r="C24" s="179">
        <v>3</v>
      </c>
      <c r="D24" s="179" t="s">
        <v>303</v>
      </c>
      <c r="E24" s="178" t="s">
        <v>267</v>
      </c>
      <c r="F24" s="178" t="s">
        <v>440</v>
      </c>
      <c r="G24" s="530" t="s">
        <v>262</v>
      </c>
      <c r="H24" s="531" t="s">
        <v>408</v>
      </c>
      <c r="J24" s="520" t="str">
        <f t="shared" si="35"/>
        <v>Premium2e PVCCity4</v>
      </c>
      <c r="L24" s="204">
        <f>INDEX(Mapping!$H:$H,MATCH(C$3&amp;C24,Mapping!$B:$B,0))</f>
        <v>1</v>
      </c>
      <c r="M24" s="204" t="str">
        <f>INDEX(Mapping!$H:$H,MATCH(D$3&amp;D24,Mapping!$B:$B,0))</f>
        <v>EoK</v>
      </c>
      <c r="N24" s="204" t="str">
        <f>INDEX(Mapping!$H:$H,MATCH(E$3&amp;E24,Mapping!$B:$B,0))</f>
        <v>Premium</v>
      </c>
      <c r="O24" s="204" t="str">
        <f>INDEX(Mapping!$H:$H,MATCH(F$3&amp;F24,Mapping!$B:$B,0))</f>
        <v>multiple</v>
      </c>
      <c r="P24" s="204" t="str">
        <f>INDEX(Mapping!$H:$H,MATCH(G$3&amp;G24,Mapping!$B:$B,0))</f>
        <v>Metro</v>
      </c>
      <c r="Q24" s="204">
        <f>INDEX(Mapping!$H:$H,MATCH(H$3&amp;H24,Mapping!$B:$B,0))</f>
        <v>4</v>
      </c>
      <c r="R24" s="204" t="str">
        <f>INDEX(Mapping!$H:$H,MATCH(R$3&amp;$G24,Mapping!$B:$B,0))</f>
        <v>Metro - Regionaal</v>
      </c>
      <c r="S24" s="139"/>
      <c r="T24" s="139"/>
      <c r="U24" s="520" t="str">
        <f t="shared" ref="U24:U48" si="49">N24&amp;O24&amp;P24&amp;Q24</f>
        <v>PremiummultipleMetro4</v>
      </c>
      <c r="W24" s="521">
        <f>MATCH($J24,'Tarieven ZM'!$B:$B,0)</f>
        <v>125</v>
      </c>
      <c r="X24" s="204">
        <f>INDEX('Tarieven ZM'!$H:$H,$W24)</f>
        <v>1000</v>
      </c>
      <c r="Y24" s="198">
        <f>-INDEX(Parameters!$B:$B,MATCH(Y$3&amp;$C24,Parameters!$A:$A,0))*$X24</f>
        <v>0</v>
      </c>
      <c r="Z24" s="198">
        <f>-INDEX(Parameters!$B:$B,MATCH(Z$3&amp;$C24,Parameters!$A:$A,0))*$X24</f>
        <v>0</v>
      </c>
      <c r="AA24" s="139">
        <f t="shared" si="36"/>
        <v>1000</v>
      </c>
      <c r="AB24" s="532">
        <f>AA24/INDEX(Parameters!$B:$B,MATCH("AfschrijftermijnVVE"&amp;12*$C24,Parameters!$A:$A,0))</f>
        <v>27.777777777777779</v>
      </c>
      <c r="AC24" s="204">
        <f>INDEX('Tarieven ZM'!$G:$G,$W24)</f>
        <v>1000</v>
      </c>
      <c r="AD24" s="198">
        <f>-INDEX(Parameters!$B:$B,MATCH(AD$3&amp;$C24,Parameters!$A:$A,0))*$AC24</f>
        <v>0</v>
      </c>
      <c r="AE24" s="198">
        <f>-INDEX(Parameters!$B:$B,MATCH(AE$3,Parameters!$A:$A,0))*$AC24</f>
        <v>0</v>
      </c>
      <c r="AF24" s="139">
        <f t="shared" si="37"/>
        <v>1000</v>
      </c>
      <c r="AG24" s="522">
        <f t="shared" si="38"/>
        <v>1027.7777777777778</v>
      </c>
      <c r="AH24" s="175"/>
      <c r="AI24" s="523">
        <f>MATCH($U24,'Tarieven W&amp;O'!$B:$B,0)</f>
        <v>101</v>
      </c>
      <c r="AJ24" s="204">
        <f>IF(AI24&lt;&gt;"nvt",INDEX('Tarieven W&amp;O'!$H:$H,$AI24),0)</f>
        <v>0</v>
      </c>
      <c r="AK24" s="204">
        <f>IF(AI24&lt;&gt;"nvt",INDEX('Tarieven W&amp;O'!$I:$I,$AI24),0)</f>
        <v>25</v>
      </c>
      <c r="AL24" s="524">
        <f>IF(AI24&lt;&gt;"nvt",-INDEX(Parameters!$B:$B,MATCH(AL$3,Parameters!$A:$A,0))*(AJ24+AK24),0)</f>
        <v>0</v>
      </c>
      <c r="AM24" s="525"/>
      <c r="AN24" s="139">
        <f t="shared" si="39"/>
        <v>25</v>
      </c>
      <c r="AO24" s="205">
        <f>AN24/INDEX(Parameters!$B:$B,MATCH("AfschrijftermijnVVE"&amp;12*$C24,Parameters!$A:$A,0))</f>
        <v>0.69444444444444442</v>
      </c>
      <c r="AP24" s="139">
        <f t="shared" si="40"/>
        <v>101</v>
      </c>
      <c r="AQ24" s="526">
        <f>IF(AP24&lt;&gt;"nvt",INDEX('Tarieven W&amp;O'!$G:$G,$AP24),0)</f>
        <v>45.98</v>
      </c>
      <c r="AR24" s="251">
        <f>-INDEX(Parameters!$B:$B,MATCH(AR$3,Parameters!$A:$A,0))*(AQ24)</f>
        <v>0</v>
      </c>
      <c r="AS24" s="205"/>
      <c r="AT24" s="205">
        <f>INDEX(hulpblad!$E:$E,MATCH(M24&amp;R24,hulpblad!$B:$B,0))</f>
        <v>1</v>
      </c>
      <c r="AU24" s="150">
        <f t="shared" si="41"/>
        <v>46.98</v>
      </c>
      <c r="AV24" s="150">
        <f t="shared" si="42"/>
        <v>47.67444444444444</v>
      </c>
      <c r="AX24" s="526">
        <f>Parameters!$B$6*AV24</f>
        <v>0.47674444444444442</v>
      </c>
      <c r="AY24" s="150">
        <v>0</v>
      </c>
      <c r="AZ24" s="150"/>
      <c r="BA24" s="150">
        <f t="shared" si="43"/>
        <v>0.47674444444444442</v>
      </c>
      <c r="BB24" s="150"/>
      <c r="BC24" s="522">
        <f t="shared" si="44"/>
        <v>48.151188888888882</v>
      </c>
      <c r="BD24" s="175"/>
      <c r="BE24" s="527">
        <f t="shared" si="45"/>
        <v>979.62658888888893</v>
      </c>
      <c r="BF24" s="181">
        <f t="shared" si="46"/>
        <v>0.9531501945945946</v>
      </c>
      <c r="BG24" s="520" t="b">
        <f t="shared" si="47"/>
        <v>0</v>
      </c>
      <c r="BI24" s="151" t="s">
        <v>2181</v>
      </c>
      <c r="BL24" s="151" t="str">
        <f t="shared" ref="BL24:BL48" si="50">M24&amp;R24</f>
        <v>EoKMetro - Regionaal</v>
      </c>
      <c r="BM24" s="529">
        <v>0</v>
      </c>
      <c r="BN24" s="180">
        <f>BM24/INDEX(Parameters!$B:$B,MATCH("AfschrijftermijnVVE"&amp;12*$C24,Parameters!$A:$A,0))</f>
        <v>0</v>
      </c>
      <c r="BO24" s="184">
        <f>INDEX('inkoop ULL tbv EVPN'!I:I,MATCH(BL24,'inkoop ULL tbv EVPN'!H:H,0))</f>
        <v>2</v>
      </c>
      <c r="BP24" s="184">
        <f t="shared" ref="BP24:BP48" si="51">BN24+BO24</f>
        <v>2</v>
      </c>
      <c r="BR24" s="180">
        <f>Parameters!$B$12*AG24</f>
        <v>102.77777777777779</v>
      </c>
      <c r="BS24" s="180">
        <f>SUM(Distributievergoedingen!$F$12,Distributievergoedingen!$I$12,Distributievergoedingen!$L$12,Distributievergoedingen!$O$12)*AF24+SUM(Distributievergoedingen!$O$12*AA24+Distributievergoedingen!$R$12+Distributievergoedingen!$U$12+Distributievergoedingen!$X$12)/(MAX(36,12*C24))</f>
        <v>112.77777777777777</v>
      </c>
      <c r="BT24" s="150"/>
      <c r="BU24" s="150">
        <f t="shared" ref="BU24:BU48" si="52">SUM(BR24:BT24)</f>
        <v>215.55555555555554</v>
      </c>
      <c r="BW24" s="522">
        <f t="shared" ref="BW24:BW48" si="53">SUM(BP24,BU24)</f>
        <v>217.55555555555554</v>
      </c>
      <c r="BY24" s="527">
        <f t="shared" ref="BY24:BY48" si="54">AG24-BW24</f>
        <v>810.22222222222229</v>
      </c>
      <c r="BZ24" s="181">
        <f t="shared" ref="BZ24:BZ48" si="55">IF(AG24=0,-999%,BY24/AG24)</f>
        <v>0.78832432432432431</v>
      </c>
      <c r="CA24" s="520" t="b">
        <f t="shared" ref="CA24:CA48" si="56">BZ24&lt;0</f>
        <v>0</v>
      </c>
    </row>
    <row r="25" spans="1:79" s="151" customFormat="1">
      <c r="A25" s="151" t="s">
        <v>194</v>
      </c>
      <c r="B25" s="520" t="str">
        <f t="shared" si="48"/>
        <v>3EoKPremium2e PVCRegionaal1</v>
      </c>
      <c r="C25" s="179">
        <v>3</v>
      </c>
      <c r="D25" s="179" t="s">
        <v>303</v>
      </c>
      <c r="E25" s="178" t="s">
        <v>267</v>
      </c>
      <c r="F25" s="178" t="s">
        <v>440</v>
      </c>
      <c r="G25" s="530" t="s">
        <v>265</v>
      </c>
      <c r="H25" s="531" t="s">
        <v>362</v>
      </c>
      <c r="J25" s="520" t="str">
        <f t="shared" si="35"/>
        <v>Premium2e PVCRegionaal1</v>
      </c>
      <c r="L25" s="204">
        <f>INDEX(Mapping!$H:$H,MATCH(C$3&amp;C25,Mapping!$B:$B,0))</f>
        <v>1</v>
      </c>
      <c r="M25" s="204" t="str">
        <f>INDEX(Mapping!$H:$H,MATCH(D$3&amp;D25,Mapping!$B:$B,0))</f>
        <v>EoK</v>
      </c>
      <c r="N25" s="204" t="str">
        <f>INDEX(Mapping!$H:$H,MATCH(E$3&amp;E25,Mapping!$B:$B,0))</f>
        <v>Premium</v>
      </c>
      <c r="O25" s="204" t="str">
        <f>INDEX(Mapping!$H:$H,MATCH(F$3&amp;F25,Mapping!$B:$B,0))</f>
        <v>multiple</v>
      </c>
      <c r="P25" s="204" t="str">
        <f>INDEX(Mapping!$H:$H,MATCH(G$3&amp;G25,Mapping!$B:$B,0))</f>
        <v>Metro</v>
      </c>
      <c r="Q25" s="204">
        <f>INDEX(Mapping!$H:$H,MATCH(H$3&amp;H25,Mapping!$B:$B,0))</f>
        <v>1</v>
      </c>
      <c r="R25" s="204" t="str">
        <f>INDEX(Mapping!$H:$H,MATCH(R$3&amp;$G25,Mapping!$B:$B,0))</f>
        <v>Metro - Nationaal</v>
      </c>
      <c r="S25" s="139"/>
      <c r="T25" s="139"/>
      <c r="U25" s="520" t="str">
        <f t="shared" si="49"/>
        <v>PremiummultipleMetro1</v>
      </c>
      <c r="W25" s="521">
        <f>MATCH($J25,'Tarieven ZM'!$B:$B,0)</f>
        <v>126</v>
      </c>
      <c r="X25" s="204">
        <f>INDEX('Tarieven ZM'!$H:$H,$W25)</f>
        <v>1000</v>
      </c>
      <c r="Y25" s="198">
        <f>-INDEX(Parameters!$B:$B,MATCH(Y$3&amp;$C25,Parameters!$A:$A,0))*$X25</f>
        <v>0</v>
      </c>
      <c r="Z25" s="198">
        <f>-INDEX(Parameters!$B:$B,MATCH(Z$3&amp;$C25,Parameters!$A:$A,0))*$X25</f>
        <v>0</v>
      </c>
      <c r="AA25" s="139">
        <f t="shared" si="36"/>
        <v>1000</v>
      </c>
      <c r="AB25" s="532">
        <f>AA25/INDEX(Parameters!$B:$B,MATCH("AfschrijftermijnVVE"&amp;12*$C25,Parameters!$A:$A,0))</f>
        <v>27.777777777777779</v>
      </c>
      <c r="AC25" s="204">
        <f>INDEX('Tarieven ZM'!$G:$G,$W25)</f>
        <v>1000</v>
      </c>
      <c r="AD25" s="198">
        <f>-INDEX(Parameters!$B:$B,MATCH(AD$3&amp;$C25,Parameters!$A:$A,0))*$AC25</f>
        <v>0</v>
      </c>
      <c r="AE25" s="198">
        <f>-INDEX(Parameters!$B:$B,MATCH(AE$3,Parameters!$A:$A,0))*$AC25</f>
        <v>0</v>
      </c>
      <c r="AF25" s="139">
        <f t="shared" si="37"/>
        <v>1000</v>
      </c>
      <c r="AG25" s="522">
        <f t="shared" si="38"/>
        <v>1027.7777777777778</v>
      </c>
      <c r="AH25" s="175"/>
      <c r="AI25" s="523">
        <f>MATCH($U25,'Tarieven W&amp;O'!$B:$B,0)</f>
        <v>99</v>
      </c>
      <c r="AJ25" s="204">
        <f>IF(AI25&lt;&gt;"nvt",INDEX('Tarieven W&amp;O'!$H:$H,$AI25),0)</f>
        <v>0</v>
      </c>
      <c r="AK25" s="204">
        <f>IF(AI25&lt;&gt;"nvt",INDEX('Tarieven W&amp;O'!$I:$I,$AI25),0)</f>
        <v>25</v>
      </c>
      <c r="AL25" s="524">
        <f>IF(AI25&lt;&gt;"nvt",-INDEX(Parameters!$B:$B,MATCH(AL$3,Parameters!$A:$A,0))*(AJ25+AK25),0)</f>
        <v>0</v>
      </c>
      <c r="AM25" s="525"/>
      <c r="AN25" s="139">
        <f t="shared" si="39"/>
        <v>25</v>
      </c>
      <c r="AO25" s="205">
        <f>AN25/INDEX(Parameters!$B:$B,MATCH("AfschrijftermijnVVE"&amp;12*$C25,Parameters!$A:$A,0))</f>
        <v>0.69444444444444442</v>
      </c>
      <c r="AP25" s="139">
        <f t="shared" si="40"/>
        <v>99</v>
      </c>
      <c r="AQ25" s="526">
        <f>IF(AP25&lt;&gt;"nvt",INDEX('Tarieven W&amp;O'!$G:$G,$AP25),0)</f>
        <v>11.31</v>
      </c>
      <c r="AR25" s="251">
        <f>-INDEX(Parameters!$B:$B,MATCH(AR$3,Parameters!$A:$A,0))*(AQ25)</f>
        <v>0</v>
      </c>
      <c r="AS25" s="205"/>
      <c r="AT25" s="205">
        <f>INDEX(hulpblad!$E:$E,MATCH(M25&amp;R25,hulpblad!$B:$B,0))</f>
        <v>2</v>
      </c>
      <c r="AU25" s="150">
        <f t="shared" si="41"/>
        <v>13.31</v>
      </c>
      <c r="AV25" s="150">
        <f t="shared" si="42"/>
        <v>14.004444444444445</v>
      </c>
      <c r="AX25" s="526">
        <f>Parameters!$B$6*AV25</f>
        <v>0.14004444444444444</v>
      </c>
      <c r="AY25" s="150">
        <v>0</v>
      </c>
      <c r="AZ25" s="150"/>
      <c r="BA25" s="150">
        <f t="shared" si="43"/>
        <v>0.14004444444444444</v>
      </c>
      <c r="BB25" s="150"/>
      <c r="BC25" s="522">
        <f t="shared" si="44"/>
        <v>14.14448888888889</v>
      </c>
      <c r="BD25" s="175"/>
      <c r="BE25" s="527">
        <f t="shared" si="45"/>
        <v>1013.633288888889</v>
      </c>
      <c r="BF25" s="181">
        <f t="shared" si="46"/>
        <v>0.9862377945945946</v>
      </c>
      <c r="BG25" s="520" t="b">
        <f t="shared" si="47"/>
        <v>0</v>
      </c>
      <c r="BI25" s="151" t="s">
        <v>2181</v>
      </c>
      <c r="BL25" s="151" t="str">
        <f t="shared" si="50"/>
        <v>EoKMetro - Nationaal</v>
      </c>
      <c r="BM25" s="529">
        <v>0</v>
      </c>
      <c r="BN25" s="180">
        <f>BM25/INDEX(Parameters!$B:$B,MATCH("AfschrijftermijnVVE"&amp;12*$C25,Parameters!$A:$A,0))</f>
        <v>0</v>
      </c>
      <c r="BO25" s="184">
        <f>INDEX('inkoop ULL tbv EVPN'!I:I,MATCH(BL25,'inkoop ULL tbv EVPN'!H:H,0))</f>
        <v>2</v>
      </c>
      <c r="BP25" s="184">
        <f t="shared" si="51"/>
        <v>2</v>
      </c>
      <c r="BR25" s="180">
        <f>Parameters!$B$12*AG25</f>
        <v>102.77777777777779</v>
      </c>
      <c r="BS25" s="180">
        <f>SUM(Distributievergoedingen!$F$12,Distributievergoedingen!$I$12,Distributievergoedingen!$L$12,Distributievergoedingen!$O$12)*AF25+SUM(Distributievergoedingen!$O$12*AA25+Distributievergoedingen!$R$12+Distributievergoedingen!$U$12+Distributievergoedingen!$X$12)/(MAX(36,12*C25))</f>
        <v>112.77777777777777</v>
      </c>
      <c r="BT25" s="150"/>
      <c r="BU25" s="150">
        <f t="shared" si="52"/>
        <v>215.55555555555554</v>
      </c>
      <c r="BW25" s="522">
        <f t="shared" si="53"/>
        <v>217.55555555555554</v>
      </c>
      <c r="BY25" s="527">
        <f t="shared" si="54"/>
        <v>810.22222222222229</v>
      </c>
      <c r="BZ25" s="181">
        <f t="shared" si="55"/>
        <v>0.78832432432432431</v>
      </c>
      <c r="CA25" s="520" t="b">
        <f t="shared" si="56"/>
        <v>0</v>
      </c>
    </row>
    <row r="26" spans="1:79" s="151" customFormat="1">
      <c r="A26" s="151" t="s">
        <v>194</v>
      </c>
      <c r="B26" s="520" t="str">
        <f t="shared" si="48"/>
        <v>3EoKPremium2e PVCRegionaal2</v>
      </c>
      <c r="C26" s="179">
        <v>3</v>
      </c>
      <c r="D26" s="179" t="s">
        <v>303</v>
      </c>
      <c r="E26" s="178" t="s">
        <v>267</v>
      </c>
      <c r="F26" s="178" t="s">
        <v>440</v>
      </c>
      <c r="G26" s="530" t="s">
        <v>265</v>
      </c>
      <c r="H26" s="531" t="s">
        <v>363</v>
      </c>
      <c r="J26" s="520" t="str">
        <f t="shared" si="35"/>
        <v>Premium2e PVCRegionaal2</v>
      </c>
      <c r="L26" s="204">
        <f>INDEX(Mapping!$H:$H,MATCH(C$3&amp;C26,Mapping!$B:$B,0))</f>
        <v>1</v>
      </c>
      <c r="M26" s="204" t="str">
        <f>INDEX(Mapping!$H:$H,MATCH(D$3&amp;D26,Mapping!$B:$B,0))</f>
        <v>EoK</v>
      </c>
      <c r="N26" s="204" t="str">
        <f>INDEX(Mapping!$H:$H,MATCH(E$3&amp;E26,Mapping!$B:$B,0))</f>
        <v>Premium</v>
      </c>
      <c r="O26" s="204" t="str">
        <f>INDEX(Mapping!$H:$H,MATCH(F$3&amp;F26,Mapping!$B:$B,0))</f>
        <v>multiple</v>
      </c>
      <c r="P26" s="204" t="str">
        <f>INDEX(Mapping!$H:$H,MATCH(G$3&amp;G26,Mapping!$B:$B,0))</f>
        <v>Metro</v>
      </c>
      <c r="Q26" s="204">
        <f>INDEX(Mapping!$H:$H,MATCH(H$3&amp;H26,Mapping!$B:$B,0))</f>
        <v>2</v>
      </c>
      <c r="R26" s="204" t="str">
        <f>INDEX(Mapping!$H:$H,MATCH(R$3&amp;$G26,Mapping!$B:$B,0))</f>
        <v>Metro - Nationaal</v>
      </c>
      <c r="S26" s="139"/>
      <c r="T26" s="139"/>
      <c r="U26" s="520" t="str">
        <f t="shared" si="49"/>
        <v>PremiummultipleMetro2</v>
      </c>
      <c r="W26" s="521">
        <f>MATCH($J26,'Tarieven ZM'!$B:$B,0)</f>
        <v>127</v>
      </c>
      <c r="X26" s="204">
        <f>INDEX('Tarieven ZM'!$H:$H,$W26)</f>
        <v>1000</v>
      </c>
      <c r="Y26" s="198">
        <f>-INDEX(Parameters!$B:$B,MATCH(Y$3&amp;$C26,Parameters!$A:$A,0))*$X26</f>
        <v>0</v>
      </c>
      <c r="Z26" s="198">
        <f>-INDEX(Parameters!$B:$B,MATCH(Z$3&amp;$C26,Parameters!$A:$A,0))*$X26</f>
        <v>0</v>
      </c>
      <c r="AA26" s="139">
        <f t="shared" si="36"/>
        <v>1000</v>
      </c>
      <c r="AB26" s="532">
        <f>AA26/INDEX(Parameters!$B:$B,MATCH("AfschrijftermijnVVE"&amp;12*$C26,Parameters!$A:$A,0))</f>
        <v>27.777777777777779</v>
      </c>
      <c r="AC26" s="204">
        <f>INDEX('Tarieven ZM'!$G:$G,$W26)</f>
        <v>1000</v>
      </c>
      <c r="AD26" s="198">
        <f>-INDEX(Parameters!$B:$B,MATCH(AD$3&amp;$C26,Parameters!$A:$A,0))*$AC26</f>
        <v>0</v>
      </c>
      <c r="AE26" s="198">
        <f>-INDEX(Parameters!$B:$B,MATCH(AE$3,Parameters!$A:$A,0))*$AC26</f>
        <v>0</v>
      </c>
      <c r="AF26" s="139">
        <f t="shared" si="37"/>
        <v>1000</v>
      </c>
      <c r="AG26" s="522">
        <f t="shared" si="38"/>
        <v>1027.7777777777778</v>
      </c>
      <c r="AH26" s="175"/>
      <c r="AI26" s="523">
        <f>MATCH($U26,'Tarieven W&amp;O'!$B:$B,0)</f>
        <v>100</v>
      </c>
      <c r="AJ26" s="204">
        <f>IF(AI26&lt;&gt;"nvt",INDEX('Tarieven W&amp;O'!$H:$H,$AI26),0)</f>
        <v>0</v>
      </c>
      <c r="AK26" s="204">
        <f>IF(AI26&lt;&gt;"nvt",INDEX('Tarieven W&amp;O'!$I:$I,$AI26),0)</f>
        <v>25</v>
      </c>
      <c r="AL26" s="524">
        <f>IF(AI26&lt;&gt;"nvt",-INDEX(Parameters!$B:$B,MATCH(AL$3,Parameters!$A:$A,0))*(AJ26+AK26),0)</f>
        <v>0</v>
      </c>
      <c r="AM26" s="525"/>
      <c r="AN26" s="139">
        <f t="shared" si="39"/>
        <v>25</v>
      </c>
      <c r="AO26" s="205">
        <f>AN26/INDEX(Parameters!$B:$B,MATCH("AfschrijftermijnVVE"&amp;12*$C26,Parameters!$A:$A,0))</f>
        <v>0.69444444444444442</v>
      </c>
      <c r="AP26" s="139">
        <f t="shared" si="40"/>
        <v>100</v>
      </c>
      <c r="AQ26" s="526">
        <f>IF(AP26&lt;&gt;"nvt",INDEX('Tarieven W&amp;O'!$G:$G,$AP26),0)</f>
        <v>23.37</v>
      </c>
      <c r="AR26" s="251">
        <f>-INDEX(Parameters!$B:$B,MATCH(AR$3,Parameters!$A:$A,0))*(AQ26)</f>
        <v>0</v>
      </c>
      <c r="AS26" s="205"/>
      <c r="AT26" s="205">
        <f>INDEX(hulpblad!$E:$E,MATCH(M26&amp;R26,hulpblad!$B:$B,0))</f>
        <v>2</v>
      </c>
      <c r="AU26" s="150">
        <f t="shared" si="41"/>
        <v>25.37</v>
      </c>
      <c r="AV26" s="150">
        <f t="shared" si="42"/>
        <v>26.064444444444444</v>
      </c>
      <c r="AX26" s="526">
        <f>Parameters!$B$6*AV26</f>
        <v>0.26064444444444446</v>
      </c>
      <c r="AY26" s="150">
        <v>0</v>
      </c>
      <c r="AZ26" s="150"/>
      <c r="BA26" s="150">
        <f t="shared" si="43"/>
        <v>0.26064444444444446</v>
      </c>
      <c r="BB26" s="150"/>
      <c r="BC26" s="522">
        <f t="shared" si="44"/>
        <v>26.325088888888889</v>
      </c>
      <c r="BD26" s="175"/>
      <c r="BE26" s="527">
        <f t="shared" si="45"/>
        <v>1001.4526888888889</v>
      </c>
      <c r="BF26" s="181">
        <f t="shared" si="46"/>
        <v>0.97438639999999999</v>
      </c>
      <c r="BG26" s="520" t="b">
        <f t="shared" si="47"/>
        <v>0</v>
      </c>
      <c r="BI26" s="151" t="s">
        <v>2181</v>
      </c>
      <c r="BL26" s="151" t="str">
        <f t="shared" si="50"/>
        <v>EoKMetro - Nationaal</v>
      </c>
      <c r="BM26" s="529">
        <v>0</v>
      </c>
      <c r="BN26" s="180">
        <f>BM26/INDEX(Parameters!$B:$B,MATCH("AfschrijftermijnVVE"&amp;12*$C26,Parameters!$A:$A,0))</f>
        <v>0</v>
      </c>
      <c r="BO26" s="184">
        <f>INDEX('inkoop ULL tbv EVPN'!I:I,MATCH(BL26,'inkoop ULL tbv EVPN'!H:H,0))</f>
        <v>2</v>
      </c>
      <c r="BP26" s="184">
        <f t="shared" si="51"/>
        <v>2</v>
      </c>
      <c r="BR26" s="180">
        <f>Parameters!$B$12*AG26</f>
        <v>102.77777777777779</v>
      </c>
      <c r="BS26" s="180">
        <f>SUM(Distributievergoedingen!$F$12,Distributievergoedingen!$I$12,Distributievergoedingen!$L$12,Distributievergoedingen!$O$12)*AF26+SUM(Distributievergoedingen!$O$12*AA26+Distributievergoedingen!$R$12+Distributievergoedingen!$U$12+Distributievergoedingen!$X$12)/(MAX(36,12*C26))</f>
        <v>112.77777777777777</v>
      </c>
      <c r="BT26" s="150"/>
      <c r="BU26" s="150">
        <f t="shared" si="52"/>
        <v>215.55555555555554</v>
      </c>
      <c r="BW26" s="522">
        <f t="shared" si="53"/>
        <v>217.55555555555554</v>
      </c>
      <c r="BY26" s="527">
        <f t="shared" si="54"/>
        <v>810.22222222222229</v>
      </c>
      <c r="BZ26" s="181">
        <f t="shared" si="55"/>
        <v>0.78832432432432431</v>
      </c>
      <c r="CA26" s="520" t="b">
        <f t="shared" si="56"/>
        <v>0</v>
      </c>
    </row>
    <row r="27" spans="1:79" s="151" customFormat="1">
      <c r="A27" s="151" t="s">
        <v>194</v>
      </c>
      <c r="B27" s="520" t="str">
        <f t="shared" si="48"/>
        <v>3EoKPremium2e PVCRegionaal4</v>
      </c>
      <c r="C27" s="179">
        <v>3</v>
      </c>
      <c r="D27" s="179" t="s">
        <v>303</v>
      </c>
      <c r="E27" s="178" t="s">
        <v>267</v>
      </c>
      <c r="F27" s="178" t="s">
        <v>440</v>
      </c>
      <c r="G27" s="530" t="s">
        <v>265</v>
      </c>
      <c r="H27" s="531" t="s">
        <v>408</v>
      </c>
      <c r="J27" s="520" t="str">
        <f t="shared" si="35"/>
        <v>Premium2e PVCRegionaal4</v>
      </c>
      <c r="L27" s="204">
        <f>INDEX(Mapping!$H:$H,MATCH(C$3&amp;C27,Mapping!$B:$B,0))</f>
        <v>1</v>
      </c>
      <c r="M27" s="204" t="str">
        <f>INDEX(Mapping!$H:$H,MATCH(D$3&amp;D27,Mapping!$B:$B,0))</f>
        <v>EoK</v>
      </c>
      <c r="N27" s="204" t="str">
        <f>INDEX(Mapping!$H:$H,MATCH(E$3&amp;E27,Mapping!$B:$B,0))</f>
        <v>Premium</v>
      </c>
      <c r="O27" s="204" t="str">
        <f>INDEX(Mapping!$H:$H,MATCH(F$3&amp;F27,Mapping!$B:$B,0))</f>
        <v>multiple</v>
      </c>
      <c r="P27" s="204" t="str">
        <f>INDEX(Mapping!$H:$H,MATCH(G$3&amp;G27,Mapping!$B:$B,0))</f>
        <v>Metro</v>
      </c>
      <c r="Q27" s="204">
        <f>INDEX(Mapping!$H:$H,MATCH(H$3&amp;H27,Mapping!$B:$B,0))</f>
        <v>4</v>
      </c>
      <c r="R27" s="204" t="str">
        <f>INDEX(Mapping!$H:$H,MATCH(R$3&amp;$G27,Mapping!$B:$B,0))</f>
        <v>Metro - Nationaal</v>
      </c>
      <c r="S27" s="139"/>
      <c r="T27" s="139"/>
      <c r="U27" s="520" t="str">
        <f t="shared" si="49"/>
        <v>PremiummultipleMetro4</v>
      </c>
      <c r="W27" s="521">
        <f>MATCH($J27,'Tarieven ZM'!$B:$B,0)</f>
        <v>128</v>
      </c>
      <c r="X27" s="204">
        <f>INDEX('Tarieven ZM'!$H:$H,$W27)</f>
        <v>1000</v>
      </c>
      <c r="Y27" s="198">
        <f>-INDEX(Parameters!$B:$B,MATCH(Y$3&amp;$C27,Parameters!$A:$A,0))*$X27</f>
        <v>0</v>
      </c>
      <c r="Z27" s="198">
        <f>-INDEX(Parameters!$B:$B,MATCH(Z$3&amp;$C27,Parameters!$A:$A,0))*$X27</f>
        <v>0</v>
      </c>
      <c r="AA27" s="139">
        <f t="shared" si="36"/>
        <v>1000</v>
      </c>
      <c r="AB27" s="532">
        <f>AA27/INDEX(Parameters!$B:$B,MATCH("AfschrijftermijnVVE"&amp;12*$C27,Parameters!$A:$A,0))</f>
        <v>27.777777777777779</v>
      </c>
      <c r="AC27" s="204">
        <f>INDEX('Tarieven ZM'!$G:$G,$W27)</f>
        <v>1000</v>
      </c>
      <c r="AD27" s="198">
        <f>-INDEX(Parameters!$B:$B,MATCH(AD$3&amp;$C27,Parameters!$A:$A,0))*$AC27</f>
        <v>0</v>
      </c>
      <c r="AE27" s="198">
        <f>-INDEX(Parameters!$B:$B,MATCH(AE$3,Parameters!$A:$A,0))*$AC27</f>
        <v>0</v>
      </c>
      <c r="AF27" s="139">
        <f t="shared" si="37"/>
        <v>1000</v>
      </c>
      <c r="AG27" s="522">
        <f t="shared" si="38"/>
        <v>1027.7777777777778</v>
      </c>
      <c r="AH27" s="175"/>
      <c r="AI27" s="523">
        <f>MATCH($U27,'Tarieven W&amp;O'!$B:$B,0)</f>
        <v>101</v>
      </c>
      <c r="AJ27" s="204">
        <f>IF(AI27&lt;&gt;"nvt",INDEX('Tarieven W&amp;O'!$H:$H,$AI27),0)</f>
        <v>0</v>
      </c>
      <c r="AK27" s="204">
        <f>IF(AI27&lt;&gt;"nvt",INDEX('Tarieven W&amp;O'!$I:$I,$AI27),0)</f>
        <v>25</v>
      </c>
      <c r="AL27" s="524">
        <f>IF(AI27&lt;&gt;"nvt",-INDEX(Parameters!$B:$B,MATCH(AL$3,Parameters!$A:$A,0))*(AJ27+AK27),0)</f>
        <v>0</v>
      </c>
      <c r="AM27" s="525"/>
      <c r="AN27" s="139">
        <f t="shared" si="39"/>
        <v>25</v>
      </c>
      <c r="AO27" s="205">
        <f>AN27/INDEX(Parameters!$B:$B,MATCH("AfschrijftermijnVVE"&amp;12*$C27,Parameters!$A:$A,0))</f>
        <v>0.69444444444444442</v>
      </c>
      <c r="AP27" s="139">
        <f t="shared" si="40"/>
        <v>101</v>
      </c>
      <c r="AQ27" s="526">
        <f>IF(AP27&lt;&gt;"nvt",INDEX('Tarieven W&amp;O'!$G:$G,$AP27),0)</f>
        <v>45.98</v>
      </c>
      <c r="AR27" s="251">
        <f>-INDEX(Parameters!$B:$B,MATCH(AR$3,Parameters!$A:$A,0))*(AQ27)</f>
        <v>0</v>
      </c>
      <c r="AS27" s="205"/>
      <c r="AT27" s="205">
        <f>INDEX(hulpblad!$E:$E,MATCH(M27&amp;R27,hulpblad!$B:$B,0))</f>
        <v>2</v>
      </c>
      <c r="AU27" s="150">
        <f t="shared" si="41"/>
        <v>47.98</v>
      </c>
      <c r="AV27" s="150">
        <f t="shared" si="42"/>
        <v>48.67444444444444</v>
      </c>
      <c r="AX27" s="526">
        <f>Parameters!$B$6*AV27</f>
        <v>0.48674444444444442</v>
      </c>
      <c r="AY27" s="150">
        <v>0</v>
      </c>
      <c r="AZ27" s="150"/>
      <c r="BA27" s="150">
        <f t="shared" si="43"/>
        <v>0.48674444444444442</v>
      </c>
      <c r="BB27" s="150"/>
      <c r="BC27" s="522">
        <f t="shared" si="44"/>
        <v>49.161188888888887</v>
      </c>
      <c r="BD27" s="175"/>
      <c r="BE27" s="527">
        <f t="shared" si="45"/>
        <v>978.61658888888894</v>
      </c>
      <c r="BF27" s="181">
        <f t="shared" si="46"/>
        <v>0.95216749189189187</v>
      </c>
      <c r="BG27" s="520" t="b">
        <f t="shared" si="47"/>
        <v>0</v>
      </c>
      <c r="BI27" s="151" t="s">
        <v>2181</v>
      </c>
      <c r="BL27" s="151" t="str">
        <f t="shared" si="50"/>
        <v>EoKMetro - Nationaal</v>
      </c>
      <c r="BM27" s="529">
        <v>0</v>
      </c>
      <c r="BN27" s="180">
        <f>BM27/INDEX(Parameters!$B:$B,MATCH("AfschrijftermijnVVE"&amp;12*$C27,Parameters!$A:$A,0))</f>
        <v>0</v>
      </c>
      <c r="BO27" s="184">
        <f>INDEX('inkoop ULL tbv EVPN'!I:I,MATCH(BL27,'inkoop ULL tbv EVPN'!H:H,0))</f>
        <v>2</v>
      </c>
      <c r="BP27" s="184">
        <f t="shared" si="51"/>
        <v>2</v>
      </c>
      <c r="BR27" s="180">
        <f>Parameters!$B$12*AG27</f>
        <v>102.77777777777779</v>
      </c>
      <c r="BS27" s="180">
        <f>SUM(Distributievergoedingen!$F$12,Distributievergoedingen!$I$12,Distributievergoedingen!$L$12,Distributievergoedingen!$O$12)*AF27+SUM(Distributievergoedingen!$O$12*AA27+Distributievergoedingen!$R$12+Distributievergoedingen!$U$12+Distributievergoedingen!$X$12)/(MAX(36,12*C27))</f>
        <v>112.77777777777777</v>
      </c>
      <c r="BT27" s="150"/>
      <c r="BU27" s="150">
        <f t="shared" si="52"/>
        <v>215.55555555555554</v>
      </c>
      <c r="BW27" s="522">
        <f t="shared" si="53"/>
        <v>217.55555555555554</v>
      </c>
      <c r="BY27" s="527">
        <f t="shared" si="54"/>
        <v>810.22222222222229</v>
      </c>
      <c r="BZ27" s="181">
        <f t="shared" si="55"/>
        <v>0.78832432432432431</v>
      </c>
      <c r="CA27" s="520" t="b">
        <f t="shared" si="56"/>
        <v>0</v>
      </c>
    </row>
    <row r="28" spans="1:79" s="151" customFormat="1">
      <c r="A28" s="151" t="s">
        <v>194</v>
      </c>
      <c r="B28" s="520" t="str">
        <f t="shared" si="48"/>
        <v>3EoKPremium2e PVCNationaal1</v>
      </c>
      <c r="C28" s="179">
        <v>3</v>
      </c>
      <c r="D28" s="179" t="s">
        <v>303</v>
      </c>
      <c r="E28" s="178" t="s">
        <v>267</v>
      </c>
      <c r="F28" s="178" t="s">
        <v>440</v>
      </c>
      <c r="G28" s="530" t="s">
        <v>266</v>
      </c>
      <c r="H28" s="531" t="s">
        <v>362</v>
      </c>
      <c r="J28" s="520" t="str">
        <f t="shared" si="35"/>
        <v>Premium2e PVCNationaal1</v>
      </c>
      <c r="L28" s="204">
        <f>INDEX(Mapping!$H:$H,MATCH(C$3&amp;C28,Mapping!$B:$B,0))</f>
        <v>1</v>
      </c>
      <c r="M28" s="204" t="str">
        <f>INDEX(Mapping!$H:$H,MATCH(D$3&amp;D28,Mapping!$B:$B,0))</f>
        <v>EoK</v>
      </c>
      <c r="N28" s="204" t="str">
        <f>INDEX(Mapping!$H:$H,MATCH(E$3&amp;E28,Mapping!$B:$B,0))</f>
        <v>Premium</v>
      </c>
      <c r="O28" s="204" t="str">
        <f>INDEX(Mapping!$H:$H,MATCH(F$3&amp;F28,Mapping!$B:$B,0))</f>
        <v>multiple</v>
      </c>
      <c r="P28" s="204" t="str">
        <f>INDEX(Mapping!$H:$H,MATCH(G$3&amp;G28,Mapping!$B:$B,0))</f>
        <v>Metro</v>
      </c>
      <c r="Q28" s="204">
        <f>INDEX(Mapping!$H:$H,MATCH(H$3&amp;H28,Mapping!$B:$B,0))</f>
        <v>1</v>
      </c>
      <c r="R28" s="204" t="str">
        <f>INDEX(Mapping!$H:$H,MATCH(R$3&amp;$G28,Mapping!$B:$B,0))</f>
        <v>Metro - Nationaal</v>
      </c>
      <c r="S28" s="139"/>
      <c r="T28" s="139"/>
      <c r="U28" s="520" t="str">
        <f t="shared" si="49"/>
        <v>PremiummultipleMetro1</v>
      </c>
      <c r="W28" s="521">
        <f>MATCH($J28,'Tarieven ZM'!$B:$B,0)</f>
        <v>129</v>
      </c>
      <c r="X28" s="204">
        <f>INDEX('Tarieven ZM'!$H:$H,$W28)</f>
        <v>1000</v>
      </c>
      <c r="Y28" s="198">
        <f>-INDEX(Parameters!$B:$B,MATCH(Y$3&amp;$C28,Parameters!$A:$A,0))*$X28</f>
        <v>0</v>
      </c>
      <c r="Z28" s="198">
        <f>-INDEX(Parameters!$B:$B,MATCH(Z$3&amp;$C28,Parameters!$A:$A,0))*$X28</f>
        <v>0</v>
      </c>
      <c r="AA28" s="139">
        <f t="shared" si="36"/>
        <v>1000</v>
      </c>
      <c r="AB28" s="532">
        <f>AA28/INDEX(Parameters!$B:$B,MATCH("AfschrijftermijnVVE"&amp;12*$C28,Parameters!$A:$A,0))</f>
        <v>27.777777777777779</v>
      </c>
      <c r="AC28" s="204">
        <f>INDEX('Tarieven ZM'!$G:$G,$W28)</f>
        <v>1000</v>
      </c>
      <c r="AD28" s="198">
        <f>-INDEX(Parameters!$B:$B,MATCH(AD$3&amp;$C28,Parameters!$A:$A,0))*$AC28</f>
        <v>0</v>
      </c>
      <c r="AE28" s="198">
        <f>-INDEX(Parameters!$B:$B,MATCH(AE$3,Parameters!$A:$A,0))*$AC28</f>
        <v>0</v>
      </c>
      <c r="AF28" s="139">
        <f t="shared" si="37"/>
        <v>1000</v>
      </c>
      <c r="AG28" s="522">
        <f t="shared" si="38"/>
        <v>1027.7777777777778</v>
      </c>
      <c r="AH28" s="175"/>
      <c r="AI28" s="523">
        <f>MATCH($U28,'Tarieven W&amp;O'!$B:$B,0)</f>
        <v>99</v>
      </c>
      <c r="AJ28" s="204">
        <f>IF(AI28&lt;&gt;"nvt",INDEX('Tarieven W&amp;O'!$H:$H,$AI28),0)</f>
        <v>0</v>
      </c>
      <c r="AK28" s="204">
        <f>IF(AI28&lt;&gt;"nvt",INDEX('Tarieven W&amp;O'!$I:$I,$AI28),0)</f>
        <v>25</v>
      </c>
      <c r="AL28" s="524">
        <f>IF(AI28&lt;&gt;"nvt",-INDEX(Parameters!$B:$B,MATCH(AL$3,Parameters!$A:$A,0))*(AJ28+AK28),0)</f>
        <v>0</v>
      </c>
      <c r="AM28" s="525"/>
      <c r="AN28" s="139">
        <f t="shared" si="39"/>
        <v>25</v>
      </c>
      <c r="AO28" s="205">
        <f>AN28/INDEX(Parameters!$B:$B,MATCH("AfschrijftermijnVVE"&amp;12*$C28,Parameters!$A:$A,0))</f>
        <v>0.69444444444444442</v>
      </c>
      <c r="AP28" s="139">
        <f t="shared" si="40"/>
        <v>99</v>
      </c>
      <c r="AQ28" s="526">
        <f>IF(AP28&lt;&gt;"nvt",INDEX('Tarieven W&amp;O'!$G:$G,$AP28),0)</f>
        <v>11.31</v>
      </c>
      <c r="AR28" s="251">
        <f>-INDEX(Parameters!$B:$B,MATCH(AR$3,Parameters!$A:$A,0))*(AQ28)</f>
        <v>0</v>
      </c>
      <c r="AS28" s="205"/>
      <c r="AT28" s="205">
        <f>INDEX(hulpblad!$E:$E,MATCH(M28&amp;R28,hulpblad!$B:$B,0))</f>
        <v>2</v>
      </c>
      <c r="AU28" s="150">
        <f t="shared" si="41"/>
        <v>13.31</v>
      </c>
      <c r="AV28" s="150">
        <f t="shared" si="42"/>
        <v>14.004444444444445</v>
      </c>
      <c r="AX28" s="526">
        <f>Parameters!$B$6*AV28</f>
        <v>0.14004444444444444</v>
      </c>
      <c r="AY28" s="150">
        <v>0</v>
      </c>
      <c r="AZ28" s="150"/>
      <c r="BA28" s="150">
        <f t="shared" si="43"/>
        <v>0.14004444444444444</v>
      </c>
      <c r="BB28" s="150"/>
      <c r="BC28" s="522">
        <f t="shared" si="44"/>
        <v>14.14448888888889</v>
      </c>
      <c r="BD28" s="175"/>
      <c r="BE28" s="527">
        <f t="shared" si="45"/>
        <v>1013.633288888889</v>
      </c>
      <c r="BF28" s="181">
        <f t="shared" si="46"/>
        <v>0.9862377945945946</v>
      </c>
      <c r="BG28" s="520" t="b">
        <f t="shared" si="47"/>
        <v>0</v>
      </c>
      <c r="BI28" s="151" t="s">
        <v>2181</v>
      </c>
      <c r="BL28" s="151" t="str">
        <f t="shared" si="50"/>
        <v>EoKMetro - Nationaal</v>
      </c>
      <c r="BM28" s="529">
        <v>0</v>
      </c>
      <c r="BN28" s="180">
        <f>BM28/INDEX(Parameters!$B:$B,MATCH("AfschrijftermijnVVE"&amp;12*$C28,Parameters!$A:$A,0))</f>
        <v>0</v>
      </c>
      <c r="BO28" s="184">
        <f>INDEX('inkoop ULL tbv EVPN'!I:I,MATCH(BL28,'inkoop ULL tbv EVPN'!H:H,0))</f>
        <v>2</v>
      </c>
      <c r="BP28" s="184">
        <f t="shared" si="51"/>
        <v>2</v>
      </c>
      <c r="BR28" s="180">
        <f>Parameters!$B$12*AG28</f>
        <v>102.77777777777779</v>
      </c>
      <c r="BS28" s="180">
        <f>SUM(Distributievergoedingen!$F$12,Distributievergoedingen!$I$12,Distributievergoedingen!$L$12,Distributievergoedingen!$O$12)*AF28+SUM(Distributievergoedingen!$O$12*AA28+Distributievergoedingen!$R$12+Distributievergoedingen!$U$12+Distributievergoedingen!$X$12)/(MAX(36,12*C28))</f>
        <v>112.77777777777777</v>
      </c>
      <c r="BT28" s="150"/>
      <c r="BU28" s="150">
        <f t="shared" si="52"/>
        <v>215.55555555555554</v>
      </c>
      <c r="BW28" s="522">
        <f t="shared" si="53"/>
        <v>217.55555555555554</v>
      </c>
      <c r="BY28" s="527">
        <f t="shared" si="54"/>
        <v>810.22222222222229</v>
      </c>
      <c r="BZ28" s="181">
        <f t="shared" si="55"/>
        <v>0.78832432432432431</v>
      </c>
      <c r="CA28" s="520" t="b">
        <f t="shared" si="56"/>
        <v>0</v>
      </c>
    </row>
    <row r="29" spans="1:79" s="151" customFormat="1">
      <c r="A29" s="151" t="s">
        <v>194</v>
      </c>
      <c r="B29" s="520" t="str">
        <f t="shared" si="48"/>
        <v>3EoKPremium2e PVCNationaal2</v>
      </c>
      <c r="C29" s="179">
        <v>3</v>
      </c>
      <c r="D29" s="179" t="s">
        <v>303</v>
      </c>
      <c r="E29" s="178" t="s">
        <v>267</v>
      </c>
      <c r="F29" s="178" t="s">
        <v>440</v>
      </c>
      <c r="G29" s="530" t="s">
        <v>266</v>
      </c>
      <c r="H29" s="531" t="s">
        <v>363</v>
      </c>
      <c r="J29" s="520" t="str">
        <f t="shared" si="35"/>
        <v>Premium2e PVCNationaal2</v>
      </c>
      <c r="L29" s="204">
        <f>INDEX(Mapping!$H:$H,MATCH(C$3&amp;C29,Mapping!$B:$B,0))</f>
        <v>1</v>
      </c>
      <c r="M29" s="204" t="str">
        <f>INDEX(Mapping!$H:$H,MATCH(D$3&amp;D29,Mapping!$B:$B,0))</f>
        <v>EoK</v>
      </c>
      <c r="N29" s="204" t="str">
        <f>INDEX(Mapping!$H:$H,MATCH(E$3&amp;E29,Mapping!$B:$B,0))</f>
        <v>Premium</v>
      </c>
      <c r="O29" s="204" t="str">
        <f>INDEX(Mapping!$H:$H,MATCH(F$3&amp;F29,Mapping!$B:$B,0))</f>
        <v>multiple</v>
      </c>
      <c r="P29" s="204" t="str">
        <f>INDEX(Mapping!$H:$H,MATCH(G$3&amp;G29,Mapping!$B:$B,0))</f>
        <v>Metro</v>
      </c>
      <c r="Q29" s="204">
        <f>INDEX(Mapping!$H:$H,MATCH(H$3&amp;H29,Mapping!$B:$B,0))</f>
        <v>2</v>
      </c>
      <c r="R29" s="204" t="str">
        <f>INDEX(Mapping!$H:$H,MATCH(R$3&amp;$G29,Mapping!$B:$B,0))</f>
        <v>Metro - Nationaal</v>
      </c>
      <c r="S29" s="139"/>
      <c r="T29" s="139"/>
      <c r="U29" s="520" t="str">
        <f t="shared" si="49"/>
        <v>PremiummultipleMetro2</v>
      </c>
      <c r="W29" s="521">
        <f>MATCH($J29,'Tarieven ZM'!$B:$B,0)</f>
        <v>130</v>
      </c>
      <c r="X29" s="204">
        <f>INDEX('Tarieven ZM'!$H:$H,$W29)</f>
        <v>1000</v>
      </c>
      <c r="Y29" s="198">
        <f>-INDEX(Parameters!$B:$B,MATCH(Y$3&amp;$C29,Parameters!$A:$A,0))*$X29</f>
        <v>0</v>
      </c>
      <c r="Z29" s="198">
        <f>-INDEX(Parameters!$B:$B,MATCH(Z$3&amp;$C29,Parameters!$A:$A,0))*$X29</f>
        <v>0</v>
      </c>
      <c r="AA29" s="139">
        <f t="shared" si="36"/>
        <v>1000</v>
      </c>
      <c r="AB29" s="532">
        <f>AA29/INDEX(Parameters!$B:$B,MATCH("AfschrijftermijnVVE"&amp;12*$C29,Parameters!$A:$A,0))</f>
        <v>27.777777777777779</v>
      </c>
      <c r="AC29" s="204">
        <f>INDEX('Tarieven ZM'!$G:$G,$W29)</f>
        <v>1000</v>
      </c>
      <c r="AD29" s="198">
        <f>-INDEX(Parameters!$B:$B,MATCH(AD$3&amp;$C29,Parameters!$A:$A,0))*$AC29</f>
        <v>0</v>
      </c>
      <c r="AE29" s="198">
        <f>-INDEX(Parameters!$B:$B,MATCH(AE$3,Parameters!$A:$A,0))*$AC29</f>
        <v>0</v>
      </c>
      <c r="AF29" s="139">
        <f t="shared" si="37"/>
        <v>1000</v>
      </c>
      <c r="AG29" s="522">
        <f t="shared" si="38"/>
        <v>1027.7777777777778</v>
      </c>
      <c r="AH29" s="175"/>
      <c r="AI29" s="523">
        <f>MATCH($U29,'Tarieven W&amp;O'!$B:$B,0)</f>
        <v>100</v>
      </c>
      <c r="AJ29" s="204">
        <f>IF(AI29&lt;&gt;"nvt",INDEX('Tarieven W&amp;O'!$H:$H,$AI29),0)</f>
        <v>0</v>
      </c>
      <c r="AK29" s="204">
        <f>IF(AI29&lt;&gt;"nvt",INDEX('Tarieven W&amp;O'!$I:$I,$AI29),0)</f>
        <v>25</v>
      </c>
      <c r="AL29" s="524">
        <f>IF(AI29&lt;&gt;"nvt",-INDEX(Parameters!$B:$B,MATCH(AL$3,Parameters!$A:$A,0))*(AJ29+AK29),0)</f>
        <v>0</v>
      </c>
      <c r="AM29" s="525"/>
      <c r="AN29" s="139">
        <f t="shared" si="39"/>
        <v>25</v>
      </c>
      <c r="AO29" s="205">
        <f>AN29/INDEX(Parameters!$B:$B,MATCH("AfschrijftermijnVVE"&amp;12*$C29,Parameters!$A:$A,0))</f>
        <v>0.69444444444444442</v>
      </c>
      <c r="AP29" s="139">
        <f t="shared" si="40"/>
        <v>100</v>
      </c>
      <c r="AQ29" s="526">
        <f>IF(AP29&lt;&gt;"nvt",INDEX('Tarieven W&amp;O'!$G:$G,$AP29),0)</f>
        <v>23.37</v>
      </c>
      <c r="AR29" s="251">
        <f>-INDEX(Parameters!$B:$B,MATCH(AR$3,Parameters!$A:$A,0))*(AQ29)</f>
        <v>0</v>
      </c>
      <c r="AS29" s="205"/>
      <c r="AT29" s="205">
        <f>INDEX(hulpblad!$E:$E,MATCH(M29&amp;R29,hulpblad!$B:$B,0))</f>
        <v>2</v>
      </c>
      <c r="AU29" s="150">
        <f t="shared" si="41"/>
        <v>25.37</v>
      </c>
      <c r="AV29" s="150">
        <f t="shared" si="42"/>
        <v>26.064444444444444</v>
      </c>
      <c r="AX29" s="526">
        <f>Parameters!$B$6*AV29</f>
        <v>0.26064444444444446</v>
      </c>
      <c r="AY29" s="150">
        <v>0</v>
      </c>
      <c r="AZ29" s="150"/>
      <c r="BA29" s="150">
        <f t="shared" si="43"/>
        <v>0.26064444444444446</v>
      </c>
      <c r="BB29" s="150"/>
      <c r="BC29" s="522">
        <f t="shared" si="44"/>
        <v>26.325088888888889</v>
      </c>
      <c r="BD29" s="175"/>
      <c r="BE29" s="527">
        <f t="shared" si="45"/>
        <v>1001.4526888888889</v>
      </c>
      <c r="BF29" s="181">
        <f t="shared" si="46"/>
        <v>0.97438639999999999</v>
      </c>
      <c r="BG29" s="520" t="b">
        <f t="shared" si="47"/>
        <v>0</v>
      </c>
      <c r="BI29" s="151" t="s">
        <v>2181</v>
      </c>
      <c r="BL29" s="151" t="str">
        <f t="shared" si="50"/>
        <v>EoKMetro - Nationaal</v>
      </c>
      <c r="BM29" s="529">
        <v>0</v>
      </c>
      <c r="BN29" s="180">
        <f>BM29/INDEX(Parameters!$B:$B,MATCH("AfschrijftermijnVVE"&amp;12*$C29,Parameters!$A:$A,0))</f>
        <v>0</v>
      </c>
      <c r="BO29" s="184">
        <f>INDEX('inkoop ULL tbv EVPN'!I:I,MATCH(BL29,'inkoop ULL tbv EVPN'!H:H,0))</f>
        <v>2</v>
      </c>
      <c r="BP29" s="184">
        <f t="shared" si="51"/>
        <v>2</v>
      </c>
      <c r="BR29" s="180">
        <f>Parameters!$B$12*AG29</f>
        <v>102.77777777777779</v>
      </c>
      <c r="BS29" s="180">
        <f>SUM(Distributievergoedingen!$F$12,Distributievergoedingen!$I$12,Distributievergoedingen!$L$12,Distributievergoedingen!$O$12)*AF29+SUM(Distributievergoedingen!$O$12*AA29+Distributievergoedingen!$R$12+Distributievergoedingen!$U$12+Distributievergoedingen!$X$12)/(MAX(36,12*C29))</f>
        <v>112.77777777777777</v>
      </c>
      <c r="BT29" s="150"/>
      <c r="BU29" s="150">
        <f t="shared" si="52"/>
        <v>215.55555555555554</v>
      </c>
      <c r="BW29" s="522">
        <f t="shared" si="53"/>
        <v>217.55555555555554</v>
      </c>
      <c r="BY29" s="527">
        <f t="shared" si="54"/>
        <v>810.22222222222229</v>
      </c>
      <c r="BZ29" s="181">
        <f t="shared" si="55"/>
        <v>0.78832432432432431</v>
      </c>
      <c r="CA29" s="520" t="b">
        <f t="shared" si="56"/>
        <v>0</v>
      </c>
    </row>
    <row r="30" spans="1:79" s="151" customFormat="1">
      <c r="A30" s="151" t="s">
        <v>194</v>
      </c>
      <c r="B30" s="520" t="str">
        <f t="shared" si="48"/>
        <v>3EoKPremium2e PVCNationaal4</v>
      </c>
      <c r="C30" s="179">
        <v>3</v>
      </c>
      <c r="D30" s="179" t="s">
        <v>303</v>
      </c>
      <c r="E30" s="178" t="s">
        <v>267</v>
      </c>
      <c r="F30" s="178" t="s">
        <v>440</v>
      </c>
      <c r="G30" s="530" t="s">
        <v>266</v>
      </c>
      <c r="H30" s="531" t="s">
        <v>408</v>
      </c>
      <c r="J30" s="520" t="str">
        <f t="shared" si="35"/>
        <v>Premium2e PVCNationaal4</v>
      </c>
      <c r="L30" s="204">
        <f>INDEX(Mapping!$H:$H,MATCH(C$3&amp;C30,Mapping!$B:$B,0))</f>
        <v>1</v>
      </c>
      <c r="M30" s="204" t="str">
        <f>INDEX(Mapping!$H:$H,MATCH(D$3&amp;D30,Mapping!$B:$B,0))</f>
        <v>EoK</v>
      </c>
      <c r="N30" s="204" t="str">
        <f>INDEX(Mapping!$H:$H,MATCH(E$3&amp;E30,Mapping!$B:$B,0))</f>
        <v>Premium</v>
      </c>
      <c r="O30" s="204" t="str">
        <f>INDEX(Mapping!$H:$H,MATCH(F$3&amp;F30,Mapping!$B:$B,0))</f>
        <v>multiple</v>
      </c>
      <c r="P30" s="204" t="str">
        <f>INDEX(Mapping!$H:$H,MATCH(G$3&amp;G30,Mapping!$B:$B,0))</f>
        <v>Metro</v>
      </c>
      <c r="Q30" s="204">
        <f>INDEX(Mapping!$H:$H,MATCH(H$3&amp;H30,Mapping!$B:$B,0))</f>
        <v>4</v>
      </c>
      <c r="R30" s="204" t="str">
        <f>INDEX(Mapping!$H:$H,MATCH(R$3&amp;$G30,Mapping!$B:$B,0))</f>
        <v>Metro - Nationaal</v>
      </c>
      <c r="S30" s="139"/>
      <c r="T30" s="139"/>
      <c r="U30" s="520" t="str">
        <f t="shared" si="49"/>
        <v>PremiummultipleMetro4</v>
      </c>
      <c r="W30" s="521">
        <f>MATCH($J30,'Tarieven ZM'!$B:$B,0)</f>
        <v>131</v>
      </c>
      <c r="X30" s="204">
        <f>INDEX('Tarieven ZM'!$H:$H,$W30)</f>
        <v>1000</v>
      </c>
      <c r="Y30" s="198">
        <f>-INDEX(Parameters!$B:$B,MATCH(Y$3&amp;$C30,Parameters!$A:$A,0))*$X30</f>
        <v>0</v>
      </c>
      <c r="Z30" s="198">
        <f>-INDEX(Parameters!$B:$B,MATCH(Z$3&amp;$C30,Parameters!$A:$A,0))*$X30</f>
        <v>0</v>
      </c>
      <c r="AA30" s="139">
        <f t="shared" si="36"/>
        <v>1000</v>
      </c>
      <c r="AB30" s="532">
        <f>AA30/INDEX(Parameters!$B:$B,MATCH("AfschrijftermijnVVE"&amp;12*$C30,Parameters!$A:$A,0))</f>
        <v>27.777777777777779</v>
      </c>
      <c r="AC30" s="204">
        <f>INDEX('Tarieven ZM'!$G:$G,$W30)</f>
        <v>1000</v>
      </c>
      <c r="AD30" s="198">
        <f>-INDEX(Parameters!$B:$B,MATCH(AD$3&amp;$C30,Parameters!$A:$A,0))*$AC30</f>
        <v>0</v>
      </c>
      <c r="AE30" s="198">
        <f>-INDEX(Parameters!$B:$B,MATCH(AE$3,Parameters!$A:$A,0))*$AC30</f>
        <v>0</v>
      </c>
      <c r="AF30" s="139">
        <f t="shared" si="37"/>
        <v>1000</v>
      </c>
      <c r="AG30" s="522">
        <f t="shared" si="38"/>
        <v>1027.7777777777778</v>
      </c>
      <c r="AH30" s="175"/>
      <c r="AI30" s="523">
        <f>MATCH($U30,'Tarieven W&amp;O'!$B:$B,0)</f>
        <v>101</v>
      </c>
      <c r="AJ30" s="204">
        <f>IF(AI30&lt;&gt;"nvt",INDEX('Tarieven W&amp;O'!$H:$H,$AI30),0)</f>
        <v>0</v>
      </c>
      <c r="AK30" s="204">
        <f>IF(AI30&lt;&gt;"nvt",INDEX('Tarieven W&amp;O'!$I:$I,$AI30),0)</f>
        <v>25</v>
      </c>
      <c r="AL30" s="524">
        <f>IF(AI30&lt;&gt;"nvt",-INDEX(Parameters!$B:$B,MATCH(AL$3,Parameters!$A:$A,0))*(AJ30+AK30),0)</f>
        <v>0</v>
      </c>
      <c r="AM30" s="525"/>
      <c r="AN30" s="139">
        <f t="shared" si="39"/>
        <v>25</v>
      </c>
      <c r="AO30" s="205">
        <f>AN30/INDEX(Parameters!$B:$B,MATCH("AfschrijftermijnVVE"&amp;12*$C30,Parameters!$A:$A,0))</f>
        <v>0.69444444444444442</v>
      </c>
      <c r="AP30" s="139">
        <f t="shared" si="40"/>
        <v>101</v>
      </c>
      <c r="AQ30" s="526">
        <f>IF(AP30&lt;&gt;"nvt",INDEX('Tarieven W&amp;O'!$G:$G,$AP30),0)</f>
        <v>45.98</v>
      </c>
      <c r="AR30" s="251">
        <f>-INDEX(Parameters!$B:$B,MATCH(AR$3,Parameters!$A:$A,0))*(AQ30)</f>
        <v>0</v>
      </c>
      <c r="AS30" s="205"/>
      <c r="AT30" s="205">
        <f>INDEX(hulpblad!$E:$E,MATCH(M30&amp;R30,hulpblad!$B:$B,0))</f>
        <v>2</v>
      </c>
      <c r="AU30" s="150">
        <f t="shared" si="41"/>
        <v>47.98</v>
      </c>
      <c r="AV30" s="150">
        <f t="shared" si="42"/>
        <v>48.67444444444444</v>
      </c>
      <c r="AX30" s="526">
        <f>Parameters!$B$6*AV30</f>
        <v>0.48674444444444442</v>
      </c>
      <c r="AY30" s="150">
        <v>0</v>
      </c>
      <c r="AZ30" s="150"/>
      <c r="BA30" s="150">
        <f t="shared" si="43"/>
        <v>0.48674444444444442</v>
      </c>
      <c r="BB30" s="150"/>
      <c r="BC30" s="522">
        <f t="shared" si="44"/>
        <v>49.161188888888887</v>
      </c>
      <c r="BD30" s="175"/>
      <c r="BE30" s="527">
        <f t="shared" si="45"/>
        <v>978.61658888888894</v>
      </c>
      <c r="BF30" s="181">
        <f t="shared" si="46"/>
        <v>0.95216749189189187</v>
      </c>
      <c r="BG30" s="520" t="b">
        <f t="shared" si="47"/>
        <v>0</v>
      </c>
      <c r="BI30" s="151" t="s">
        <v>2181</v>
      </c>
      <c r="BL30" s="151" t="str">
        <f t="shared" si="50"/>
        <v>EoKMetro - Nationaal</v>
      </c>
      <c r="BM30" s="529">
        <v>0</v>
      </c>
      <c r="BN30" s="180">
        <f>BM30/INDEX(Parameters!$B:$B,MATCH("AfschrijftermijnVVE"&amp;12*$C30,Parameters!$A:$A,0))</f>
        <v>0</v>
      </c>
      <c r="BO30" s="184">
        <f>INDEX('inkoop ULL tbv EVPN'!I:I,MATCH(BL30,'inkoop ULL tbv EVPN'!H:H,0))</f>
        <v>2</v>
      </c>
      <c r="BP30" s="184">
        <f t="shared" si="51"/>
        <v>2</v>
      </c>
      <c r="BR30" s="180">
        <f>Parameters!$B$12*AG30</f>
        <v>102.77777777777779</v>
      </c>
      <c r="BS30" s="180">
        <f>SUM(Distributievergoedingen!$F$12,Distributievergoedingen!$I$12,Distributievergoedingen!$L$12,Distributievergoedingen!$O$12)*AF30+SUM(Distributievergoedingen!$O$12*AA30+Distributievergoedingen!$R$12+Distributievergoedingen!$U$12+Distributievergoedingen!$X$12)/(MAX(36,12*C30))</f>
        <v>112.77777777777777</v>
      </c>
      <c r="BT30" s="150"/>
      <c r="BU30" s="150">
        <f t="shared" si="52"/>
        <v>215.55555555555554</v>
      </c>
      <c r="BW30" s="522">
        <f t="shared" si="53"/>
        <v>217.55555555555554</v>
      </c>
      <c r="BY30" s="527">
        <f t="shared" si="54"/>
        <v>810.22222222222229</v>
      </c>
      <c r="BZ30" s="181">
        <f t="shared" si="55"/>
        <v>0.78832432432432431</v>
      </c>
      <c r="CA30" s="520" t="b">
        <f t="shared" si="56"/>
        <v>0</v>
      </c>
    </row>
    <row r="31" spans="1:79" s="151" customFormat="1">
      <c r="A31" s="151" t="s">
        <v>194</v>
      </c>
      <c r="B31" s="520" t="str">
        <f t="shared" si="48"/>
        <v>4EoKPremium2e PVCCity1</v>
      </c>
      <c r="C31" s="179">
        <v>4</v>
      </c>
      <c r="D31" s="179" t="s">
        <v>303</v>
      </c>
      <c r="E31" s="178" t="s">
        <v>267</v>
      </c>
      <c r="F31" s="178" t="s">
        <v>440</v>
      </c>
      <c r="G31" s="530" t="s">
        <v>262</v>
      </c>
      <c r="H31" s="531" t="s">
        <v>362</v>
      </c>
      <c r="J31" s="520" t="str">
        <f t="shared" ref="J31" si="57">E31&amp;F31&amp;G31&amp;H31</f>
        <v>Premium2e PVCCity1</v>
      </c>
      <c r="L31" s="204">
        <f>INDEX(Mapping!$H:$H,MATCH(C$3&amp;C31,Mapping!$B:$B,0))</f>
        <v>1</v>
      </c>
      <c r="M31" s="204" t="str">
        <f>INDEX(Mapping!$H:$H,MATCH(D$3&amp;D31,Mapping!$B:$B,0))</f>
        <v>EoK</v>
      </c>
      <c r="N31" s="204" t="str">
        <f>INDEX(Mapping!$H:$H,MATCH(E$3&amp;E31,Mapping!$B:$B,0))</f>
        <v>Premium</v>
      </c>
      <c r="O31" s="204" t="str">
        <f>INDEX(Mapping!$H:$H,MATCH(F$3&amp;F31,Mapping!$B:$B,0))</f>
        <v>multiple</v>
      </c>
      <c r="P31" s="204" t="str">
        <f>INDEX(Mapping!$H:$H,MATCH(G$3&amp;G31,Mapping!$B:$B,0))</f>
        <v>Metro</v>
      </c>
      <c r="Q31" s="204">
        <f>INDEX(Mapping!$H:$H,MATCH(H$3&amp;H31,Mapping!$B:$B,0))</f>
        <v>1</v>
      </c>
      <c r="R31" s="204" t="str">
        <f>INDEX(Mapping!$H:$H,MATCH(R$3&amp;$G31,Mapping!$B:$B,0))</f>
        <v>Metro - Regionaal</v>
      </c>
      <c r="S31" s="139"/>
      <c r="T31" s="139"/>
      <c r="U31" s="520" t="str">
        <f t="shared" si="49"/>
        <v>PremiummultipleMetro1</v>
      </c>
      <c r="W31" s="521">
        <f>MATCH($J31,'Tarieven ZM'!$B:$B,0)</f>
        <v>123</v>
      </c>
      <c r="X31" s="204">
        <f>INDEX('Tarieven ZM'!$H:$H,$W31)</f>
        <v>1000</v>
      </c>
      <c r="Y31" s="198">
        <f>-INDEX(Parameters!$B:$B,MATCH(Y$3&amp;$C31,Parameters!$A:$A,0))*$X31</f>
        <v>0</v>
      </c>
      <c r="Z31" s="198">
        <f>-INDEX(Parameters!$B:$B,MATCH(Z$3&amp;$C31,Parameters!$A:$A,0))*$X31</f>
        <v>0</v>
      </c>
      <c r="AA31" s="139">
        <f t="shared" ref="AA31" si="58">SUM(X31:Z31)</f>
        <v>1000</v>
      </c>
      <c r="AB31" s="532">
        <f>AA31/INDEX(Parameters!$B:$B,MATCH("AfschrijftermijnVVE"&amp;12*$C31,Parameters!$A:$A,0))</f>
        <v>20.833333333333332</v>
      </c>
      <c r="AC31" s="204">
        <f>INDEX('Tarieven ZM'!$G:$G,$W31)</f>
        <v>1000</v>
      </c>
      <c r="AD31" s="198">
        <f>-INDEX(Parameters!$B:$B,MATCH(AD$3&amp;$C31,Parameters!$A:$A,0))*$AC31</f>
        <v>0</v>
      </c>
      <c r="AE31" s="198">
        <f>-INDEX(Parameters!$B:$B,MATCH(AE$3,Parameters!$A:$A,0))*$AC31</f>
        <v>0</v>
      </c>
      <c r="AF31" s="139">
        <f t="shared" ref="AF31" si="59">SUM(AC31:AE31)</f>
        <v>1000</v>
      </c>
      <c r="AG31" s="522">
        <f t="shared" ref="AG31" si="60">SUM(AB31,AF31)</f>
        <v>1020.8333333333334</v>
      </c>
      <c r="AH31" s="175"/>
      <c r="AI31" s="523">
        <f>MATCH($U31,'Tarieven W&amp;O'!$B:$B,0)</f>
        <v>99</v>
      </c>
      <c r="AJ31" s="204">
        <f>IF(AI31&lt;&gt;"nvt",INDEX('Tarieven W&amp;O'!$H:$H,$AI31),0)</f>
        <v>0</v>
      </c>
      <c r="AK31" s="204">
        <f>IF(AI31&lt;&gt;"nvt",INDEX('Tarieven W&amp;O'!$I:$I,$AI31),0)</f>
        <v>25</v>
      </c>
      <c r="AL31" s="524">
        <f>IF(AI31&lt;&gt;"nvt",-INDEX(Parameters!$B:$B,MATCH(AL$3,Parameters!$A:$A,0))*(AJ31+AK31),0)</f>
        <v>0</v>
      </c>
      <c r="AM31" s="525"/>
      <c r="AN31" s="139">
        <f t="shared" ref="AN31" si="61">SUM(AJ31:AM31)</f>
        <v>25</v>
      </c>
      <c r="AO31" s="205">
        <f>AN31/INDEX(Parameters!$B:$B,MATCH("AfschrijftermijnVVE"&amp;12*$C31,Parameters!$A:$A,0))</f>
        <v>0.52083333333333337</v>
      </c>
      <c r="AP31" s="139">
        <f t="shared" ref="AP31" si="62">AI31</f>
        <v>99</v>
      </c>
      <c r="AQ31" s="526">
        <f>IF(AP31&lt;&gt;"nvt",INDEX('Tarieven W&amp;O'!$G:$G,$AP31),0)</f>
        <v>11.31</v>
      </c>
      <c r="AR31" s="251">
        <f>-INDEX(Parameters!$B:$B,MATCH(AR$3,Parameters!$A:$A,0))*(AQ31)</f>
        <v>0</v>
      </c>
      <c r="AS31" s="205"/>
      <c r="AT31" s="205">
        <f>INDEX(hulpblad!$E:$E,MATCH(M31&amp;R31,hulpblad!$B:$B,0))</f>
        <v>1</v>
      </c>
      <c r="AU31" s="150">
        <f t="shared" ref="AU31" si="63">SUM(AQ31:AT31)</f>
        <v>12.31</v>
      </c>
      <c r="AV31" s="150">
        <f t="shared" ref="AV31" si="64">SUM(AO31,AU31)</f>
        <v>12.830833333333334</v>
      </c>
      <c r="AX31" s="526">
        <f>Parameters!$B$6*AV31</f>
        <v>0.12830833333333336</v>
      </c>
      <c r="AY31" s="150">
        <v>0</v>
      </c>
      <c r="AZ31" s="150"/>
      <c r="BA31" s="150">
        <f t="shared" ref="BA31" si="65">SUM(AX31:AZ31)</f>
        <v>0.12830833333333336</v>
      </c>
      <c r="BB31" s="150"/>
      <c r="BC31" s="522">
        <f t="shared" ref="BC31" si="66">SUM(AV31,BA31)</f>
        <v>12.959141666666667</v>
      </c>
      <c r="BD31" s="175"/>
      <c r="BE31" s="527">
        <f t="shared" ref="BE31:BE39" si="67">AG31-BC31</f>
        <v>1007.8741916666667</v>
      </c>
      <c r="BF31" s="181">
        <f t="shared" ref="BF31:BF39" si="68">IF(AG31=0,-999%,BE31/AG31)</f>
        <v>0.9873053306122449</v>
      </c>
      <c r="BG31" s="520" t="b">
        <f t="shared" ref="BG31" si="69">BF31&lt;0</f>
        <v>0</v>
      </c>
      <c r="BI31" s="151" t="s">
        <v>2181</v>
      </c>
      <c r="BL31" s="151" t="str">
        <f t="shared" si="50"/>
        <v>EoKMetro - Regionaal</v>
      </c>
      <c r="BM31" s="529">
        <v>0</v>
      </c>
      <c r="BN31" s="180">
        <f>BM31/INDEX(Parameters!$B:$B,MATCH("AfschrijftermijnVVE"&amp;12*$C31,Parameters!$A:$A,0))</f>
        <v>0</v>
      </c>
      <c r="BO31" s="184">
        <f>INDEX('inkoop ULL tbv EVPN'!I:I,MATCH(BL31,'inkoop ULL tbv EVPN'!H:H,0))</f>
        <v>2</v>
      </c>
      <c r="BP31" s="184">
        <f t="shared" si="51"/>
        <v>2</v>
      </c>
      <c r="BR31" s="180">
        <f>Parameters!$B$12*AG31</f>
        <v>102.08333333333334</v>
      </c>
      <c r="BS31" s="180">
        <f>SUM(Distributievergoedingen!$F$12,Distributievergoedingen!$I$12,Distributievergoedingen!$L$12,Distributievergoedingen!$O$12)*AF31+SUM(Distributievergoedingen!$O$12*AA31+Distributievergoedingen!$R$12+Distributievergoedingen!$U$12+Distributievergoedingen!$X$12)/(MAX(36,12*C31))</f>
        <v>112.08333333333333</v>
      </c>
      <c r="BT31" s="150"/>
      <c r="BU31" s="150">
        <f t="shared" si="52"/>
        <v>214.16666666666669</v>
      </c>
      <c r="BW31" s="522">
        <f t="shared" si="53"/>
        <v>216.16666666666669</v>
      </c>
      <c r="BY31" s="527">
        <f t="shared" si="54"/>
        <v>804.66666666666674</v>
      </c>
      <c r="BZ31" s="181">
        <f t="shared" si="55"/>
        <v>0.78824489795918373</v>
      </c>
      <c r="CA31" s="520" t="b">
        <f t="shared" si="56"/>
        <v>0</v>
      </c>
    </row>
    <row r="32" spans="1:79" s="151" customFormat="1">
      <c r="A32" s="151" t="s">
        <v>194</v>
      </c>
      <c r="B32" s="520" t="str">
        <f t="shared" si="48"/>
        <v>4EoKPremium2e PVCCity2</v>
      </c>
      <c r="C32" s="179">
        <v>4</v>
      </c>
      <c r="D32" s="179" t="s">
        <v>303</v>
      </c>
      <c r="E32" s="178" t="s">
        <v>267</v>
      </c>
      <c r="F32" s="178" t="s">
        <v>440</v>
      </c>
      <c r="G32" s="530" t="s">
        <v>262</v>
      </c>
      <c r="H32" s="531" t="s">
        <v>363</v>
      </c>
      <c r="J32" s="520" t="str">
        <f t="shared" ref="J32:J39" si="70">E32&amp;F32&amp;G32&amp;H32</f>
        <v>Premium2e PVCCity2</v>
      </c>
      <c r="L32" s="204">
        <f>INDEX(Mapping!$H:$H,MATCH(C$3&amp;C32,Mapping!$B:$B,0))</f>
        <v>1</v>
      </c>
      <c r="M32" s="204" t="str">
        <f>INDEX(Mapping!$H:$H,MATCH(D$3&amp;D32,Mapping!$B:$B,0))</f>
        <v>EoK</v>
      </c>
      <c r="N32" s="204" t="str">
        <f>INDEX(Mapping!$H:$H,MATCH(E$3&amp;E32,Mapping!$B:$B,0))</f>
        <v>Premium</v>
      </c>
      <c r="O32" s="204" t="str">
        <f>INDEX(Mapping!$H:$H,MATCH(F$3&amp;F32,Mapping!$B:$B,0))</f>
        <v>multiple</v>
      </c>
      <c r="P32" s="204" t="str">
        <f>INDEX(Mapping!$H:$H,MATCH(G$3&amp;G32,Mapping!$B:$B,0))</f>
        <v>Metro</v>
      </c>
      <c r="Q32" s="204">
        <f>INDEX(Mapping!$H:$H,MATCH(H$3&amp;H32,Mapping!$B:$B,0))</f>
        <v>2</v>
      </c>
      <c r="R32" s="204" t="str">
        <f>INDEX(Mapping!$H:$H,MATCH(R$3&amp;$G32,Mapping!$B:$B,0))</f>
        <v>Metro - Regionaal</v>
      </c>
      <c r="S32" s="139"/>
      <c r="T32" s="139"/>
      <c r="U32" s="520" t="str">
        <f t="shared" si="49"/>
        <v>PremiummultipleMetro2</v>
      </c>
      <c r="W32" s="521">
        <f>MATCH($J32,'Tarieven ZM'!$B:$B,0)</f>
        <v>124</v>
      </c>
      <c r="X32" s="204">
        <f>INDEX('Tarieven ZM'!$H:$H,$W32)</f>
        <v>1000</v>
      </c>
      <c r="Y32" s="198">
        <f>-INDEX(Parameters!$B:$B,MATCH(Y$3&amp;$C32,Parameters!$A:$A,0))*$X32</f>
        <v>0</v>
      </c>
      <c r="Z32" s="198">
        <f>-INDEX(Parameters!$B:$B,MATCH(Z$3&amp;$C32,Parameters!$A:$A,0))*$X32</f>
        <v>0</v>
      </c>
      <c r="AA32" s="139">
        <f t="shared" ref="AA32:AA39" si="71">SUM(X32:Z32)</f>
        <v>1000</v>
      </c>
      <c r="AB32" s="532">
        <f>AA32/INDEX(Parameters!$B:$B,MATCH("AfschrijftermijnVVE"&amp;12*$C32,Parameters!$A:$A,0))</f>
        <v>20.833333333333332</v>
      </c>
      <c r="AC32" s="204">
        <f>INDEX('Tarieven ZM'!$G:$G,$W32)</f>
        <v>1000</v>
      </c>
      <c r="AD32" s="198">
        <f>-INDEX(Parameters!$B:$B,MATCH(AD$3&amp;$C32,Parameters!$A:$A,0))*$AC32</f>
        <v>0</v>
      </c>
      <c r="AE32" s="198">
        <f>-INDEX(Parameters!$B:$B,MATCH(AE$3,Parameters!$A:$A,0))*$AC32</f>
        <v>0</v>
      </c>
      <c r="AF32" s="139">
        <f t="shared" ref="AF32:AF39" si="72">SUM(AC32:AE32)</f>
        <v>1000</v>
      </c>
      <c r="AG32" s="522">
        <f t="shared" ref="AG32:AG39" si="73">SUM(AB32,AF32)</f>
        <v>1020.8333333333334</v>
      </c>
      <c r="AH32" s="175"/>
      <c r="AI32" s="523">
        <f>MATCH($U32,'Tarieven W&amp;O'!$B:$B,0)</f>
        <v>100</v>
      </c>
      <c r="AJ32" s="204">
        <f>IF(AI32&lt;&gt;"nvt",INDEX('Tarieven W&amp;O'!$H:$H,$AI32),0)</f>
        <v>0</v>
      </c>
      <c r="AK32" s="204">
        <f>IF(AI32&lt;&gt;"nvt",INDEX('Tarieven W&amp;O'!$I:$I,$AI32),0)</f>
        <v>25</v>
      </c>
      <c r="AL32" s="524">
        <f>IF(AI32&lt;&gt;"nvt",-INDEX(Parameters!$B:$B,MATCH(AL$3,Parameters!$A:$A,0))*(AJ32+AK32),0)</f>
        <v>0</v>
      </c>
      <c r="AM32" s="525"/>
      <c r="AN32" s="139">
        <f t="shared" ref="AN32:AN39" si="74">SUM(AJ32:AM32)</f>
        <v>25</v>
      </c>
      <c r="AO32" s="205">
        <f>AN32/INDEX(Parameters!$B:$B,MATCH("AfschrijftermijnVVE"&amp;12*$C32,Parameters!$A:$A,0))</f>
        <v>0.52083333333333337</v>
      </c>
      <c r="AP32" s="139">
        <f t="shared" ref="AP32:AP39" si="75">AI32</f>
        <v>100</v>
      </c>
      <c r="AQ32" s="526">
        <f>IF(AP32&lt;&gt;"nvt",INDEX('Tarieven W&amp;O'!$G:$G,$AP32),0)</f>
        <v>23.37</v>
      </c>
      <c r="AR32" s="251">
        <f>-INDEX(Parameters!$B:$B,MATCH(AR$3,Parameters!$A:$A,0))*(AQ32)</f>
        <v>0</v>
      </c>
      <c r="AS32" s="205"/>
      <c r="AT32" s="205">
        <f>INDEX(hulpblad!$E:$E,MATCH(M32&amp;R32,hulpblad!$B:$B,0))</f>
        <v>1</v>
      </c>
      <c r="AU32" s="150">
        <f t="shared" ref="AU32:AU39" si="76">SUM(AQ32:AT32)</f>
        <v>24.37</v>
      </c>
      <c r="AV32" s="150">
        <f t="shared" ref="AV32:AV39" si="77">SUM(AO32,AU32)</f>
        <v>24.890833333333333</v>
      </c>
      <c r="AX32" s="526">
        <f>Parameters!$B$6*AV32</f>
        <v>0.24890833333333334</v>
      </c>
      <c r="AY32" s="150">
        <v>0</v>
      </c>
      <c r="AZ32" s="150"/>
      <c r="BA32" s="150">
        <f t="shared" ref="BA32:BA39" si="78">SUM(AX32:AZ32)</f>
        <v>0.24890833333333334</v>
      </c>
      <c r="BB32" s="150"/>
      <c r="BC32" s="522">
        <f t="shared" ref="BC32:BC39" si="79">SUM(AV32,BA32)</f>
        <v>25.139741666666666</v>
      </c>
      <c r="BD32" s="175"/>
      <c r="BE32" s="527">
        <f t="shared" si="67"/>
        <v>995.69359166666675</v>
      </c>
      <c r="BF32" s="181">
        <f t="shared" si="68"/>
        <v>0.97537331428571428</v>
      </c>
      <c r="BG32" s="520" t="b">
        <f t="shared" ref="BG32:BG39" si="80">BF32&lt;0</f>
        <v>0</v>
      </c>
      <c r="BI32" s="151" t="s">
        <v>2181</v>
      </c>
      <c r="BL32" s="151" t="str">
        <f t="shared" si="50"/>
        <v>EoKMetro - Regionaal</v>
      </c>
      <c r="BM32" s="529">
        <v>0</v>
      </c>
      <c r="BN32" s="180">
        <f>BM32/INDEX(Parameters!$B:$B,MATCH("AfschrijftermijnVVE"&amp;12*$C32,Parameters!$A:$A,0))</f>
        <v>0</v>
      </c>
      <c r="BO32" s="184">
        <f>INDEX('inkoop ULL tbv EVPN'!I:I,MATCH(BL32,'inkoop ULL tbv EVPN'!H:H,0))</f>
        <v>2</v>
      </c>
      <c r="BP32" s="184">
        <f t="shared" si="51"/>
        <v>2</v>
      </c>
      <c r="BR32" s="180">
        <f>Parameters!$B$12*AG32</f>
        <v>102.08333333333334</v>
      </c>
      <c r="BS32" s="180">
        <f>SUM(Distributievergoedingen!$F$12,Distributievergoedingen!$I$12,Distributievergoedingen!$L$12,Distributievergoedingen!$O$12)*AF32+SUM(Distributievergoedingen!$O$12*AA32+Distributievergoedingen!$R$12+Distributievergoedingen!$U$12+Distributievergoedingen!$X$12)/(MAX(36,12*C32))</f>
        <v>112.08333333333333</v>
      </c>
      <c r="BT32" s="150"/>
      <c r="BU32" s="150">
        <f t="shared" si="52"/>
        <v>214.16666666666669</v>
      </c>
      <c r="BW32" s="522">
        <f t="shared" si="53"/>
        <v>216.16666666666669</v>
      </c>
      <c r="BY32" s="527">
        <f t="shared" si="54"/>
        <v>804.66666666666674</v>
      </c>
      <c r="BZ32" s="181">
        <f t="shared" si="55"/>
        <v>0.78824489795918373</v>
      </c>
      <c r="CA32" s="520" t="b">
        <f t="shared" si="56"/>
        <v>0</v>
      </c>
    </row>
    <row r="33" spans="1:79" s="151" customFormat="1">
      <c r="A33" s="151" t="s">
        <v>194</v>
      </c>
      <c r="B33" s="520" t="str">
        <f t="shared" si="48"/>
        <v>4EoKPremium2e PVCCity4</v>
      </c>
      <c r="C33" s="179">
        <v>4</v>
      </c>
      <c r="D33" s="179" t="s">
        <v>303</v>
      </c>
      <c r="E33" s="178" t="s">
        <v>267</v>
      </c>
      <c r="F33" s="178" t="s">
        <v>440</v>
      </c>
      <c r="G33" s="530" t="s">
        <v>262</v>
      </c>
      <c r="H33" s="531" t="s">
        <v>408</v>
      </c>
      <c r="J33" s="520" t="str">
        <f t="shared" si="70"/>
        <v>Premium2e PVCCity4</v>
      </c>
      <c r="L33" s="204">
        <f>INDEX(Mapping!$H:$H,MATCH(C$3&amp;C33,Mapping!$B:$B,0))</f>
        <v>1</v>
      </c>
      <c r="M33" s="204" t="str">
        <f>INDEX(Mapping!$H:$H,MATCH(D$3&amp;D33,Mapping!$B:$B,0))</f>
        <v>EoK</v>
      </c>
      <c r="N33" s="204" t="str">
        <f>INDEX(Mapping!$H:$H,MATCH(E$3&amp;E33,Mapping!$B:$B,0))</f>
        <v>Premium</v>
      </c>
      <c r="O33" s="204" t="str">
        <f>INDEX(Mapping!$H:$H,MATCH(F$3&amp;F33,Mapping!$B:$B,0))</f>
        <v>multiple</v>
      </c>
      <c r="P33" s="204" t="str">
        <f>INDEX(Mapping!$H:$H,MATCH(G$3&amp;G33,Mapping!$B:$B,0))</f>
        <v>Metro</v>
      </c>
      <c r="Q33" s="204">
        <f>INDEX(Mapping!$H:$H,MATCH(H$3&amp;H33,Mapping!$B:$B,0))</f>
        <v>4</v>
      </c>
      <c r="R33" s="204" t="str">
        <f>INDEX(Mapping!$H:$H,MATCH(R$3&amp;$G33,Mapping!$B:$B,0))</f>
        <v>Metro - Regionaal</v>
      </c>
      <c r="S33" s="139"/>
      <c r="T33" s="139"/>
      <c r="U33" s="520" t="str">
        <f t="shared" si="49"/>
        <v>PremiummultipleMetro4</v>
      </c>
      <c r="W33" s="521">
        <f>MATCH($J33,'Tarieven ZM'!$B:$B,0)</f>
        <v>125</v>
      </c>
      <c r="X33" s="204">
        <f>INDEX('Tarieven ZM'!$H:$H,$W33)</f>
        <v>1000</v>
      </c>
      <c r="Y33" s="198">
        <f>-INDEX(Parameters!$B:$B,MATCH(Y$3&amp;$C33,Parameters!$A:$A,0))*$X33</f>
        <v>0</v>
      </c>
      <c r="Z33" s="198">
        <f>-INDEX(Parameters!$B:$B,MATCH(Z$3&amp;$C33,Parameters!$A:$A,0))*$X33</f>
        <v>0</v>
      </c>
      <c r="AA33" s="139">
        <f t="shared" si="71"/>
        <v>1000</v>
      </c>
      <c r="AB33" s="532">
        <f>AA33/INDEX(Parameters!$B:$B,MATCH("AfschrijftermijnVVE"&amp;12*$C33,Parameters!$A:$A,0))</f>
        <v>20.833333333333332</v>
      </c>
      <c r="AC33" s="204">
        <f>INDEX('Tarieven ZM'!$G:$G,$W33)</f>
        <v>1000</v>
      </c>
      <c r="AD33" s="198">
        <f>-INDEX(Parameters!$B:$B,MATCH(AD$3&amp;$C33,Parameters!$A:$A,0))*$AC33</f>
        <v>0</v>
      </c>
      <c r="AE33" s="198">
        <f>-INDEX(Parameters!$B:$B,MATCH(AE$3,Parameters!$A:$A,0))*$AC33</f>
        <v>0</v>
      </c>
      <c r="AF33" s="139">
        <f t="shared" si="72"/>
        <v>1000</v>
      </c>
      <c r="AG33" s="522">
        <f t="shared" si="73"/>
        <v>1020.8333333333334</v>
      </c>
      <c r="AH33" s="175"/>
      <c r="AI33" s="523">
        <f>MATCH($U33,'Tarieven W&amp;O'!$B:$B,0)</f>
        <v>101</v>
      </c>
      <c r="AJ33" s="204">
        <f>IF(AI33&lt;&gt;"nvt",INDEX('Tarieven W&amp;O'!$H:$H,$AI33),0)</f>
        <v>0</v>
      </c>
      <c r="AK33" s="204">
        <f>IF(AI33&lt;&gt;"nvt",INDEX('Tarieven W&amp;O'!$I:$I,$AI33),0)</f>
        <v>25</v>
      </c>
      <c r="AL33" s="524">
        <f>IF(AI33&lt;&gt;"nvt",-INDEX(Parameters!$B:$B,MATCH(AL$3,Parameters!$A:$A,0))*(AJ33+AK33),0)</f>
        <v>0</v>
      </c>
      <c r="AM33" s="525"/>
      <c r="AN33" s="139">
        <f t="shared" si="74"/>
        <v>25</v>
      </c>
      <c r="AO33" s="205">
        <f>AN33/INDEX(Parameters!$B:$B,MATCH("AfschrijftermijnVVE"&amp;12*$C33,Parameters!$A:$A,0))</f>
        <v>0.52083333333333337</v>
      </c>
      <c r="AP33" s="139">
        <f t="shared" si="75"/>
        <v>101</v>
      </c>
      <c r="AQ33" s="526">
        <f>IF(AP33&lt;&gt;"nvt",INDEX('Tarieven W&amp;O'!$G:$G,$AP33),0)</f>
        <v>45.98</v>
      </c>
      <c r="AR33" s="251">
        <f>-INDEX(Parameters!$B:$B,MATCH(AR$3,Parameters!$A:$A,0))*(AQ33)</f>
        <v>0</v>
      </c>
      <c r="AS33" s="205"/>
      <c r="AT33" s="205">
        <f>INDEX(hulpblad!$E:$E,MATCH(M33&amp;R33,hulpblad!$B:$B,0))</f>
        <v>1</v>
      </c>
      <c r="AU33" s="150">
        <f t="shared" si="76"/>
        <v>46.98</v>
      </c>
      <c r="AV33" s="150">
        <f t="shared" si="77"/>
        <v>47.500833333333333</v>
      </c>
      <c r="AX33" s="526">
        <f>Parameters!$B$6*AV33</f>
        <v>0.47500833333333331</v>
      </c>
      <c r="AY33" s="150">
        <v>0</v>
      </c>
      <c r="AZ33" s="150"/>
      <c r="BA33" s="150">
        <f t="shared" si="78"/>
        <v>0.47500833333333331</v>
      </c>
      <c r="BB33" s="150"/>
      <c r="BC33" s="522">
        <f t="shared" si="79"/>
        <v>47.975841666666668</v>
      </c>
      <c r="BD33" s="175"/>
      <c r="BE33" s="527">
        <f t="shared" si="67"/>
        <v>972.85749166666665</v>
      </c>
      <c r="BF33" s="181">
        <f t="shared" si="68"/>
        <v>0.95300325714285705</v>
      </c>
      <c r="BG33" s="520" t="b">
        <f t="shared" si="80"/>
        <v>0</v>
      </c>
      <c r="BI33" s="151" t="s">
        <v>2181</v>
      </c>
      <c r="BL33" s="151" t="str">
        <f t="shared" si="50"/>
        <v>EoKMetro - Regionaal</v>
      </c>
      <c r="BM33" s="529">
        <v>0</v>
      </c>
      <c r="BN33" s="180">
        <f>BM33/INDEX(Parameters!$B:$B,MATCH("AfschrijftermijnVVE"&amp;12*$C33,Parameters!$A:$A,0))</f>
        <v>0</v>
      </c>
      <c r="BO33" s="184">
        <f>INDEX('inkoop ULL tbv EVPN'!I:I,MATCH(BL33,'inkoop ULL tbv EVPN'!H:H,0))</f>
        <v>2</v>
      </c>
      <c r="BP33" s="184">
        <f t="shared" si="51"/>
        <v>2</v>
      </c>
      <c r="BR33" s="180">
        <f>Parameters!$B$12*AG33</f>
        <v>102.08333333333334</v>
      </c>
      <c r="BS33" s="180">
        <f>SUM(Distributievergoedingen!$F$12,Distributievergoedingen!$I$12,Distributievergoedingen!$L$12,Distributievergoedingen!$O$12)*AF33+SUM(Distributievergoedingen!$O$12*AA33+Distributievergoedingen!$R$12+Distributievergoedingen!$U$12+Distributievergoedingen!$X$12)/(MAX(36,12*C33))</f>
        <v>112.08333333333333</v>
      </c>
      <c r="BT33" s="150"/>
      <c r="BU33" s="150">
        <f t="shared" si="52"/>
        <v>214.16666666666669</v>
      </c>
      <c r="BW33" s="522">
        <f t="shared" si="53"/>
        <v>216.16666666666669</v>
      </c>
      <c r="BY33" s="527">
        <f t="shared" si="54"/>
        <v>804.66666666666674</v>
      </c>
      <c r="BZ33" s="181">
        <f t="shared" si="55"/>
        <v>0.78824489795918373</v>
      </c>
      <c r="CA33" s="520" t="b">
        <f t="shared" si="56"/>
        <v>0</v>
      </c>
    </row>
    <row r="34" spans="1:79" s="151" customFormat="1">
      <c r="A34" s="151" t="s">
        <v>194</v>
      </c>
      <c r="B34" s="520" t="str">
        <f t="shared" si="48"/>
        <v>4EoKPremium2e PVCRegionaal1</v>
      </c>
      <c r="C34" s="179">
        <v>4</v>
      </c>
      <c r="D34" s="179" t="s">
        <v>303</v>
      </c>
      <c r="E34" s="178" t="s">
        <v>267</v>
      </c>
      <c r="F34" s="178" t="s">
        <v>440</v>
      </c>
      <c r="G34" s="530" t="s">
        <v>265</v>
      </c>
      <c r="H34" s="531" t="s">
        <v>362</v>
      </c>
      <c r="J34" s="520" t="str">
        <f t="shared" si="70"/>
        <v>Premium2e PVCRegionaal1</v>
      </c>
      <c r="L34" s="204">
        <f>INDEX(Mapping!$H:$H,MATCH(C$3&amp;C34,Mapping!$B:$B,0))</f>
        <v>1</v>
      </c>
      <c r="M34" s="204" t="str">
        <f>INDEX(Mapping!$H:$H,MATCH(D$3&amp;D34,Mapping!$B:$B,0))</f>
        <v>EoK</v>
      </c>
      <c r="N34" s="204" t="str">
        <f>INDEX(Mapping!$H:$H,MATCH(E$3&amp;E34,Mapping!$B:$B,0))</f>
        <v>Premium</v>
      </c>
      <c r="O34" s="204" t="str">
        <f>INDEX(Mapping!$H:$H,MATCH(F$3&amp;F34,Mapping!$B:$B,0))</f>
        <v>multiple</v>
      </c>
      <c r="P34" s="204" t="str">
        <f>INDEX(Mapping!$H:$H,MATCH(G$3&amp;G34,Mapping!$B:$B,0))</f>
        <v>Metro</v>
      </c>
      <c r="Q34" s="204">
        <f>INDEX(Mapping!$H:$H,MATCH(H$3&amp;H34,Mapping!$B:$B,0))</f>
        <v>1</v>
      </c>
      <c r="R34" s="204" t="str">
        <f>INDEX(Mapping!$H:$H,MATCH(R$3&amp;$G34,Mapping!$B:$B,0))</f>
        <v>Metro - Nationaal</v>
      </c>
      <c r="S34" s="139"/>
      <c r="T34" s="139"/>
      <c r="U34" s="520" t="str">
        <f t="shared" si="49"/>
        <v>PremiummultipleMetro1</v>
      </c>
      <c r="W34" s="521">
        <f>MATCH($J34,'Tarieven ZM'!$B:$B,0)</f>
        <v>126</v>
      </c>
      <c r="X34" s="204">
        <f>INDEX('Tarieven ZM'!$H:$H,$W34)</f>
        <v>1000</v>
      </c>
      <c r="Y34" s="198">
        <f>-INDEX(Parameters!$B:$B,MATCH(Y$3&amp;$C34,Parameters!$A:$A,0))*$X34</f>
        <v>0</v>
      </c>
      <c r="Z34" s="198">
        <f>-INDEX(Parameters!$B:$B,MATCH(Z$3&amp;$C34,Parameters!$A:$A,0))*$X34</f>
        <v>0</v>
      </c>
      <c r="AA34" s="139">
        <f t="shared" si="71"/>
        <v>1000</v>
      </c>
      <c r="AB34" s="532">
        <f>AA34/INDEX(Parameters!$B:$B,MATCH("AfschrijftermijnVVE"&amp;12*$C34,Parameters!$A:$A,0))</f>
        <v>20.833333333333332</v>
      </c>
      <c r="AC34" s="204">
        <f>INDEX('Tarieven ZM'!$G:$G,$W34)</f>
        <v>1000</v>
      </c>
      <c r="AD34" s="198">
        <f>-INDEX(Parameters!$B:$B,MATCH(AD$3&amp;$C34,Parameters!$A:$A,0))*$AC34</f>
        <v>0</v>
      </c>
      <c r="AE34" s="198">
        <f>-INDEX(Parameters!$B:$B,MATCH(AE$3,Parameters!$A:$A,0))*$AC34</f>
        <v>0</v>
      </c>
      <c r="AF34" s="139">
        <f t="shared" si="72"/>
        <v>1000</v>
      </c>
      <c r="AG34" s="522">
        <f t="shared" si="73"/>
        <v>1020.8333333333334</v>
      </c>
      <c r="AH34" s="175"/>
      <c r="AI34" s="523">
        <f>MATCH($U34,'Tarieven W&amp;O'!$B:$B,0)</f>
        <v>99</v>
      </c>
      <c r="AJ34" s="204">
        <f>IF(AI34&lt;&gt;"nvt",INDEX('Tarieven W&amp;O'!$H:$H,$AI34),0)</f>
        <v>0</v>
      </c>
      <c r="AK34" s="204">
        <f>IF(AI34&lt;&gt;"nvt",INDEX('Tarieven W&amp;O'!$I:$I,$AI34),0)</f>
        <v>25</v>
      </c>
      <c r="AL34" s="524">
        <f>IF(AI34&lt;&gt;"nvt",-INDEX(Parameters!$B:$B,MATCH(AL$3,Parameters!$A:$A,0))*(AJ34+AK34),0)</f>
        <v>0</v>
      </c>
      <c r="AM34" s="525"/>
      <c r="AN34" s="139">
        <f t="shared" si="74"/>
        <v>25</v>
      </c>
      <c r="AO34" s="205">
        <f>AN34/INDEX(Parameters!$B:$B,MATCH("AfschrijftermijnVVE"&amp;12*$C34,Parameters!$A:$A,0))</f>
        <v>0.52083333333333337</v>
      </c>
      <c r="AP34" s="139">
        <f t="shared" si="75"/>
        <v>99</v>
      </c>
      <c r="AQ34" s="526">
        <f>IF(AP34&lt;&gt;"nvt",INDEX('Tarieven W&amp;O'!$G:$G,$AP34),0)</f>
        <v>11.31</v>
      </c>
      <c r="AR34" s="251">
        <f>-INDEX(Parameters!$B:$B,MATCH(AR$3,Parameters!$A:$A,0))*(AQ34)</f>
        <v>0</v>
      </c>
      <c r="AS34" s="205"/>
      <c r="AT34" s="205">
        <f>INDEX(hulpblad!$E:$E,MATCH(M34&amp;R34,hulpblad!$B:$B,0))</f>
        <v>2</v>
      </c>
      <c r="AU34" s="150">
        <f t="shared" si="76"/>
        <v>13.31</v>
      </c>
      <c r="AV34" s="150">
        <f t="shared" si="77"/>
        <v>13.830833333333334</v>
      </c>
      <c r="AX34" s="526">
        <f>Parameters!$B$6*AV34</f>
        <v>0.13830833333333334</v>
      </c>
      <c r="AY34" s="150">
        <v>0</v>
      </c>
      <c r="AZ34" s="150"/>
      <c r="BA34" s="150">
        <f t="shared" si="78"/>
        <v>0.13830833333333334</v>
      </c>
      <c r="BB34" s="150"/>
      <c r="BC34" s="522">
        <f t="shared" si="79"/>
        <v>13.969141666666667</v>
      </c>
      <c r="BD34" s="175"/>
      <c r="BE34" s="527">
        <f t="shared" si="67"/>
        <v>1006.8641916666667</v>
      </c>
      <c r="BF34" s="181">
        <f t="shared" si="68"/>
        <v>0.98631594285714286</v>
      </c>
      <c r="BG34" s="520" t="b">
        <f t="shared" si="80"/>
        <v>0</v>
      </c>
      <c r="BI34" s="151" t="s">
        <v>2181</v>
      </c>
      <c r="BL34" s="151" t="str">
        <f t="shared" si="50"/>
        <v>EoKMetro - Nationaal</v>
      </c>
      <c r="BM34" s="529">
        <v>0</v>
      </c>
      <c r="BN34" s="180">
        <f>BM34/INDEX(Parameters!$B:$B,MATCH("AfschrijftermijnVVE"&amp;12*$C34,Parameters!$A:$A,0))</f>
        <v>0</v>
      </c>
      <c r="BO34" s="184">
        <f>INDEX('inkoop ULL tbv EVPN'!I:I,MATCH(BL34,'inkoop ULL tbv EVPN'!H:H,0))</f>
        <v>2</v>
      </c>
      <c r="BP34" s="184">
        <f t="shared" si="51"/>
        <v>2</v>
      </c>
      <c r="BR34" s="180">
        <f>Parameters!$B$12*AG34</f>
        <v>102.08333333333334</v>
      </c>
      <c r="BS34" s="180">
        <f>SUM(Distributievergoedingen!$F$12,Distributievergoedingen!$I$12,Distributievergoedingen!$L$12,Distributievergoedingen!$O$12)*AF34+SUM(Distributievergoedingen!$O$12*AA34+Distributievergoedingen!$R$12+Distributievergoedingen!$U$12+Distributievergoedingen!$X$12)/(MAX(36,12*C34))</f>
        <v>112.08333333333333</v>
      </c>
      <c r="BT34" s="150"/>
      <c r="BU34" s="150">
        <f t="shared" si="52"/>
        <v>214.16666666666669</v>
      </c>
      <c r="BW34" s="522">
        <f t="shared" si="53"/>
        <v>216.16666666666669</v>
      </c>
      <c r="BY34" s="527">
        <f t="shared" si="54"/>
        <v>804.66666666666674</v>
      </c>
      <c r="BZ34" s="181">
        <f t="shared" si="55"/>
        <v>0.78824489795918373</v>
      </c>
      <c r="CA34" s="520" t="b">
        <f t="shared" si="56"/>
        <v>0</v>
      </c>
    </row>
    <row r="35" spans="1:79" s="151" customFormat="1">
      <c r="A35" s="151" t="s">
        <v>194</v>
      </c>
      <c r="B35" s="520" t="str">
        <f t="shared" si="48"/>
        <v>4EoKPremium2e PVCRegionaal2</v>
      </c>
      <c r="C35" s="179">
        <v>4</v>
      </c>
      <c r="D35" s="179" t="s">
        <v>303</v>
      </c>
      <c r="E35" s="178" t="s">
        <v>267</v>
      </c>
      <c r="F35" s="178" t="s">
        <v>440</v>
      </c>
      <c r="G35" s="530" t="s">
        <v>265</v>
      </c>
      <c r="H35" s="531" t="s">
        <v>363</v>
      </c>
      <c r="J35" s="520" t="str">
        <f t="shared" si="70"/>
        <v>Premium2e PVCRegionaal2</v>
      </c>
      <c r="L35" s="204">
        <f>INDEX(Mapping!$H:$H,MATCH(C$3&amp;C35,Mapping!$B:$B,0))</f>
        <v>1</v>
      </c>
      <c r="M35" s="204" t="str">
        <f>INDEX(Mapping!$H:$H,MATCH(D$3&amp;D35,Mapping!$B:$B,0))</f>
        <v>EoK</v>
      </c>
      <c r="N35" s="204" t="str">
        <f>INDEX(Mapping!$H:$H,MATCH(E$3&amp;E35,Mapping!$B:$B,0))</f>
        <v>Premium</v>
      </c>
      <c r="O35" s="204" t="str">
        <f>INDEX(Mapping!$H:$H,MATCH(F$3&amp;F35,Mapping!$B:$B,0))</f>
        <v>multiple</v>
      </c>
      <c r="P35" s="204" t="str">
        <f>INDEX(Mapping!$H:$H,MATCH(G$3&amp;G35,Mapping!$B:$B,0))</f>
        <v>Metro</v>
      </c>
      <c r="Q35" s="204">
        <f>INDEX(Mapping!$H:$H,MATCH(H$3&amp;H35,Mapping!$B:$B,0))</f>
        <v>2</v>
      </c>
      <c r="R35" s="204" t="str">
        <f>INDEX(Mapping!$H:$H,MATCH(R$3&amp;$G35,Mapping!$B:$B,0))</f>
        <v>Metro - Nationaal</v>
      </c>
      <c r="S35" s="139"/>
      <c r="T35" s="139"/>
      <c r="U35" s="520" t="str">
        <f t="shared" si="49"/>
        <v>PremiummultipleMetro2</v>
      </c>
      <c r="W35" s="521">
        <f>MATCH($J35,'Tarieven ZM'!$B:$B,0)</f>
        <v>127</v>
      </c>
      <c r="X35" s="204">
        <f>INDEX('Tarieven ZM'!$H:$H,$W35)</f>
        <v>1000</v>
      </c>
      <c r="Y35" s="198">
        <f>-INDEX(Parameters!$B:$B,MATCH(Y$3&amp;$C35,Parameters!$A:$A,0))*$X35</f>
        <v>0</v>
      </c>
      <c r="Z35" s="198">
        <f>-INDEX(Parameters!$B:$B,MATCH(Z$3&amp;$C35,Parameters!$A:$A,0))*$X35</f>
        <v>0</v>
      </c>
      <c r="AA35" s="139">
        <f t="shared" si="71"/>
        <v>1000</v>
      </c>
      <c r="AB35" s="532">
        <f>AA35/INDEX(Parameters!$B:$B,MATCH("AfschrijftermijnVVE"&amp;12*$C35,Parameters!$A:$A,0))</f>
        <v>20.833333333333332</v>
      </c>
      <c r="AC35" s="204">
        <f>INDEX('Tarieven ZM'!$G:$G,$W35)</f>
        <v>1000</v>
      </c>
      <c r="AD35" s="198">
        <f>-INDEX(Parameters!$B:$B,MATCH(AD$3&amp;$C35,Parameters!$A:$A,0))*$AC35</f>
        <v>0</v>
      </c>
      <c r="AE35" s="198">
        <f>-INDEX(Parameters!$B:$B,MATCH(AE$3,Parameters!$A:$A,0))*$AC35</f>
        <v>0</v>
      </c>
      <c r="AF35" s="139">
        <f t="shared" si="72"/>
        <v>1000</v>
      </c>
      <c r="AG35" s="522">
        <f t="shared" si="73"/>
        <v>1020.8333333333334</v>
      </c>
      <c r="AH35" s="175"/>
      <c r="AI35" s="523">
        <f>MATCH($U35,'Tarieven W&amp;O'!$B:$B,0)</f>
        <v>100</v>
      </c>
      <c r="AJ35" s="204">
        <f>IF(AI35&lt;&gt;"nvt",INDEX('Tarieven W&amp;O'!$H:$H,$AI35),0)</f>
        <v>0</v>
      </c>
      <c r="AK35" s="204">
        <f>IF(AI35&lt;&gt;"nvt",INDEX('Tarieven W&amp;O'!$I:$I,$AI35),0)</f>
        <v>25</v>
      </c>
      <c r="AL35" s="524">
        <f>IF(AI35&lt;&gt;"nvt",-INDEX(Parameters!$B:$B,MATCH(AL$3,Parameters!$A:$A,0))*(AJ35+AK35),0)</f>
        <v>0</v>
      </c>
      <c r="AM35" s="525"/>
      <c r="AN35" s="139">
        <f t="shared" si="74"/>
        <v>25</v>
      </c>
      <c r="AO35" s="205">
        <f>AN35/INDEX(Parameters!$B:$B,MATCH("AfschrijftermijnVVE"&amp;12*$C35,Parameters!$A:$A,0))</f>
        <v>0.52083333333333337</v>
      </c>
      <c r="AP35" s="139">
        <f t="shared" si="75"/>
        <v>100</v>
      </c>
      <c r="AQ35" s="526">
        <f>IF(AP35&lt;&gt;"nvt",INDEX('Tarieven W&amp;O'!$G:$G,$AP35),0)</f>
        <v>23.37</v>
      </c>
      <c r="AR35" s="251">
        <f>-INDEX(Parameters!$B:$B,MATCH(AR$3,Parameters!$A:$A,0))*(AQ35)</f>
        <v>0</v>
      </c>
      <c r="AS35" s="205"/>
      <c r="AT35" s="205">
        <f>INDEX(hulpblad!$E:$E,MATCH(M35&amp;R35,hulpblad!$B:$B,0))</f>
        <v>2</v>
      </c>
      <c r="AU35" s="150">
        <f t="shared" si="76"/>
        <v>25.37</v>
      </c>
      <c r="AV35" s="150">
        <f t="shared" si="77"/>
        <v>25.890833333333333</v>
      </c>
      <c r="AX35" s="526">
        <f>Parameters!$B$6*AV35</f>
        <v>0.25890833333333335</v>
      </c>
      <c r="AY35" s="150">
        <v>0</v>
      </c>
      <c r="AZ35" s="150"/>
      <c r="BA35" s="150">
        <f t="shared" si="78"/>
        <v>0.25890833333333335</v>
      </c>
      <c r="BB35" s="150"/>
      <c r="BC35" s="522">
        <f t="shared" si="79"/>
        <v>26.149741666666667</v>
      </c>
      <c r="BD35" s="175"/>
      <c r="BE35" s="527">
        <f t="shared" si="67"/>
        <v>994.68359166666676</v>
      </c>
      <c r="BF35" s="181">
        <f t="shared" si="68"/>
        <v>0.97438392653061234</v>
      </c>
      <c r="BG35" s="520" t="b">
        <f t="shared" si="80"/>
        <v>0</v>
      </c>
      <c r="BI35" s="151" t="s">
        <v>2181</v>
      </c>
      <c r="BL35" s="151" t="str">
        <f t="shared" si="50"/>
        <v>EoKMetro - Nationaal</v>
      </c>
      <c r="BM35" s="529">
        <v>0</v>
      </c>
      <c r="BN35" s="180">
        <f>BM35/INDEX(Parameters!$B:$B,MATCH("AfschrijftermijnVVE"&amp;12*$C35,Parameters!$A:$A,0))</f>
        <v>0</v>
      </c>
      <c r="BO35" s="184">
        <f>INDEX('inkoop ULL tbv EVPN'!I:I,MATCH(BL35,'inkoop ULL tbv EVPN'!H:H,0))</f>
        <v>2</v>
      </c>
      <c r="BP35" s="184">
        <f t="shared" si="51"/>
        <v>2</v>
      </c>
      <c r="BR35" s="180">
        <f>Parameters!$B$12*AG35</f>
        <v>102.08333333333334</v>
      </c>
      <c r="BS35" s="180">
        <f>SUM(Distributievergoedingen!$F$12,Distributievergoedingen!$I$12,Distributievergoedingen!$L$12,Distributievergoedingen!$O$12)*AF35+SUM(Distributievergoedingen!$O$12*AA35+Distributievergoedingen!$R$12+Distributievergoedingen!$U$12+Distributievergoedingen!$X$12)/(MAX(36,12*C35))</f>
        <v>112.08333333333333</v>
      </c>
      <c r="BT35" s="150"/>
      <c r="BU35" s="150">
        <f t="shared" si="52"/>
        <v>214.16666666666669</v>
      </c>
      <c r="BW35" s="522">
        <f t="shared" si="53"/>
        <v>216.16666666666669</v>
      </c>
      <c r="BY35" s="527">
        <f t="shared" si="54"/>
        <v>804.66666666666674</v>
      </c>
      <c r="BZ35" s="181">
        <f t="shared" si="55"/>
        <v>0.78824489795918373</v>
      </c>
      <c r="CA35" s="520" t="b">
        <f t="shared" si="56"/>
        <v>0</v>
      </c>
    </row>
    <row r="36" spans="1:79" s="151" customFormat="1">
      <c r="A36" s="151" t="s">
        <v>194</v>
      </c>
      <c r="B36" s="520" t="str">
        <f t="shared" si="48"/>
        <v>4EoKPremium2e PVCRegionaal4</v>
      </c>
      <c r="C36" s="179">
        <v>4</v>
      </c>
      <c r="D36" s="179" t="s">
        <v>303</v>
      </c>
      <c r="E36" s="178" t="s">
        <v>267</v>
      </c>
      <c r="F36" s="178" t="s">
        <v>440</v>
      </c>
      <c r="G36" s="530" t="s">
        <v>265</v>
      </c>
      <c r="H36" s="531" t="s">
        <v>408</v>
      </c>
      <c r="J36" s="520" t="str">
        <f t="shared" si="70"/>
        <v>Premium2e PVCRegionaal4</v>
      </c>
      <c r="L36" s="204">
        <f>INDEX(Mapping!$H:$H,MATCH(C$3&amp;C36,Mapping!$B:$B,0))</f>
        <v>1</v>
      </c>
      <c r="M36" s="204" t="str">
        <f>INDEX(Mapping!$H:$H,MATCH(D$3&amp;D36,Mapping!$B:$B,0))</f>
        <v>EoK</v>
      </c>
      <c r="N36" s="204" t="str">
        <f>INDEX(Mapping!$H:$H,MATCH(E$3&amp;E36,Mapping!$B:$B,0))</f>
        <v>Premium</v>
      </c>
      <c r="O36" s="204" t="str">
        <f>INDEX(Mapping!$H:$H,MATCH(F$3&amp;F36,Mapping!$B:$B,0))</f>
        <v>multiple</v>
      </c>
      <c r="P36" s="204" t="str">
        <f>INDEX(Mapping!$H:$H,MATCH(G$3&amp;G36,Mapping!$B:$B,0))</f>
        <v>Metro</v>
      </c>
      <c r="Q36" s="204">
        <f>INDEX(Mapping!$H:$H,MATCH(H$3&amp;H36,Mapping!$B:$B,0))</f>
        <v>4</v>
      </c>
      <c r="R36" s="204" t="str">
        <f>INDEX(Mapping!$H:$H,MATCH(R$3&amp;$G36,Mapping!$B:$B,0))</f>
        <v>Metro - Nationaal</v>
      </c>
      <c r="S36" s="139"/>
      <c r="T36" s="139"/>
      <c r="U36" s="520" t="str">
        <f t="shared" si="49"/>
        <v>PremiummultipleMetro4</v>
      </c>
      <c r="W36" s="521">
        <f>MATCH($J36,'Tarieven ZM'!$B:$B,0)</f>
        <v>128</v>
      </c>
      <c r="X36" s="204">
        <f>INDEX('Tarieven ZM'!$H:$H,$W36)</f>
        <v>1000</v>
      </c>
      <c r="Y36" s="198">
        <f>-INDEX(Parameters!$B:$B,MATCH(Y$3&amp;$C36,Parameters!$A:$A,0))*$X36</f>
        <v>0</v>
      </c>
      <c r="Z36" s="198">
        <f>-INDEX(Parameters!$B:$B,MATCH(Z$3&amp;$C36,Parameters!$A:$A,0))*$X36</f>
        <v>0</v>
      </c>
      <c r="AA36" s="139">
        <f t="shared" si="71"/>
        <v>1000</v>
      </c>
      <c r="AB36" s="532">
        <f>AA36/INDEX(Parameters!$B:$B,MATCH("AfschrijftermijnVVE"&amp;12*$C36,Parameters!$A:$A,0))</f>
        <v>20.833333333333332</v>
      </c>
      <c r="AC36" s="204">
        <f>INDEX('Tarieven ZM'!$G:$G,$W36)</f>
        <v>1000</v>
      </c>
      <c r="AD36" s="198">
        <f>-INDEX(Parameters!$B:$B,MATCH(AD$3&amp;$C36,Parameters!$A:$A,0))*$AC36</f>
        <v>0</v>
      </c>
      <c r="AE36" s="198">
        <f>-INDEX(Parameters!$B:$B,MATCH(AE$3,Parameters!$A:$A,0))*$AC36</f>
        <v>0</v>
      </c>
      <c r="AF36" s="139">
        <f t="shared" si="72"/>
        <v>1000</v>
      </c>
      <c r="AG36" s="522">
        <f t="shared" si="73"/>
        <v>1020.8333333333334</v>
      </c>
      <c r="AH36" s="175"/>
      <c r="AI36" s="523">
        <f>MATCH($U36,'Tarieven W&amp;O'!$B:$B,0)</f>
        <v>101</v>
      </c>
      <c r="AJ36" s="204">
        <f>IF(AI36&lt;&gt;"nvt",INDEX('Tarieven W&amp;O'!$H:$H,$AI36),0)</f>
        <v>0</v>
      </c>
      <c r="AK36" s="204">
        <f>IF(AI36&lt;&gt;"nvt",INDEX('Tarieven W&amp;O'!$I:$I,$AI36),0)</f>
        <v>25</v>
      </c>
      <c r="AL36" s="524">
        <f>IF(AI36&lt;&gt;"nvt",-INDEX(Parameters!$B:$B,MATCH(AL$3,Parameters!$A:$A,0))*(AJ36+AK36),0)</f>
        <v>0</v>
      </c>
      <c r="AM36" s="525"/>
      <c r="AN36" s="139">
        <f t="shared" si="74"/>
        <v>25</v>
      </c>
      <c r="AO36" s="205">
        <f>AN36/INDEX(Parameters!$B:$B,MATCH("AfschrijftermijnVVE"&amp;12*$C36,Parameters!$A:$A,0))</f>
        <v>0.52083333333333337</v>
      </c>
      <c r="AP36" s="139">
        <f t="shared" si="75"/>
        <v>101</v>
      </c>
      <c r="AQ36" s="526">
        <f>IF(AP36&lt;&gt;"nvt",INDEX('Tarieven W&amp;O'!$G:$G,$AP36),0)</f>
        <v>45.98</v>
      </c>
      <c r="AR36" s="251">
        <f>-INDEX(Parameters!$B:$B,MATCH(AR$3,Parameters!$A:$A,0))*(AQ36)</f>
        <v>0</v>
      </c>
      <c r="AS36" s="205"/>
      <c r="AT36" s="205">
        <f>INDEX(hulpblad!$E:$E,MATCH(M36&amp;R36,hulpblad!$B:$B,0))</f>
        <v>2</v>
      </c>
      <c r="AU36" s="150">
        <f t="shared" si="76"/>
        <v>47.98</v>
      </c>
      <c r="AV36" s="150">
        <f t="shared" si="77"/>
        <v>48.500833333333333</v>
      </c>
      <c r="AX36" s="526">
        <f>Parameters!$B$6*AV36</f>
        <v>0.48500833333333332</v>
      </c>
      <c r="AY36" s="150">
        <v>0</v>
      </c>
      <c r="AZ36" s="150"/>
      <c r="BA36" s="150">
        <f t="shared" si="78"/>
        <v>0.48500833333333332</v>
      </c>
      <c r="BB36" s="150"/>
      <c r="BC36" s="522">
        <f t="shared" si="79"/>
        <v>48.985841666666666</v>
      </c>
      <c r="BD36" s="175"/>
      <c r="BE36" s="527">
        <f t="shared" si="67"/>
        <v>971.84749166666666</v>
      </c>
      <c r="BF36" s="181">
        <f t="shared" si="68"/>
        <v>0.95201386938775501</v>
      </c>
      <c r="BG36" s="520" t="b">
        <f t="shared" si="80"/>
        <v>0</v>
      </c>
      <c r="BI36" s="151" t="s">
        <v>2181</v>
      </c>
      <c r="BL36" s="151" t="str">
        <f t="shared" si="50"/>
        <v>EoKMetro - Nationaal</v>
      </c>
      <c r="BM36" s="529">
        <v>0</v>
      </c>
      <c r="BN36" s="180">
        <f>BM36/INDEX(Parameters!$B:$B,MATCH("AfschrijftermijnVVE"&amp;12*$C36,Parameters!$A:$A,0))</f>
        <v>0</v>
      </c>
      <c r="BO36" s="184">
        <f>INDEX('inkoop ULL tbv EVPN'!I:I,MATCH(BL36,'inkoop ULL tbv EVPN'!H:H,0))</f>
        <v>2</v>
      </c>
      <c r="BP36" s="184">
        <f t="shared" si="51"/>
        <v>2</v>
      </c>
      <c r="BR36" s="180">
        <f>Parameters!$B$12*AG36</f>
        <v>102.08333333333334</v>
      </c>
      <c r="BS36" s="180">
        <f>SUM(Distributievergoedingen!$F$12,Distributievergoedingen!$I$12,Distributievergoedingen!$L$12,Distributievergoedingen!$O$12)*AF36+SUM(Distributievergoedingen!$O$12*AA36+Distributievergoedingen!$R$12+Distributievergoedingen!$U$12+Distributievergoedingen!$X$12)/(MAX(36,12*C36))</f>
        <v>112.08333333333333</v>
      </c>
      <c r="BT36" s="150"/>
      <c r="BU36" s="150">
        <f t="shared" si="52"/>
        <v>214.16666666666669</v>
      </c>
      <c r="BW36" s="522">
        <f t="shared" si="53"/>
        <v>216.16666666666669</v>
      </c>
      <c r="BY36" s="527">
        <f t="shared" si="54"/>
        <v>804.66666666666674</v>
      </c>
      <c r="BZ36" s="181">
        <f t="shared" si="55"/>
        <v>0.78824489795918373</v>
      </c>
      <c r="CA36" s="520" t="b">
        <f t="shared" si="56"/>
        <v>0</v>
      </c>
    </row>
    <row r="37" spans="1:79" s="151" customFormat="1">
      <c r="A37" s="151" t="s">
        <v>194</v>
      </c>
      <c r="B37" s="520" t="str">
        <f t="shared" si="48"/>
        <v>4EoKPremium2e PVCNationaal1</v>
      </c>
      <c r="C37" s="179">
        <v>4</v>
      </c>
      <c r="D37" s="179" t="s">
        <v>303</v>
      </c>
      <c r="E37" s="178" t="s">
        <v>267</v>
      </c>
      <c r="F37" s="178" t="s">
        <v>440</v>
      </c>
      <c r="G37" s="530" t="s">
        <v>266</v>
      </c>
      <c r="H37" s="531" t="s">
        <v>362</v>
      </c>
      <c r="J37" s="520" t="str">
        <f t="shared" si="70"/>
        <v>Premium2e PVCNationaal1</v>
      </c>
      <c r="L37" s="204">
        <f>INDEX(Mapping!$H:$H,MATCH(C$3&amp;C37,Mapping!$B:$B,0))</f>
        <v>1</v>
      </c>
      <c r="M37" s="204" t="str">
        <f>INDEX(Mapping!$H:$H,MATCH(D$3&amp;D37,Mapping!$B:$B,0))</f>
        <v>EoK</v>
      </c>
      <c r="N37" s="204" t="str">
        <f>INDEX(Mapping!$H:$H,MATCH(E$3&amp;E37,Mapping!$B:$B,0))</f>
        <v>Premium</v>
      </c>
      <c r="O37" s="204" t="str">
        <f>INDEX(Mapping!$H:$H,MATCH(F$3&amp;F37,Mapping!$B:$B,0))</f>
        <v>multiple</v>
      </c>
      <c r="P37" s="204" t="str">
        <f>INDEX(Mapping!$H:$H,MATCH(G$3&amp;G37,Mapping!$B:$B,0))</f>
        <v>Metro</v>
      </c>
      <c r="Q37" s="204">
        <f>INDEX(Mapping!$H:$H,MATCH(H$3&amp;H37,Mapping!$B:$B,0))</f>
        <v>1</v>
      </c>
      <c r="R37" s="204" t="str">
        <f>INDEX(Mapping!$H:$H,MATCH(R$3&amp;$G37,Mapping!$B:$B,0))</f>
        <v>Metro - Nationaal</v>
      </c>
      <c r="S37" s="139"/>
      <c r="T37" s="139"/>
      <c r="U37" s="520" t="str">
        <f t="shared" si="49"/>
        <v>PremiummultipleMetro1</v>
      </c>
      <c r="W37" s="521">
        <f>MATCH($J37,'Tarieven ZM'!$B:$B,0)</f>
        <v>129</v>
      </c>
      <c r="X37" s="204">
        <f>INDEX('Tarieven ZM'!$H:$H,$W37)</f>
        <v>1000</v>
      </c>
      <c r="Y37" s="198">
        <f>-INDEX(Parameters!$B:$B,MATCH(Y$3&amp;$C37,Parameters!$A:$A,0))*$X37</f>
        <v>0</v>
      </c>
      <c r="Z37" s="198">
        <f>-INDEX(Parameters!$B:$B,MATCH(Z$3&amp;$C37,Parameters!$A:$A,0))*$X37</f>
        <v>0</v>
      </c>
      <c r="AA37" s="139">
        <f t="shared" si="71"/>
        <v>1000</v>
      </c>
      <c r="AB37" s="532">
        <f>AA37/INDEX(Parameters!$B:$B,MATCH("AfschrijftermijnVVE"&amp;12*$C37,Parameters!$A:$A,0))</f>
        <v>20.833333333333332</v>
      </c>
      <c r="AC37" s="204">
        <f>INDEX('Tarieven ZM'!$G:$G,$W37)</f>
        <v>1000</v>
      </c>
      <c r="AD37" s="198">
        <f>-INDEX(Parameters!$B:$B,MATCH(AD$3&amp;$C37,Parameters!$A:$A,0))*$AC37</f>
        <v>0</v>
      </c>
      <c r="AE37" s="198">
        <f>-INDEX(Parameters!$B:$B,MATCH(AE$3,Parameters!$A:$A,0))*$AC37</f>
        <v>0</v>
      </c>
      <c r="AF37" s="139">
        <f t="shared" si="72"/>
        <v>1000</v>
      </c>
      <c r="AG37" s="522">
        <f t="shared" si="73"/>
        <v>1020.8333333333334</v>
      </c>
      <c r="AH37" s="175"/>
      <c r="AI37" s="523">
        <f>MATCH($U37,'Tarieven W&amp;O'!$B:$B,0)</f>
        <v>99</v>
      </c>
      <c r="AJ37" s="204">
        <f>IF(AI37&lt;&gt;"nvt",INDEX('Tarieven W&amp;O'!$H:$H,$AI37),0)</f>
        <v>0</v>
      </c>
      <c r="AK37" s="204">
        <f>IF(AI37&lt;&gt;"nvt",INDEX('Tarieven W&amp;O'!$I:$I,$AI37),0)</f>
        <v>25</v>
      </c>
      <c r="AL37" s="524">
        <f>IF(AI37&lt;&gt;"nvt",-INDEX(Parameters!$B:$B,MATCH(AL$3,Parameters!$A:$A,0))*(AJ37+AK37),0)</f>
        <v>0</v>
      </c>
      <c r="AM37" s="525"/>
      <c r="AN37" s="139">
        <f t="shared" si="74"/>
        <v>25</v>
      </c>
      <c r="AO37" s="205">
        <f>AN37/INDEX(Parameters!$B:$B,MATCH("AfschrijftermijnVVE"&amp;12*$C37,Parameters!$A:$A,0))</f>
        <v>0.52083333333333337</v>
      </c>
      <c r="AP37" s="139">
        <f t="shared" si="75"/>
        <v>99</v>
      </c>
      <c r="AQ37" s="526">
        <f>IF(AP37&lt;&gt;"nvt",INDEX('Tarieven W&amp;O'!$G:$G,$AP37),0)</f>
        <v>11.31</v>
      </c>
      <c r="AR37" s="251">
        <f>-INDEX(Parameters!$B:$B,MATCH(AR$3,Parameters!$A:$A,0))*(AQ37)</f>
        <v>0</v>
      </c>
      <c r="AS37" s="205"/>
      <c r="AT37" s="205">
        <f>INDEX(hulpblad!$E:$E,MATCH(M37&amp;R37,hulpblad!$B:$B,0))</f>
        <v>2</v>
      </c>
      <c r="AU37" s="150">
        <f t="shared" si="76"/>
        <v>13.31</v>
      </c>
      <c r="AV37" s="150">
        <f t="shared" si="77"/>
        <v>13.830833333333334</v>
      </c>
      <c r="AX37" s="526">
        <f>Parameters!$B$6*AV37</f>
        <v>0.13830833333333334</v>
      </c>
      <c r="AY37" s="150">
        <v>0</v>
      </c>
      <c r="AZ37" s="150"/>
      <c r="BA37" s="150">
        <f t="shared" si="78"/>
        <v>0.13830833333333334</v>
      </c>
      <c r="BB37" s="150"/>
      <c r="BC37" s="522">
        <f t="shared" si="79"/>
        <v>13.969141666666667</v>
      </c>
      <c r="BD37" s="175"/>
      <c r="BE37" s="527">
        <f t="shared" si="67"/>
        <v>1006.8641916666667</v>
      </c>
      <c r="BF37" s="181">
        <f t="shared" si="68"/>
        <v>0.98631594285714286</v>
      </c>
      <c r="BG37" s="520" t="b">
        <f t="shared" si="80"/>
        <v>0</v>
      </c>
      <c r="BI37" s="151" t="s">
        <v>2181</v>
      </c>
      <c r="BL37" s="151" t="str">
        <f t="shared" si="50"/>
        <v>EoKMetro - Nationaal</v>
      </c>
      <c r="BM37" s="529">
        <v>0</v>
      </c>
      <c r="BN37" s="180">
        <f>BM37/INDEX(Parameters!$B:$B,MATCH("AfschrijftermijnVVE"&amp;12*$C37,Parameters!$A:$A,0))</f>
        <v>0</v>
      </c>
      <c r="BO37" s="184">
        <f>INDEX('inkoop ULL tbv EVPN'!I:I,MATCH(BL37,'inkoop ULL tbv EVPN'!H:H,0))</f>
        <v>2</v>
      </c>
      <c r="BP37" s="184">
        <f t="shared" si="51"/>
        <v>2</v>
      </c>
      <c r="BR37" s="180">
        <f>Parameters!$B$12*AG37</f>
        <v>102.08333333333334</v>
      </c>
      <c r="BS37" s="180">
        <f>SUM(Distributievergoedingen!$F$12,Distributievergoedingen!$I$12,Distributievergoedingen!$L$12,Distributievergoedingen!$O$12)*AF37+SUM(Distributievergoedingen!$O$12*AA37+Distributievergoedingen!$R$12+Distributievergoedingen!$U$12+Distributievergoedingen!$X$12)/(MAX(36,12*C37))</f>
        <v>112.08333333333333</v>
      </c>
      <c r="BT37" s="150"/>
      <c r="BU37" s="150">
        <f t="shared" si="52"/>
        <v>214.16666666666669</v>
      </c>
      <c r="BW37" s="522">
        <f t="shared" si="53"/>
        <v>216.16666666666669</v>
      </c>
      <c r="BY37" s="527">
        <f t="shared" si="54"/>
        <v>804.66666666666674</v>
      </c>
      <c r="BZ37" s="181">
        <f t="shared" si="55"/>
        <v>0.78824489795918373</v>
      </c>
      <c r="CA37" s="520" t="b">
        <f t="shared" si="56"/>
        <v>0</v>
      </c>
    </row>
    <row r="38" spans="1:79" s="151" customFormat="1">
      <c r="A38" s="151" t="s">
        <v>194</v>
      </c>
      <c r="B38" s="520" t="str">
        <f t="shared" si="48"/>
        <v>4EoKPremium2e PVCNationaal2</v>
      </c>
      <c r="C38" s="179">
        <v>4</v>
      </c>
      <c r="D38" s="179" t="s">
        <v>303</v>
      </c>
      <c r="E38" s="178" t="s">
        <v>267</v>
      </c>
      <c r="F38" s="178" t="s">
        <v>440</v>
      </c>
      <c r="G38" s="530" t="s">
        <v>266</v>
      </c>
      <c r="H38" s="531" t="s">
        <v>363</v>
      </c>
      <c r="J38" s="520" t="str">
        <f t="shared" si="70"/>
        <v>Premium2e PVCNationaal2</v>
      </c>
      <c r="L38" s="204">
        <f>INDEX(Mapping!$H:$H,MATCH(C$3&amp;C38,Mapping!$B:$B,0))</f>
        <v>1</v>
      </c>
      <c r="M38" s="204" t="str">
        <f>INDEX(Mapping!$H:$H,MATCH(D$3&amp;D38,Mapping!$B:$B,0))</f>
        <v>EoK</v>
      </c>
      <c r="N38" s="204" t="str">
        <f>INDEX(Mapping!$H:$H,MATCH(E$3&amp;E38,Mapping!$B:$B,0))</f>
        <v>Premium</v>
      </c>
      <c r="O38" s="204" t="str">
        <f>INDEX(Mapping!$H:$H,MATCH(F$3&amp;F38,Mapping!$B:$B,0))</f>
        <v>multiple</v>
      </c>
      <c r="P38" s="204" t="str">
        <f>INDEX(Mapping!$H:$H,MATCH(G$3&amp;G38,Mapping!$B:$B,0))</f>
        <v>Metro</v>
      </c>
      <c r="Q38" s="204">
        <f>INDEX(Mapping!$H:$H,MATCH(H$3&amp;H38,Mapping!$B:$B,0))</f>
        <v>2</v>
      </c>
      <c r="R38" s="204" t="str">
        <f>INDEX(Mapping!$H:$H,MATCH(R$3&amp;$G38,Mapping!$B:$B,0))</f>
        <v>Metro - Nationaal</v>
      </c>
      <c r="S38" s="139"/>
      <c r="T38" s="139"/>
      <c r="U38" s="520" t="str">
        <f t="shared" si="49"/>
        <v>PremiummultipleMetro2</v>
      </c>
      <c r="W38" s="521">
        <f>MATCH($J38,'Tarieven ZM'!$B:$B,0)</f>
        <v>130</v>
      </c>
      <c r="X38" s="204">
        <f>INDEX('Tarieven ZM'!$H:$H,$W38)</f>
        <v>1000</v>
      </c>
      <c r="Y38" s="198">
        <f>-INDEX(Parameters!$B:$B,MATCH(Y$3&amp;$C38,Parameters!$A:$A,0))*$X38</f>
        <v>0</v>
      </c>
      <c r="Z38" s="198">
        <f>-INDEX(Parameters!$B:$B,MATCH(Z$3&amp;$C38,Parameters!$A:$A,0))*$X38</f>
        <v>0</v>
      </c>
      <c r="AA38" s="139">
        <f t="shared" si="71"/>
        <v>1000</v>
      </c>
      <c r="AB38" s="532">
        <f>AA38/INDEX(Parameters!$B:$B,MATCH("AfschrijftermijnVVE"&amp;12*$C38,Parameters!$A:$A,0))</f>
        <v>20.833333333333332</v>
      </c>
      <c r="AC38" s="204">
        <f>INDEX('Tarieven ZM'!$G:$G,$W38)</f>
        <v>1000</v>
      </c>
      <c r="AD38" s="198">
        <f>-INDEX(Parameters!$B:$B,MATCH(AD$3&amp;$C38,Parameters!$A:$A,0))*$AC38</f>
        <v>0</v>
      </c>
      <c r="AE38" s="198">
        <f>-INDEX(Parameters!$B:$B,MATCH(AE$3,Parameters!$A:$A,0))*$AC38</f>
        <v>0</v>
      </c>
      <c r="AF38" s="139">
        <f t="shared" si="72"/>
        <v>1000</v>
      </c>
      <c r="AG38" s="522">
        <f t="shared" si="73"/>
        <v>1020.8333333333334</v>
      </c>
      <c r="AH38" s="175"/>
      <c r="AI38" s="523">
        <f>MATCH($U38,'Tarieven W&amp;O'!$B:$B,0)</f>
        <v>100</v>
      </c>
      <c r="AJ38" s="204">
        <f>IF(AI38&lt;&gt;"nvt",INDEX('Tarieven W&amp;O'!$H:$H,$AI38),0)</f>
        <v>0</v>
      </c>
      <c r="AK38" s="204">
        <f>IF(AI38&lt;&gt;"nvt",INDEX('Tarieven W&amp;O'!$I:$I,$AI38),0)</f>
        <v>25</v>
      </c>
      <c r="AL38" s="524">
        <f>IF(AI38&lt;&gt;"nvt",-INDEX(Parameters!$B:$B,MATCH(AL$3,Parameters!$A:$A,0))*(AJ38+AK38),0)</f>
        <v>0</v>
      </c>
      <c r="AM38" s="525"/>
      <c r="AN38" s="139">
        <f t="shared" si="74"/>
        <v>25</v>
      </c>
      <c r="AO38" s="205">
        <f>AN38/INDEX(Parameters!$B:$B,MATCH("AfschrijftermijnVVE"&amp;12*$C38,Parameters!$A:$A,0))</f>
        <v>0.52083333333333337</v>
      </c>
      <c r="AP38" s="139">
        <f t="shared" si="75"/>
        <v>100</v>
      </c>
      <c r="AQ38" s="526">
        <f>IF(AP38&lt;&gt;"nvt",INDEX('Tarieven W&amp;O'!$G:$G,$AP38),0)</f>
        <v>23.37</v>
      </c>
      <c r="AR38" s="251">
        <f>-INDEX(Parameters!$B:$B,MATCH(AR$3,Parameters!$A:$A,0))*(AQ38)</f>
        <v>0</v>
      </c>
      <c r="AS38" s="205"/>
      <c r="AT38" s="205">
        <f>INDEX(hulpblad!$E:$E,MATCH(M38&amp;R38,hulpblad!$B:$B,0))</f>
        <v>2</v>
      </c>
      <c r="AU38" s="150">
        <f t="shared" si="76"/>
        <v>25.37</v>
      </c>
      <c r="AV38" s="150">
        <f t="shared" si="77"/>
        <v>25.890833333333333</v>
      </c>
      <c r="AX38" s="526">
        <f>Parameters!$B$6*AV38</f>
        <v>0.25890833333333335</v>
      </c>
      <c r="AY38" s="150">
        <v>0</v>
      </c>
      <c r="AZ38" s="150"/>
      <c r="BA38" s="150">
        <f t="shared" si="78"/>
        <v>0.25890833333333335</v>
      </c>
      <c r="BB38" s="150"/>
      <c r="BC38" s="522">
        <f t="shared" si="79"/>
        <v>26.149741666666667</v>
      </c>
      <c r="BD38" s="175"/>
      <c r="BE38" s="527">
        <f t="shared" si="67"/>
        <v>994.68359166666676</v>
      </c>
      <c r="BF38" s="181">
        <f t="shared" si="68"/>
        <v>0.97438392653061234</v>
      </c>
      <c r="BG38" s="520" t="b">
        <f t="shared" si="80"/>
        <v>0</v>
      </c>
      <c r="BI38" s="151" t="s">
        <v>2181</v>
      </c>
      <c r="BL38" s="151" t="str">
        <f t="shared" si="50"/>
        <v>EoKMetro - Nationaal</v>
      </c>
      <c r="BM38" s="529">
        <v>0</v>
      </c>
      <c r="BN38" s="180">
        <f>BM38/INDEX(Parameters!$B:$B,MATCH("AfschrijftermijnVVE"&amp;12*$C38,Parameters!$A:$A,0))</f>
        <v>0</v>
      </c>
      <c r="BO38" s="184">
        <f>INDEX('inkoop ULL tbv EVPN'!I:I,MATCH(BL38,'inkoop ULL tbv EVPN'!H:H,0))</f>
        <v>2</v>
      </c>
      <c r="BP38" s="184">
        <f t="shared" si="51"/>
        <v>2</v>
      </c>
      <c r="BR38" s="180">
        <f>Parameters!$B$12*AG38</f>
        <v>102.08333333333334</v>
      </c>
      <c r="BS38" s="180">
        <f>SUM(Distributievergoedingen!$F$12,Distributievergoedingen!$I$12,Distributievergoedingen!$L$12,Distributievergoedingen!$O$12)*AF38+SUM(Distributievergoedingen!$O$12*AA38+Distributievergoedingen!$R$12+Distributievergoedingen!$U$12+Distributievergoedingen!$X$12)/(MAX(36,12*C38))</f>
        <v>112.08333333333333</v>
      </c>
      <c r="BT38" s="150"/>
      <c r="BU38" s="150">
        <f t="shared" si="52"/>
        <v>214.16666666666669</v>
      </c>
      <c r="BW38" s="522">
        <f t="shared" si="53"/>
        <v>216.16666666666669</v>
      </c>
      <c r="BY38" s="527">
        <f t="shared" si="54"/>
        <v>804.66666666666674</v>
      </c>
      <c r="BZ38" s="181">
        <f t="shared" si="55"/>
        <v>0.78824489795918373</v>
      </c>
      <c r="CA38" s="520" t="b">
        <f t="shared" si="56"/>
        <v>0</v>
      </c>
    </row>
    <row r="39" spans="1:79" s="151" customFormat="1">
      <c r="A39" s="151" t="s">
        <v>194</v>
      </c>
      <c r="B39" s="520" t="str">
        <f t="shared" si="48"/>
        <v>4EoKPremium2e PVCNationaal4</v>
      </c>
      <c r="C39" s="179">
        <v>4</v>
      </c>
      <c r="D39" s="179" t="s">
        <v>303</v>
      </c>
      <c r="E39" s="178" t="s">
        <v>267</v>
      </c>
      <c r="F39" s="178" t="s">
        <v>440</v>
      </c>
      <c r="G39" s="530" t="s">
        <v>266</v>
      </c>
      <c r="H39" s="531" t="s">
        <v>408</v>
      </c>
      <c r="J39" s="520" t="str">
        <f t="shared" si="70"/>
        <v>Premium2e PVCNationaal4</v>
      </c>
      <c r="L39" s="204">
        <f>INDEX(Mapping!$H:$H,MATCH(C$3&amp;C39,Mapping!$B:$B,0))</f>
        <v>1</v>
      </c>
      <c r="M39" s="204" t="str">
        <f>INDEX(Mapping!$H:$H,MATCH(D$3&amp;D39,Mapping!$B:$B,0))</f>
        <v>EoK</v>
      </c>
      <c r="N39" s="204" t="str">
        <f>INDEX(Mapping!$H:$H,MATCH(E$3&amp;E39,Mapping!$B:$B,0))</f>
        <v>Premium</v>
      </c>
      <c r="O39" s="204" t="str">
        <f>INDEX(Mapping!$H:$H,MATCH(F$3&amp;F39,Mapping!$B:$B,0))</f>
        <v>multiple</v>
      </c>
      <c r="P39" s="204" t="str">
        <f>INDEX(Mapping!$H:$H,MATCH(G$3&amp;G39,Mapping!$B:$B,0))</f>
        <v>Metro</v>
      </c>
      <c r="Q39" s="204">
        <f>INDEX(Mapping!$H:$H,MATCH(H$3&amp;H39,Mapping!$B:$B,0))</f>
        <v>4</v>
      </c>
      <c r="R39" s="204" t="str">
        <f>INDEX(Mapping!$H:$H,MATCH(R$3&amp;$G39,Mapping!$B:$B,0))</f>
        <v>Metro - Nationaal</v>
      </c>
      <c r="S39" s="139"/>
      <c r="T39" s="139"/>
      <c r="U39" s="520" t="str">
        <f t="shared" si="49"/>
        <v>PremiummultipleMetro4</v>
      </c>
      <c r="W39" s="521">
        <f>MATCH($J39,'Tarieven ZM'!$B:$B,0)</f>
        <v>131</v>
      </c>
      <c r="X39" s="204">
        <f>INDEX('Tarieven ZM'!$H:$H,$W39)</f>
        <v>1000</v>
      </c>
      <c r="Y39" s="198">
        <f>-INDEX(Parameters!$B:$B,MATCH(Y$3&amp;$C39,Parameters!$A:$A,0))*$X39</f>
        <v>0</v>
      </c>
      <c r="Z39" s="198">
        <f>-INDEX(Parameters!$B:$B,MATCH(Z$3&amp;$C39,Parameters!$A:$A,0))*$X39</f>
        <v>0</v>
      </c>
      <c r="AA39" s="139">
        <f t="shared" si="71"/>
        <v>1000</v>
      </c>
      <c r="AB39" s="532">
        <f>AA39/INDEX(Parameters!$B:$B,MATCH("AfschrijftermijnVVE"&amp;12*$C39,Parameters!$A:$A,0))</f>
        <v>20.833333333333332</v>
      </c>
      <c r="AC39" s="204">
        <f>INDEX('Tarieven ZM'!$G:$G,$W39)</f>
        <v>1000</v>
      </c>
      <c r="AD39" s="198">
        <f>-INDEX(Parameters!$B:$B,MATCH(AD$3&amp;$C39,Parameters!$A:$A,0))*$AC39</f>
        <v>0</v>
      </c>
      <c r="AE39" s="198">
        <f>-INDEX(Parameters!$B:$B,MATCH(AE$3,Parameters!$A:$A,0))*$AC39</f>
        <v>0</v>
      </c>
      <c r="AF39" s="139">
        <f t="shared" si="72"/>
        <v>1000</v>
      </c>
      <c r="AG39" s="522">
        <f t="shared" si="73"/>
        <v>1020.8333333333334</v>
      </c>
      <c r="AH39" s="175"/>
      <c r="AI39" s="523">
        <f>MATCH($U39,'Tarieven W&amp;O'!$B:$B,0)</f>
        <v>101</v>
      </c>
      <c r="AJ39" s="204">
        <f>IF(AI39&lt;&gt;"nvt",INDEX('Tarieven W&amp;O'!$H:$H,$AI39),0)</f>
        <v>0</v>
      </c>
      <c r="AK39" s="204">
        <f>IF(AI39&lt;&gt;"nvt",INDEX('Tarieven W&amp;O'!$I:$I,$AI39),0)</f>
        <v>25</v>
      </c>
      <c r="AL39" s="524">
        <f>IF(AI39&lt;&gt;"nvt",-INDEX(Parameters!$B:$B,MATCH(AL$3,Parameters!$A:$A,0))*(AJ39+AK39),0)</f>
        <v>0</v>
      </c>
      <c r="AM39" s="525"/>
      <c r="AN39" s="139">
        <f t="shared" si="74"/>
        <v>25</v>
      </c>
      <c r="AO39" s="205">
        <f>AN39/INDEX(Parameters!$B:$B,MATCH("AfschrijftermijnVVE"&amp;12*$C39,Parameters!$A:$A,0))</f>
        <v>0.52083333333333337</v>
      </c>
      <c r="AP39" s="139">
        <f t="shared" si="75"/>
        <v>101</v>
      </c>
      <c r="AQ39" s="526">
        <f>IF(AP39&lt;&gt;"nvt",INDEX('Tarieven W&amp;O'!$G:$G,$AP39),0)</f>
        <v>45.98</v>
      </c>
      <c r="AR39" s="251">
        <f>-INDEX(Parameters!$B:$B,MATCH(AR$3,Parameters!$A:$A,0))*(AQ39)</f>
        <v>0</v>
      </c>
      <c r="AS39" s="205"/>
      <c r="AT39" s="205">
        <f>INDEX(hulpblad!$E:$E,MATCH(M39&amp;R39,hulpblad!$B:$B,0))</f>
        <v>2</v>
      </c>
      <c r="AU39" s="150">
        <f t="shared" si="76"/>
        <v>47.98</v>
      </c>
      <c r="AV39" s="150">
        <f t="shared" si="77"/>
        <v>48.500833333333333</v>
      </c>
      <c r="AX39" s="526">
        <f>Parameters!$B$6*AV39</f>
        <v>0.48500833333333332</v>
      </c>
      <c r="AY39" s="150">
        <v>0</v>
      </c>
      <c r="AZ39" s="150"/>
      <c r="BA39" s="150">
        <f t="shared" si="78"/>
        <v>0.48500833333333332</v>
      </c>
      <c r="BB39" s="150"/>
      <c r="BC39" s="522">
        <f t="shared" si="79"/>
        <v>48.985841666666666</v>
      </c>
      <c r="BD39" s="175"/>
      <c r="BE39" s="527">
        <f t="shared" si="67"/>
        <v>971.84749166666666</v>
      </c>
      <c r="BF39" s="181">
        <f t="shared" si="68"/>
        <v>0.95201386938775501</v>
      </c>
      <c r="BG39" s="520" t="b">
        <f t="shared" si="80"/>
        <v>0</v>
      </c>
      <c r="BI39" s="151" t="s">
        <v>2181</v>
      </c>
      <c r="BL39" s="151" t="str">
        <f t="shared" si="50"/>
        <v>EoKMetro - Nationaal</v>
      </c>
      <c r="BM39" s="529">
        <v>0</v>
      </c>
      <c r="BN39" s="180">
        <f>BM39/INDEX(Parameters!$B:$B,MATCH("AfschrijftermijnVVE"&amp;12*$C39,Parameters!$A:$A,0))</f>
        <v>0</v>
      </c>
      <c r="BO39" s="184">
        <f>INDEX('inkoop ULL tbv EVPN'!I:I,MATCH(BL39,'inkoop ULL tbv EVPN'!H:H,0))</f>
        <v>2</v>
      </c>
      <c r="BP39" s="184">
        <f t="shared" si="51"/>
        <v>2</v>
      </c>
      <c r="BR39" s="180">
        <f>Parameters!$B$12*AG39</f>
        <v>102.08333333333334</v>
      </c>
      <c r="BS39" s="180">
        <f>SUM(Distributievergoedingen!$F$12,Distributievergoedingen!$I$12,Distributievergoedingen!$L$12,Distributievergoedingen!$O$12)*AF39+SUM(Distributievergoedingen!$O$12*AA39+Distributievergoedingen!$R$12+Distributievergoedingen!$U$12+Distributievergoedingen!$X$12)/(MAX(36,12*C39))</f>
        <v>112.08333333333333</v>
      </c>
      <c r="BT39" s="150"/>
      <c r="BU39" s="150">
        <f t="shared" si="52"/>
        <v>214.16666666666669</v>
      </c>
      <c r="BW39" s="522">
        <f t="shared" si="53"/>
        <v>216.16666666666669</v>
      </c>
      <c r="BY39" s="527">
        <f t="shared" si="54"/>
        <v>804.66666666666674</v>
      </c>
      <c r="BZ39" s="181">
        <f t="shared" si="55"/>
        <v>0.78824489795918373</v>
      </c>
      <c r="CA39" s="520" t="b">
        <f t="shared" si="56"/>
        <v>0</v>
      </c>
    </row>
    <row r="40" spans="1:79" s="151" customFormat="1">
      <c r="A40" s="151" t="s">
        <v>194</v>
      </c>
      <c r="B40" s="520" t="str">
        <f t="shared" si="48"/>
        <v>5EoKPremium2e PVCCity1</v>
      </c>
      <c r="C40" s="179">
        <v>5</v>
      </c>
      <c r="D40" s="179" t="s">
        <v>303</v>
      </c>
      <c r="E40" s="178" t="s">
        <v>267</v>
      </c>
      <c r="F40" s="178" t="s">
        <v>440</v>
      </c>
      <c r="G40" s="530" t="s">
        <v>262</v>
      </c>
      <c r="H40" s="531" t="s">
        <v>362</v>
      </c>
      <c r="J40" s="520" t="str">
        <f t="shared" ref="J40:J48" si="81">E40&amp;F40&amp;G40&amp;H40</f>
        <v>Premium2e PVCCity1</v>
      </c>
      <c r="L40" s="204">
        <f>INDEX(Mapping!$H:$H,MATCH(C$3&amp;C40,Mapping!$B:$B,0))</f>
        <v>1</v>
      </c>
      <c r="M40" s="204" t="str">
        <f>INDEX(Mapping!$H:$H,MATCH(D$3&amp;D40,Mapping!$B:$B,0))</f>
        <v>EoK</v>
      </c>
      <c r="N40" s="204" t="str">
        <f>INDEX(Mapping!$H:$H,MATCH(E$3&amp;E40,Mapping!$B:$B,0))</f>
        <v>Premium</v>
      </c>
      <c r="O40" s="204" t="str">
        <f>INDEX(Mapping!$H:$H,MATCH(F$3&amp;F40,Mapping!$B:$B,0))</f>
        <v>multiple</v>
      </c>
      <c r="P40" s="204" t="str">
        <f>INDEX(Mapping!$H:$H,MATCH(G$3&amp;G40,Mapping!$B:$B,0))</f>
        <v>Metro</v>
      </c>
      <c r="Q40" s="204">
        <f>INDEX(Mapping!$H:$H,MATCH(H$3&amp;H40,Mapping!$B:$B,0))</f>
        <v>1</v>
      </c>
      <c r="R40" s="204" t="str">
        <f>INDEX(Mapping!$H:$H,MATCH(R$3&amp;$G40,Mapping!$B:$B,0))</f>
        <v>Metro - Regionaal</v>
      </c>
      <c r="S40" s="139"/>
      <c r="T40" s="139"/>
      <c r="U40" s="520" t="str">
        <f t="shared" si="49"/>
        <v>PremiummultipleMetro1</v>
      </c>
      <c r="W40" s="521">
        <f>MATCH($J40,'Tarieven ZM'!$B:$B,0)</f>
        <v>123</v>
      </c>
      <c r="X40" s="204">
        <f>INDEX('Tarieven ZM'!$H:$H,$W40)</f>
        <v>1000</v>
      </c>
      <c r="Y40" s="198">
        <f>-INDEX(Parameters!$B:$B,MATCH(Y$3&amp;$C40,Parameters!$A:$A,0))*$X40</f>
        <v>0</v>
      </c>
      <c r="Z40" s="198">
        <f>-INDEX(Parameters!$B:$B,MATCH(Z$3&amp;$C40,Parameters!$A:$A,0))*$X40</f>
        <v>0</v>
      </c>
      <c r="AA40" s="139">
        <f t="shared" ref="AA40:AA48" si="82">SUM(X40:Z40)</f>
        <v>1000</v>
      </c>
      <c r="AB40" s="532">
        <f>AA40/INDEX(Parameters!$B:$B,MATCH("AfschrijftermijnVVE"&amp;12*$C40,Parameters!$A:$A,0))</f>
        <v>16.666666666666668</v>
      </c>
      <c r="AC40" s="204">
        <f>INDEX('Tarieven ZM'!$G:$G,$W40)</f>
        <v>1000</v>
      </c>
      <c r="AD40" s="198">
        <f>-INDEX(Parameters!$B:$B,MATCH(AD$3&amp;$C40,Parameters!$A:$A,0))*$AC40</f>
        <v>0</v>
      </c>
      <c r="AE40" s="198">
        <f>-INDEX(Parameters!$B:$B,MATCH(AE$3,Parameters!$A:$A,0))*$AC40</f>
        <v>0</v>
      </c>
      <c r="AF40" s="139">
        <f t="shared" ref="AF40:AF48" si="83">SUM(AC40:AE40)</f>
        <v>1000</v>
      </c>
      <c r="AG40" s="522">
        <f t="shared" ref="AG40:AG48" si="84">SUM(AB40,AF40)</f>
        <v>1016.6666666666666</v>
      </c>
      <c r="AH40" s="175"/>
      <c r="AI40" s="523">
        <f>MATCH($U40,'Tarieven W&amp;O'!$B:$B,0)</f>
        <v>99</v>
      </c>
      <c r="AJ40" s="204">
        <f>IF(AI40&lt;&gt;"nvt",INDEX('Tarieven W&amp;O'!$H:$H,$AI40),0)</f>
        <v>0</v>
      </c>
      <c r="AK40" s="204">
        <f>IF(AI40&lt;&gt;"nvt",INDEX('Tarieven W&amp;O'!$I:$I,$AI40),0)</f>
        <v>25</v>
      </c>
      <c r="AL40" s="524">
        <f>IF(AI40&lt;&gt;"nvt",-INDEX(Parameters!$B:$B,MATCH(AL$3,Parameters!$A:$A,0))*(AJ40+AK40),0)</f>
        <v>0</v>
      </c>
      <c r="AM40" s="525"/>
      <c r="AN40" s="139">
        <f t="shared" ref="AN40:AN48" si="85">SUM(AJ40:AM40)</f>
        <v>25</v>
      </c>
      <c r="AO40" s="205">
        <f>AN40/INDEX(Parameters!$B:$B,MATCH("AfschrijftermijnVVE"&amp;12*$C40,Parameters!$A:$A,0))</f>
        <v>0.41666666666666669</v>
      </c>
      <c r="AP40" s="139">
        <f t="shared" ref="AP40:AP48" si="86">AI40</f>
        <v>99</v>
      </c>
      <c r="AQ40" s="526">
        <f>IF(AP40&lt;&gt;"nvt",INDEX('Tarieven W&amp;O'!$G:$G,$AP40),0)</f>
        <v>11.31</v>
      </c>
      <c r="AR40" s="251">
        <f>-INDEX(Parameters!$B:$B,MATCH(AR$3,Parameters!$A:$A,0))*(AQ40)</f>
        <v>0</v>
      </c>
      <c r="AS40" s="205"/>
      <c r="AT40" s="205">
        <f>INDEX(hulpblad!$E:$E,MATCH(M40&amp;R40,hulpblad!$B:$B,0))</f>
        <v>1</v>
      </c>
      <c r="AU40" s="150">
        <f t="shared" ref="AU40:AU48" si="87">SUM(AQ40:AT40)</f>
        <v>12.31</v>
      </c>
      <c r="AV40" s="150">
        <f t="shared" ref="AV40:AV48" si="88">SUM(AO40,AU40)</f>
        <v>12.726666666666667</v>
      </c>
      <c r="AX40" s="526">
        <f>Parameters!$B$6*AV40</f>
        <v>0.12726666666666667</v>
      </c>
      <c r="AY40" s="150">
        <v>0</v>
      </c>
      <c r="AZ40" s="150"/>
      <c r="BA40" s="150">
        <f t="shared" ref="BA40:BA48" si="89">SUM(AX40:AZ40)</f>
        <v>0.12726666666666667</v>
      </c>
      <c r="BB40" s="150"/>
      <c r="BC40" s="522">
        <f t="shared" ref="BC40:BC48" si="90">SUM(AV40,BA40)</f>
        <v>12.853933333333334</v>
      </c>
      <c r="BD40" s="175"/>
      <c r="BE40" s="527">
        <f t="shared" ref="BE40:BE48" si="91">AG40-BC40</f>
        <v>1003.8127333333333</v>
      </c>
      <c r="BF40" s="181">
        <f t="shared" ref="BF40:BF48" si="92">IF(AG40=0,-999%,BE40/AG40)</f>
        <v>0.98735678688524586</v>
      </c>
      <c r="BG40" s="520" t="b">
        <f t="shared" ref="BG40:BG48" si="93">BF40&lt;0</f>
        <v>0</v>
      </c>
      <c r="BI40" s="151" t="s">
        <v>2181</v>
      </c>
      <c r="BL40" s="151" t="str">
        <f t="shared" si="50"/>
        <v>EoKMetro - Regionaal</v>
      </c>
      <c r="BM40" s="529">
        <v>0</v>
      </c>
      <c r="BN40" s="180">
        <f>BM40/INDEX(Parameters!$B:$B,MATCH("AfschrijftermijnVVE"&amp;12*$C40,Parameters!$A:$A,0))</f>
        <v>0</v>
      </c>
      <c r="BO40" s="184">
        <f>INDEX('inkoop ULL tbv EVPN'!I:I,MATCH(BL40,'inkoop ULL tbv EVPN'!H:H,0))</f>
        <v>2</v>
      </c>
      <c r="BP40" s="184">
        <f t="shared" si="51"/>
        <v>2</v>
      </c>
      <c r="BR40" s="180">
        <f>Parameters!$B$12*AG40</f>
        <v>101.66666666666667</v>
      </c>
      <c r="BS40" s="180">
        <f>SUM(Distributievergoedingen!$F$12,Distributievergoedingen!$I$12,Distributievergoedingen!$L$12,Distributievergoedingen!$O$12)*AF40+SUM(Distributievergoedingen!$O$12*AA40+Distributievergoedingen!$R$12+Distributievergoedingen!$U$12+Distributievergoedingen!$X$12)/(MAX(36,12*C40))</f>
        <v>111.66666666666667</v>
      </c>
      <c r="BT40" s="150"/>
      <c r="BU40" s="150">
        <f t="shared" si="52"/>
        <v>213.33333333333334</v>
      </c>
      <c r="BW40" s="522">
        <f t="shared" si="53"/>
        <v>215.33333333333334</v>
      </c>
      <c r="BY40" s="527">
        <f t="shared" si="54"/>
        <v>801.33333333333326</v>
      </c>
      <c r="BZ40" s="181">
        <f t="shared" si="55"/>
        <v>0.78819672131147533</v>
      </c>
      <c r="CA40" s="520" t="b">
        <f t="shared" si="56"/>
        <v>0</v>
      </c>
    </row>
    <row r="41" spans="1:79" s="151" customFormat="1">
      <c r="A41" s="151" t="s">
        <v>194</v>
      </c>
      <c r="B41" s="520" t="str">
        <f t="shared" si="48"/>
        <v>5EoKPremium2e PVCCity2</v>
      </c>
      <c r="C41" s="179">
        <v>5</v>
      </c>
      <c r="D41" s="179" t="s">
        <v>303</v>
      </c>
      <c r="E41" s="178" t="s">
        <v>267</v>
      </c>
      <c r="F41" s="178" t="s">
        <v>440</v>
      </c>
      <c r="G41" s="530" t="s">
        <v>262</v>
      </c>
      <c r="H41" s="531" t="s">
        <v>363</v>
      </c>
      <c r="J41" s="520" t="str">
        <f t="shared" si="81"/>
        <v>Premium2e PVCCity2</v>
      </c>
      <c r="L41" s="204">
        <f>INDEX(Mapping!$H:$H,MATCH(C$3&amp;C41,Mapping!$B:$B,0))</f>
        <v>1</v>
      </c>
      <c r="M41" s="204" t="str">
        <f>INDEX(Mapping!$H:$H,MATCH(D$3&amp;D41,Mapping!$B:$B,0))</f>
        <v>EoK</v>
      </c>
      <c r="N41" s="204" t="str">
        <f>INDEX(Mapping!$H:$H,MATCH(E$3&amp;E41,Mapping!$B:$B,0))</f>
        <v>Premium</v>
      </c>
      <c r="O41" s="204" t="str">
        <f>INDEX(Mapping!$H:$H,MATCH(F$3&amp;F41,Mapping!$B:$B,0))</f>
        <v>multiple</v>
      </c>
      <c r="P41" s="204" t="str">
        <f>INDEX(Mapping!$H:$H,MATCH(G$3&amp;G41,Mapping!$B:$B,0))</f>
        <v>Metro</v>
      </c>
      <c r="Q41" s="204">
        <f>INDEX(Mapping!$H:$H,MATCH(H$3&amp;H41,Mapping!$B:$B,0))</f>
        <v>2</v>
      </c>
      <c r="R41" s="204" t="str">
        <f>INDEX(Mapping!$H:$H,MATCH(R$3&amp;$G41,Mapping!$B:$B,0))</f>
        <v>Metro - Regionaal</v>
      </c>
      <c r="S41" s="139"/>
      <c r="T41" s="139"/>
      <c r="U41" s="520" t="str">
        <f t="shared" si="49"/>
        <v>PremiummultipleMetro2</v>
      </c>
      <c r="W41" s="521">
        <f>MATCH($J41,'Tarieven ZM'!$B:$B,0)</f>
        <v>124</v>
      </c>
      <c r="X41" s="204">
        <f>INDEX('Tarieven ZM'!$H:$H,$W41)</f>
        <v>1000</v>
      </c>
      <c r="Y41" s="198">
        <f>-INDEX(Parameters!$B:$B,MATCH(Y$3&amp;$C41,Parameters!$A:$A,0))*$X41</f>
        <v>0</v>
      </c>
      <c r="Z41" s="198">
        <f>-INDEX(Parameters!$B:$B,MATCH(Z$3&amp;$C41,Parameters!$A:$A,0))*$X41</f>
        <v>0</v>
      </c>
      <c r="AA41" s="139">
        <f t="shared" si="82"/>
        <v>1000</v>
      </c>
      <c r="AB41" s="532">
        <f>AA41/INDEX(Parameters!$B:$B,MATCH("AfschrijftermijnVVE"&amp;12*$C41,Parameters!$A:$A,0))</f>
        <v>16.666666666666668</v>
      </c>
      <c r="AC41" s="204">
        <f>INDEX('Tarieven ZM'!$G:$G,$W41)</f>
        <v>1000</v>
      </c>
      <c r="AD41" s="198">
        <f>-INDEX(Parameters!$B:$B,MATCH(AD$3&amp;$C41,Parameters!$A:$A,0))*$AC41</f>
        <v>0</v>
      </c>
      <c r="AE41" s="198">
        <f>-INDEX(Parameters!$B:$B,MATCH(AE$3,Parameters!$A:$A,0))*$AC41</f>
        <v>0</v>
      </c>
      <c r="AF41" s="139">
        <f t="shared" si="83"/>
        <v>1000</v>
      </c>
      <c r="AG41" s="522">
        <f t="shared" si="84"/>
        <v>1016.6666666666666</v>
      </c>
      <c r="AH41" s="175"/>
      <c r="AI41" s="523">
        <f>MATCH($U41,'Tarieven W&amp;O'!$B:$B,0)</f>
        <v>100</v>
      </c>
      <c r="AJ41" s="204">
        <f>IF(AI41&lt;&gt;"nvt",INDEX('Tarieven W&amp;O'!$H:$H,$AI41),0)</f>
        <v>0</v>
      </c>
      <c r="AK41" s="204">
        <f>IF(AI41&lt;&gt;"nvt",INDEX('Tarieven W&amp;O'!$I:$I,$AI41),0)</f>
        <v>25</v>
      </c>
      <c r="AL41" s="524">
        <f>IF(AI41&lt;&gt;"nvt",-INDEX(Parameters!$B:$B,MATCH(AL$3,Parameters!$A:$A,0))*(AJ41+AK41),0)</f>
        <v>0</v>
      </c>
      <c r="AM41" s="525"/>
      <c r="AN41" s="139">
        <f t="shared" si="85"/>
        <v>25</v>
      </c>
      <c r="AO41" s="205">
        <f>AN41/INDEX(Parameters!$B:$B,MATCH("AfschrijftermijnVVE"&amp;12*$C41,Parameters!$A:$A,0))</f>
        <v>0.41666666666666669</v>
      </c>
      <c r="AP41" s="139">
        <f t="shared" si="86"/>
        <v>100</v>
      </c>
      <c r="AQ41" s="526">
        <f>IF(AP41&lt;&gt;"nvt",INDEX('Tarieven W&amp;O'!$G:$G,$AP41),0)</f>
        <v>23.37</v>
      </c>
      <c r="AR41" s="251">
        <f>-INDEX(Parameters!$B:$B,MATCH(AR$3,Parameters!$A:$A,0))*(AQ41)</f>
        <v>0</v>
      </c>
      <c r="AS41" s="205"/>
      <c r="AT41" s="205">
        <f>INDEX(hulpblad!$E:$E,MATCH(M41&amp;R41,hulpblad!$B:$B,0))</f>
        <v>1</v>
      </c>
      <c r="AU41" s="150">
        <f t="shared" si="87"/>
        <v>24.37</v>
      </c>
      <c r="AV41" s="150">
        <f t="shared" si="88"/>
        <v>24.786666666666669</v>
      </c>
      <c r="AX41" s="526">
        <f>Parameters!$B$6*AV41</f>
        <v>0.24786666666666671</v>
      </c>
      <c r="AY41" s="150">
        <v>0</v>
      </c>
      <c r="AZ41" s="150"/>
      <c r="BA41" s="150">
        <f t="shared" si="89"/>
        <v>0.24786666666666671</v>
      </c>
      <c r="BB41" s="150"/>
      <c r="BC41" s="522">
        <f t="shared" si="90"/>
        <v>25.034533333333336</v>
      </c>
      <c r="BD41" s="175"/>
      <c r="BE41" s="527">
        <f t="shared" si="91"/>
        <v>991.63213333333329</v>
      </c>
      <c r="BF41" s="181">
        <f t="shared" si="92"/>
        <v>0.97537586885245897</v>
      </c>
      <c r="BG41" s="520" t="b">
        <f t="shared" si="93"/>
        <v>0</v>
      </c>
      <c r="BI41" s="151" t="s">
        <v>2181</v>
      </c>
      <c r="BL41" s="151" t="str">
        <f t="shared" si="50"/>
        <v>EoKMetro - Regionaal</v>
      </c>
      <c r="BM41" s="529">
        <v>0</v>
      </c>
      <c r="BN41" s="180">
        <f>BM41/INDEX(Parameters!$B:$B,MATCH("AfschrijftermijnVVE"&amp;12*$C41,Parameters!$A:$A,0))</f>
        <v>0</v>
      </c>
      <c r="BO41" s="184">
        <f>INDEX('inkoop ULL tbv EVPN'!I:I,MATCH(BL41,'inkoop ULL tbv EVPN'!H:H,0))</f>
        <v>2</v>
      </c>
      <c r="BP41" s="184">
        <f t="shared" si="51"/>
        <v>2</v>
      </c>
      <c r="BR41" s="180">
        <f>Parameters!$B$12*AG41</f>
        <v>101.66666666666667</v>
      </c>
      <c r="BS41" s="180">
        <f>SUM(Distributievergoedingen!$F$12,Distributievergoedingen!$I$12,Distributievergoedingen!$L$12,Distributievergoedingen!$O$12)*AF41+SUM(Distributievergoedingen!$O$12*AA41+Distributievergoedingen!$R$12+Distributievergoedingen!$U$12+Distributievergoedingen!$X$12)/(MAX(36,12*C41))</f>
        <v>111.66666666666667</v>
      </c>
      <c r="BT41" s="150"/>
      <c r="BU41" s="150">
        <f t="shared" si="52"/>
        <v>213.33333333333334</v>
      </c>
      <c r="BW41" s="522">
        <f t="shared" si="53"/>
        <v>215.33333333333334</v>
      </c>
      <c r="BY41" s="527">
        <f t="shared" si="54"/>
        <v>801.33333333333326</v>
      </c>
      <c r="BZ41" s="181">
        <f t="shared" si="55"/>
        <v>0.78819672131147533</v>
      </c>
      <c r="CA41" s="520" t="b">
        <f t="shared" si="56"/>
        <v>0</v>
      </c>
    </row>
    <row r="42" spans="1:79" s="151" customFormat="1">
      <c r="A42" s="151" t="s">
        <v>194</v>
      </c>
      <c r="B42" s="520" t="str">
        <f t="shared" si="48"/>
        <v>5EoKPremium2e PVCCity4</v>
      </c>
      <c r="C42" s="179">
        <v>5</v>
      </c>
      <c r="D42" s="179" t="s">
        <v>303</v>
      </c>
      <c r="E42" s="178" t="s">
        <v>267</v>
      </c>
      <c r="F42" s="178" t="s">
        <v>440</v>
      </c>
      <c r="G42" s="530" t="s">
        <v>262</v>
      </c>
      <c r="H42" s="531" t="s">
        <v>408</v>
      </c>
      <c r="J42" s="520" t="str">
        <f t="shared" si="81"/>
        <v>Premium2e PVCCity4</v>
      </c>
      <c r="L42" s="204">
        <f>INDEX(Mapping!$H:$H,MATCH(C$3&amp;C42,Mapping!$B:$B,0))</f>
        <v>1</v>
      </c>
      <c r="M42" s="204" t="str">
        <f>INDEX(Mapping!$H:$H,MATCH(D$3&amp;D42,Mapping!$B:$B,0))</f>
        <v>EoK</v>
      </c>
      <c r="N42" s="204" t="str">
        <f>INDEX(Mapping!$H:$H,MATCH(E$3&amp;E42,Mapping!$B:$B,0))</f>
        <v>Premium</v>
      </c>
      <c r="O42" s="204" t="str">
        <f>INDEX(Mapping!$H:$H,MATCH(F$3&amp;F42,Mapping!$B:$B,0))</f>
        <v>multiple</v>
      </c>
      <c r="P42" s="204" t="str">
        <f>INDEX(Mapping!$H:$H,MATCH(G$3&amp;G42,Mapping!$B:$B,0))</f>
        <v>Metro</v>
      </c>
      <c r="Q42" s="204">
        <f>INDEX(Mapping!$H:$H,MATCH(H$3&amp;H42,Mapping!$B:$B,0))</f>
        <v>4</v>
      </c>
      <c r="R42" s="204" t="str">
        <f>INDEX(Mapping!$H:$H,MATCH(R$3&amp;$G42,Mapping!$B:$B,0))</f>
        <v>Metro - Regionaal</v>
      </c>
      <c r="S42" s="139"/>
      <c r="T42" s="139"/>
      <c r="U42" s="520" t="str">
        <f t="shared" si="49"/>
        <v>PremiummultipleMetro4</v>
      </c>
      <c r="W42" s="521">
        <f>MATCH($J42,'Tarieven ZM'!$B:$B,0)</f>
        <v>125</v>
      </c>
      <c r="X42" s="204">
        <f>INDEX('Tarieven ZM'!$H:$H,$W42)</f>
        <v>1000</v>
      </c>
      <c r="Y42" s="198">
        <f>-INDEX(Parameters!$B:$B,MATCH(Y$3&amp;$C42,Parameters!$A:$A,0))*$X42</f>
        <v>0</v>
      </c>
      <c r="Z42" s="198">
        <f>-INDEX(Parameters!$B:$B,MATCH(Z$3&amp;$C42,Parameters!$A:$A,0))*$X42</f>
        <v>0</v>
      </c>
      <c r="AA42" s="139">
        <f t="shared" si="82"/>
        <v>1000</v>
      </c>
      <c r="AB42" s="532">
        <f>AA42/INDEX(Parameters!$B:$B,MATCH("AfschrijftermijnVVE"&amp;12*$C42,Parameters!$A:$A,0))</f>
        <v>16.666666666666668</v>
      </c>
      <c r="AC42" s="204">
        <f>INDEX('Tarieven ZM'!$G:$G,$W42)</f>
        <v>1000</v>
      </c>
      <c r="AD42" s="198">
        <f>-INDEX(Parameters!$B:$B,MATCH(AD$3&amp;$C42,Parameters!$A:$A,0))*$AC42</f>
        <v>0</v>
      </c>
      <c r="AE42" s="198">
        <f>-INDEX(Parameters!$B:$B,MATCH(AE$3,Parameters!$A:$A,0))*$AC42</f>
        <v>0</v>
      </c>
      <c r="AF42" s="139">
        <f t="shared" si="83"/>
        <v>1000</v>
      </c>
      <c r="AG42" s="522">
        <f t="shared" si="84"/>
        <v>1016.6666666666666</v>
      </c>
      <c r="AH42" s="175"/>
      <c r="AI42" s="523">
        <f>MATCH($U42,'Tarieven W&amp;O'!$B:$B,0)</f>
        <v>101</v>
      </c>
      <c r="AJ42" s="204">
        <f>IF(AI42&lt;&gt;"nvt",INDEX('Tarieven W&amp;O'!$H:$H,$AI42),0)</f>
        <v>0</v>
      </c>
      <c r="AK42" s="204">
        <f>IF(AI42&lt;&gt;"nvt",INDEX('Tarieven W&amp;O'!$I:$I,$AI42),0)</f>
        <v>25</v>
      </c>
      <c r="AL42" s="524">
        <f>IF(AI42&lt;&gt;"nvt",-INDEX(Parameters!$B:$B,MATCH(AL$3,Parameters!$A:$A,0))*(AJ42+AK42),0)</f>
        <v>0</v>
      </c>
      <c r="AM42" s="525"/>
      <c r="AN42" s="139">
        <f t="shared" si="85"/>
        <v>25</v>
      </c>
      <c r="AO42" s="205">
        <f>AN42/INDEX(Parameters!$B:$B,MATCH("AfschrijftermijnVVE"&amp;12*$C42,Parameters!$A:$A,0))</f>
        <v>0.41666666666666669</v>
      </c>
      <c r="AP42" s="139">
        <f t="shared" si="86"/>
        <v>101</v>
      </c>
      <c r="AQ42" s="526">
        <f>IF(AP42&lt;&gt;"nvt",INDEX('Tarieven W&amp;O'!$G:$G,$AP42),0)</f>
        <v>45.98</v>
      </c>
      <c r="AR42" s="251">
        <f>-INDEX(Parameters!$B:$B,MATCH(AR$3,Parameters!$A:$A,0))*(AQ42)</f>
        <v>0</v>
      </c>
      <c r="AS42" s="205"/>
      <c r="AT42" s="205">
        <f>INDEX(hulpblad!$E:$E,MATCH(M42&amp;R42,hulpblad!$B:$B,0))</f>
        <v>1</v>
      </c>
      <c r="AU42" s="150">
        <f t="shared" si="87"/>
        <v>46.98</v>
      </c>
      <c r="AV42" s="150">
        <f t="shared" si="88"/>
        <v>47.396666666666661</v>
      </c>
      <c r="AX42" s="526">
        <f>Parameters!$B$6*AV42</f>
        <v>0.47396666666666665</v>
      </c>
      <c r="AY42" s="150">
        <v>0</v>
      </c>
      <c r="AZ42" s="150"/>
      <c r="BA42" s="150">
        <f t="shared" si="89"/>
        <v>0.47396666666666665</v>
      </c>
      <c r="BB42" s="150"/>
      <c r="BC42" s="522">
        <f t="shared" si="90"/>
        <v>47.87063333333333</v>
      </c>
      <c r="BD42" s="175"/>
      <c r="BE42" s="527">
        <f t="shared" si="91"/>
        <v>968.7960333333333</v>
      </c>
      <c r="BF42" s="181">
        <f t="shared" si="92"/>
        <v>0.95291413114754098</v>
      </c>
      <c r="BG42" s="520" t="b">
        <f t="shared" si="93"/>
        <v>0</v>
      </c>
      <c r="BI42" s="151" t="s">
        <v>2181</v>
      </c>
      <c r="BL42" s="151" t="str">
        <f t="shared" si="50"/>
        <v>EoKMetro - Regionaal</v>
      </c>
      <c r="BM42" s="529">
        <v>0</v>
      </c>
      <c r="BN42" s="180">
        <f>BM42/INDEX(Parameters!$B:$B,MATCH("AfschrijftermijnVVE"&amp;12*$C42,Parameters!$A:$A,0))</f>
        <v>0</v>
      </c>
      <c r="BO42" s="184">
        <f>INDEX('inkoop ULL tbv EVPN'!I:I,MATCH(BL42,'inkoop ULL tbv EVPN'!H:H,0))</f>
        <v>2</v>
      </c>
      <c r="BP42" s="184">
        <f t="shared" si="51"/>
        <v>2</v>
      </c>
      <c r="BR42" s="180">
        <f>Parameters!$B$12*AG42</f>
        <v>101.66666666666667</v>
      </c>
      <c r="BS42" s="180">
        <f>SUM(Distributievergoedingen!$F$12,Distributievergoedingen!$I$12,Distributievergoedingen!$L$12,Distributievergoedingen!$O$12)*AF42+SUM(Distributievergoedingen!$O$12*AA42+Distributievergoedingen!$R$12+Distributievergoedingen!$U$12+Distributievergoedingen!$X$12)/(MAX(36,12*C42))</f>
        <v>111.66666666666667</v>
      </c>
      <c r="BT42" s="150"/>
      <c r="BU42" s="150">
        <f t="shared" si="52"/>
        <v>213.33333333333334</v>
      </c>
      <c r="BW42" s="522">
        <f t="shared" si="53"/>
        <v>215.33333333333334</v>
      </c>
      <c r="BY42" s="527">
        <f t="shared" si="54"/>
        <v>801.33333333333326</v>
      </c>
      <c r="BZ42" s="181">
        <f t="shared" si="55"/>
        <v>0.78819672131147533</v>
      </c>
      <c r="CA42" s="520" t="b">
        <f t="shared" si="56"/>
        <v>0</v>
      </c>
    </row>
    <row r="43" spans="1:79" s="151" customFormat="1">
      <c r="A43" s="151" t="s">
        <v>194</v>
      </c>
      <c r="B43" s="520" t="str">
        <f t="shared" si="48"/>
        <v>5EoKPremium2e PVCRegionaal1</v>
      </c>
      <c r="C43" s="179">
        <v>5</v>
      </c>
      <c r="D43" s="179" t="s">
        <v>303</v>
      </c>
      <c r="E43" s="178" t="s">
        <v>267</v>
      </c>
      <c r="F43" s="178" t="s">
        <v>440</v>
      </c>
      <c r="G43" s="530" t="s">
        <v>265</v>
      </c>
      <c r="H43" s="531" t="s">
        <v>362</v>
      </c>
      <c r="J43" s="520" t="str">
        <f t="shared" si="81"/>
        <v>Premium2e PVCRegionaal1</v>
      </c>
      <c r="L43" s="204">
        <f>INDEX(Mapping!$H:$H,MATCH(C$3&amp;C43,Mapping!$B:$B,0))</f>
        <v>1</v>
      </c>
      <c r="M43" s="204" t="str">
        <f>INDEX(Mapping!$H:$H,MATCH(D$3&amp;D43,Mapping!$B:$B,0))</f>
        <v>EoK</v>
      </c>
      <c r="N43" s="204" t="str">
        <f>INDEX(Mapping!$H:$H,MATCH(E$3&amp;E43,Mapping!$B:$B,0))</f>
        <v>Premium</v>
      </c>
      <c r="O43" s="204" t="str">
        <f>INDEX(Mapping!$H:$H,MATCH(F$3&amp;F43,Mapping!$B:$B,0))</f>
        <v>multiple</v>
      </c>
      <c r="P43" s="204" t="str">
        <f>INDEX(Mapping!$H:$H,MATCH(G$3&amp;G43,Mapping!$B:$B,0))</f>
        <v>Metro</v>
      </c>
      <c r="Q43" s="204">
        <f>INDEX(Mapping!$H:$H,MATCH(H$3&amp;H43,Mapping!$B:$B,0))</f>
        <v>1</v>
      </c>
      <c r="R43" s="204" t="str">
        <f>INDEX(Mapping!$H:$H,MATCH(R$3&amp;$G43,Mapping!$B:$B,0))</f>
        <v>Metro - Nationaal</v>
      </c>
      <c r="S43" s="139"/>
      <c r="T43" s="139"/>
      <c r="U43" s="520" t="str">
        <f t="shared" si="49"/>
        <v>PremiummultipleMetro1</v>
      </c>
      <c r="W43" s="521">
        <f>MATCH($J43,'Tarieven ZM'!$B:$B,0)</f>
        <v>126</v>
      </c>
      <c r="X43" s="204">
        <f>INDEX('Tarieven ZM'!$H:$H,$W43)</f>
        <v>1000</v>
      </c>
      <c r="Y43" s="198">
        <f>-INDEX(Parameters!$B:$B,MATCH(Y$3&amp;$C43,Parameters!$A:$A,0))*$X43</f>
        <v>0</v>
      </c>
      <c r="Z43" s="198">
        <f>-INDEX(Parameters!$B:$B,MATCH(Z$3&amp;$C43,Parameters!$A:$A,0))*$X43</f>
        <v>0</v>
      </c>
      <c r="AA43" s="139">
        <f t="shared" si="82"/>
        <v>1000</v>
      </c>
      <c r="AB43" s="532">
        <f>AA43/INDEX(Parameters!$B:$B,MATCH("AfschrijftermijnVVE"&amp;12*$C43,Parameters!$A:$A,0))</f>
        <v>16.666666666666668</v>
      </c>
      <c r="AC43" s="204">
        <f>INDEX('Tarieven ZM'!$G:$G,$W43)</f>
        <v>1000</v>
      </c>
      <c r="AD43" s="198">
        <f>-INDEX(Parameters!$B:$B,MATCH(AD$3&amp;$C43,Parameters!$A:$A,0))*$AC43</f>
        <v>0</v>
      </c>
      <c r="AE43" s="198">
        <f>-INDEX(Parameters!$B:$B,MATCH(AE$3,Parameters!$A:$A,0))*$AC43</f>
        <v>0</v>
      </c>
      <c r="AF43" s="139">
        <f t="shared" si="83"/>
        <v>1000</v>
      </c>
      <c r="AG43" s="522">
        <f t="shared" si="84"/>
        <v>1016.6666666666666</v>
      </c>
      <c r="AH43" s="175"/>
      <c r="AI43" s="523">
        <f>MATCH($U43,'Tarieven W&amp;O'!$B:$B,0)</f>
        <v>99</v>
      </c>
      <c r="AJ43" s="204">
        <f>IF(AI43&lt;&gt;"nvt",INDEX('Tarieven W&amp;O'!$H:$H,$AI43),0)</f>
        <v>0</v>
      </c>
      <c r="AK43" s="204">
        <f>IF(AI43&lt;&gt;"nvt",INDEX('Tarieven W&amp;O'!$I:$I,$AI43),0)</f>
        <v>25</v>
      </c>
      <c r="AL43" s="524">
        <f>IF(AI43&lt;&gt;"nvt",-INDEX(Parameters!$B:$B,MATCH(AL$3,Parameters!$A:$A,0))*(AJ43+AK43),0)</f>
        <v>0</v>
      </c>
      <c r="AM43" s="525"/>
      <c r="AN43" s="139">
        <f t="shared" si="85"/>
        <v>25</v>
      </c>
      <c r="AO43" s="205">
        <f>AN43/INDEX(Parameters!$B:$B,MATCH("AfschrijftermijnVVE"&amp;12*$C43,Parameters!$A:$A,0))</f>
        <v>0.41666666666666669</v>
      </c>
      <c r="AP43" s="139">
        <f t="shared" si="86"/>
        <v>99</v>
      </c>
      <c r="AQ43" s="526">
        <f>IF(AP43&lt;&gt;"nvt",INDEX('Tarieven W&amp;O'!$G:$G,$AP43),0)</f>
        <v>11.31</v>
      </c>
      <c r="AR43" s="251">
        <f>-INDEX(Parameters!$B:$B,MATCH(AR$3,Parameters!$A:$A,0))*(AQ43)</f>
        <v>0</v>
      </c>
      <c r="AS43" s="205"/>
      <c r="AT43" s="205">
        <f>INDEX(hulpblad!$E:$E,MATCH(M43&amp;R43,hulpblad!$B:$B,0))</f>
        <v>2</v>
      </c>
      <c r="AU43" s="150">
        <f t="shared" si="87"/>
        <v>13.31</v>
      </c>
      <c r="AV43" s="150">
        <f t="shared" si="88"/>
        <v>13.726666666666667</v>
      </c>
      <c r="AX43" s="526">
        <f>Parameters!$B$6*AV43</f>
        <v>0.13726666666666668</v>
      </c>
      <c r="AY43" s="150">
        <v>0</v>
      </c>
      <c r="AZ43" s="150"/>
      <c r="BA43" s="150">
        <f t="shared" si="89"/>
        <v>0.13726666666666668</v>
      </c>
      <c r="BB43" s="150"/>
      <c r="BC43" s="522">
        <f t="shared" si="90"/>
        <v>13.863933333333334</v>
      </c>
      <c r="BD43" s="175"/>
      <c r="BE43" s="527">
        <f t="shared" si="91"/>
        <v>1002.8027333333333</v>
      </c>
      <c r="BF43" s="181">
        <f t="shared" si="92"/>
        <v>0.98636334426229511</v>
      </c>
      <c r="BG43" s="520" t="b">
        <f t="shared" si="93"/>
        <v>0</v>
      </c>
      <c r="BI43" s="151" t="s">
        <v>2181</v>
      </c>
      <c r="BL43" s="151" t="str">
        <f t="shared" si="50"/>
        <v>EoKMetro - Nationaal</v>
      </c>
      <c r="BM43" s="529">
        <v>0</v>
      </c>
      <c r="BN43" s="180">
        <f>BM43/INDEX(Parameters!$B:$B,MATCH("AfschrijftermijnVVE"&amp;12*$C43,Parameters!$A:$A,0))</f>
        <v>0</v>
      </c>
      <c r="BO43" s="184">
        <f>INDEX('inkoop ULL tbv EVPN'!I:I,MATCH(BL43,'inkoop ULL tbv EVPN'!H:H,0))</f>
        <v>2</v>
      </c>
      <c r="BP43" s="184">
        <f t="shared" si="51"/>
        <v>2</v>
      </c>
      <c r="BR43" s="180">
        <f>Parameters!$B$12*AG43</f>
        <v>101.66666666666667</v>
      </c>
      <c r="BS43" s="180">
        <f>SUM(Distributievergoedingen!$F$12,Distributievergoedingen!$I$12,Distributievergoedingen!$L$12,Distributievergoedingen!$O$12)*AF43+SUM(Distributievergoedingen!$O$12*AA43+Distributievergoedingen!$R$12+Distributievergoedingen!$U$12+Distributievergoedingen!$X$12)/(MAX(36,12*C43))</f>
        <v>111.66666666666667</v>
      </c>
      <c r="BT43" s="150"/>
      <c r="BU43" s="150">
        <f t="shared" si="52"/>
        <v>213.33333333333334</v>
      </c>
      <c r="BW43" s="522">
        <f t="shared" si="53"/>
        <v>215.33333333333334</v>
      </c>
      <c r="BY43" s="527">
        <f t="shared" si="54"/>
        <v>801.33333333333326</v>
      </c>
      <c r="BZ43" s="181">
        <f t="shared" si="55"/>
        <v>0.78819672131147533</v>
      </c>
      <c r="CA43" s="520" t="b">
        <f t="shared" si="56"/>
        <v>0</v>
      </c>
    </row>
    <row r="44" spans="1:79" s="151" customFormat="1">
      <c r="A44" s="151" t="s">
        <v>194</v>
      </c>
      <c r="B44" s="520" t="str">
        <f t="shared" si="48"/>
        <v>5EoKPremium2e PVCRegionaal2</v>
      </c>
      <c r="C44" s="179">
        <v>5</v>
      </c>
      <c r="D44" s="179" t="s">
        <v>303</v>
      </c>
      <c r="E44" s="178" t="s">
        <v>267</v>
      </c>
      <c r="F44" s="178" t="s">
        <v>440</v>
      </c>
      <c r="G44" s="530" t="s">
        <v>265</v>
      </c>
      <c r="H44" s="531" t="s">
        <v>363</v>
      </c>
      <c r="J44" s="520" t="str">
        <f t="shared" si="81"/>
        <v>Premium2e PVCRegionaal2</v>
      </c>
      <c r="L44" s="204">
        <f>INDEX(Mapping!$H:$H,MATCH(C$3&amp;C44,Mapping!$B:$B,0))</f>
        <v>1</v>
      </c>
      <c r="M44" s="204" t="str">
        <f>INDEX(Mapping!$H:$H,MATCH(D$3&amp;D44,Mapping!$B:$B,0))</f>
        <v>EoK</v>
      </c>
      <c r="N44" s="204" t="str">
        <f>INDEX(Mapping!$H:$H,MATCH(E$3&amp;E44,Mapping!$B:$B,0))</f>
        <v>Premium</v>
      </c>
      <c r="O44" s="204" t="str">
        <f>INDEX(Mapping!$H:$H,MATCH(F$3&amp;F44,Mapping!$B:$B,0))</f>
        <v>multiple</v>
      </c>
      <c r="P44" s="204" t="str">
        <f>INDEX(Mapping!$H:$H,MATCH(G$3&amp;G44,Mapping!$B:$B,0))</f>
        <v>Metro</v>
      </c>
      <c r="Q44" s="204">
        <f>INDEX(Mapping!$H:$H,MATCH(H$3&amp;H44,Mapping!$B:$B,0))</f>
        <v>2</v>
      </c>
      <c r="R44" s="204" t="str">
        <f>INDEX(Mapping!$H:$H,MATCH(R$3&amp;$G44,Mapping!$B:$B,0))</f>
        <v>Metro - Nationaal</v>
      </c>
      <c r="S44" s="139"/>
      <c r="T44" s="139"/>
      <c r="U44" s="520" t="str">
        <f t="shared" si="49"/>
        <v>PremiummultipleMetro2</v>
      </c>
      <c r="W44" s="521">
        <f>MATCH($J44,'Tarieven ZM'!$B:$B,0)</f>
        <v>127</v>
      </c>
      <c r="X44" s="204">
        <f>INDEX('Tarieven ZM'!$H:$H,$W44)</f>
        <v>1000</v>
      </c>
      <c r="Y44" s="198">
        <f>-INDEX(Parameters!$B:$B,MATCH(Y$3&amp;$C44,Parameters!$A:$A,0))*$X44</f>
        <v>0</v>
      </c>
      <c r="Z44" s="198">
        <f>-INDEX(Parameters!$B:$B,MATCH(Z$3&amp;$C44,Parameters!$A:$A,0))*$X44</f>
        <v>0</v>
      </c>
      <c r="AA44" s="139">
        <f t="shared" si="82"/>
        <v>1000</v>
      </c>
      <c r="AB44" s="532">
        <f>AA44/INDEX(Parameters!$B:$B,MATCH("AfschrijftermijnVVE"&amp;12*$C44,Parameters!$A:$A,0))</f>
        <v>16.666666666666668</v>
      </c>
      <c r="AC44" s="204">
        <f>INDEX('Tarieven ZM'!$G:$G,$W44)</f>
        <v>1000</v>
      </c>
      <c r="AD44" s="198">
        <f>-INDEX(Parameters!$B:$B,MATCH(AD$3&amp;$C44,Parameters!$A:$A,0))*$AC44</f>
        <v>0</v>
      </c>
      <c r="AE44" s="198">
        <f>-INDEX(Parameters!$B:$B,MATCH(AE$3,Parameters!$A:$A,0))*$AC44</f>
        <v>0</v>
      </c>
      <c r="AF44" s="139">
        <f t="shared" si="83"/>
        <v>1000</v>
      </c>
      <c r="AG44" s="522">
        <f t="shared" si="84"/>
        <v>1016.6666666666666</v>
      </c>
      <c r="AH44" s="175"/>
      <c r="AI44" s="523">
        <f>MATCH($U44,'Tarieven W&amp;O'!$B:$B,0)</f>
        <v>100</v>
      </c>
      <c r="AJ44" s="204">
        <f>IF(AI44&lt;&gt;"nvt",INDEX('Tarieven W&amp;O'!$H:$H,$AI44),0)</f>
        <v>0</v>
      </c>
      <c r="AK44" s="204">
        <f>IF(AI44&lt;&gt;"nvt",INDEX('Tarieven W&amp;O'!$I:$I,$AI44),0)</f>
        <v>25</v>
      </c>
      <c r="AL44" s="524">
        <f>IF(AI44&lt;&gt;"nvt",-INDEX(Parameters!$B:$B,MATCH(AL$3,Parameters!$A:$A,0))*(AJ44+AK44),0)</f>
        <v>0</v>
      </c>
      <c r="AM44" s="525"/>
      <c r="AN44" s="139">
        <f t="shared" si="85"/>
        <v>25</v>
      </c>
      <c r="AO44" s="205">
        <f>AN44/INDEX(Parameters!$B:$B,MATCH("AfschrijftermijnVVE"&amp;12*$C44,Parameters!$A:$A,0))</f>
        <v>0.41666666666666669</v>
      </c>
      <c r="AP44" s="139">
        <f t="shared" si="86"/>
        <v>100</v>
      </c>
      <c r="AQ44" s="526">
        <f>IF(AP44&lt;&gt;"nvt",INDEX('Tarieven W&amp;O'!$G:$G,$AP44),0)</f>
        <v>23.37</v>
      </c>
      <c r="AR44" s="251">
        <f>-INDEX(Parameters!$B:$B,MATCH(AR$3,Parameters!$A:$A,0))*(AQ44)</f>
        <v>0</v>
      </c>
      <c r="AS44" s="205"/>
      <c r="AT44" s="205">
        <f>INDEX(hulpblad!$E:$E,MATCH(M44&amp;R44,hulpblad!$B:$B,0))</f>
        <v>2</v>
      </c>
      <c r="AU44" s="150">
        <f t="shared" si="87"/>
        <v>25.37</v>
      </c>
      <c r="AV44" s="150">
        <f t="shared" si="88"/>
        <v>25.786666666666669</v>
      </c>
      <c r="AX44" s="526">
        <f>Parameters!$B$6*AV44</f>
        <v>0.25786666666666669</v>
      </c>
      <c r="AY44" s="150">
        <v>0</v>
      </c>
      <c r="AZ44" s="150"/>
      <c r="BA44" s="150">
        <f t="shared" si="89"/>
        <v>0.25786666666666669</v>
      </c>
      <c r="BB44" s="150"/>
      <c r="BC44" s="522">
        <f t="shared" si="90"/>
        <v>26.044533333333334</v>
      </c>
      <c r="BD44" s="175"/>
      <c r="BE44" s="527">
        <f t="shared" si="91"/>
        <v>990.6221333333333</v>
      </c>
      <c r="BF44" s="181">
        <f t="shared" si="92"/>
        <v>0.97438242622950821</v>
      </c>
      <c r="BG44" s="520" t="b">
        <f t="shared" si="93"/>
        <v>0</v>
      </c>
      <c r="BI44" s="151" t="s">
        <v>2181</v>
      </c>
      <c r="BL44" s="151" t="str">
        <f t="shared" si="50"/>
        <v>EoKMetro - Nationaal</v>
      </c>
      <c r="BM44" s="529">
        <v>0</v>
      </c>
      <c r="BN44" s="180">
        <f>BM44/INDEX(Parameters!$B:$B,MATCH("AfschrijftermijnVVE"&amp;12*$C44,Parameters!$A:$A,0))</f>
        <v>0</v>
      </c>
      <c r="BO44" s="184">
        <f>INDEX('inkoop ULL tbv EVPN'!I:I,MATCH(BL44,'inkoop ULL tbv EVPN'!H:H,0))</f>
        <v>2</v>
      </c>
      <c r="BP44" s="184">
        <f t="shared" si="51"/>
        <v>2</v>
      </c>
      <c r="BR44" s="180">
        <f>Parameters!$B$12*AG44</f>
        <v>101.66666666666667</v>
      </c>
      <c r="BS44" s="180">
        <f>SUM(Distributievergoedingen!$F$12,Distributievergoedingen!$I$12,Distributievergoedingen!$L$12,Distributievergoedingen!$O$12)*AF44+SUM(Distributievergoedingen!$O$12*AA44+Distributievergoedingen!$R$12+Distributievergoedingen!$U$12+Distributievergoedingen!$X$12)/(MAX(36,12*C44))</f>
        <v>111.66666666666667</v>
      </c>
      <c r="BT44" s="150"/>
      <c r="BU44" s="150">
        <f t="shared" si="52"/>
        <v>213.33333333333334</v>
      </c>
      <c r="BW44" s="522">
        <f t="shared" si="53"/>
        <v>215.33333333333334</v>
      </c>
      <c r="BY44" s="527">
        <f t="shared" si="54"/>
        <v>801.33333333333326</v>
      </c>
      <c r="BZ44" s="181">
        <f t="shared" si="55"/>
        <v>0.78819672131147533</v>
      </c>
      <c r="CA44" s="520" t="b">
        <f t="shared" si="56"/>
        <v>0</v>
      </c>
    </row>
    <row r="45" spans="1:79" s="151" customFormat="1">
      <c r="A45" s="151" t="s">
        <v>194</v>
      </c>
      <c r="B45" s="520" t="str">
        <f t="shared" si="48"/>
        <v>5EoKPremium2e PVCRegionaal4</v>
      </c>
      <c r="C45" s="179">
        <v>5</v>
      </c>
      <c r="D45" s="179" t="s">
        <v>303</v>
      </c>
      <c r="E45" s="178" t="s">
        <v>267</v>
      </c>
      <c r="F45" s="178" t="s">
        <v>440</v>
      </c>
      <c r="G45" s="530" t="s">
        <v>265</v>
      </c>
      <c r="H45" s="531" t="s">
        <v>408</v>
      </c>
      <c r="J45" s="520" t="str">
        <f t="shared" si="81"/>
        <v>Premium2e PVCRegionaal4</v>
      </c>
      <c r="L45" s="204">
        <f>INDEX(Mapping!$H:$H,MATCH(C$3&amp;C45,Mapping!$B:$B,0))</f>
        <v>1</v>
      </c>
      <c r="M45" s="204" t="str">
        <f>INDEX(Mapping!$H:$H,MATCH(D$3&amp;D45,Mapping!$B:$B,0))</f>
        <v>EoK</v>
      </c>
      <c r="N45" s="204" t="str">
        <f>INDEX(Mapping!$H:$H,MATCH(E$3&amp;E45,Mapping!$B:$B,0))</f>
        <v>Premium</v>
      </c>
      <c r="O45" s="204" t="str">
        <f>INDEX(Mapping!$H:$H,MATCH(F$3&amp;F45,Mapping!$B:$B,0))</f>
        <v>multiple</v>
      </c>
      <c r="P45" s="204" t="str">
        <f>INDEX(Mapping!$H:$H,MATCH(G$3&amp;G45,Mapping!$B:$B,0))</f>
        <v>Metro</v>
      </c>
      <c r="Q45" s="204">
        <f>INDEX(Mapping!$H:$H,MATCH(H$3&amp;H45,Mapping!$B:$B,0))</f>
        <v>4</v>
      </c>
      <c r="R45" s="204" t="str">
        <f>INDEX(Mapping!$H:$H,MATCH(R$3&amp;$G45,Mapping!$B:$B,0))</f>
        <v>Metro - Nationaal</v>
      </c>
      <c r="S45" s="139"/>
      <c r="T45" s="139"/>
      <c r="U45" s="520" t="str">
        <f t="shared" si="49"/>
        <v>PremiummultipleMetro4</v>
      </c>
      <c r="W45" s="521">
        <f>MATCH($J45,'Tarieven ZM'!$B:$B,0)</f>
        <v>128</v>
      </c>
      <c r="X45" s="204">
        <f>INDEX('Tarieven ZM'!$H:$H,$W45)</f>
        <v>1000</v>
      </c>
      <c r="Y45" s="198">
        <f>-INDEX(Parameters!$B:$B,MATCH(Y$3&amp;$C45,Parameters!$A:$A,0))*$X45</f>
        <v>0</v>
      </c>
      <c r="Z45" s="198">
        <f>-INDEX(Parameters!$B:$B,MATCH(Z$3&amp;$C45,Parameters!$A:$A,0))*$X45</f>
        <v>0</v>
      </c>
      <c r="AA45" s="139">
        <f t="shared" si="82"/>
        <v>1000</v>
      </c>
      <c r="AB45" s="532">
        <f>AA45/INDEX(Parameters!$B:$B,MATCH("AfschrijftermijnVVE"&amp;12*$C45,Parameters!$A:$A,0))</f>
        <v>16.666666666666668</v>
      </c>
      <c r="AC45" s="204">
        <f>INDEX('Tarieven ZM'!$G:$G,$W45)</f>
        <v>1000</v>
      </c>
      <c r="AD45" s="198">
        <f>-INDEX(Parameters!$B:$B,MATCH(AD$3&amp;$C45,Parameters!$A:$A,0))*$AC45</f>
        <v>0</v>
      </c>
      <c r="AE45" s="198">
        <f>-INDEX(Parameters!$B:$B,MATCH(AE$3,Parameters!$A:$A,0))*$AC45</f>
        <v>0</v>
      </c>
      <c r="AF45" s="139">
        <f t="shared" si="83"/>
        <v>1000</v>
      </c>
      <c r="AG45" s="522">
        <f t="shared" si="84"/>
        <v>1016.6666666666666</v>
      </c>
      <c r="AH45" s="175"/>
      <c r="AI45" s="523">
        <f>MATCH($U45,'Tarieven W&amp;O'!$B:$B,0)</f>
        <v>101</v>
      </c>
      <c r="AJ45" s="204">
        <f>IF(AI45&lt;&gt;"nvt",INDEX('Tarieven W&amp;O'!$H:$H,$AI45),0)</f>
        <v>0</v>
      </c>
      <c r="AK45" s="204">
        <f>IF(AI45&lt;&gt;"nvt",INDEX('Tarieven W&amp;O'!$I:$I,$AI45),0)</f>
        <v>25</v>
      </c>
      <c r="AL45" s="524">
        <f>IF(AI45&lt;&gt;"nvt",-INDEX(Parameters!$B:$B,MATCH(AL$3,Parameters!$A:$A,0))*(AJ45+AK45),0)</f>
        <v>0</v>
      </c>
      <c r="AM45" s="525"/>
      <c r="AN45" s="139">
        <f t="shared" si="85"/>
        <v>25</v>
      </c>
      <c r="AO45" s="205">
        <f>AN45/INDEX(Parameters!$B:$B,MATCH("AfschrijftermijnVVE"&amp;12*$C45,Parameters!$A:$A,0))</f>
        <v>0.41666666666666669</v>
      </c>
      <c r="AP45" s="139">
        <f t="shared" si="86"/>
        <v>101</v>
      </c>
      <c r="AQ45" s="526">
        <f>IF(AP45&lt;&gt;"nvt",INDEX('Tarieven W&amp;O'!$G:$G,$AP45),0)</f>
        <v>45.98</v>
      </c>
      <c r="AR45" s="251">
        <f>-INDEX(Parameters!$B:$B,MATCH(AR$3,Parameters!$A:$A,0))*(AQ45)</f>
        <v>0</v>
      </c>
      <c r="AS45" s="205"/>
      <c r="AT45" s="205">
        <f>INDEX(hulpblad!$E:$E,MATCH(M45&amp;R45,hulpblad!$B:$B,0))</f>
        <v>2</v>
      </c>
      <c r="AU45" s="150">
        <f t="shared" si="87"/>
        <v>47.98</v>
      </c>
      <c r="AV45" s="150">
        <f t="shared" si="88"/>
        <v>48.396666666666661</v>
      </c>
      <c r="AX45" s="526">
        <f>Parameters!$B$6*AV45</f>
        <v>0.4839666666666666</v>
      </c>
      <c r="AY45" s="150">
        <v>0</v>
      </c>
      <c r="AZ45" s="150"/>
      <c r="BA45" s="150">
        <f t="shared" si="89"/>
        <v>0.4839666666666666</v>
      </c>
      <c r="BB45" s="150"/>
      <c r="BC45" s="522">
        <f t="shared" si="90"/>
        <v>48.880633333333328</v>
      </c>
      <c r="BD45" s="175"/>
      <c r="BE45" s="527">
        <f t="shared" si="91"/>
        <v>967.78603333333331</v>
      </c>
      <c r="BF45" s="181">
        <f t="shared" si="92"/>
        <v>0.95192068852459022</v>
      </c>
      <c r="BG45" s="520" t="b">
        <f t="shared" si="93"/>
        <v>0</v>
      </c>
      <c r="BI45" s="151" t="s">
        <v>2181</v>
      </c>
      <c r="BL45" s="151" t="str">
        <f t="shared" si="50"/>
        <v>EoKMetro - Nationaal</v>
      </c>
      <c r="BM45" s="529">
        <v>0</v>
      </c>
      <c r="BN45" s="180">
        <f>BM45/INDEX(Parameters!$B:$B,MATCH("AfschrijftermijnVVE"&amp;12*$C45,Parameters!$A:$A,0))</f>
        <v>0</v>
      </c>
      <c r="BO45" s="184">
        <f>INDEX('inkoop ULL tbv EVPN'!I:I,MATCH(BL45,'inkoop ULL tbv EVPN'!H:H,0))</f>
        <v>2</v>
      </c>
      <c r="BP45" s="184">
        <f t="shared" si="51"/>
        <v>2</v>
      </c>
      <c r="BR45" s="180">
        <f>Parameters!$B$12*AG45</f>
        <v>101.66666666666667</v>
      </c>
      <c r="BS45" s="180">
        <f>SUM(Distributievergoedingen!$F$12,Distributievergoedingen!$I$12,Distributievergoedingen!$L$12,Distributievergoedingen!$O$12)*AF45+SUM(Distributievergoedingen!$O$12*AA45+Distributievergoedingen!$R$12+Distributievergoedingen!$U$12+Distributievergoedingen!$X$12)/(MAX(36,12*C45))</f>
        <v>111.66666666666667</v>
      </c>
      <c r="BT45" s="150"/>
      <c r="BU45" s="150">
        <f t="shared" si="52"/>
        <v>213.33333333333334</v>
      </c>
      <c r="BW45" s="522">
        <f t="shared" si="53"/>
        <v>215.33333333333334</v>
      </c>
      <c r="BY45" s="527">
        <f t="shared" si="54"/>
        <v>801.33333333333326</v>
      </c>
      <c r="BZ45" s="181">
        <f t="shared" si="55"/>
        <v>0.78819672131147533</v>
      </c>
      <c r="CA45" s="520" t="b">
        <f t="shared" si="56"/>
        <v>0</v>
      </c>
    </row>
    <row r="46" spans="1:79" s="151" customFormat="1">
      <c r="A46" s="151" t="s">
        <v>194</v>
      </c>
      <c r="B46" s="520" t="str">
        <f t="shared" si="48"/>
        <v>5EoKPremium2e PVCNationaal1</v>
      </c>
      <c r="C46" s="179">
        <v>5</v>
      </c>
      <c r="D46" s="179" t="s">
        <v>303</v>
      </c>
      <c r="E46" s="178" t="s">
        <v>267</v>
      </c>
      <c r="F46" s="178" t="s">
        <v>440</v>
      </c>
      <c r="G46" s="530" t="s">
        <v>266</v>
      </c>
      <c r="H46" s="531" t="s">
        <v>362</v>
      </c>
      <c r="J46" s="520" t="str">
        <f t="shared" si="81"/>
        <v>Premium2e PVCNationaal1</v>
      </c>
      <c r="L46" s="204">
        <f>INDEX(Mapping!$H:$H,MATCH(C$3&amp;C46,Mapping!$B:$B,0))</f>
        <v>1</v>
      </c>
      <c r="M46" s="204" t="str">
        <f>INDEX(Mapping!$H:$H,MATCH(D$3&amp;D46,Mapping!$B:$B,0))</f>
        <v>EoK</v>
      </c>
      <c r="N46" s="204" t="str">
        <f>INDEX(Mapping!$H:$H,MATCH(E$3&amp;E46,Mapping!$B:$B,0))</f>
        <v>Premium</v>
      </c>
      <c r="O46" s="204" t="str">
        <f>INDEX(Mapping!$H:$H,MATCH(F$3&amp;F46,Mapping!$B:$B,0))</f>
        <v>multiple</v>
      </c>
      <c r="P46" s="204" t="str">
        <f>INDEX(Mapping!$H:$H,MATCH(G$3&amp;G46,Mapping!$B:$B,0))</f>
        <v>Metro</v>
      </c>
      <c r="Q46" s="204">
        <f>INDEX(Mapping!$H:$H,MATCH(H$3&amp;H46,Mapping!$B:$B,0))</f>
        <v>1</v>
      </c>
      <c r="R46" s="204" t="str">
        <f>INDEX(Mapping!$H:$H,MATCH(R$3&amp;$G46,Mapping!$B:$B,0))</f>
        <v>Metro - Nationaal</v>
      </c>
      <c r="S46" s="139"/>
      <c r="T46" s="139"/>
      <c r="U46" s="520" t="str">
        <f t="shared" si="49"/>
        <v>PremiummultipleMetro1</v>
      </c>
      <c r="W46" s="521">
        <f>MATCH($J46,'Tarieven ZM'!$B:$B,0)</f>
        <v>129</v>
      </c>
      <c r="X46" s="204">
        <f>INDEX('Tarieven ZM'!$H:$H,$W46)</f>
        <v>1000</v>
      </c>
      <c r="Y46" s="198">
        <f>-INDEX(Parameters!$B:$B,MATCH(Y$3&amp;$C46,Parameters!$A:$A,0))*$X46</f>
        <v>0</v>
      </c>
      <c r="Z46" s="198">
        <f>-INDEX(Parameters!$B:$B,MATCH(Z$3&amp;$C46,Parameters!$A:$A,0))*$X46</f>
        <v>0</v>
      </c>
      <c r="AA46" s="139">
        <f t="shared" si="82"/>
        <v>1000</v>
      </c>
      <c r="AB46" s="532">
        <f>AA46/INDEX(Parameters!$B:$B,MATCH("AfschrijftermijnVVE"&amp;12*$C46,Parameters!$A:$A,0))</f>
        <v>16.666666666666668</v>
      </c>
      <c r="AC46" s="204">
        <f>INDEX('Tarieven ZM'!$G:$G,$W46)</f>
        <v>1000</v>
      </c>
      <c r="AD46" s="198">
        <f>-INDEX(Parameters!$B:$B,MATCH(AD$3&amp;$C46,Parameters!$A:$A,0))*$AC46</f>
        <v>0</v>
      </c>
      <c r="AE46" s="198">
        <f>-INDEX(Parameters!$B:$B,MATCH(AE$3,Parameters!$A:$A,0))*$AC46</f>
        <v>0</v>
      </c>
      <c r="AF46" s="139">
        <f t="shared" si="83"/>
        <v>1000</v>
      </c>
      <c r="AG46" s="522">
        <f t="shared" si="84"/>
        <v>1016.6666666666666</v>
      </c>
      <c r="AH46" s="175"/>
      <c r="AI46" s="523">
        <f>MATCH($U46,'Tarieven W&amp;O'!$B:$B,0)</f>
        <v>99</v>
      </c>
      <c r="AJ46" s="204">
        <f>IF(AI46&lt;&gt;"nvt",INDEX('Tarieven W&amp;O'!$H:$H,$AI46),0)</f>
        <v>0</v>
      </c>
      <c r="AK46" s="204">
        <f>IF(AI46&lt;&gt;"nvt",INDEX('Tarieven W&amp;O'!$I:$I,$AI46),0)</f>
        <v>25</v>
      </c>
      <c r="AL46" s="524">
        <f>IF(AI46&lt;&gt;"nvt",-INDEX(Parameters!$B:$B,MATCH(AL$3,Parameters!$A:$A,0))*(AJ46+AK46),0)</f>
        <v>0</v>
      </c>
      <c r="AM46" s="525"/>
      <c r="AN46" s="139">
        <f t="shared" si="85"/>
        <v>25</v>
      </c>
      <c r="AO46" s="205">
        <f>AN46/INDEX(Parameters!$B:$B,MATCH("AfschrijftermijnVVE"&amp;12*$C46,Parameters!$A:$A,0))</f>
        <v>0.41666666666666669</v>
      </c>
      <c r="AP46" s="139">
        <f t="shared" si="86"/>
        <v>99</v>
      </c>
      <c r="AQ46" s="526">
        <f>IF(AP46&lt;&gt;"nvt",INDEX('Tarieven W&amp;O'!$G:$G,$AP46),0)</f>
        <v>11.31</v>
      </c>
      <c r="AR46" s="251">
        <f>-INDEX(Parameters!$B:$B,MATCH(AR$3,Parameters!$A:$A,0))*(AQ46)</f>
        <v>0</v>
      </c>
      <c r="AS46" s="205"/>
      <c r="AT46" s="205">
        <f>INDEX(hulpblad!$E:$E,MATCH(M46&amp;R46,hulpblad!$B:$B,0))</f>
        <v>2</v>
      </c>
      <c r="AU46" s="150">
        <f t="shared" si="87"/>
        <v>13.31</v>
      </c>
      <c r="AV46" s="150">
        <f t="shared" si="88"/>
        <v>13.726666666666667</v>
      </c>
      <c r="AX46" s="526">
        <f>Parameters!$B$6*AV46</f>
        <v>0.13726666666666668</v>
      </c>
      <c r="AY46" s="150">
        <v>0</v>
      </c>
      <c r="AZ46" s="150"/>
      <c r="BA46" s="150">
        <f t="shared" si="89"/>
        <v>0.13726666666666668</v>
      </c>
      <c r="BB46" s="150"/>
      <c r="BC46" s="522">
        <f t="shared" si="90"/>
        <v>13.863933333333334</v>
      </c>
      <c r="BD46" s="175"/>
      <c r="BE46" s="527">
        <f t="shared" si="91"/>
        <v>1002.8027333333333</v>
      </c>
      <c r="BF46" s="181">
        <f t="shared" si="92"/>
        <v>0.98636334426229511</v>
      </c>
      <c r="BG46" s="520" t="b">
        <f t="shared" si="93"/>
        <v>0</v>
      </c>
      <c r="BI46" s="151" t="s">
        <v>2181</v>
      </c>
      <c r="BL46" s="151" t="str">
        <f t="shared" si="50"/>
        <v>EoKMetro - Nationaal</v>
      </c>
      <c r="BM46" s="529">
        <v>0</v>
      </c>
      <c r="BN46" s="180">
        <f>BM46/INDEX(Parameters!$B:$B,MATCH("AfschrijftermijnVVE"&amp;12*$C46,Parameters!$A:$A,0))</f>
        <v>0</v>
      </c>
      <c r="BO46" s="184">
        <f>INDEX('inkoop ULL tbv EVPN'!I:I,MATCH(BL46,'inkoop ULL tbv EVPN'!H:H,0))</f>
        <v>2</v>
      </c>
      <c r="BP46" s="184">
        <f t="shared" si="51"/>
        <v>2</v>
      </c>
      <c r="BR46" s="180">
        <f>Parameters!$B$12*AG46</f>
        <v>101.66666666666667</v>
      </c>
      <c r="BS46" s="180">
        <f>SUM(Distributievergoedingen!$F$12,Distributievergoedingen!$I$12,Distributievergoedingen!$L$12,Distributievergoedingen!$O$12)*AF46+SUM(Distributievergoedingen!$O$12*AA46+Distributievergoedingen!$R$12+Distributievergoedingen!$U$12+Distributievergoedingen!$X$12)/(MAX(36,12*C46))</f>
        <v>111.66666666666667</v>
      </c>
      <c r="BT46" s="150"/>
      <c r="BU46" s="150">
        <f t="shared" si="52"/>
        <v>213.33333333333334</v>
      </c>
      <c r="BW46" s="522">
        <f t="shared" si="53"/>
        <v>215.33333333333334</v>
      </c>
      <c r="BY46" s="527">
        <f t="shared" si="54"/>
        <v>801.33333333333326</v>
      </c>
      <c r="BZ46" s="181">
        <f t="shared" si="55"/>
        <v>0.78819672131147533</v>
      </c>
      <c r="CA46" s="520" t="b">
        <f t="shared" si="56"/>
        <v>0</v>
      </c>
    </row>
    <row r="47" spans="1:79" s="151" customFormat="1">
      <c r="A47" s="151" t="s">
        <v>194</v>
      </c>
      <c r="B47" s="520" t="str">
        <f t="shared" si="48"/>
        <v>5EoKPremium2e PVCNationaal2</v>
      </c>
      <c r="C47" s="179">
        <v>5</v>
      </c>
      <c r="D47" s="179" t="s">
        <v>303</v>
      </c>
      <c r="E47" s="178" t="s">
        <v>267</v>
      </c>
      <c r="F47" s="178" t="s">
        <v>440</v>
      </c>
      <c r="G47" s="530" t="s">
        <v>266</v>
      </c>
      <c r="H47" s="531" t="s">
        <v>363</v>
      </c>
      <c r="J47" s="520" t="str">
        <f t="shared" si="81"/>
        <v>Premium2e PVCNationaal2</v>
      </c>
      <c r="L47" s="204">
        <f>INDEX(Mapping!$H:$H,MATCH(C$3&amp;C47,Mapping!$B:$B,0))</f>
        <v>1</v>
      </c>
      <c r="M47" s="204" t="str">
        <f>INDEX(Mapping!$H:$H,MATCH(D$3&amp;D47,Mapping!$B:$B,0))</f>
        <v>EoK</v>
      </c>
      <c r="N47" s="204" t="str">
        <f>INDEX(Mapping!$H:$H,MATCH(E$3&amp;E47,Mapping!$B:$B,0))</f>
        <v>Premium</v>
      </c>
      <c r="O47" s="204" t="str">
        <f>INDEX(Mapping!$H:$H,MATCH(F$3&amp;F47,Mapping!$B:$B,0))</f>
        <v>multiple</v>
      </c>
      <c r="P47" s="204" t="str">
        <f>INDEX(Mapping!$H:$H,MATCH(G$3&amp;G47,Mapping!$B:$B,0))</f>
        <v>Metro</v>
      </c>
      <c r="Q47" s="204">
        <f>INDEX(Mapping!$H:$H,MATCH(H$3&amp;H47,Mapping!$B:$B,0))</f>
        <v>2</v>
      </c>
      <c r="R47" s="204" t="str">
        <f>INDEX(Mapping!$H:$H,MATCH(R$3&amp;$G47,Mapping!$B:$B,0))</f>
        <v>Metro - Nationaal</v>
      </c>
      <c r="S47" s="139"/>
      <c r="T47" s="139"/>
      <c r="U47" s="520" t="str">
        <f t="shared" si="49"/>
        <v>PremiummultipleMetro2</v>
      </c>
      <c r="W47" s="521">
        <f>MATCH($J47,'Tarieven ZM'!$B:$B,0)</f>
        <v>130</v>
      </c>
      <c r="X47" s="204">
        <f>INDEX('Tarieven ZM'!$H:$H,$W47)</f>
        <v>1000</v>
      </c>
      <c r="Y47" s="198">
        <f>-INDEX(Parameters!$B:$B,MATCH(Y$3&amp;$C47,Parameters!$A:$A,0))*$X47</f>
        <v>0</v>
      </c>
      <c r="Z47" s="198">
        <f>-INDEX(Parameters!$B:$B,MATCH(Z$3&amp;$C47,Parameters!$A:$A,0))*$X47</f>
        <v>0</v>
      </c>
      <c r="AA47" s="139">
        <f t="shared" si="82"/>
        <v>1000</v>
      </c>
      <c r="AB47" s="532">
        <f>AA47/INDEX(Parameters!$B:$B,MATCH("AfschrijftermijnVVE"&amp;12*$C47,Parameters!$A:$A,0))</f>
        <v>16.666666666666668</v>
      </c>
      <c r="AC47" s="204">
        <f>INDEX('Tarieven ZM'!$G:$G,$W47)</f>
        <v>1000</v>
      </c>
      <c r="AD47" s="198">
        <f>-INDEX(Parameters!$B:$B,MATCH(AD$3&amp;$C47,Parameters!$A:$A,0))*$AC47</f>
        <v>0</v>
      </c>
      <c r="AE47" s="198">
        <f>-INDEX(Parameters!$B:$B,MATCH(AE$3,Parameters!$A:$A,0))*$AC47</f>
        <v>0</v>
      </c>
      <c r="AF47" s="139">
        <f t="shared" si="83"/>
        <v>1000</v>
      </c>
      <c r="AG47" s="522">
        <f t="shared" si="84"/>
        <v>1016.6666666666666</v>
      </c>
      <c r="AH47" s="175"/>
      <c r="AI47" s="523">
        <f>MATCH($U47,'Tarieven W&amp;O'!$B:$B,0)</f>
        <v>100</v>
      </c>
      <c r="AJ47" s="204">
        <f>IF(AI47&lt;&gt;"nvt",INDEX('Tarieven W&amp;O'!$H:$H,$AI47),0)</f>
        <v>0</v>
      </c>
      <c r="AK47" s="204">
        <f>IF(AI47&lt;&gt;"nvt",INDEX('Tarieven W&amp;O'!$I:$I,$AI47),0)</f>
        <v>25</v>
      </c>
      <c r="AL47" s="524">
        <f>IF(AI47&lt;&gt;"nvt",-INDEX(Parameters!$B:$B,MATCH(AL$3,Parameters!$A:$A,0))*(AJ47+AK47),0)</f>
        <v>0</v>
      </c>
      <c r="AM47" s="525"/>
      <c r="AN47" s="139">
        <f t="shared" si="85"/>
        <v>25</v>
      </c>
      <c r="AO47" s="205">
        <f>AN47/INDEX(Parameters!$B:$B,MATCH("AfschrijftermijnVVE"&amp;12*$C47,Parameters!$A:$A,0))</f>
        <v>0.41666666666666669</v>
      </c>
      <c r="AP47" s="139">
        <f t="shared" si="86"/>
        <v>100</v>
      </c>
      <c r="AQ47" s="526">
        <f>IF(AP47&lt;&gt;"nvt",INDEX('Tarieven W&amp;O'!$G:$G,$AP47),0)</f>
        <v>23.37</v>
      </c>
      <c r="AR47" s="251">
        <f>-INDEX(Parameters!$B:$B,MATCH(AR$3,Parameters!$A:$A,0))*(AQ47)</f>
        <v>0</v>
      </c>
      <c r="AS47" s="205"/>
      <c r="AT47" s="205">
        <f>INDEX(hulpblad!$E:$E,MATCH(M47&amp;R47,hulpblad!$B:$B,0))</f>
        <v>2</v>
      </c>
      <c r="AU47" s="150">
        <f t="shared" si="87"/>
        <v>25.37</v>
      </c>
      <c r="AV47" s="150">
        <f t="shared" si="88"/>
        <v>25.786666666666669</v>
      </c>
      <c r="AX47" s="526">
        <f>Parameters!$B$6*AV47</f>
        <v>0.25786666666666669</v>
      </c>
      <c r="AY47" s="150">
        <v>0</v>
      </c>
      <c r="AZ47" s="150"/>
      <c r="BA47" s="150">
        <f t="shared" si="89"/>
        <v>0.25786666666666669</v>
      </c>
      <c r="BB47" s="150"/>
      <c r="BC47" s="522">
        <f t="shared" si="90"/>
        <v>26.044533333333334</v>
      </c>
      <c r="BD47" s="175"/>
      <c r="BE47" s="527">
        <f t="shared" si="91"/>
        <v>990.6221333333333</v>
      </c>
      <c r="BF47" s="181">
        <f t="shared" si="92"/>
        <v>0.97438242622950821</v>
      </c>
      <c r="BG47" s="520" t="b">
        <f t="shared" si="93"/>
        <v>0</v>
      </c>
      <c r="BI47" s="151" t="s">
        <v>2181</v>
      </c>
      <c r="BL47" s="151" t="str">
        <f t="shared" si="50"/>
        <v>EoKMetro - Nationaal</v>
      </c>
      <c r="BM47" s="529">
        <v>0</v>
      </c>
      <c r="BN47" s="180">
        <f>BM47/INDEX(Parameters!$B:$B,MATCH("AfschrijftermijnVVE"&amp;12*$C47,Parameters!$A:$A,0))</f>
        <v>0</v>
      </c>
      <c r="BO47" s="184">
        <f>INDEX('inkoop ULL tbv EVPN'!I:I,MATCH(BL47,'inkoop ULL tbv EVPN'!H:H,0))</f>
        <v>2</v>
      </c>
      <c r="BP47" s="184">
        <f t="shared" si="51"/>
        <v>2</v>
      </c>
      <c r="BR47" s="180">
        <f>Parameters!$B$12*AG47</f>
        <v>101.66666666666667</v>
      </c>
      <c r="BS47" s="180">
        <f>SUM(Distributievergoedingen!$F$12,Distributievergoedingen!$I$12,Distributievergoedingen!$L$12,Distributievergoedingen!$O$12)*AF47+SUM(Distributievergoedingen!$O$12*AA47+Distributievergoedingen!$R$12+Distributievergoedingen!$U$12+Distributievergoedingen!$X$12)/(MAX(36,12*C47))</f>
        <v>111.66666666666667</v>
      </c>
      <c r="BT47" s="150"/>
      <c r="BU47" s="150">
        <f t="shared" si="52"/>
        <v>213.33333333333334</v>
      </c>
      <c r="BW47" s="522">
        <f t="shared" si="53"/>
        <v>215.33333333333334</v>
      </c>
      <c r="BY47" s="527">
        <f t="shared" si="54"/>
        <v>801.33333333333326</v>
      </c>
      <c r="BZ47" s="181">
        <f t="shared" si="55"/>
        <v>0.78819672131147533</v>
      </c>
      <c r="CA47" s="520" t="b">
        <f t="shared" si="56"/>
        <v>0</v>
      </c>
    </row>
    <row r="48" spans="1:79" s="151" customFormat="1">
      <c r="A48" s="151" t="s">
        <v>194</v>
      </c>
      <c r="B48" s="520" t="str">
        <f t="shared" si="48"/>
        <v>5EoKPremium2e PVCNationaal4</v>
      </c>
      <c r="C48" s="179">
        <v>5</v>
      </c>
      <c r="D48" s="179" t="s">
        <v>303</v>
      </c>
      <c r="E48" s="178" t="s">
        <v>267</v>
      </c>
      <c r="F48" s="178" t="s">
        <v>440</v>
      </c>
      <c r="G48" s="530" t="s">
        <v>266</v>
      </c>
      <c r="H48" s="531" t="s">
        <v>408</v>
      </c>
      <c r="J48" s="520" t="str">
        <f t="shared" si="81"/>
        <v>Premium2e PVCNationaal4</v>
      </c>
      <c r="L48" s="204">
        <f>INDEX(Mapping!$H:$H,MATCH(C$3&amp;C48,Mapping!$B:$B,0))</f>
        <v>1</v>
      </c>
      <c r="M48" s="204" t="str">
        <f>INDEX(Mapping!$H:$H,MATCH(D$3&amp;D48,Mapping!$B:$B,0))</f>
        <v>EoK</v>
      </c>
      <c r="N48" s="204" t="str">
        <f>INDEX(Mapping!$H:$H,MATCH(E$3&amp;E48,Mapping!$B:$B,0))</f>
        <v>Premium</v>
      </c>
      <c r="O48" s="204" t="str">
        <f>INDEX(Mapping!$H:$H,MATCH(F$3&amp;F48,Mapping!$B:$B,0))</f>
        <v>multiple</v>
      </c>
      <c r="P48" s="204" t="str">
        <f>INDEX(Mapping!$H:$H,MATCH(G$3&amp;G48,Mapping!$B:$B,0))</f>
        <v>Metro</v>
      </c>
      <c r="Q48" s="204">
        <f>INDEX(Mapping!$H:$H,MATCH(H$3&amp;H48,Mapping!$B:$B,0))</f>
        <v>4</v>
      </c>
      <c r="R48" s="204" t="str">
        <f>INDEX(Mapping!$H:$H,MATCH(R$3&amp;$G48,Mapping!$B:$B,0))</f>
        <v>Metro - Nationaal</v>
      </c>
      <c r="S48" s="139"/>
      <c r="T48" s="139"/>
      <c r="U48" s="520" t="str">
        <f t="shared" si="49"/>
        <v>PremiummultipleMetro4</v>
      </c>
      <c r="W48" s="521">
        <f>MATCH($J48,'Tarieven ZM'!$B:$B,0)</f>
        <v>131</v>
      </c>
      <c r="X48" s="204">
        <f>INDEX('Tarieven ZM'!$H:$H,$W48)</f>
        <v>1000</v>
      </c>
      <c r="Y48" s="198">
        <f>-INDEX(Parameters!$B:$B,MATCH(Y$3&amp;$C48,Parameters!$A:$A,0))*$X48</f>
        <v>0</v>
      </c>
      <c r="Z48" s="198">
        <f>-INDEX(Parameters!$B:$B,MATCH(Z$3&amp;$C48,Parameters!$A:$A,0))*$X48</f>
        <v>0</v>
      </c>
      <c r="AA48" s="139">
        <f t="shared" si="82"/>
        <v>1000</v>
      </c>
      <c r="AB48" s="532">
        <f>AA48/INDEX(Parameters!$B:$B,MATCH("AfschrijftermijnVVE"&amp;12*$C48,Parameters!$A:$A,0))</f>
        <v>16.666666666666668</v>
      </c>
      <c r="AC48" s="204">
        <f>INDEX('Tarieven ZM'!$G:$G,$W48)</f>
        <v>1000</v>
      </c>
      <c r="AD48" s="198">
        <f>-INDEX(Parameters!$B:$B,MATCH(AD$3&amp;$C48,Parameters!$A:$A,0))*$AC48</f>
        <v>0</v>
      </c>
      <c r="AE48" s="198">
        <f>-INDEX(Parameters!$B:$B,MATCH(AE$3,Parameters!$A:$A,0))*$AC48</f>
        <v>0</v>
      </c>
      <c r="AF48" s="139">
        <f t="shared" si="83"/>
        <v>1000</v>
      </c>
      <c r="AG48" s="522">
        <f t="shared" si="84"/>
        <v>1016.6666666666666</v>
      </c>
      <c r="AH48" s="175"/>
      <c r="AI48" s="523">
        <f>MATCH($U48,'Tarieven W&amp;O'!$B:$B,0)</f>
        <v>101</v>
      </c>
      <c r="AJ48" s="204">
        <f>IF(AI48&lt;&gt;"nvt",INDEX('Tarieven W&amp;O'!$H:$H,$AI48),0)</f>
        <v>0</v>
      </c>
      <c r="AK48" s="204">
        <f>IF(AI48&lt;&gt;"nvt",INDEX('Tarieven W&amp;O'!$I:$I,$AI48),0)</f>
        <v>25</v>
      </c>
      <c r="AL48" s="524">
        <f>IF(AI48&lt;&gt;"nvt",-INDEX(Parameters!$B:$B,MATCH(AL$3,Parameters!$A:$A,0))*(AJ48+AK48),0)</f>
        <v>0</v>
      </c>
      <c r="AM48" s="525"/>
      <c r="AN48" s="139">
        <f t="shared" si="85"/>
        <v>25</v>
      </c>
      <c r="AO48" s="205">
        <f>AN48/INDEX(Parameters!$B:$B,MATCH("AfschrijftermijnVVE"&amp;12*$C48,Parameters!$A:$A,0))</f>
        <v>0.41666666666666669</v>
      </c>
      <c r="AP48" s="139">
        <f t="shared" si="86"/>
        <v>101</v>
      </c>
      <c r="AQ48" s="526">
        <f>IF(AP48&lt;&gt;"nvt",INDEX('Tarieven W&amp;O'!$G:$G,$AP48),0)</f>
        <v>45.98</v>
      </c>
      <c r="AR48" s="251">
        <f>-INDEX(Parameters!$B:$B,MATCH(AR$3,Parameters!$A:$A,0))*(AQ48)</f>
        <v>0</v>
      </c>
      <c r="AS48" s="205"/>
      <c r="AT48" s="205">
        <f>INDEX(hulpblad!$E:$E,MATCH(M48&amp;R48,hulpblad!$B:$B,0))</f>
        <v>2</v>
      </c>
      <c r="AU48" s="150">
        <f t="shared" si="87"/>
        <v>47.98</v>
      </c>
      <c r="AV48" s="150">
        <f t="shared" si="88"/>
        <v>48.396666666666661</v>
      </c>
      <c r="AX48" s="526">
        <f>Parameters!$B$6*AV48</f>
        <v>0.4839666666666666</v>
      </c>
      <c r="AY48" s="150">
        <v>0</v>
      </c>
      <c r="AZ48" s="150"/>
      <c r="BA48" s="150">
        <f t="shared" si="89"/>
        <v>0.4839666666666666</v>
      </c>
      <c r="BB48" s="150"/>
      <c r="BC48" s="522">
        <f t="shared" si="90"/>
        <v>48.880633333333328</v>
      </c>
      <c r="BD48" s="175"/>
      <c r="BE48" s="527">
        <f t="shared" si="91"/>
        <v>967.78603333333331</v>
      </c>
      <c r="BF48" s="181">
        <f t="shared" si="92"/>
        <v>0.95192068852459022</v>
      </c>
      <c r="BG48" s="520" t="b">
        <f t="shared" si="93"/>
        <v>0</v>
      </c>
      <c r="BI48" s="151" t="s">
        <v>2181</v>
      </c>
      <c r="BL48" s="151" t="str">
        <f t="shared" si="50"/>
        <v>EoKMetro - Nationaal</v>
      </c>
      <c r="BM48" s="529">
        <v>0</v>
      </c>
      <c r="BN48" s="180">
        <f>BM48/INDEX(Parameters!$B:$B,MATCH("AfschrijftermijnVVE"&amp;12*$C48,Parameters!$A:$A,0))</f>
        <v>0</v>
      </c>
      <c r="BO48" s="184">
        <f>INDEX('inkoop ULL tbv EVPN'!I:I,MATCH(BL48,'inkoop ULL tbv EVPN'!H:H,0))</f>
        <v>2</v>
      </c>
      <c r="BP48" s="184">
        <f t="shared" si="51"/>
        <v>2</v>
      </c>
      <c r="BR48" s="180">
        <f>Parameters!$B$12*AG48</f>
        <v>101.66666666666667</v>
      </c>
      <c r="BS48" s="180">
        <f>SUM(Distributievergoedingen!$F$12,Distributievergoedingen!$I$12,Distributievergoedingen!$L$12,Distributievergoedingen!$O$12)*AF48+SUM(Distributievergoedingen!$O$12*AA48+Distributievergoedingen!$R$12+Distributievergoedingen!$U$12+Distributievergoedingen!$X$12)/(MAX(36,12*C48))</f>
        <v>111.66666666666667</v>
      </c>
      <c r="BT48" s="150"/>
      <c r="BU48" s="150">
        <f t="shared" si="52"/>
        <v>213.33333333333334</v>
      </c>
      <c r="BW48" s="522">
        <f t="shared" si="53"/>
        <v>215.33333333333334</v>
      </c>
      <c r="BY48" s="527">
        <f t="shared" si="54"/>
        <v>801.33333333333326</v>
      </c>
      <c r="BZ48" s="181">
        <f t="shared" si="55"/>
        <v>0.78819672131147533</v>
      </c>
      <c r="CA48" s="520" t="b">
        <f t="shared" si="56"/>
        <v>0</v>
      </c>
    </row>
  </sheetData>
  <autoFilter ref="A3:CA3"/>
  <mergeCells count="13">
    <mergeCell ref="BM1:BP1"/>
    <mergeCell ref="BR1:BU1"/>
    <mergeCell ref="BY1:CA1"/>
    <mergeCell ref="C2:J2"/>
    <mergeCell ref="L2:U2"/>
    <mergeCell ref="W2:AB2"/>
    <mergeCell ref="AC2:AF2"/>
    <mergeCell ref="AI2:AO2"/>
    <mergeCell ref="W1:AG1"/>
    <mergeCell ref="AI1:AV1"/>
    <mergeCell ref="AX1:BA1"/>
    <mergeCell ref="BE1:BG1"/>
    <mergeCell ref="AP2:AU2"/>
  </mergeCells>
  <conditionalFormatting sqref="BI4:BI48">
    <cfRule type="containsText" dxfId="1" priority="1" operator="containsText" text="nee">
      <formula>NOT(ISERROR(SEARCH("nee",BI4)))</formula>
    </cfRule>
    <cfRule type="containsText" dxfId="0" priority="2" operator="containsText" text="ja">
      <formula>NOT(ISERROR(SEARCH("ja",BI4)))</formula>
    </cfRule>
  </conditionalFormatting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583"/>
  <sheetViews>
    <sheetView workbookViewId="0"/>
  </sheetViews>
  <sheetFormatPr defaultColWidth="9.140625" defaultRowHeight="15"/>
  <cols>
    <col min="1" max="1" width="50.28515625" style="210" bestFit="1" customWidth="1"/>
    <col min="2" max="4" width="35" style="210" customWidth="1"/>
    <col min="5" max="5" width="57.5703125" style="210" bestFit="1" customWidth="1"/>
    <col min="6" max="6" width="35" style="210" customWidth="1"/>
    <col min="7" max="7" width="32.5703125" style="210" bestFit="1" customWidth="1"/>
    <col min="8" max="16384" width="9.140625" style="219"/>
  </cols>
  <sheetData>
    <row r="1" spans="1:7" s="210" customFormat="1">
      <c r="A1" t="s">
        <v>2182</v>
      </c>
    </row>
    <row r="2" spans="1:7" s="210" customFormat="1" ht="15.75" thickBot="1">
      <c r="B2" s="210" t="s">
        <v>2183</v>
      </c>
      <c r="C2" s="210" t="s">
        <v>2183</v>
      </c>
      <c r="D2" s="210" t="s">
        <v>2184</v>
      </c>
      <c r="E2" s="211" t="s">
        <v>2185</v>
      </c>
    </row>
    <row r="3" spans="1:7" s="210" customFormat="1" ht="45.75" thickBot="1">
      <c r="A3" s="212" t="s">
        <v>2186</v>
      </c>
      <c r="B3" s="213" t="s">
        <v>253</v>
      </c>
      <c r="C3" s="214" t="s">
        <v>254</v>
      </c>
      <c r="D3" s="213" t="s">
        <v>255</v>
      </c>
      <c r="E3" s="214" t="s">
        <v>2187</v>
      </c>
      <c r="F3" s="213" t="s">
        <v>2188</v>
      </c>
      <c r="G3" s="215" t="s">
        <v>2189</v>
      </c>
    </row>
    <row r="4" spans="1:7">
      <c r="A4" s="216" t="s">
        <v>2190</v>
      </c>
      <c r="B4" s="217">
        <v>1500</v>
      </c>
      <c r="C4" s="217">
        <v>225</v>
      </c>
      <c r="D4" s="217">
        <v>1010</v>
      </c>
      <c r="E4" s="217">
        <v>181.8</v>
      </c>
      <c r="F4" s="217"/>
      <c r="G4" s="218" t="s">
        <v>2191</v>
      </c>
    </row>
    <row r="5" spans="1:7">
      <c r="A5" s="220" t="s">
        <v>2192</v>
      </c>
      <c r="B5" s="221">
        <v>3000</v>
      </c>
      <c r="C5" s="221">
        <v>225</v>
      </c>
      <c r="D5" s="221">
        <v>1767.5000000000002</v>
      </c>
      <c r="E5" s="221">
        <v>181.8</v>
      </c>
      <c r="F5" s="221"/>
      <c r="G5" s="222" t="s">
        <v>2191</v>
      </c>
    </row>
    <row r="6" spans="1:7">
      <c r="A6" s="223" t="s">
        <v>2193</v>
      </c>
      <c r="B6" s="224">
        <v>6750</v>
      </c>
      <c r="C6" s="221">
        <v>225</v>
      </c>
      <c r="D6" s="224">
        <v>2355.4227118644067</v>
      </c>
      <c r="E6" s="221">
        <v>181.8</v>
      </c>
      <c r="F6" s="221"/>
      <c r="G6" s="222" t="s">
        <v>2191</v>
      </c>
    </row>
    <row r="7" spans="1:7">
      <c r="A7" s="223" t="s">
        <v>2194</v>
      </c>
      <c r="B7" s="224">
        <v>17000</v>
      </c>
      <c r="C7" s="221">
        <v>225</v>
      </c>
      <c r="D7" s="224">
        <v>3531.2681355932195</v>
      </c>
      <c r="E7" s="221">
        <v>181.8</v>
      </c>
      <c r="F7" s="221"/>
      <c r="G7" s="222" t="s">
        <v>2191</v>
      </c>
    </row>
    <row r="8" spans="1:7">
      <c r="A8" s="220" t="s">
        <v>2195</v>
      </c>
      <c r="B8" s="221">
        <v>1500</v>
      </c>
      <c r="C8" s="221">
        <v>275</v>
      </c>
      <c r="D8" s="221">
        <v>1010</v>
      </c>
      <c r="E8" s="221">
        <v>227.25</v>
      </c>
      <c r="F8" s="221"/>
      <c r="G8" s="222" t="s">
        <v>2191</v>
      </c>
    </row>
    <row r="9" spans="1:7">
      <c r="A9" s="220" t="s">
        <v>2196</v>
      </c>
      <c r="B9" s="221">
        <v>3000</v>
      </c>
      <c r="C9" s="221">
        <v>275</v>
      </c>
      <c r="D9" s="221">
        <v>1767.5000000000002</v>
      </c>
      <c r="E9" s="221">
        <v>227.25</v>
      </c>
      <c r="F9" s="221"/>
      <c r="G9" s="222" t="s">
        <v>2191</v>
      </c>
    </row>
    <row r="10" spans="1:7">
      <c r="A10" s="223" t="s">
        <v>2197</v>
      </c>
      <c r="B10" s="224">
        <v>6750</v>
      </c>
      <c r="C10" s="221">
        <v>275</v>
      </c>
      <c r="D10" s="224">
        <v>2355.4227118644067</v>
      </c>
      <c r="E10" s="221">
        <v>227.25</v>
      </c>
      <c r="F10" s="221"/>
      <c r="G10" s="222" t="s">
        <v>2191</v>
      </c>
    </row>
    <row r="11" spans="1:7">
      <c r="A11" s="223" t="s">
        <v>2198</v>
      </c>
      <c r="B11" s="224">
        <v>17000</v>
      </c>
      <c r="C11" s="221">
        <v>275</v>
      </c>
      <c r="D11" s="224">
        <v>3531.2681355932195</v>
      </c>
      <c r="E11" s="221">
        <v>227.25</v>
      </c>
      <c r="F11" s="221"/>
      <c r="G11" s="222" t="s">
        <v>2191</v>
      </c>
    </row>
    <row r="12" spans="1:7">
      <c r="A12" s="220" t="s">
        <v>2199</v>
      </c>
      <c r="B12" s="221">
        <v>1500</v>
      </c>
      <c r="C12" s="221">
        <v>400</v>
      </c>
      <c r="D12" s="221">
        <v>1010</v>
      </c>
      <c r="E12" s="221">
        <v>336.33</v>
      </c>
      <c r="F12" s="221"/>
      <c r="G12" s="222" t="s">
        <v>2191</v>
      </c>
    </row>
    <row r="13" spans="1:7">
      <c r="A13" s="220" t="s">
        <v>2200</v>
      </c>
      <c r="B13" s="221">
        <v>3000</v>
      </c>
      <c r="C13" s="221">
        <v>400</v>
      </c>
      <c r="D13" s="221">
        <v>1767.5000000000002</v>
      </c>
      <c r="E13" s="221">
        <v>336.33</v>
      </c>
      <c r="F13" s="221"/>
      <c r="G13" s="222" t="s">
        <v>2191</v>
      </c>
    </row>
    <row r="14" spans="1:7">
      <c r="A14" s="223" t="s">
        <v>2201</v>
      </c>
      <c r="B14" s="224">
        <v>6750</v>
      </c>
      <c r="C14" s="221">
        <v>400</v>
      </c>
      <c r="D14" s="224">
        <v>2355.4227118644067</v>
      </c>
      <c r="E14" s="221">
        <v>336.33</v>
      </c>
      <c r="F14" s="221"/>
      <c r="G14" s="222" t="s">
        <v>2191</v>
      </c>
    </row>
    <row r="15" spans="1:7">
      <c r="A15" s="223" t="s">
        <v>2202</v>
      </c>
      <c r="B15" s="224">
        <v>17000</v>
      </c>
      <c r="C15" s="221">
        <v>400</v>
      </c>
      <c r="D15" s="224">
        <v>3531.2681355932195</v>
      </c>
      <c r="E15" s="221">
        <v>336.33</v>
      </c>
      <c r="F15" s="221"/>
      <c r="G15" s="222" t="s">
        <v>2191</v>
      </c>
    </row>
    <row r="16" spans="1:7">
      <c r="A16" s="220" t="s">
        <v>2203</v>
      </c>
      <c r="B16" s="221">
        <v>3000</v>
      </c>
      <c r="C16" s="221">
        <v>450</v>
      </c>
      <c r="D16" s="221">
        <v>2020</v>
      </c>
      <c r="E16" s="221">
        <v>340.875</v>
      </c>
      <c r="F16" s="221"/>
      <c r="G16" s="222" t="s">
        <v>2191</v>
      </c>
    </row>
    <row r="17" spans="1:7">
      <c r="A17" s="220" t="s">
        <v>2204</v>
      </c>
      <c r="B17" s="221">
        <v>6000</v>
      </c>
      <c r="C17" s="221">
        <v>450</v>
      </c>
      <c r="D17" s="221">
        <v>2607.9227118644067</v>
      </c>
      <c r="E17" s="221">
        <v>340.875</v>
      </c>
      <c r="F17" s="221"/>
      <c r="G17" s="222" t="s">
        <v>2191</v>
      </c>
    </row>
    <row r="18" spans="1:7">
      <c r="A18" s="223" t="s">
        <v>2205</v>
      </c>
      <c r="B18" s="224">
        <v>13500</v>
      </c>
      <c r="C18" s="221">
        <v>450</v>
      </c>
      <c r="D18" s="224">
        <v>3195.8454237288138</v>
      </c>
      <c r="E18" s="221">
        <v>340.875</v>
      </c>
      <c r="F18" s="221"/>
      <c r="G18" s="222" t="s">
        <v>2191</v>
      </c>
    </row>
    <row r="19" spans="1:7">
      <c r="A19" s="223" t="s">
        <v>2206</v>
      </c>
      <c r="B19" s="224">
        <v>34000</v>
      </c>
      <c r="C19" s="221">
        <v>450</v>
      </c>
      <c r="D19" s="224">
        <v>4371.6908474576267</v>
      </c>
      <c r="E19" s="221">
        <v>340.875</v>
      </c>
      <c r="F19" s="221"/>
      <c r="G19" s="222" t="s">
        <v>2191</v>
      </c>
    </row>
    <row r="20" spans="1:7">
      <c r="A20" s="220" t="s">
        <v>2207</v>
      </c>
      <c r="B20" s="221">
        <v>3000</v>
      </c>
      <c r="C20" s="221">
        <v>550</v>
      </c>
      <c r="D20" s="221">
        <v>2020</v>
      </c>
      <c r="E20" s="221">
        <v>431.77499999999998</v>
      </c>
      <c r="F20" s="221"/>
      <c r="G20" s="222" t="s">
        <v>2191</v>
      </c>
    </row>
    <row r="21" spans="1:7">
      <c r="A21" s="220" t="s">
        <v>2208</v>
      </c>
      <c r="B21" s="221">
        <v>6000</v>
      </c>
      <c r="C21" s="221">
        <v>550</v>
      </c>
      <c r="D21" s="221">
        <v>2607.9227118644067</v>
      </c>
      <c r="E21" s="221">
        <v>431.77499999999998</v>
      </c>
      <c r="F21" s="221"/>
      <c r="G21" s="222" t="s">
        <v>2191</v>
      </c>
    </row>
    <row r="22" spans="1:7">
      <c r="A22" s="223" t="s">
        <v>2209</v>
      </c>
      <c r="B22" s="224">
        <v>13500</v>
      </c>
      <c r="C22" s="221">
        <v>550</v>
      </c>
      <c r="D22" s="224">
        <v>3195.8454237288138</v>
      </c>
      <c r="E22" s="221">
        <v>431.77499999999998</v>
      </c>
      <c r="F22" s="221"/>
      <c r="G22" s="222" t="s">
        <v>2191</v>
      </c>
    </row>
    <row r="23" spans="1:7">
      <c r="A23" s="223" t="s">
        <v>2210</v>
      </c>
      <c r="B23" s="224">
        <v>34000</v>
      </c>
      <c r="C23" s="221">
        <v>550</v>
      </c>
      <c r="D23" s="224">
        <v>4371.6908474576267</v>
      </c>
      <c r="E23" s="221">
        <v>431.77499999999998</v>
      </c>
      <c r="F23" s="221"/>
      <c r="G23" s="222" t="s">
        <v>2191</v>
      </c>
    </row>
    <row r="24" spans="1:7">
      <c r="A24" s="220" t="s">
        <v>2211</v>
      </c>
      <c r="B24" s="221">
        <v>3000</v>
      </c>
      <c r="C24" s="221">
        <v>800</v>
      </c>
      <c r="D24" s="221">
        <v>2020</v>
      </c>
      <c r="E24" s="221">
        <v>590.85</v>
      </c>
      <c r="F24" s="221"/>
      <c r="G24" s="222" t="s">
        <v>2191</v>
      </c>
    </row>
    <row r="25" spans="1:7">
      <c r="A25" s="220" t="s">
        <v>2212</v>
      </c>
      <c r="B25" s="221">
        <v>6000</v>
      </c>
      <c r="C25" s="221">
        <v>800</v>
      </c>
      <c r="D25" s="221">
        <v>2607.9227118644067</v>
      </c>
      <c r="E25" s="221">
        <v>590.85</v>
      </c>
      <c r="F25" s="221"/>
      <c r="G25" s="222" t="s">
        <v>2191</v>
      </c>
    </row>
    <row r="26" spans="1:7">
      <c r="A26" s="223" t="s">
        <v>2213</v>
      </c>
      <c r="B26" s="224">
        <v>13500</v>
      </c>
      <c r="C26" s="221">
        <v>800</v>
      </c>
      <c r="D26" s="224">
        <v>3195.8454237288138</v>
      </c>
      <c r="E26" s="221">
        <v>590.85</v>
      </c>
      <c r="F26" s="221"/>
      <c r="G26" s="222" t="s">
        <v>2191</v>
      </c>
    </row>
    <row r="27" spans="1:7">
      <c r="A27" s="223" t="s">
        <v>2214</v>
      </c>
      <c r="B27" s="224">
        <v>34000</v>
      </c>
      <c r="C27" s="221">
        <v>800</v>
      </c>
      <c r="D27" s="224">
        <v>4371.6908474576267</v>
      </c>
      <c r="E27" s="221">
        <v>590.85</v>
      </c>
      <c r="F27" s="221"/>
      <c r="G27" s="222" t="s">
        <v>2191</v>
      </c>
    </row>
    <row r="28" spans="1:7">
      <c r="A28" s="220" t="s">
        <v>2215</v>
      </c>
      <c r="B28" s="221">
        <v>3000</v>
      </c>
      <c r="C28" s="221">
        <v>450</v>
      </c>
      <c r="D28" s="221">
        <v>2020</v>
      </c>
      <c r="E28" s="221">
        <v>363.6</v>
      </c>
      <c r="F28" s="221"/>
      <c r="G28" s="222" t="s">
        <v>2191</v>
      </c>
    </row>
    <row r="29" spans="1:7">
      <c r="A29" s="220" t="s">
        <v>2216</v>
      </c>
      <c r="B29" s="221">
        <v>6000</v>
      </c>
      <c r="C29" s="221">
        <v>450</v>
      </c>
      <c r="D29" s="221">
        <v>3535.0000000000005</v>
      </c>
      <c r="E29" s="221">
        <v>363.6</v>
      </c>
      <c r="F29" s="221"/>
      <c r="G29" s="222" t="s">
        <v>2191</v>
      </c>
    </row>
    <row r="30" spans="1:7">
      <c r="A30" s="223" t="s">
        <v>2217</v>
      </c>
      <c r="B30" s="224">
        <v>13500</v>
      </c>
      <c r="C30" s="221">
        <v>450</v>
      </c>
      <c r="D30" s="224">
        <v>4710.8454237288133</v>
      </c>
      <c r="E30" s="221">
        <v>363.6</v>
      </c>
      <c r="F30" s="221"/>
      <c r="G30" s="222" t="s">
        <v>2191</v>
      </c>
    </row>
    <row r="31" spans="1:7">
      <c r="A31" s="223" t="s">
        <v>2218</v>
      </c>
      <c r="B31" s="224">
        <v>34000</v>
      </c>
      <c r="C31" s="221">
        <v>450</v>
      </c>
      <c r="D31" s="224">
        <v>7062.5362711864391</v>
      </c>
      <c r="E31" s="221">
        <v>363.6</v>
      </c>
      <c r="F31" s="221"/>
      <c r="G31" s="222" t="s">
        <v>2191</v>
      </c>
    </row>
    <row r="32" spans="1:7">
      <c r="A32" s="220" t="s">
        <v>2219</v>
      </c>
      <c r="B32" s="221">
        <v>3000</v>
      </c>
      <c r="C32" s="221">
        <v>550</v>
      </c>
      <c r="D32" s="221">
        <v>2020</v>
      </c>
      <c r="E32" s="221">
        <v>454.5</v>
      </c>
      <c r="F32" s="221"/>
      <c r="G32" s="222" t="s">
        <v>2191</v>
      </c>
    </row>
    <row r="33" spans="1:7">
      <c r="A33" s="220" t="s">
        <v>2220</v>
      </c>
      <c r="B33" s="221">
        <v>6000</v>
      </c>
      <c r="C33" s="221">
        <v>550</v>
      </c>
      <c r="D33" s="221">
        <v>3535.0000000000005</v>
      </c>
      <c r="E33" s="221">
        <v>454.5</v>
      </c>
      <c r="F33" s="221"/>
      <c r="G33" s="222" t="s">
        <v>2191</v>
      </c>
    </row>
    <row r="34" spans="1:7">
      <c r="A34" s="223" t="s">
        <v>2221</v>
      </c>
      <c r="B34" s="224">
        <v>13500</v>
      </c>
      <c r="C34" s="221">
        <v>550</v>
      </c>
      <c r="D34" s="224">
        <v>4710.8454237288133</v>
      </c>
      <c r="E34" s="221">
        <v>454.5</v>
      </c>
      <c r="F34" s="221"/>
      <c r="G34" s="222" t="s">
        <v>2191</v>
      </c>
    </row>
    <row r="35" spans="1:7">
      <c r="A35" s="223" t="s">
        <v>2222</v>
      </c>
      <c r="B35" s="224">
        <v>34000</v>
      </c>
      <c r="C35" s="221">
        <v>550</v>
      </c>
      <c r="D35" s="224">
        <v>7062.5362711864391</v>
      </c>
      <c r="E35" s="221">
        <v>454.5</v>
      </c>
      <c r="F35" s="221"/>
      <c r="G35" s="222" t="s">
        <v>2191</v>
      </c>
    </row>
    <row r="36" spans="1:7">
      <c r="A36" s="220" t="s">
        <v>2223</v>
      </c>
      <c r="B36" s="221">
        <v>3000</v>
      </c>
      <c r="C36" s="221">
        <v>800</v>
      </c>
      <c r="D36" s="221">
        <v>2020</v>
      </c>
      <c r="E36" s="221">
        <v>672.66</v>
      </c>
      <c r="F36" s="221"/>
      <c r="G36" s="222" t="s">
        <v>2191</v>
      </c>
    </row>
    <row r="37" spans="1:7">
      <c r="A37" s="220" t="s">
        <v>2224</v>
      </c>
      <c r="B37" s="221">
        <v>6000</v>
      </c>
      <c r="C37" s="221">
        <v>800</v>
      </c>
      <c r="D37" s="221">
        <v>3535.0000000000005</v>
      </c>
      <c r="E37" s="221">
        <v>672.66</v>
      </c>
      <c r="F37" s="221"/>
      <c r="G37" s="222" t="s">
        <v>2191</v>
      </c>
    </row>
    <row r="38" spans="1:7">
      <c r="A38" s="223" t="s">
        <v>2225</v>
      </c>
      <c r="B38" s="224">
        <v>13500</v>
      </c>
      <c r="C38" s="221">
        <v>800</v>
      </c>
      <c r="D38" s="224">
        <v>4710.8454237288133</v>
      </c>
      <c r="E38" s="221">
        <v>672.66</v>
      </c>
      <c r="F38" s="221"/>
      <c r="G38" s="222" t="s">
        <v>2191</v>
      </c>
    </row>
    <row r="39" spans="1:7">
      <c r="A39" s="223" t="s">
        <v>2226</v>
      </c>
      <c r="B39" s="224">
        <v>34000</v>
      </c>
      <c r="C39" s="221">
        <v>800</v>
      </c>
      <c r="D39" s="224">
        <v>7062.5362711864391</v>
      </c>
      <c r="E39" s="221">
        <v>672.66</v>
      </c>
      <c r="F39" s="221"/>
      <c r="G39" s="222" t="s">
        <v>2191</v>
      </c>
    </row>
    <row r="40" spans="1:7">
      <c r="A40" s="220" t="s">
        <v>2227</v>
      </c>
      <c r="B40" s="221">
        <v>8000</v>
      </c>
      <c r="C40" s="221">
        <v>900</v>
      </c>
      <c r="D40" s="221">
        <v>4040</v>
      </c>
      <c r="E40" s="221">
        <v>681.75</v>
      </c>
      <c r="F40" s="221"/>
      <c r="G40" s="222" t="s">
        <v>2191</v>
      </c>
    </row>
    <row r="41" spans="1:7">
      <c r="A41" s="220" t="s">
        <v>2228</v>
      </c>
      <c r="B41" s="221">
        <v>11000</v>
      </c>
      <c r="C41" s="221">
        <v>900</v>
      </c>
      <c r="D41" s="221">
        <v>5215.8454237288133</v>
      </c>
      <c r="E41" s="221">
        <v>681.75</v>
      </c>
      <c r="F41" s="221"/>
      <c r="G41" s="222" t="s">
        <v>2191</v>
      </c>
    </row>
    <row r="42" spans="1:7">
      <c r="A42" s="223" t="s">
        <v>2229</v>
      </c>
      <c r="B42" s="224">
        <v>18500</v>
      </c>
      <c r="C42" s="221">
        <v>900</v>
      </c>
      <c r="D42" s="224">
        <v>6391.6908474576276</v>
      </c>
      <c r="E42" s="221">
        <v>681.75</v>
      </c>
      <c r="F42" s="221"/>
      <c r="G42" s="222" t="s">
        <v>2191</v>
      </c>
    </row>
    <row r="43" spans="1:7">
      <c r="A43" s="223" t="s">
        <v>2230</v>
      </c>
      <c r="B43" s="224">
        <v>39000</v>
      </c>
      <c r="C43" s="221">
        <v>900</v>
      </c>
      <c r="D43" s="224">
        <v>8743.3816949152533</v>
      </c>
      <c r="E43" s="221">
        <v>681.75</v>
      </c>
      <c r="F43" s="221"/>
      <c r="G43" s="222" t="s">
        <v>2191</v>
      </c>
    </row>
    <row r="44" spans="1:7">
      <c r="A44" s="220" t="s">
        <v>2231</v>
      </c>
      <c r="B44" s="221">
        <v>8000</v>
      </c>
      <c r="C44" s="221">
        <v>1100</v>
      </c>
      <c r="D44" s="221">
        <v>4040</v>
      </c>
      <c r="E44" s="221">
        <v>863.55</v>
      </c>
      <c r="F44" s="221"/>
      <c r="G44" s="222" t="s">
        <v>2191</v>
      </c>
    </row>
    <row r="45" spans="1:7">
      <c r="A45" s="220" t="s">
        <v>2232</v>
      </c>
      <c r="B45" s="221">
        <v>11000</v>
      </c>
      <c r="C45" s="221">
        <v>1100</v>
      </c>
      <c r="D45" s="221">
        <v>5215.8454237288133</v>
      </c>
      <c r="E45" s="221">
        <v>863.55</v>
      </c>
      <c r="F45" s="221"/>
      <c r="G45" s="222" t="s">
        <v>2191</v>
      </c>
    </row>
    <row r="46" spans="1:7">
      <c r="A46" s="223" t="s">
        <v>2233</v>
      </c>
      <c r="B46" s="224">
        <v>18500</v>
      </c>
      <c r="C46" s="221">
        <v>1100</v>
      </c>
      <c r="D46" s="224">
        <v>6391.6908474576276</v>
      </c>
      <c r="E46" s="221">
        <v>863.55</v>
      </c>
      <c r="F46" s="221"/>
      <c r="G46" s="222" t="s">
        <v>2191</v>
      </c>
    </row>
    <row r="47" spans="1:7">
      <c r="A47" s="223" t="s">
        <v>2234</v>
      </c>
      <c r="B47" s="224">
        <v>39000</v>
      </c>
      <c r="C47" s="221">
        <v>1100</v>
      </c>
      <c r="D47" s="224">
        <v>8743.3816949152533</v>
      </c>
      <c r="E47" s="221">
        <v>863.55</v>
      </c>
      <c r="F47" s="221"/>
      <c r="G47" s="222" t="s">
        <v>2191</v>
      </c>
    </row>
    <row r="48" spans="1:7">
      <c r="A48" s="220" t="s">
        <v>2235</v>
      </c>
      <c r="B48" s="221">
        <v>8000</v>
      </c>
      <c r="C48" s="221">
        <v>1600</v>
      </c>
      <c r="D48" s="221">
        <v>4040</v>
      </c>
      <c r="E48" s="221">
        <v>1181.7</v>
      </c>
      <c r="F48" s="221"/>
      <c r="G48" s="222" t="s">
        <v>2191</v>
      </c>
    </row>
    <row r="49" spans="1:7">
      <c r="A49" s="220" t="s">
        <v>2236</v>
      </c>
      <c r="B49" s="221">
        <v>11000</v>
      </c>
      <c r="C49" s="221">
        <v>1600</v>
      </c>
      <c r="D49" s="221">
        <v>5215.8454237288133</v>
      </c>
      <c r="E49" s="221">
        <v>1181.7</v>
      </c>
      <c r="F49" s="221"/>
      <c r="G49" s="222" t="s">
        <v>2191</v>
      </c>
    </row>
    <row r="50" spans="1:7">
      <c r="A50" s="223" t="s">
        <v>2237</v>
      </c>
      <c r="B50" s="224">
        <v>18500</v>
      </c>
      <c r="C50" s="221">
        <v>1600</v>
      </c>
      <c r="D50" s="224">
        <v>6391.6908474576276</v>
      </c>
      <c r="E50" s="221">
        <v>1181.7</v>
      </c>
      <c r="F50" s="221"/>
      <c r="G50" s="222" t="s">
        <v>2191</v>
      </c>
    </row>
    <row r="51" spans="1:7">
      <c r="A51" s="223" t="s">
        <v>2238</v>
      </c>
      <c r="B51" s="224">
        <v>39000</v>
      </c>
      <c r="C51" s="221">
        <v>1600</v>
      </c>
      <c r="D51" s="224">
        <v>8743.3816949152533</v>
      </c>
      <c r="E51" s="221">
        <v>1181.7</v>
      </c>
      <c r="F51" s="221"/>
      <c r="G51" s="222" t="s">
        <v>2191</v>
      </c>
    </row>
    <row r="52" spans="1:7">
      <c r="A52" s="220" t="s">
        <v>2239</v>
      </c>
      <c r="B52" s="221">
        <v>13000</v>
      </c>
      <c r="C52" s="221">
        <v>1125</v>
      </c>
      <c r="D52" s="221">
        <v>2020</v>
      </c>
      <c r="E52" s="221">
        <v>363.6</v>
      </c>
      <c r="F52" s="221"/>
      <c r="G52" s="222" t="s">
        <v>2191</v>
      </c>
    </row>
    <row r="53" spans="1:7">
      <c r="A53" s="220" t="s">
        <v>2240</v>
      </c>
      <c r="B53" s="221">
        <v>16000</v>
      </c>
      <c r="C53" s="221">
        <v>1125</v>
      </c>
      <c r="D53" s="221">
        <v>3535.0000000000005</v>
      </c>
      <c r="E53" s="221">
        <v>363.6</v>
      </c>
      <c r="F53" s="221"/>
      <c r="G53" s="222" t="s">
        <v>2191</v>
      </c>
    </row>
    <row r="54" spans="1:7">
      <c r="A54" s="223" t="s">
        <v>2241</v>
      </c>
      <c r="B54" s="224">
        <v>23500</v>
      </c>
      <c r="C54" s="221">
        <v>1125</v>
      </c>
      <c r="D54" s="224">
        <v>4710.8454237288133</v>
      </c>
      <c r="E54" s="221">
        <v>363.6</v>
      </c>
      <c r="F54" s="221"/>
      <c r="G54" s="222" t="s">
        <v>2191</v>
      </c>
    </row>
    <row r="55" spans="1:7">
      <c r="A55" s="223" t="s">
        <v>2242</v>
      </c>
      <c r="B55" s="224">
        <v>44000</v>
      </c>
      <c r="C55" s="221">
        <v>1125</v>
      </c>
      <c r="D55" s="224">
        <v>7062.5362711864391</v>
      </c>
      <c r="E55" s="221">
        <v>363.6</v>
      </c>
      <c r="F55" s="221"/>
      <c r="G55" s="222" t="s">
        <v>2191</v>
      </c>
    </row>
    <row r="56" spans="1:7">
      <c r="A56" s="220" t="s">
        <v>2243</v>
      </c>
      <c r="B56" s="221">
        <v>13000</v>
      </c>
      <c r="C56" s="221">
        <v>1375</v>
      </c>
      <c r="D56" s="221">
        <v>2020</v>
      </c>
      <c r="E56" s="221">
        <v>454.5</v>
      </c>
      <c r="F56" s="221"/>
      <c r="G56" s="222" t="s">
        <v>2191</v>
      </c>
    </row>
    <row r="57" spans="1:7">
      <c r="A57" s="220" t="s">
        <v>2244</v>
      </c>
      <c r="B57" s="221">
        <v>16000</v>
      </c>
      <c r="C57" s="221">
        <v>1375</v>
      </c>
      <c r="D57" s="221">
        <v>3535.0000000000005</v>
      </c>
      <c r="E57" s="221">
        <v>454.5</v>
      </c>
      <c r="F57" s="221"/>
      <c r="G57" s="222" t="s">
        <v>2191</v>
      </c>
    </row>
    <row r="58" spans="1:7">
      <c r="A58" s="223" t="s">
        <v>2245</v>
      </c>
      <c r="B58" s="224">
        <v>23500</v>
      </c>
      <c r="C58" s="221">
        <v>1375</v>
      </c>
      <c r="D58" s="224">
        <v>4710.8454237288133</v>
      </c>
      <c r="E58" s="221">
        <v>454.5</v>
      </c>
      <c r="F58" s="221"/>
      <c r="G58" s="222" t="s">
        <v>2191</v>
      </c>
    </row>
    <row r="59" spans="1:7">
      <c r="A59" s="223" t="s">
        <v>2246</v>
      </c>
      <c r="B59" s="224">
        <v>44000</v>
      </c>
      <c r="C59" s="221">
        <v>1375</v>
      </c>
      <c r="D59" s="224">
        <v>7062.5362711864391</v>
      </c>
      <c r="E59" s="221">
        <v>454.5</v>
      </c>
      <c r="F59" s="221"/>
      <c r="G59" s="222" t="s">
        <v>2191</v>
      </c>
    </row>
    <row r="60" spans="1:7">
      <c r="A60" s="220" t="s">
        <v>2247</v>
      </c>
      <c r="B60" s="221">
        <v>13000</v>
      </c>
      <c r="C60" s="221">
        <v>2000</v>
      </c>
      <c r="D60" s="221">
        <v>2020</v>
      </c>
      <c r="E60" s="221">
        <v>672.66</v>
      </c>
      <c r="F60" s="221"/>
      <c r="G60" s="222" t="s">
        <v>2191</v>
      </c>
    </row>
    <row r="61" spans="1:7">
      <c r="A61" s="220" t="s">
        <v>2248</v>
      </c>
      <c r="B61" s="221">
        <v>16000</v>
      </c>
      <c r="C61" s="221">
        <v>2000</v>
      </c>
      <c r="D61" s="221">
        <v>3535.0000000000005</v>
      </c>
      <c r="E61" s="221">
        <v>672.66</v>
      </c>
      <c r="F61" s="221"/>
      <c r="G61" s="222" t="s">
        <v>2191</v>
      </c>
    </row>
    <row r="62" spans="1:7">
      <c r="A62" s="223" t="s">
        <v>2249</v>
      </c>
      <c r="B62" s="224">
        <v>23500</v>
      </c>
      <c r="C62" s="221">
        <v>2000</v>
      </c>
      <c r="D62" s="224">
        <v>4710.8454237288133</v>
      </c>
      <c r="E62" s="221">
        <v>672.66</v>
      </c>
      <c r="F62" s="221"/>
      <c r="G62" s="222" t="s">
        <v>2191</v>
      </c>
    </row>
    <row r="63" spans="1:7">
      <c r="A63" s="223" t="s">
        <v>2250</v>
      </c>
      <c r="B63" s="224">
        <v>44000</v>
      </c>
      <c r="C63" s="221">
        <v>2000</v>
      </c>
      <c r="D63" s="224">
        <v>7062.5362711864391</v>
      </c>
      <c r="E63" s="221">
        <v>672.66</v>
      </c>
      <c r="F63" s="221"/>
      <c r="G63" s="222" t="s">
        <v>2191</v>
      </c>
    </row>
    <row r="64" spans="1:7">
      <c r="A64" s="220" t="s">
        <v>2251</v>
      </c>
      <c r="B64" s="221">
        <v>23000</v>
      </c>
      <c r="C64" s="221">
        <v>2250</v>
      </c>
      <c r="D64" s="221">
        <v>4040</v>
      </c>
      <c r="E64" s="221">
        <v>681.75</v>
      </c>
      <c r="F64" s="221"/>
      <c r="G64" s="222" t="s">
        <v>2191</v>
      </c>
    </row>
    <row r="65" spans="1:7">
      <c r="A65" s="220" t="s">
        <v>2252</v>
      </c>
      <c r="B65" s="221">
        <v>26000</v>
      </c>
      <c r="C65" s="221">
        <v>2250</v>
      </c>
      <c r="D65" s="221">
        <v>5215.8454237288133</v>
      </c>
      <c r="E65" s="221">
        <v>681.75</v>
      </c>
      <c r="F65" s="221"/>
      <c r="G65" s="222" t="s">
        <v>2191</v>
      </c>
    </row>
    <row r="66" spans="1:7">
      <c r="A66" s="223" t="s">
        <v>2253</v>
      </c>
      <c r="B66" s="224">
        <v>33500</v>
      </c>
      <c r="C66" s="221">
        <v>2250</v>
      </c>
      <c r="D66" s="224">
        <v>6391.6908474576276</v>
      </c>
      <c r="E66" s="221">
        <v>681.75</v>
      </c>
      <c r="F66" s="221"/>
      <c r="G66" s="222" t="s">
        <v>2191</v>
      </c>
    </row>
    <row r="67" spans="1:7">
      <c r="A67" s="223" t="s">
        <v>2254</v>
      </c>
      <c r="B67" s="224">
        <v>54000</v>
      </c>
      <c r="C67" s="221">
        <v>2250</v>
      </c>
      <c r="D67" s="224">
        <v>8743.3816949152533</v>
      </c>
      <c r="E67" s="221">
        <v>681.75</v>
      </c>
      <c r="F67" s="221"/>
      <c r="G67" s="222" t="s">
        <v>2191</v>
      </c>
    </row>
    <row r="68" spans="1:7">
      <c r="A68" s="220" t="s">
        <v>2255</v>
      </c>
      <c r="B68" s="221">
        <v>23000</v>
      </c>
      <c r="C68" s="221">
        <v>2750</v>
      </c>
      <c r="D68" s="221">
        <v>4040</v>
      </c>
      <c r="E68" s="221">
        <v>863.55</v>
      </c>
      <c r="F68" s="221"/>
      <c r="G68" s="222" t="s">
        <v>2191</v>
      </c>
    </row>
    <row r="69" spans="1:7">
      <c r="A69" s="220" t="s">
        <v>2256</v>
      </c>
      <c r="B69" s="221">
        <v>26000</v>
      </c>
      <c r="C69" s="221">
        <v>2750</v>
      </c>
      <c r="D69" s="221">
        <v>5215.8454237288133</v>
      </c>
      <c r="E69" s="221">
        <v>863.55</v>
      </c>
      <c r="F69" s="221"/>
      <c r="G69" s="222" t="s">
        <v>2191</v>
      </c>
    </row>
    <row r="70" spans="1:7">
      <c r="A70" s="223" t="s">
        <v>2257</v>
      </c>
      <c r="B70" s="224">
        <v>33500</v>
      </c>
      <c r="C70" s="221">
        <v>2750</v>
      </c>
      <c r="D70" s="224">
        <v>6391.6908474576276</v>
      </c>
      <c r="E70" s="221">
        <v>863.55</v>
      </c>
      <c r="F70" s="221"/>
      <c r="G70" s="222" t="s">
        <v>2191</v>
      </c>
    </row>
    <row r="71" spans="1:7">
      <c r="A71" s="223" t="s">
        <v>2258</v>
      </c>
      <c r="B71" s="224">
        <v>54000</v>
      </c>
      <c r="C71" s="221">
        <v>2750</v>
      </c>
      <c r="D71" s="224">
        <v>8743.3816949152533</v>
      </c>
      <c r="E71" s="221">
        <v>863.55</v>
      </c>
      <c r="F71" s="221"/>
      <c r="G71" s="222" t="s">
        <v>2191</v>
      </c>
    </row>
    <row r="72" spans="1:7">
      <c r="A72" s="220" t="s">
        <v>2259</v>
      </c>
      <c r="B72" s="221">
        <v>23000</v>
      </c>
      <c r="C72" s="221">
        <v>4000</v>
      </c>
      <c r="D72" s="221">
        <v>4040</v>
      </c>
      <c r="E72" s="221">
        <v>1181.7</v>
      </c>
      <c r="F72" s="221"/>
      <c r="G72" s="222" t="s">
        <v>2191</v>
      </c>
    </row>
    <row r="73" spans="1:7">
      <c r="A73" s="220" t="s">
        <v>2260</v>
      </c>
      <c r="B73" s="221">
        <v>26000</v>
      </c>
      <c r="C73" s="221">
        <v>4000</v>
      </c>
      <c r="D73" s="221">
        <v>5215.8454237288133</v>
      </c>
      <c r="E73" s="221">
        <v>1181.7</v>
      </c>
      <c r="F73" s="221"/>
      <c r="G73" s="222" t="s">
        <v>2191</v>
      </c>
    </row>
    <row r="74" spans="1:7">
      <c r="A74" s="223" t="s">
        <v>2261</v>
      </c>
      <c r="B74" s="224">
        <v>33500</v>
      </c>
      <c r="C74" s="221">
        <v>4000</v>
      </c>
      <c r="D74" s="224">
        <v>6391.6908474576276</v>
      </c>
      <c r="E74" s="221">
        <v>1181.7</v>
      </c>
      <c r="F74" s="221"/>
      <c r="G74" s="222" t="s">
        <v>2191</v>
      </c>
    </row>
    <row r="75" spans="1:7">
      <c r="A75" s="223" t="s">
        <v>2262</v>
      </c>
      <c r="B75" s="224">
        <v>54000</v>
      </c>
      <c r="C75" s="221">
        <v>4000</v>
      </c>
      <c r="D75" s="224">
        <v>8743.3816949152533</v>
      </c>
      <c r="E75" s="221">
        <v>1181.7</v>
      </c>
      <c r="F75" s="221"/>
      <c r="G75" s="222" t="s">
        <v>2191</v>
      </c>
    </row>
    <row r="76" spans="1:7">
      <c r="A76" s="220" t="s">
        <v>2263</v>
      </c>
      <c r="B76" s="221">
        <v>600</v>
      </c>
      <c r="C76" s="221">
        <v>50</v>
      </c>
      <c r="D76" s="221">
        <v>429.25</v>
      </c>
      <c r="E76" s="221">
        <v>40.905000000000001</v>
      </c>
      <c r="F76" s="221"/>
      <c r="G76" s="222" t="s">
        <v>2191</v>
      </c>
    </row>
    <row r="77" spans="1:7">
      <c r="A77" s="220" t="s">
        <v>2264</v>
      </c>
      <c r="B77" s="221">
        <v>1125</v>
      </c>
      <c r="C77" s="221">
        <v>50</v>
      </c>
      <c r="D77" s="221">
        <v>934.24999999999989</v>
      </c>
      <c r="E77" s="221">
        <v>40.905000000000001</v>
      </c>
      <c r="F77" s="221"/>
      <c r="G77" s="222" t="s">
        <v>2191</v>
      </c>
    </row>
    <row r="78" spans="1:7">
      <c r="A78" s="220" t="s">
        <v>2265</v>
      </c>
      <c r="B78" s="221">
        <v>600</v>
      </c>
      <c r="C78" s="221">
        <v>50</v>
      </c>
      <c r="D78" s="221">
        <v>429.25</v>
      </c>
      <c r="E78" s="221">
        <v>40.905000000000001</v>
      </c>
      <c r="F78" s="221"/>
      <c r="G78" s="222" t="s">
        <v>2191</v>
      </c>
    </row>
    <row r="79" spans="1:7">
      <c r="A79" s="220" t="s">
        <v>2266</v>
      </c>
      <c r="B79" s="221">
        <v>1125</v>
      </c>
      <c r="C79" s="221">
        <v>50</v>
      </c>
      <c r="D79" s="221">
        <v>934.24999999999989</v>
      </c>
      <c r="E79" s="221">
        <v>40.905000000000001</v>
      </c>
      <c r="F79" s="221"/>
      <c r="G79" s="222" t="s">
        <v>2191</v>
      </c>
    </row>
    <row r="80" spans="1:7">
      <c r="A80" s="220" t="s">
        <v>2267</v>
      </c>
      <c r="B80" s="221">
        <v>600</v>
      </c>
      <c r="C80" s="221">
        <v>50</v>
      </c>
      <c r="D80" s="221">
        <v>429.25</v>
      </c>
      <c r="E80" s="221">
        <v>40.905000000000001</v>
      </c>
      <c r="F80" s="221"/>
      <c r="G80" s="222" t="s">
        <v>2191</v>
      </c>
    </row>
    <row r="81" spans="1:7">
      <c r="A81" s="220" t="s">
        <v>2268</v>
      </c>
      <c r="B81" s="221">
        <v>1125</v>
      </c>
      <c r="C81" s="221">
        <v>50</v>
      </c>
      <c r="D81" s="221">
        <v>934.24999999999989</v>
      </c>
      <c r="E81" s="221">
        <v>40.905000000000001</v>
      </c>
      <c r="F81" s="221"/>
      <c r="G81" s="222" t="s">
        <v>2191</v>
      </c>
    </row>
    <row r="82" spans="1:7">
      <c r="A82" s="220" t="s">
        <v>2269</v>
      </c>
      <c r="B82" s="221">
        <v>1250</v>
      </c>
      <c r="C82" s="221">
        <v>75</v>
      </c>
      <c r="D82" s="221">
        <v>833.25000000000011</v>
      </c>
      <c r="E82" s="221">
        <v>63.63</v>
      </c>
      <c r="F82" s="221"/>
      <c r="G82" s="222" t="s">
        <v>2191</v>
      </c>
    </row>
    <row r="83" spans="1:7">
      <c r="A83" s="220" t="s">
        <v>2270</v>
      </c>
      <c r="B83" s="221">
        <v>1775</v>
      </c>
      <c r="C83" s="221">
        <v>75</v>
      </c>
      <c r="D83" s="221">
        <v>1338.25</v>
      </c>
      <c r="E83" s="221">
        <v>63.63</v>
      </c>
      <c r="F83" s="221"/>
      <c r="G83" s="222" t="s">
        <v>2191</v>
      </c>
    </row>
    <row r="84" spans="1:7">
      <c r="A84" s="220" t="s">
        <v>2271</v>
      </c>
      <c r="B84" s="221">
        <v>1250</v>
      </c>
      <c r="C84" s="221">
        <v>75</v>
      </c>
      <c r="D84" s="221">
        <v>833.25000000000011</v>
      </c>
      <c r="E84" s="221">
        <v>63.63</v>
      </c>
      <c r="F84" s="221"/>
      <c r="G84" s="222" t="s">
        <v>2191</v>
      </c>
    </row>
    <row r="85" spans="1:7">
      <c r="A85" s="220" t="s">
        <v>2272</v>
      </c>
      <c r="B85" s="221">
        <v>1775</v>
      </c>
      <c r="C85" s="221">
        <v>75</v>
      </c>
      <c r="D85" s="221">
        <v>1338.25</v>
      </c>
      <c r="E85" s="221">
        <v>63.63</v>
      </c>
      <c r="F85" s="221"/>
      <c r="G85" s="222" t="s">
        <v>2191</v>
      </c>
    </row>
    <row r="86" spans="1:7">
      <c r="A86" s="220" t="s">
        <v>2273</v>
      </c>
      <c r="B86" s="221">
        <v>1250</v>
      </c>
      <c r="C86" s="221">
        <v>75</v>
      </c>
      <c r="D86" s="221">
        <v>833.25000000000011</v>
      </c>
      <c r="E86" s="221">
        <v>63.63</v>
      </c>
      <c r="F86" s="221"/>
      <c r="G86" s="222" t="s">
        <v>2191</v>
      </c>
    </row>
    <row r="87" spans="1:7">
      <c r="A87" s="220" t="s">
        <v>2274</v>
      </c>
      <c r="B87" s="221">
        <v>1775</v>
      </c>
      <c r="C87" s="221">
        <v>75</v>
      </c>
      <c r="D87" s="221">
        <v>1338.25</v>
      </c>
      <c r="E87" s="221">
        <v>63.63</v>
      </c>
      <c r="F87" s="221"/>
      <c r="G87" s="222" t="s">
        <v>2191</v>
      </c>
    </row>
    <row r="88" spans="1:7">
      <c r="A88" s="220" t="s">
        <v>2275</v>
      </c>
      <c r="B88" s="221">
        <v>1250</v>
      </c>
      <c r="C88" s="221">
        <v>105</v>
      </c>
      <c r="D88" s="221">
        <v>833.25000000000011</v>
      </c>
      <c r="E88" s="221">
        <v>90.9</v>
      </c>
      <c r="F88" s="221"/>
      <c r="G88" s="222" t="s">
        <v>2191</v>
      </c>
    </row>
    <row r="89" spans="1:7">
      <c r="A89" s="220" t="s">
        <v>2276</v>
      </c>
      <c r="B89" s="221">
        <v>1775</v>
      </c>
      <c r="C89" s="221">
        <v>105</v>
      </c>
      <c r="D89" s="221">
        <v>1338.25</v>
      </c>
      <c r="E89" s="221">
        <v>90.9</v>
      </c>
      <c r="F89" s="221"/>
      <c r="G89" s="222" t="s">
        <v>2191</v>
      </c>
    </row>
    <row r="90" spans="1:7">
      <c r="A90" s="220" t="s">
        <v>2277</v>
      </c>
      <c r="B90" s="221">
        <v>1250</v>
      </c>
      <c r="C90" s="221">
        <v>105</v>
      </c>
      <c r="D90" s="221">
        <v>833.25000000000011</v>
      </c>
      <c r="E90" s="221">
        <v>90.9</v>
      </c>
      <c r="F90" s="221"/>
      <c r="G90" s="222" t="s">
        <v>2191</v>
      </c>
    </row>
    <row r="91" spans="1:7">
      <c r="A91" s="220" t="s">
        <v>2278</v>
      </c>
      <c r="B91" s="221">
        <v>1775</v>
      </c>
      <c r="C91" s="221">
        <v>105</v>
      </c>
      <c r="D91" s="221">
        <v>1338.25</v>
      </c>
      <c r="E91" s="221">
        <v>90.9</v>
      </c>
      <c r="F91" s="221"/>
      <c r="G91" s="222" t="s">
        <v>2191</v>
      </c>
    </row>
    <row r="92" spans="1:7">
      <c r="A92" s="220" t="s">
        <v>2279</v>
      </c>
      <c r="B92" s="221">
        <v>1250</v>
      </c>
      <c r="C92" s="221">
        <v>105</v>
      </c>
      <c r="D92" s="221">
        <v>833.25000000000011</v>
      </c>
      <c r="E92" s="221">
        <v>90.9</v>
      </c>
      <c r="F92" s="221"/>
      <c r="G92" s="222" t="s">
        <v>2191</v>
      </c>
    </row>
    <row r="93" spans="1:7">
      <c r="A93" s="220" t="s">
        <v>2280</v>
      </c>
      <c r="B93" s="221">
        <v>1775</v>
      </c>
      <c r="C93" s="221">
        <v>105</v>
      </c>
      <c r="D93" s="221">
        <v>1338.25</v>
      </c>
      <c r="E93" s="221">
        <v>90.9</v>
      </c>
      <c r="F93" s="221"/>
      <c r="G93" s="222" t="s">
        <v>2191</v>
      </c>
    </row>
    <row r="94" spans="1:7">
      <c r="A94" s="220" t="s">
        <v>2281</v>
      </c>
      <c r="B94" s="221">
        <v>1250</v>
      </c>
      <c r="C94" s="221">
        <v>130</v>
      </c>
      <c r="D94" s="221">
        <v>833.25000000000011</v>
      </c>
      <c r="E94" s="221">
        <v>113.625</v>
      </c>
      <c r="F94" s="221"/>
      <c r="G94" s="222" t="s">
        <v>2191</v>
      </c>
    </row>
    <row r="95" spans="1:7">
      <c r="A95" s="220" t="s">
        <v>2282</v>
      </c>
      <c r="B95" s="221">
        <v>1775</v>
      </c>
      <c r="C95" s="221">
        <v>130</v>
      </c>
      <c r="D95" s="221">
        <v>1338.25</v>
      </c>
      <c r="E95" s="221">
        <v>113.625</v>
      </c>
      <c r="F95" s="221"/>
      <c r="G95" s="222" t="s">
        <v>2191</v>
      </c>
    </row>
    <row r="96" spans="1:7">
      <c r="A96" s="220" t="s">
        <v>2283</v>
      </c>
      <c r="B96" s="221">
        <v>1250</v>
      </c>
      <c r="C96" s="221">
        <v>130</v>
      </c>
      <c r="D96" s="221">
        <v>833.25000000000011</v>
      </c>
      <c r="E96" s="221">
        <v>113.625</v>
      </c>
      <c r="F96" s="221"/>
      <c r="G96" s="222" t="s">
        <v>2191</v>
      </c>
    </row>
    <row r="97" spans="1:7">
      <c r="A97" s="220" t="s">
        <v>2284</v>
      </c>
      <c r="B97" s="221">
        <v>1775</v>
      </c>
      <c r="C97" s="221">
        <v>130</v>
      </c>
      <c r="D97" s="221">
        <v>1338.25</v>
      </c>
      <c r="E97" s="221">
        <v>113.625</v>
      </c>
      <c r="F97" s="221"/>
      <c r="G97" s="222" t="s">
        <v>2191</v>
      </c>
    </row>
    <row r="98" spans="1:7">
      <c r="A98" s="220" t="s">
        <v>2285</v>
      </c>
      <c r="B98" s="221">
        <v>1250</v>
      </c>
      <c r="C98" s="221">
        <v>130</v>
      </c>
      <c r="D98" s="221">
        <v>833.25000000000011</v>
      </c>
      <c r="E98" s="221">
        <v>113.625</v>
      </c>
      <c r="F98" s="221"/>
      <c r="G98" s="222" t="s">
        <v>2191</v>
      </c>
    </row>
    <row r="99" spans="1:7">
      <c r="A99" s="220" t="s">
        <v>2286</v>
      </c>
      <c r="B99" s="221">
        <v>1775</v>
      </c>
      <c r="C99" s="221">
        <v>130</v>
      </c>
      <c r="D99" s="221">
        <v>1338.25</v>
      </c>
      <c r="E99" s="221">
        <v>113.625</v>
      </c>
      <c r="F99" s="221"/>
      <c r="G99" s="222" t="s">
        <v>2191</v>
      </c>
    </row>
    <row r="100" spans="1:7">
      <c r="A100" s="220" t="s">
        <v>2287</v>
      </c>
      <c r="B100" s="221">
        <v>1250</v>
      </c>
      <c r="C100" s="221">
        <v>155</v>
      </c>
      <c r="D100" s="221">
        <v>833.25000000000011</v>
      </c>
      <c r="E100" s="221">
        <v>136.35</v>
      </c>
      <c r="F100" s="221"/>
      <c r="G100" s="222" t="s">
        <v>2191</v>
      </c>
    </row>
    <row r="101" spans="1:7">
      <c r="A101" s="220" t="s">
        <v>2288</v>
      </c>
      <c r="B101" s="221">
        <v>1775</v>
      </c>
      <c r="C101" s="221">
        <v>155</v>
      </c>
      <c r="D101" s="221">
        <v>1338.25</v>
      </c>
      <c r="E101" s="221">
        <v>136.35</v>
      </c>
      <c r="F101" s="221"/>
      <c r="G101" s="222" t="s">
        <v>2191</v>
      </c>
    </row>
    <row r="102" spans="1:7">
      <c r="A102" s="220" t="s">
        <v>2289</v>
      </c>
      <c r="B102" s="221">
        <v>1250</v>
      </c>
      <c r="C102" s="221">
        <v>155</v>
      </c>
      <c r="D102" s="221">
        <v>833.25000000000011</v>
      </c>
      <c r="E102" s="221">
        <v>136.35</v>
      </c>
      <c r="F102" s="221"/>
      <c r="G102" s="222" t="s">
        <v>2191</v>
      </c>
    </row>
    <row r="103" spans="1:7">
      <c r="A103" s="220" t="s">
        <v>2290</v>
      </c>
      <c r="B103" s="221">
        <v>1775</v>
      </c>
      <c r="C103" s="221">
        <v>155</v>
      </c>
      <c r="D103" s="221">
        <v>1338.25</v>
      </c>
      <c r="E103" s="221">
        <v>136.35</v>
      </c>
      <c r="F103" s="221"/>
      <c r="G103" s="222" t="s">
        <v>2191</v>
      </c>
    </row>
    <row r="104" spans="1:7">
      <c r="A104" s="220" t="s">
        <v>2291</v>
      </c>
      <c r="B104" s="221">
        <v>1250</v>
      </c>
      <c r="C104" s="221">
        <v>155</v>
      </c>
      <c r="D104" s="221">
        <v>833.25000000000011</v>
      </c>
      <c r="E104" s="221">
        <v>136.35</v>
      </c>
      <c r="F104" s="221"/>
      <c r="G104" s="222" t="s">
        <v>2191</v>
      </c>
    </row>
    <row r="105" spans="1:7">
      <c r="A105" s="220" t="s">
        <v>2292</v>
      </c>
      <c r="B105" s="221">
        <v>1775</v>
      </c>
      <c r="C105" s="221">
        <v>155</v>
      </c>
      <c r="D105" s="221">
        <v>1338.25</v>
      </c>
      <c r="E105" s="221">
        <v>136.35</v>
      </c>
      <c r="F105" s="221"/>
      <c r="G105" s="222" t="s">
        <v>2191</v>
      </c>
    </row>
    <row r="106" spans="1:7">
      <c r="A106" s="220" t="s">
        <v>2293</v>
      </c>
      <c r="B106" s="221">
        <v>1500</v>
      </c>
      <c r="C106" s="221">
        <v>225</v>
      </c>
      <c r="D106" s="221">
        <v>1010</v>
      </c>
      <c r="E106" s="221">
        <v>181.8</v>
      </c>
      <c r="F106" s="221"/>
      <c r="G106" s="222" t="s">
        <v>2191</v>
      </c>
    </row>
    <row r="107" spans="1:7">
      <c r="A107" s="220" t="s">
        <v>2294</v>
      </c>
      <c r="B107" s="221">
        <v>3000</v>
      </c>
      <c r="C107" s="221">
        <v>225</v>
      </c>
      <c r="D107" s="221">
        <v>1767.5000000000002</v>
      </c>
      <c r="E107" s="221">
        <v>181.8</v>
      </c>
      <c r="F107" s="221"/>
      <c r="G107" s="222" t="s">
        <v>2191</v>
      </c>
    </row>
    <row r="108" spans="1:7">
      <c r="A108" s="223" t="s">
        <v>2295</v>
      </c>
      <c r="B108" s="224">
        <v>6750</v>
      </c>
      <c r="C108" s="221">
        <v>225</v>
      </c>
      <c r="D108" s="224">
        <v>2355.4227118644067</v>
      </c>
      <c r="E108" s="221">
        <v>181.8</v>
      </c>
      <c r="F108" s="221"/>
      <c r="G108" s="222" t="s">
        <v>2191</v>
      </c>
    </row>
    <row r="109" spans="1:7">
      <c r="A109" s="223" t="s">
        <v>2296</v>
      </c>
      <c r="B109" s="224">
        <v>17000</v>
      </c>
      <c r="C109" s="221">
        <v>225</v>
      </c>
      <c r="D109" s="224">
        <v>3531.2681355932195</v>
      </c>
      <c r="E109" s="221">
        <v>181.8</v>
      </c>
      <c r="F109" s="221"/>
      <c r="G109" s="222" t="s">
        <v>2191</v>
      </c>
    </row>
    <row r="110" spans="1:7">
      <c r="A110" s="220" t="s">
        <v>2297</v>
      </c>
      <c r="B110" s="221">
        <v>1500</v>
      </c>
      <c r="C110" s="221">
        <v>275</v>
      </c>
      <c r="D110" s="221">
        <v>1010</v>
      </c>
      <c r="E110" s="221">
        <v>227.25</v>
      </c>
      <c r="F110" s="221"/>
      <c r="G110" s="222" t="s">
        <v>2191</v>
      </c>
    </row>
    <row r="111" spans="1:7">
      <c r="A111" s="220" t="s">
        <v>2298</v>
      </c>
      <c r="B111" s="221">
        <v>3000</v>
      </c>
      <c r="C111" s="221">
        <v>275</v>
      </c>
      <c r="D111" s="221">
        <v>1767.5000000000002</v>
      </c>
      <c r="E111" s="221">
        <v>227.25</v>
      </c>
      <c r="F111" s="221"/>
      <c r="G111" s="222" t="s">
        <v>2191</v>
      </c>
    </row>
    <row r="112" spans="1:7">
      <c r="A112" s="223" t="s">
        <v>2299</v>
      </c>
      <c r="B112" s="224">
        <v>6750</v>
      </c>
      <c r="C112" s="221">
        <v>275</v>
      </c>
      <c r="D112" s="224">
        <v>2355.4227118644067</v>
      </c>
      <c r="E112" s="221">
        <v>227.25</v>
      </c>
      <c r="F112" s="221"/>
      <c r="G112" s="222" t="s">
        <v>2191</v>
      </c>
    </row>
    <row r="113" spans="1:7">
      <c r="A113" s="223" t="s">
        <v>2300</v>
      </c>
      <c r="B113" s="224">
        <v>17000</v>
      </c>
      <c r="C113" s="221">
        <v>275</v>
      </c>
      <c r="D113" s="224">
        <v>3531.2681355932195</v>
      </c>
      <c r="E113" s="221">
        <v>227.25</v>
      </c>
      <c r="F113" s="221"/>
      <c r="G113" s="222" t="s">
        <v>2191</v>
      </c>
    </row>
    <row r="114" spans="1:7">
      <c r="A114" s="220" t="s">
        <v>2301</v>
      </c>
      <c r="B114" s="221">
        <v>1500</v>
      </c>
      <c r="C114" s="221">
        <v>400</v>
      </c>
      <c r="D114" s="221">
        <v>1010</v>
      </c>
      <c r="E114" s="221">
        <v>336.33</v>
      </c>
      <c r="F114" s="221"/>
      <c r="G114" s="222" t="s">
        <v>2191</v>
      </c>
    </row>
    <row r="115" spans="1:7">
      <c r="A115" s="220" t="s">
        <v>2302</v>
      </c>
      <c r="B115" s="221">
        <v>3000</v>
      </c>
      <c r="C115" s="221">
        <v>400</v>
      </c>
      <c r="D115" s="221">
        <v>1767.5000000000002</v>
      </c>
      <c r="E115" s="221">
        <v>336.33</v>
      </c>
      <c r="F115" s="221"/>
      <c r="G115" s="222" t="s">
        <v>2191</v>
      </c>
    </row>
    <row r="116" spans="1:7">
      <c r="A116" s="223" t="s">
        <v>2303</v>
      </c>
      <c r="B116" s="224">
        <v>6750</v>
      </c>
      <c r="C116" s="221">
        <v>400</v>
      </c>
      <c r="D116" s="224">
        <v>2355.4227118644067</v>
      </c>
      <c r="E116" s="221">
        <v>336.33</v>
      </c>
      <c r="F116" s="221"/>
      <c r="G116" s="222" t="s">
        <v>2191</v>
      </c>
    </row>
    <row r="117" spans="1:7">
      <c r="A117" s="223" t="s">
        <v>2304</v>
      </c>
      <c r="B117" s="224">
        <v>17000</v>
      </c>
      <c r="C117" s="221">
        <v>400</v>
      </c>
      <c r="D117" s="224">
        <v>3531.2681355932195</v>
      </c>
      <c r="E117" s="221">
        <v>336.33</v>
      </c>
      <c r="F117" s="221"/>
      <c r="G117" s="222" t="s">
        <v>2191</v>
      </c>
    </row>
    <row r="118" spans="1:7">
      <c r="A118" s="220" t="s">
        <v>2305</v>
      </c>
      <c r="B118" s="221">
        <v>3000</v>
      </c>
      <c r="C118" s="221">
        <v>450</v>
      </c>
      <c r="D118" s="221">
        <v>2020</v>
      </c>
      <c r="E118" s="221">
        <v>340.875</v>
      </c>
      <c r="F118" s="221"/>
      <c r="G118" s="222" t="s">
        <v>2191</v>
      </c>
    </row>
    <row r="119" spans="1:7">
      <c r="A119" s="220" t="s">
        <v>2306</v>
      </c>
      <c r="B119" s="221">
        <v>6000</v>
      </c>
      <c r="C119" s="221">
        <v>450</v>
      </c>
      <c r="D119" s="221">
        <v>2607.9227118644067</v>
      </c>
      <c r="E119" s="221">
        <v>340.875</v>
      </c>
      <c r="F119" s="221"/>
      <c r="G119" s="222" t="s">
        <v>2191</v>
      </c>
    </row>
    <row r="120" spans="1:7">
      <c r="A120" s="223" t="s">
        <v>2307</v>
      </c>
      <c r="B120" s="224">
        <v>13500</v>
      </c>
      <c r="C120" s="221">
        <v>450</v>
      </c>
      <c r="D120" s="224">
        <v>3195.8454237288138</v>
      </c>
      <c r="E120" s="221">
        <v>340.875</v>
      </c>
      <c r="F120" s="221"/>
      <c r="G120" s="222" t="s">
        <v>2191</v>
      </c>
    </row>
    <row r="121" spans="1:7">
      <c r="A121" s="223" t="s">
        <v>2308</v>
      </c>
      <c r="B121" s="224">
        <v>34000</v>
      </c>
      <c r="C121" s="221">
        <v>450</v>
      </c>
      <c r="D121" s="224">
        <v>4371.6908474576267</v>
      </c>
      <c r="E121" s="221">
        <v>340.875</v>
      </c>
      <c r="F121" s="221"/>
      <c r="G121" s="222" t="s">
        <v>2191</v>
      </c>
    </row>
    <row r="122" spans="1:7">
      <c r="A122" s="220" t="s">
        <v>2309</v>
      </c>
      <c r="B122" s="221">
        <v>3000</v>
      </c>
      <c r="C122" s="221">
        <v>550</v>
      </c>
      <c r="D122" s="221">
        <v>2020</v>
      </c>
      <c r="E122" s="221">
        <v>431.77499999999998</v>
      </c>
      <c r="F122" s="221"/>
      <c r="G122" s="222" t="s">
        <v>2191</v>
      </c>
    </row>
    <row r="123" spans="1:7">
      <c r="A123" s="220" t="s">
        <v>2310</v>
      </c>
      <c r="B123" s="221">
        <v>6000</v>
      </c>
      <c r="C123" s="221">
        <v>550</v>
      </c>
      <c r="D123" s="221">
        <v>2607.9227118644067</v>
      </c>
      <c r="E123" s="221">
        <v>431.77499999999998</v>
      </c>
      <c r="F123" s="221"/>
      <c r="G123" s="222" t="s">
        <v>2191</v>
      </c>
    </row>
    <row r="124" spans="1:7">
      <c r="A124" s="223" t="s">
        <v>2311</v>
      </c>
      <c r="B124" s="224">
        <v>13500</v>
      </c>
      <c r="C124" s="221">
        <v>550</v>
      </c>
      <c r="D124" s="224">
        <v>3195.8454237288138</v>
      </c>
      <c r="E124" s="221">
        <v>431.77499999999998</v>
      </c>
      <c r="F124" s="221"/>
      <c r="G124" s="222" t="s">
        <v>2191</v>
      </c>
    </row>
    <row r="125" spans="1:7">
      <c r="A125" s="223" t="s">
        <v>2312</v>
      </c>
      <c r="B125" s="224">
        <v>34000</v>
      </c>
      <c r="C125" s="221">
        <v>550</v>
      </c>
      <c r="D125" s="224">
        <v>4371.6908474576267</v>
      </c>
      <c r="E125" s="221">
        <v>431.77499999999998</v>
      </c>
      <c r="F125" s="221"/>
      <c r="G125" s="222" t="s">
        <v>2191</v>
      </c>
    </row>
    <row r="126" spans="1:7">
      <c r="A126" s="220" t="s">
        <v>2313</v>
      </c>
      <c r="B126" s="221">
        <v>3000</v>
      </c>
      <c r="C126" s="221">
        <v>800</v>
      </c>
      <c r="D126" s="221">
        <v>2020</v>
      </c>
      <c r="E126" s="221">
        <v>590.85</v>
      </c>
      <c r="F126" s="221"/>
      <c r="G126" s="222" t="s">
        <v>2191</v>
      </c>
    </row>
    <row r="127" spans="1:7">
      <c r="A127" s="220" t="s">
        <v>2314</v>
      </c>
      <c r="B127" s="221">
        <v>6000</v>
      </c>
      <c r="C127" s="221">
        <v>800</v>
      </c>
      <c r="D127" s="221">
        <v>2607.9227118644067</v>
      </c>
      <c r="E127" s="221">
        <v>590.85</v>
      </c>
      <c r="F127" s="221"/>
      <c r="G127" s="222" t="s">
        <v>2191</v>
      </c>
    </row>
    <row r="128" spans="1:7">
      <c r="A128" s="223" t="s">
        <v>2315</v>
      </c>
      <c r="B128" s="224">
        <v>13500</v>
      </c>
      <c r="C128" s="221">
        <v>800</v>
      </c>
      <c r="D128" s="224">
        <v>3195.8454237288138</v>
      </c>
      <c r="E128" s="221">
        <v>590.85</v>
      </c>
      <c r="F128" s="221"/>
      <c r="G128" s="222" t="s">
        <v>2191</v>
      </c>
    </row>
    <row r="129" spans="1:7">
      <c r="A129" s="223" t="s">
        <v>2316</v>
      </c>
      <c r="B129" s="224">
        <v>34000</v>
      </c>
      <c r="C129" s="221">
        <v>800</v>
      </c>
      <c r="D129" s="224">
        <v>4371.6908474576267</v>
      </c>
      <c r="E129" s="221">
        <v>590.85</v>
      </c>
      <c r="F129" s="221"/>
      <c r="G129" s="222" t="s">
        <v>2191</v>
      </c>
    </row>
    <row r="130" spans="1:7">
      <c r="A130" s="220" t="s">
        <v>2317</v>
      </c>
      <c r="B130" s="221">
        <v>3000</v>
      </c>
      <c r="C130" s="221">
        <v>450</v>
      </c>
      <c r="D130" s="221">
        <v>2020</v>
      </c>
      <c r="E130" s="221">
        <v>363.6</v>
      </c>
      <c r="F130" s="221"/>
      <c r="G130" s="222" t="s">
        <v>2191</v>
      </c>
    </row>
    <row r="131" spans="1:7">
      <c r="A131" s="220" t="s">
        <v>2318</v>
      </c>
      <c r="B131" s="221">
        <v>6000</v>
      </c>
      <c r="C131" s="221">
        <v>450</v>
      </c>
      <c r="D131" s="221">
        <v>3535.0000000000005</v>
      </c>
      <c r="E131" s="221">
        <v>363.6</v>
      </c>
      <c r="F131" s="221"/>
      <c r="G131" s="222" t="s">
        <v>2191</v>
      </c>
    </row>
    <row r="132" spans="1:7">
      <c r="A132" s="223" t="s">
        <v>2319</v>
      </c>
      <c r="B132" s="224">
        <v>13500</v>
      </c>
      <c r="C132" s="221">
        <v>450</v>
      </c>
      <c r="D132" s="224">
        <v>4710.8454237288133</v>
      </c>
      <c r="E132" s="221">
        <v>363.6</v>
      </c>
      <c r="F132" s="221"/>
      <c r="G132" s="222" t="s">
        <v>2191</v>
      </c>
    </row>
    <row r="133" spans="1:7">
      <c r="A133" s="223" t="s">
        <v>2320</v>
      </c>
      <c r="B133" s="224">
        <v>34000</v>
      </c>
      <c r="C133" s="221">
        <v>450</v>
      </c>
      <c r="D133" s="224">
        <v>7062.5362711864391</v>
      </c>
      <c r="E133" s="221">
        <v>363.6</v>
      </c>
      <c r="F133" s="221"/>
      <c r="G133" s="222" t="s">
        <v>2191</v>
      </c>
    </row>
    <row r="134" spans="1:7">
      <c r="A134" s="220" t="s">
        <v>2321</v>
      </c>
      <c r="B134" s="221">
        <v>3000</v>
      </c>
      <c r="C134" s="221">
        <v>550</v>
      </c>
      <c r="D134" s="221">
        <v>2020</v>
      </c>
      <c r="E134" s="221">
        <v>454.5</v>
      </c>
      <c r="F134" s="221"/>
      <c r="G134" s="222" t="s">
        <v>2191</v>
      </c>
    </row>
    <row r="135" spans="1:7">
      <c r="A135" s="220" t="s">
        <v>2322</v>
      </c>
      <c r="B135" s="221">
        <v>6000</v>
      </c>
      <c r="C135" s="221">
        <v>550</v>
      </c>
      <c r="D135" s="221">
        <v>3535.0000000000005</v>
      </c>
      <c r="E135" s="221">
        <v>454.5</v>
      </c>
      <c r="F135" s="221"/>
      <c r="G135" s="222" t="s">
        <v>2191</v>
      </c>
    </row>
    <row r="136" spans="1:7">
      <c r="A136" s="223" t="s">
        <v>2323</v>
      </c>
      <c r="B136" s="224">
        <v>13500</v>
      </c>
      <c r="C136" s="221">
        <v>550</v>
      </c>
      <c r="D136" s="224">
        <v>4710.8454237288133</v>
      </c>
      <c r="E136" s="221">
        <v>454.5</v>
      </c>
      <c r="F136" s="221"/>
      <c r="G136" s="222" t="s">
        <v>2191</v>
      </c>
    </row>
    <row r="137" spans="1:7">
      <c r="A137" s="223" t="s">
        <v>2324</v>
      </c>
      <c r="B137" s="224">
        <v>34000</v>
      </c>
      <c r="C137" s="221">
        <v>550</v>
      </c>
      <c r="D137" s="224">
        <v>7062.5362711864391</v>
      </c>
      <c r="E137" s="221">
        <v>454.5</v>
      </c>
      <c r="F137" s="221"/>
      <c r="G137" s="222" t="s">
        <v>2191</v>
      </c>
    </row>
    <row r="138" spans="1:7">
      <c r="A138" s="220" t="s">
        <v>2325</v>
      </c>
      <c r="B138" s="221">
        <v>3000</v>
      </c>
      <c r="C138" s="221">
        <v>800</v>
      </c>
      <c r="D138" s="221">
        <v>2020</v>
      </c>
      <c r="E138" s="221">
        <v>672.66</v>
      </c>
      <c r="F138" s="221"/>
      <c r="G138" s="222" t="s">
        <v>2191</v>
      </c>
    </row>
    <row r="139" spans="1:7">
      <c r="A139" s="220" t="s">
        <v>2326</v>
      </c>
      <c r="B139" s="221">
        <v>6000</v>
      </c>
      <c r="C139" s="221">
        <v>800</v>
      </c>
      <c r="D139" s="221">
        <v>3535.0000000000005</v>
      </c>
      <c r="E139" s="221">
        <v>672.66</v>
      </c>
      <c r="F139" s="221"/>
      <c r="G139" s="222" t="s">
        <v>2191</v>
      </c>
    </row>
    <row r="140" spans="1:7">
      <c r="A140" s="223" t="s">
        <v>2327</v>
      </c>
      <c r="B140" s="224">
        <v>13500</v>
      </c>
      <c r="C140" s="221">
        <v>800</v>
      </c>
      <c r="D140" s="224">
        <v>4710.8454237288133</v>
      </c>
      <c r="E140" s="221">
        <v>672.66</v>
      </c>
      <c r="F140" s="221"/>
      <c r="G140" s="222" t="s">
        <v>2191</v>
      </c>
    </row>
    <row r="141" spans="1:7">
      <c r="A141" s="223" t="s">
        <v>2328</v>
      </c>
      <c r="B141" s="224">
        <v>34000</v>
      </c>
      <c r="C141" s="221">
        <v>800</v>
      </c>
      <c r="D141" s="224">
        <v>7062.5362711864391</v>
      </c>
      <c r="E141" s="221">
        <v>672.66</v>
      </c>
      <c r="F141" s="221"/>
      <c r="G141" s="222" t="s">
        <v>2191</v>
      </c>
    </row>
    <row r="142" spans="1:7">
      <c r="A142" s="220" t="s">
        <v>2329</v>
      </c>
      <c r="B142" s="221">
        <v>8000</v>
      </c>
      <c r="C142" s="221">
        <v>900</v>
      </c>
      <c r="D142" s="221">
        <v>4040</v>
      </c>
      <c r="E142" s="221">
        <v>681.75</v>
      </c>
      <c r="F142" s="221"/>
      <c r="G142" s="222" t="s">
        <v>2191</v>
      </c>
    </row>
    <row r="143" spans="1:7">
      <c r="A143" s="220" t="s">
        <v>2330</v>
      </c>
      <c r="B143" s="221">
        <v>11000</v>
      </c>
      <c r="C143" s="221">
        <v>900</v>
      </c>
      <c r="D143" s="221">
        <v>5215.8454237288133</v>
      </c>
      <c r="E143" s="221">
        <v>681.75</v>
      </c>
      <c r="F143" s="221"/>
      <c r="G143" s="222" t="s">
        <v>2191</v>
      </c>
    </row>
    <row r="144" spans="1:7">
      <c r="A144" s="223" t="s">
        <v>2331</v>
      </c>
      <c r="B144" s="224">
        <v>18500</v>
      </c>
      <c r="C144" s="221">
        <v>900</v>
      </c>
      <c r="D144" s="224">
        <v>6391.6908474576276</v>
      </c>
      <c r="E144" s="221">
        <v>681.75</v>
      </c>
      <c r="F144" s="221"/>
      <c r="G144" s="222" t="s">
        <v>2191</v>
      </c>
    </row>
    <row r="145" spans="1:7">
      <c r="A145" s="223" t="s">
        <v>2332</v>
      </c>
      <c r="B145" s="224">
        <v>39000</v>
      </c>
      <c r="C145" s="221">
        <v>900</v>
      </c>
      <c r="D145" s="224">
        <v>8743.3816949152533</v>
      </c>
      <c r="E145" s="221">
        <v>681.75</v>
      </c>
      <c r="F145" s="221"/>
      <c r="G145" s="222" t="s">
        <v>2191</v>
      </c>
    </row>
    <row r="146" spans="1:7">
      <c r="A146" s="220" t="s">
        <v>2333</v>
      </c>
      <c r="B146" s="221">
        <v>8000</v>
      </c>
      <c r="C146" s="221">
        <v>1100</v>
      </c>
      <c r="D146" s="221">
        <v>4040</v>
      </c>
      <c r="E146" s="221">
        <v>863.55</v>
      </c>
      <c r="F146" s="221"/>
      <c r="G146" s="222" t="s">
        <v>2191</v>
      </c>
    </row>
    <row r="147" spans="1:7">
      <c r="A147" s="220" t="s">
        <v>2334</v>
      </c>
      <c r="B147" s="221">
        <v>11000</v>
      </c>
      <c r="C147" s="221">
        <v>1100</v>
      </c>
      <c r="D147" s="221">
        <v>5215.8454237288133</v>
      </c>
      <c r="E147" s="221">
        <v>863.55</v>
      </c>
      <c r="F147" s="221"/>
      <c r="G147" s="222" t="s">
        <v>2191</v>
      </c>
    </row>
    <row r="148" spans="1:7">
      <c r="A148" s="223" t="s">
        <v>2335</v>
      </c>
      <c r="B148" s="224">
        <v>18500</v>
      </c>
      <c r="C148" s="221">
        <v>1100</v>
      </c>
      <c r="D148" s="224">
        <v>6391.6908474576276</v>
      </c>
      <c r="E148" s="221">
        <v>863.55</v>
      </c>
      <c r="F148" s="221"/>
      <c r="G148" s="222" t="s">
        <v>2191</v>
      </c>
    </row>
    <row r="149" spans="1:7">
      <c r="A149" s="223" t="s">
        <v>2336</v>
      </c>
      <c r="B149" s="224">
        <v>39000</v>
      </c>
      <c r="C149" s="221">
        <v>1100</v>
      </c>
      <c r="D149" s="224">
        <v>8743.3816949152533</v>
      </c>
      <c r="E149" s="221">
        <v>863.55</v>
      </c>
      <c r="F149" s="221"/>
      <c r="G149" s="222" t="s">
        <v>2191</v>
      </c>
    </row>
    <row r="150" spans="1:7">
      <c r="A150" s="220" t="s">
        <v>2337</v>
      </c>
      <c r="B150" s="221">
        <v>8000</v>
      </c>
      <c r="C150" s="221">
        <v>1600</v>
      </c>
      <c r="D150" s="221">
        <v>4040</v>
      </c>
      <c r="E150" s="221">
        <v>1181.7</v>
      </c>
      <c r="F150" s="221"/>
      <c r="G150" s="222" t="s">
        <v>2191</v>
      </c>
    </row>
    <row r="151" spans="1:7">
      <c r="A151" s="220" t="s">
        <v>2338</v>
      </c>
      <c r="B151" s="221">
        <v>11000</v>
      </c>
      <c r="C151" s="221">
        <v>1600</v>
      </c>
      <c r="D151" s="221">
        <v>5215.8454237288133</v>
      </c>
      <c r="E151" s="221">
        <v>1181.7</v>
      </c>
      <c r="F151" s="221"/>
      <c r="G151" s="222" t="s">
        <v>2191</v>
      </c>
    </row>
    <row r="152" spans="1:7">
      <c r="A152" s="223" t="s">
        <v>2339</v>
      </c>
      <c r="B152" s="224">
        <v>18500</v>
      </c>
      <c r="C152" s="221">
        <v>1600</v>
      </c>
      <c r="D152" s="224">
        <v>6391.6908474576276</v>
      </c>
      <c r="E152" s="221">
        <v>1181.7</v>
      </c>
      <c r="F152" s="221"/>
      <c r="G152" s="222" t="s">
        <v>2191</v>
      </c>
    </row>
    <row r="153" spans="1:7">
      <c r="A153" s="223" t="s">
        <v>2340</v>
      </c>
      <c r="B153" s="224">
        <v>39000</v>
      </c>
      <c r="C153" s="221">
        <v>1600</v>
      </c>
      <c r="D153" s="224">
        <v>8743.3816949152533</v>
      </c>
      <c r="E153" s="221">
        <v>1181.7</v>
      </c>
      <c r="F153" s="221"/>
      <c r="G153" s="222" t="s">
        <v>2191</v>
      </c>
    </row>
    <row r="154" spans="1:7">
      <c r="A154" s="220" t="s">
        <v>2341</v>
      </c>
      <c r="B154" s="221">
        <v>13000</v>
      </c>
      <c r="C154" s="221">
        <v>1125</v>
      </c>
      <c r="D154" s="221">
        <v>2020</v>
      </c>
      <c r="E154" s="221">
        <v>363.6</v>
      </c>
      <c r="F154" s="221"/>
      <c r="G154" s="222" t="s">
        <v>2191</v>
      </c>
    </row>
    <row r="155" spans="1:7">
      <c r="A155" s="220" t="s">
        <v>2342</v>
      </c>
      <c r="B155" s="221">
        <v>16000</v>
      </c>
      <c r="C155" s="221">
        <v>1125</v>
      </c>
      <c r="D155" s="221">
        <v>3535.0000000000005</v>
      </c>
      <c r="E155" s="221">
        <v>363.6</v>
      </c>
      <c r="F155" s="221"/>
      <c r="G155" s="222" t="s">
        <v>2191</v>
      </c>
    </row>
    <row r="156" spans="1:7">
      <c r="A156" s="223" t="s">
        <v>2343</v>
      </c>
      <c r="B156" s="224">
        <v>23500</v>
      </c>
      <c r="C156" s="221">
        <v>1125</v>
      </c>
      <c r="D156" s="224">
        <v>4710.8454237288133</v>
      </c>
      <c r="E156" s="221">
        <v>363.6</v>
      </c>
      <c r="F156" s="221"/>
      <c r="G156" s="222" t="s">
        <v>2191</v>
      </c>
    </row>
    <row r="157" spans="1:7">
      <c r="A157" s="223" t="s">
        <v>2344</v>
      </c>
      <c r="B157" s="224">
        <v>44000</v>
      </c>
      <c r="C157" s="221">
        <v>1125</v>
      </c>
      <c r="D157" s="224">
        <v>7062.5362711864391</v>
      </c>
      <c r="E157" s="221">
        <v>363.6</v>
      </c>
      <c r="F157" s="221"/>
      <c r="G157" s="222" t="s">
        <v>2191</v>
      </c>
    </row>
    <row r="158" spans="1:7">
      <c r="A158" s="220" t="s">
        <v>2345</v>
      </c>
      <c r="B158" s="221">
        <v>13000</v>
      </c>
      <c r="C158" s="221">
        <v>1375</v>
      </c>
      <c r="D158" s="221">
        <v>2020</v>
      </c>
      <c r="E158" s="221">
        <v>454.5</v>
      </c>
      <c r="F158" s="221"/>
      <c r="G158" s="222" t="s">
        <v>2191</v>
      </c>
    </row>
    <row r="159" spans="1:7">
      <c r="A159" s="220" t="s">
        <v>2346</v>
      </c>
      <c r="B159" s="221">
        <v>16000</v>
      </c>
      <c r="C159" s="221">
        <v>1375</v>
      </c>
      <c r="D159" s="221">
        <v>3535.0000000000005</v>
      </c>
      <c r="E159" s="221">
        <v>454.5</v>
      </c>
      <c r="F159" s="221"/>
      <c r="G159" s="222" t="s">
        <v>2191</v>
      </c>
    </row>
    <row r="160" spans="1:7">
      <c r="A160" s="223" t="s">
        <v>2347</v>
      </c>
      <c r="B160" s="224">
        <v>23500</v>
      </c>
      <c r="C160" s="221">
        <v>1375</v>
      </c>
      <c r="D160" s="224">
        <v>4710.8454237288133</v>
      </c>
      <c r="E160" s="221">
        <v>454.5</v>
      </c>
      <c r="F160" s="221"/>
      <c r="G160" s="222" t="s">
        <v>2191</v>
      </c>
    </row>
    <row r="161" spans="1:7">
      <c r="A161" s="223" t="s">
        <v>2348</v>
      </c>
      <c r="B161" s="224">
        <v>44000</v>
      </c>
      <c r="C161" s="221">
        <v>1375</v>
      </c>
      <c r="D161" s="224">
        <v>7062.5362711864391</v>
      </c>
      <c r="E161" s="221">
        <v>454.5</v>
      </c>
      <c r="F161" s="221"/>
      <c r="G161" s="222" t="s">
        <v>2191</v>
      </c>
    </row>
    <row r="162" spans="1:7">
      <c r="A162" s="220" t="s">
        <v>2349</v>
      </c>
      <c r="B162" s="221">
        <v>13000</v>
      </c>
      <c r="C162" s="221">
        <v>2000</v>
      </c>
      <c r="D162" s="221">
        <v>2020</v>
      </c>
      <c r="E162" s="221">
        <v>672.66</v>
      </c>
      <c r="F162" s="221"/>
      <c r="G162" s="222" t="s">
        <v>2191</v>
      </c>
    </row>
    <row r="163" spans="1:7">
      <c r="A163" s="220" t="s">
        <v>2350</v>
      </c>
      <c r="B163" s="221">
        <v>16000</v>
      </c>
      <c r="C163" s="221">
        <v>2000</v>
      </c>
      <c r="D163" s="221">
        <v>3535.0000000000005</v>
      </c>
      <c r="E163" s="221">
        <v>672.66</v>
      </c>
      <c r="F163" s="221"/>
      <c r="G163" s="222" t="s">
        <v>2191</v>
      </c>
    </row>
    <row r="164" spans="1:7">
      <c r="A164" s="223" t="s">
        <v>2351</v>
      </c>
      <c r="B164" s="224">
        <v>23500</v>
      </c>
      <c r="C164" s="221">
        <v>2000</v>
      </c>
      <c r="D164" s="224">
        <v>4710.8454237288133</v>
      </c>
      <c r="E164" s="221">
        <v>672.66</v>
      </c>
      <c r="F164" s="221"/>
      <c r="G164" s="222" t="s">
        <v>2191</v>
      </c>
    </row>
    <row r="165" spans="1:7">
      <c r="A165" s="223" t="s">
        <v>2352</v>
      </c>
      <c r="B165" s="224">
        <v>44000</v>
      </c>
      <c r="C165" s="221">
        <v>2000</v>
      </c>
      <c r="D165" s="224">
        <v>7062.5362711864391</v>
      </c>
      <c r="E165" s="221">
        <v>672.66</v>
      </c>
      <c r="F165" s="221"/>
      <c r="G165" s="222" t="s">
        <v>2191</v>
      </c>
    </row>
    <row r="166" spans="1:7">
      <c r="A166" s="220" t="s">
        <v>2353</v>
      </c>
      <c r="B166" s="221">
        <v>23000</v>
      </c>
      <c r="C166" s="221">
        <v>2250</v>
      </c>
      <c r="D166" s="221">
        <v>4040</v>
      </c>
      <c r="E166" s="221">
        <v>681.75</v>
      </c>
      <c r="F166" s="221"/>
      <c r="G166" s="222" t="s">
        <v>2191</v>
      </c>
    </row>
    <row r="167" spans="1:7">
      <c r="A167" s="220" t="s">
        <v>2354</v>
      </c>
      <c r="B167" s="221">
        <v>26000</v>
      </c>
      <c r="C167" s="221">
        <v>2250</v>
      </c>
      <c r="D167" s="221">
        <v>5215.8454237288133</v>
      </c>
      <c r="E167" s="221">
        <v>681.75</v>
      </c>
      <c r="F167" s="221"/>
      <c r="G167" s="222" t="s">
        <v>2191</v>
      </c>
    </row>
    <row r="168" spans="1:7">
      <c r="A168" s="223" t="s">
        <v>2355</v>
      </c>
      <c r="B168" s="224">
        <v>33500</v>
      </c>
      <c r="C168" s="221">
        <v>2250</v>
      </c>
      <c r="D168" s="224">
        <v>6391.6908474576276</v>
      </c>
      <c r="E168" s="221">
        <v>681.75</v>
      </c>
      <c r="F168" s="221"/>
      <c r="G168" s="222" t="s">
        <v>2191</v>
      </c>
    </row>
    <row r="169" spans="1:7">
      <c r="A169" s="223" t="s">
        <v>2356</v>
      </c>
      <c r="B169" s="224">
        <v>54000</v>
      </c>
      <c r="C169" s="221">
        <v>2250</v>
      </c>
      <c r="D169" s="224">
        <v>8743.3816949152533</v>
      </c>
      <c r="E169" s="221">
        <v>681.75</v>
      </c>
      <c r="F169" s="221"/>
      <c r="G169" s="222" t="s">
        <v>2191</v>
      </c>
    </row>
    <row r="170" spans="1:7">
      <c r="A170" s="220" t="s">
        <v>2357</v>
      </c>
      <c r="B170" s="221">
        <v>23000</v>
      </c>
      <c r="C170" s="221">
        <v>2750</v>
      </c>
      <c r="D170" s="221">
        <v>4040</v>
      </c>
      <c r="E170" s="221">
        <v>863.55</v>
      </c>
      <c r="F170" s="221"/>
      <c r="G170" s="222" t="s">
        <v>2191</v>
      </c>
    </row>
    <row r="171" spans="1:7">
      <c r="A171" s="220" t="s">
        <v>2358</v>
      </c>
      <c r="B171" s="221">
        <v>26000</v>
      </c>
      <c r="C171" s="221">
        <v>2750</v>
      </c>
      <c r="D171" s="221">
        <v>5215.8454237288133</v>
      </c>
      <c r="E171" s="221">
        <v>863.55</v>
      </c>
      <c r="F171" s="221"/>
      <c r="G171" s="222" t="s">
        <v>2191</v>
      </c>
    </row>
    <row r="172" spans="1:7">
      <c r="A172" s="223" t="s">
        <v>2359</v>
      </c>
      <c r="B172" s="224">
        <v>33500</v>
      </c>
      <c r="C172" s="221">
        <v>2750</v>
      </c>
      <c r="D172" s="224">
        <v>6391.6908474576276</v>
      </c>
      <c r="E172" s="221">
        <v>863.55</v>
      </c>
      <c r="F172" s="221"/>
      <c r="G172" s="222" t="s">
        <v>2191</v>
      </c>
    </row>
    <row r="173" spans="1:7">
      <c r="A173" s="223" t="s">
        <v>2360</v>
      </c>
      <c r="B173" s="224">
        <v>54000</v>
      </c>
      <c r="C173" s="221">
        <v>2750</v>
      </c>
      <c r="D173" s="224">
        <v>8743.3816949152533</v>
      </c>
      <c r="E173" s="221">
        <v>863.55</v>
      </c>
      <c r="F173" s="221"/>
      <c r="G173" s="222" t="s">
        <v>2191</v>
      </c>
    </row>
    <row r="174" spans="1:7">
      <c r="A174" s="220" t="s">
        <v>2361</v>
      </c>
      <c r="B174" s="221">
        <v>23000</v>
      </c>
      <c r="C174" s="221">
        <v>4000</v>
      </c>
      <c r="D174" s="221">
        <v>4040</v>
      </c>
      <c r="E174" s="221">
        <v>1181.7</v>
      </c>
      <c r="F174" s="221"/>
      <c r="G174" s="222" t="s">
        <v>2191</v>
      </c>
    </row>
    <row r="175" spans="1:7">
      <c r="A175" s="220" t="s">
        <v>2362</v>
      </c>
      <c r="B175" s="221">
        <v>26000</v>
      </c>
      <c r="C175" s="221">
        <v>4000</v>
      </c>
      <c r="D175" s="221">
        <v>5215.8454237288133</v>
      </c>
      <c r="E175" s="221">
        <v>1181.7</v>
      </c>
      <c r="F175" s="221"/>
      <c r="G175" s="222" t="s">
        <v>2191</v>
      </c>
    </row>
    <row r="176" spans="1:7">
      <c r="A176" s="223" t="s">
        <v>2363</v>
      </c>
      <c r="B176" s="224">
        <v>33500</v>
      </c>
      <c r="C176" s="221">
        <v>4000</v>
      </c>
      <c r="D176" s="224">
        <v>6391.6908474576276</v>
      </c>
      <c r="E176" s="221">
        <v>1181.7</v>
      </c>
      <c r="F176" s="221"/>
      <c r="G176" s="222" t="s">
        <v>2191</v>
      </c>
    </row>
    <row r="177" spans="1:7">
      <c r="A177" s="223" t="s">
        <v>2364</v>
      </c>
      <c r="B177" s="224">
        <v>54000</v>
      </c>
      <c r="C177" s="221">
        <v>4000</v>
      </c>
      <c r="D177" s="224">
        <v>8743.3816949152533</v>
      </c>
      <c r="E177" s="221">
        <v>1181.7</v>
      </c>
      <c r="F177" s="221"/>
      <c r="G177" s="222" t="s">
        <v>2191</v>
      </c>
    </row>
    <row r="178" spans="1:7">
      <c r="A178" s="220" t="s">
        <v>2365</v>
      </c>
      <c r="B178" s="221">
        <v>600</v>
      </c>
      <c r="C178" s="221">
        <v>50</v>
      </c>
      <c r="D178" s="221">
        <v>429.25</v>
      </c>
      <c r="E178" s="221">
        <v>40.905000000000001</v>
      </c>
      <c r="F178" s="221"/>
      <c r="G178" s="222" t="s">
        <v>2191</v>
      </c>
    </row>
    <row r="179" spans="1:7">
      <c r="A179" s="220" t="s">
        <v>2366</v>
      </c>
      <c r="B179" s="221">
        <v>1125</v>
      </c>
      <c r="C179" s="221">
        <v>50</v>
      </c>
      <c r="D179" s="221">
        <v>934.24999999999989</v>
      </c>
      <c r="E179" s="221">
        <v>40.905000000000001</v>
      </c>
      <c r="F179" s="221"/>
      <c r="G179" s="222" t="s">
        <v>2191</v>
      </c>
    </row>
    <row r="180" spans="1:7">
      <c r="A180" s="220" t="s">
        <v>2367</v>
      </c>
      <c r="B180" s="221">
        <v>600</v>
      </c>
      <c r="C180" s="221">
        <v>50</v>
      </c>
      <c r="D180" s="221">
        <v>429.25</v>
      </c>
      <c r="E180" s="221">
        <v>40.905000000000001</v>
      </c>
      <c r="F180" s="221"/>
      <c r="G180" s="222" t="s">
        <v>2191</v>
      </c>
    </row>
    <row r="181" spans="1:7">
      <c r="A181" s="220" t="s">
        <v>2368</v>
      </c>
      <c r="B181" s="221">
        <v>1125</v>
      </c>
      <c r="C181" s="221">
        <v>50</v>
      </c>
      <c r="D181" s="221">
        <v>934.24999999999989</v>
      </c>
      <c r="E181" s="221">
        <v>40.905000000000001</v>
      </c>
      <c r="F181" s="221"/>
      <c r="G181" s="222" t="s">
        <v>2191</v>
      </c>
    </row>
    <row r="182" spans="1:7">
      <c r="A182" s="220" t="s">
        <v>2369</v>
      </c>
      <c r="B182" s="221">
        <v>600</v>
      </c>
      <c r="C182" s="221">
        <v>50</v>
      </c>
      <c r="D182" s="221">
        <v>429.25</v>
      </c>
      <c r="E182" s="221">
        <v>40.905000000000001</v>
      </c>
      <c r="F182" s="221"/>
      <c r="G182" s="222" t="s">
        <v>2191</v>
      </c>
    </row>
    <row r="183" spans="1:7">
      <c r="A183" s="220" t="s">
        <v>2370</v>
      </c>
      <c r="B183" s="221">
        <v>1125</v>
      </c>
      <c r="C183" s="221">
        <v>50</v>
      </c>
      <c r="D183" s="221">
        <v>934.24999999999989</v>
      </c>
      <c r="E183" s="221">
        <v>40.905000000000001</v>
      </c>
      <c r="F183" s="221"/>
      <c r="G183" s="222" t="s">
        <v>2191</v>
      </c>
    </row>
    <row r="184" spans="1:7">
      <c r="A184" s="220" t="s">
        <v>2371</v>
      </c>
      <c r="B184" s="221">
        <v>1250</v>
      </c>
      <c r="C184" s="221">
        <v>75</v>
      </c>
      <c r="D184" s="221">
        <v>833.25000000000011</v>
      </c>
      <c r="E184" s="221">
        <v>63.63</v>
      </c>
      <c r="F184" s="221"/>
      <c r="G184" s="222" t="s">
        <v>2191</v>
      </c>
    </row>
    <row r="185" spans="1:7">
      <c r="A185" s="220" t="s">
        <v>2372</v>
      </c>
      <c r="B185" s="221">
        <v>1775</v>
      </c>
      <c r="C185" s="221">
        <v>75</v>
      </c>
      <c r="D185" s="221">
        <v>1338.25</v>
      </c>
      <c r="E185" s="221">
        <v>63.63</v>
      </c>
      <c r="F185" s="221"/>
      <c r="G185" s="222" t="s">
        <v>2191</v>
      </c>
    </row>
    <row r="186" spans="1:7">
      <c r="A186" s="220" t="s">
        <v>2373</v>
      </c>
      <c r="B186" s="221">
        <v>1250</v>
      </c>
      <c r="C186" s="221">
        <v>75</v>
      </c>
      <c r="D186" s="221">
        <v>833.25000000000011</v>
      </c>
      <c r="E186" s="221">
        <v>63.63</v>
      </c>
      <c r="F186" s="221"/>
      <c r="G186" s="222" t="s">
        <v>2191</v>
      </c>
    </row>
    <row r="187" spans="1:7">
      <c r="A187" s="220" t="s">
        <v>2374</v>
      </c>
      <c r="B187" s="221">
        <v>1775</v>
      </c>
      <c r="C187" s="221">
        <v>75</v>
      </c>
      <c r="D187" s="221">
        <v>1338.25</v>
      </c>
      <c r="E187" s="221">
        <v>63.63</v>
      </c>
      <c r="F187" s="221"/>
      <c r="G187" s="222" t="s">
        <v>2191</v>
      </c>
    </row>
    <row r="188" spans="1:7">
      <c r="A188" s="220" t="s">
        <v>2375</v>
      </c>
      <c r="B188" s="221">
        <v>1250</v>
      </c>
      <c r="C188" s="221">
        <v>75</v>
      </c>
      <c r="D188" s="221">
        <v>833.25000000000011</v>
      </c>
      <c r="E188" s="221">
        <v>63.63</v>
      </c>
      <c r="F188" s="221"/>
      <c r="G188" s="222" t="s">
        <v>2191</v>
      </c>
    </row>
    <row r="189" spans="1:7">
      <c r="A189" s="220" t="s">
        <v>2376</v>
      </c>
      <c r="B189" s="221">
        <v>1775</v>
      </c>
      <c r="C189" s="221">
        <v>75</v>
      </c>
      <c r="D189" s="221">
        <v>1338.25</v>
      </c>
      <c r="E189" s="221">
        <v>63.63</v>
      </c>
      <c r="F189" s="221"/>
      <c r="G189" s="222" t="s">
        <v>2191</v>
      </c>
    </row>
    <row r="190" spans="1:7">
      <c r="A190" s="220" t="s">
        <v>2377</v>
      </c>
      <c r="B190" s="221">
        <v>1250</v>
      </c>
      <c r="C190" s="221">
        <v>105</v>
      </c>
      <c r="D190" s="221">
        <v>833.25000000000011</v>
      </c>
      <c r="E190" s="221">
        <v>90.9</v>
      </c>
      <c r="F190" s="221"/>
      <c r="G190" s="222" t="s">
        <v>2191</v>
      </c>
    </row>
    <row r="191" spans="1:7">
      <c r="A191" s="220" t="s">
        <v>2378</v>
      </c>
      <c r="B191" s="221">
        <v>1775</v>
      </c>
      <c r="C191" s="221">
        <v>105</v>
      </c>
      <c r="D191" s="221">
        <v>1338.25</v>
      </c>
      <c r="E191" s="221">
        <v>90.9</v>
      </c>
      <c r="F191" s="221"/>
      <c r="G191" s="222" t="s">
        <v>2191</v>
      </c>
    </row>
    <row r="192" spans="1:7">
      <c r="A192" s="220" t="s">
        <v>2379</v>
      </c>
      <c r="B192" s="221">
        <v>1250</v>
      </c>
      <c r="C192" s="221">
        <v>105</v>
      </c>
      <c r="D192" s="221">
        <v>833.25000000000011</v>
      </c>
      <c r="E192" s="221">
        <v>90.9</v>
      </c>
      <c r="F192" s="221"/>
      <c r="G192" s="222" t="s">
        <v>2191</v>
      </c>
    </row>
    <row r="193" spans="1:7">
      <c r="A193" s="220" t="s">
        <v>2380</v>
      </c>
      <c r="B193" s="221">
        <v>1775</v>
      </c>
      <c r="C193" s="221">
        <v>105</v>
      </c>
      <c r="D193" s="221">
        <v>1338.25</v>
      </c>
      <c r="E193" s="221">
        <v>90.9</v>
      </c>
      <c r="F193" s="221"/>
      <c r="G193" s="222" t="s">
        <v>2191</v>
      </c>
    </row>
    <row r="194" spans="1:7">
      <c r="A194" s="220" t="s">
        <v>2381</v>
      </c>
      <c r="B194" s="221">
        <v>1250</v>
      </c>
      <c r="C194" s="221">
        <v>105</v>
      </c>
      <c r="D194" s="221">
        <v>833.25000000000011</v>
      </c>
      <c r="E194" s="221">
        <v>90.9</v>
      </c>
      <c r="F194" s="221"/>
      <c r="G194" s="222" t="s">
        <v>2191</v>
      </c>
    </row>
    <row r="195" spans="1:7">
      <c r="A195" s="220" t="s">
        <v>2382</v>
      </c>
      <c r="B195" s="221">
        <v>1775</v>
      </c>
      <c r="C195" s="221">
        <v>105</v>
      </c>
      <c r="D195" s="221">
        <v>1338.25</v>
      </c>
      <c r="E195" s="221">
        <v>90.9</v>
      </c>
      <c r="F195" s="221"/>
      <c r="G195" s="222" t="s">
        <v>2191</v>
      </c>
    </row>
    <row r="196" spans="1:7">
      <c r="A196" s="220" t="s">
        <v>2383</v>
      </c>
      <c r="B196" s="221">
        <v>1250</v>
      </c>
      <c r="C196" s="221">
        <v>130</v>
      </c>
      <c r="D196" s="221">
        <v>833.25000000000011</v>
      </c>
      <c r="E196" s="221">
        <v>113.625</v>
      </c>
      <c r="F196" s="221"/>
      <c r="G196" s="222" t="s">
        <v>2191</v>
      </c>
    </row>
    <row r="197" spans="1:7">
      <c r="A197" s="220" t="s">
        <v>2384</v>
      </c>
      <c r="B197" s="221">
        <v>1775</v>
      </c>
      <c r="C197" s="221">
        <v>130</v>
      </c>
      <c r="D197" s="221">
        <v>1338.25</v>
      </c>
      <c r="E197" s="221">
        <v>113.625</v>
      </c>
      <c r="F197" s="221"/>
      <c r="G197" s="222" t="s">
        <v>2191</v>
      </c>
    </row>
    <row r="198" spans="1:7">
      <c r="A198" s="220" t="s">
        <v>2385</v>
      </c>
      <c r="B198" s="221">
        <v>1250</v>
      </c>
      <c r="C198" s="221">
        <v>130</v>
      </c>
      <c r="D198" s="221">
        <v>833.25000000000011</v>
      </c>
      <c r="E198" s="221">
        <v>113.625</v>
      </c>
      <c r="F198" s="221"/>
      <c r="G198" s="222" t="s">
        <v>2191</v>
      </c>
    </row>
    <row r="199" spans="1:7">
      <c r="A199" s="220" t="s">
        <v>2386</v>
      </c>
      <c r="B199" s="221">
        <v>1775</v>
      </c>
      <c r="C199" s="221">
        <v>130</v>
      </c>
      <c r="D199" s="221">
        <v>1338.25</v>
      </c>
      <c r="E199" s="221">
        <v>113.625</v>
      </c>
      <c r="F199" s="221"/>
      <c r="G199" s="222" t="s">
        <v>2191</v>
      </c>
    </row>
    <row r="200" spans="1:7">
      <c r="A200" s="220" t="s">
        <v>2387</v>
      </c>
      <c r="B200" s="221">
        <v>1250</v>
      </c>
      <c r="C200" s="221">
        <v>130</v>
      </c>
      <c r="D200" s="221">
        <v>833.25000000000011</v>
      </c>
      <c r="E200" s="221">
        <v>113.625</v>
      </c>
      <c r="F200" s="221"/>
      <c r="G200" s="222" t="s">
        <v>2191</v>
      </c>
    </row>
    <row r="201" spans="1:7">
      <c r="A201" s="220" t="s">
        <v>2388</v>
      </c>
      <c r="B201" s="221">
        <v>1775</v>
      </c>
      <c r="C201" s="221">
        <v>130</v>
      </c>
      <c r="D201" s="221">
        <v>1338.25</v>
      </c>
      <c r="E201" s="221">
        <v>113.625</v>
      </c>
      <c r="F201" s="221"/>
      <c r="G201" s="222" t="s">
        <v>2191</v>
      </c>
    </row>
    <row r="202" spans="1:7">
      <c r="A202" s="220" t="s">
        <v>2389</v>
      </c>
      <c r="B202" s="221">
        <v>1250</v>
      </c>
      <c r="C202" s="221">
        <v>155</v>
      </c>
      <c r="D202" s="221">
        <v>833.25000000000011</v>
      </c>
      <c r="E202" s="221">
        <v>136.35</v>
      </c>
      <c r="F202" s="221"/>
      <c r="G202" s="222" t="s">
        <v>2191</v>
      </c>
    </row>
    <row r="203" spans="1:7">
      <c r="A203" s="220" t="s">
        <v>2390</v>
      </c>
      <c r="B203" s="221">
        <v>1775</v>
      </c>
      <c r="C203" s="221">
        <v>155</v>
      </c>
      <c r="D203" s="221">
        <v>1338.25</v>
      </c>
      <c r="E203" s="221">
        <v>136.35</v>
      </c>
      <c r="F203" s="221"/>
      <c r="G203" s="222" t="s">
        <v>2191</v>
      </c>
    </row>
    <row r="204" spans="1:7">
      <c r="A204" s="220" t="s">
        <v>2391</v>
      </c>
      <c r="B204" s="221">
        <v>1250</v>
      </c>
      <c r="C204" s="221">
        <v>155</v>
      </c>
      <c r="D204" s="221">
        <v>833.25000000000011</v>
      </c>
      <c r="E204" s="221">
        <v>136.35</v>
      </c>
      <c r="F204" s="221"/>
      <c r="G204" s="222" t="s">
        <v>2191</v>
      </c>
    </row>
    <row r="205" spans="1:7">
      <c r="A205" s="220" t="s">
        <v>2392</v>
      </c>
      <c r="B205" s="221">
        <v>1775</v>
      </c>
      <c r="C205" s="221">
        <v>155</v>
      </c>
      <c r="D205" s="221">
        <v>1338.25</v>
      </c>
      <c r="E205" s="221">
        <v>136.35</v>
      </c>
      <c r="F205" s="221"/>
      <c r="G205" s="222" t="s">
        <v>2191</v>
      </c>
    </row>
    <row r="206" spans="1:7">
      <c r="A206" s="220" t="s">
        <v>2393</v>
      </c>
      <c r="B206" s="221">
        <v>1250</v>
      </c>
      <c r="C206" s="221">
        <v>155</v>
      </c>
      <c r="D206" s="221">
        <v>833.25000000000011</v>
      </c>
      <c r="E206" s="221">
        <v>136.35</v>
      </c>
      <c r="F206" s="221"/>
      <c r="G206" s="222" t="s">
        <v>2191</v>
      </c>
    </row>
    <row r="207" spans="1:7">
      <c r="A207" s="220" t="s">
        <v>2394</v>
      </c>
      <c r="B207" s="221">
        <v>1775</v>
      </c>
      <c r="C207" s="221">
        <v>155</v>
      </c>
      <c r="D207" s="221">
        <v>1338.25</v>
      </c>
      <c r="E207" s="221">
        <v>136.35</v>
      </c>
      <c r="F207" s="221"/>
      <c r="G207" s="222" t="s">
        <v>2191</v>
      </c>
    </row>
    <row r="208" spans="1:7">
      <c r="A208" s="220" t="s">
        <v>2395</v>
      </c>
      <c r="B208" s="221">
        <v>1500</v>
      </c>
      <c r="C208" s="221">
        <v>225</v>
      </c>
      <c r="D208" s="221">
        <v>1010</v>
      </c>
      <c r="E208" s="221">
        <v>181.8</v>
      </c>
      <c r="F208" s="221"/>
      <c r="G208" s="222" t="s">
        <v>2191</v>
      </c>
    </row>
    <row r="209" spans="1:7">
      <c r="A209" s="220" t="s">
        <v>2396</v>
      </c>
      <c r="B209" s="221">
        <v>3000</v>
      </c>
      <c r="C209" s="221">
        <v>225</v>
      </c>
      <c r="D209" s="221">
        <v>1767.5000000000002</v>
      </c>
      <c r="E209" s="221">
        <v>181.8</v>
      </c>
      <c r="F209" s="221"/>
      <c r="G209" s="222" t="s">
        <v>2191</v>
      </c>
    </row>
    <row r="210" spans="1:7">
      <c r="A210" s="223" t="s">
        <v>2397</v>
      </c>
      <c r="B210" s="224">
        <v>6750</v>
      </c>
      <c r="C210" s="221">
        <v>225</v>
      </c>
      <c r="D210" s="224">
        <v>2355.4227118644067</v>
      </c>
      <c r="E210" s="221">
        <v>181.8</v>
      </c>
      <c r="F210" s="221"/>
      <c r="G210" s="222" t="s">
        <v>2191</v>
      </c>
    </row>
    <row r="211" spans="1:7">
      <c r="A211" s="223" t="s">
        <v>2398</v>
      </c>
      <c r="B211" s="224">
        <v>17000</v>
      </c>
      <c r="C211" s="221">
        <v>225</v>
      </c>
      <c r="D211" s="224">
        <v>3531.2681355932195</v>
      </c>
      <c r="E211" s="221">
        <v>181.8</v>
      </c>
      <c r="F211" s="221"/>
      <c r="G211" s="222" t="s">
        <v>2191</v>
      </c>
    </row>
    <row r="212" spans="1:7">
      <c r="A212" s="220" t="s">
        <v>2399</v>
      </c>
      <c r="B212" s="221">
        <v>1500</v>
      </c>
      <c r="C212" s="221">
        <v>275</v>
      </c>
      <c r="D212" s="221">
        <v>1010</v>
      </c>
      <c r="E212" s="221">
        <v>227.25</v>
      </c>
      <c r="F212" s="221"/>
      <c r="G212" s="222" t="s">
        <v>2191</v>
      </c>
    </row>
    <row r="213" spans="1:7">
      <c r="A213" s="220" t="s">
        <v>2400</v>
      </c>
      <c r="B213" s="221">
        <v>3000</v>
      </c>
      <c r="C213" s="221">
        <v>275</v>
      </c>
      <c r="D213" s="221">
        <v>1767.5000000000002</v>
      </c>
      <c r="E213" s="221">
        <v>227.25</v>
      </c>
      <c r="F213" s="221"/>
      <c r="G213" s="222" t="s">
        <v>2191</v>
      </c>
    </row>
    <row r="214" spans="1:7">
      <c r="A214" s="223" t="s">
        <v>2401</v>
      </c>
      <c r="B214" s="224">
        <v>6750</v>
      </c>
      <c r="C214" s="221">
        <v>275</v>
      </c>
      <c r="D214" s="224">
        <v>2355.4227118644067</v>
      </c>
      <c r="E214" s="221">
        <v>227.25</v>
      </c>
      <c r="F214" s="221"/>
      <c r="G214" s="222" t="s">
        <v>2191</v>
      </c>
    </row>
    <row r="215" spans="1:7">
      <c r="A215" s="223" t="s">
        <v>2402</v>
      </c>
      <c r="B215" s="224">
        <v>17000</v>
      </c>
      <c r="C215" s="221">
        <v>275</v>
      </c>
      <c r="D215" s="224">
        <v>3531.2681355932195</v>
      </c>
      <c r="E215" s="221">
        <v>227.25</v>
      </c>
      <c r="F215" s="221"/>
      <c r="G215" s="222" t="s">
        <v>2191</v>
      </c>
    </row>
    <row r="216" spans="1:7">
      <c r="A216" s="220" t="s">
        <v>2403</v>
      </c>
      <c r="B216" s="221">
        <v>1500</v>
      </c>
      <c r="C216" s="221">
        <v>400</v>
      </c>
      <c r="D216" s="221">
        <v>1010</v>
      </c>
      <c r="E216" s="221">
        <v>336.33</v>
      </c>
      <c r="F216" s="221"/>
      <c r="G216" s="222" t="s">
        <v>2191</v>
      </c>
    </row>
    <row r="217" spans="1:7">
      <c r="A217" s="220" t="s">
        <v>2404</v>
      </c>
      <c r="B217" s="221">
        <v>3000</v>
      </c>
      <c r="C217" s="221">
        <v>400</v>
      </c>
      <c r="D217" s="221">
        <v>1767.5000000000002</v>
      </c>
      <c r="E217" s="221">
        <v>336.33</v>
      </c>
      <c r="F217" s="221"/>
      <c r="G217" s="222" t="s">
        <v>2191</v>
      </c>
    </row>
    <row r="218" spans="1:7">
      <c r="A218" s="223" t="s">
        <v>2405</v>
      </c>
      <c r="B218" s="224">
        <v>6750</v>
      </c>
      <c r="C218" s="221">
        <v>400</v>
      </c>
      <c r="D218" s="224">
        <v>2355.4227118644067</v>
      </c>
      <c r="E218" s="221">
        <v>336.33</v>
      </c>
      <c r="F218" s="221"/>
      <c r="G218" s="222" t="s">
        <v>2191</v>
      </c>
    </row>
    <row r="219" spans="1:7">
      <c r="A219" s="223" t="s">
        <v>2406</v>
      </c>
      <c r="B219" s="224">
        <v>17000</v>
      </c>
      <c r="C219" s="221">
        <v>400</v>
      </c>
      <c r="D219" s="224">
        <v>3531.2681355932195</v>
      </c>
      <c r="E219" s="221">
        <v>336.33</v>
      </c>
      <c r="F219" s="221"/>
      <c r="G219" s="222" t="s">
        <v>2191</v>
      </c>
    </row>
    <row r="220" spans="1:7">
      <c r="A220" s="220" t="s">
        <v>2407</v>
      </c>
      <c r="B220" s="221">
        <v>3000</v>
      </c>
      <c r="C220" s="221">
        <v>450</v>
      </c>
      <c r="D220" s="221">
        <v>2020</v>
      </c>
      <c r="E220" s="221">
        <v>340.875</v>
      </c>
      <c r="F220" s="221"/>
      <c r="G220" s="222" t="s">
        <v>2191</v>
      </c>
    </row>
    <row r="221" spans="1:7">
      <c r="A221" s="220" t="s">
        <v>2408</v>
      </c>
      <c r="B221" s="221">
        <v>6000</v>
      </c>
      <c r="C221" s="221">
        <v>450</v>
      </c>
      <c r="D221" s="221">
        <v>2607.9227118644067</v>
      </c>
      <c r="E221" s="221">
        <v>340.875</v>
      </c>
      <c r="F221" s="221"/>
      <c r="G221" s="222" t="s">
        <v>2191</v>
      </c>
    </row>
    <row r="222" spans="1:7">
      <c r="A222" s="223" t="s">
        <v>2409</v>
      </c>
      <c r="B222" s="224">
        <v>13500</v>
      </c>
      <c r="C222" s="221">
        <v>450</v>
      </c>
      <c r="D222" s="224">
        <v>3195.8454237288138</v>
      </c>
      <c r="E222" s="221">
        <v>340.875</v>
      </c>
      <c r="F222" s="221"/>
      <c r="G222" s="222" t="s">
        <v>2191</v>
      </c>
    </row>
    <row r="223" spans="1:7">
      <c r="A223" s="223" t="s">
        <v>2410</v>
      </c>
      <c r="B223" s="224">
        <v>34000</v>
      </c>
      <c r="C223" s="221">
        <v>450</v>
      </c>
      <c r="D223" s="224">
        <v>4371.6908474576267</v>
      </c>
      <c r="E223" s="221">
        <v>340.875</v>
      </c>
      <c r="F223" s="221"/>
      <c r="G223" s="222" t="s">
        <v>2191</v>
      </c>
    </row>
    <row r="224" spans="1:7">
      <c r="A224" s="220" t="s">
        <v>2411</v>
      </c>
      <c r="B224" s="221">
        <v>3000</v>
      </c>
      <c r="C224" s="221">
        <v>550</v>
      </c>
      <c r="D224" s="221">
        <v>2020</v>
      </c>
      <c r="E224" s="221">
        <v>431.77499999999998</v>
      </c>
      <c r="F224" s="221"/>
      <c r="G224" s="222" t="s">
        <v>2191</v>
      </c>
    </row>
    <row r="225" spans="1:7">
      <c r="A225" s="220" t="s">
        <v>2412</v>
      </c>
      <c r="B225" s="221">
        <v>6000</v>
      </c>
      <c r="C225" s="221">
        <v>550</v>
      </c>
      <c r="D225" s="221">
        <v>2607.9227118644067</v>
      </c>
      <c r="E225" s="221">
        <v>431.77499999999998</v>
      </c>
      <c r="F225" s="221"/>
      <c r="G225" s="222" t="s">
        <v>2191</v>
      </c>
    </row>
    <row r="226" spans="1:7">
      <c r="A226" s="223" t="s">
        <v>2413</v>
      </c>
      <c r="B226" s="224">
        <v>13500</v>
      </c>
      <c r="C226" s="221">
        <v>550</v>
      </c>
      <c r="D226" s="224">
        <v>3195.8454237288138</v>
      </c>
      <c r="E226" s="221">
        <v>431.77499999999998</v>
      </c>
      <c r="F226" s="221"/>
      <c r="G226" s="222" t="s">
        <v>2191</v>
      </c>
    </row>
    <row r="227" spans="1:7">
      <c r="A227" s="223" t="s">
        <v>2414</v>
      </c>
      <c r="B227" s="224">
        <v>34000</v>
      </c>
      <c r="C227" s="221">
        <v>550</v>
      </c>
      <c r="D227" s="224">
        <v>4371.6908474576267</v>
      </c>
      <c r="E227" s="221">
        <v>431.77499999999998</v>
      </c>
      <c r="F227" s="221"/>
      <c r="G227" s="222" t="s">
        <v>2191</v>
      </c>
    </row>
    <row r="228" spans="1:7">
      <c r="A228" s="220" t="s">
        <v>2415</v>
      </c>
      <c r="B228" s="221">
        <v>3000</v>
      </c>
      <c r="C228" s="221">
        <v>800</v>
      </c>
      <c r="D228" s="221">
        <v>2020</v>
      </c>
      <c r="E228" s="221">
        <v>590.85</v>
      </c>
      <c r="F228" s="221"/>
      <c r="G228" s="222" t="s">
        <v>2191</v>
      </c>
    </row>
    <row r="229" spans="1:7">
      <c r="A229" s="220" t="s">
        <v>2416</v>
      </c>
      <c r="B229" s="221">
        <v>6000</v>
      </c>
      <c r="C229" s="221">
        <v>800</v>
      </c>
      <c r="D229" s="221">
        <v>2607.9227118644067</v>
      </c>
      <c r="E229" s="221">
        <v>590.85</v>
      </c>
      <c r="F229" s="221"/>
      <c r="G229" s="222" t="s">
        <v>2191</v>
      </c>
    </row>
    <row r="230" spans="1:7">
      <c r="A230" s="223" t="s">
        <v>2417</v>
      </c>
      <c r="B230" s="224">
        <v>13500</v>
      </c>
      <c r="C230" s="221">
        <v>800</v>
      </c>
      <c r="D230" s="224">
        <v>3195.8454237288138</v>
      </c>
      <c r="E230" s="221">
        <v>590.85</v>
      </c>
      <c r="F230" s="221"/>
      <c r="G230" s="222" t="s">
        <v>2191</v>
      </c>
    </row>
    <row r="231" spans="1:7">
      <c r="A231" s="223" t="s">
        <v>2418</v>
      </c>
      <c r="B231" s="224">
        <v>34000</v>
      </c>
      <c r="C231" s="221">
        <v>800</v>
      </c>
      <c r="D231" s="224">
        <v>4371.6908474576267</v>
      </c>
      <c r="E231" s="221">
        <v>590.85</v>
      </c>
      <c r="F231" s="221"/>
      <c r="G231" s="222" t="s">
        <v>2191</v>
      </c>
    </row>
    <row r="232" spans="1:7">
      <c r="A232" s="220" t="s">
        <v>2419</v>
      </c>
      <c r="B232" s="221">
        <v>3000</v>
      </c>
      <c r="C232" s="221">
        <v>450</v>
      </c>
      <c r="D232" s="221">
        <v>2020</v>
      </c>
      <c r="E232" s="221">
        <v>363.6</v>
      </c>
      <c r="F232" s="221"/>
      <c r="G232" s="222" t="s">
        <v>2191</v>
      </c>
    </row>
    <row r="233" spans="1:7">
      <c r="A233" s="220" t="s">
        <v>2420</v>
      </c>
      <c r="B233" s="221">
        <v>6000</v>
      </c>
      <c r="C233" s="221">
        <v>450</v>
      </c>
      <c r="D233" s="221">
        <v>3535.0000000000005</v>
      </c>
      <c r="E233" s="221">
        <v>363.6</v>
      </c>
      <c r="F233" s="221"/>
      <c r="G233" s="222" t="s">
        <v>2191</v>
      </c>
    </row>
    <row r="234" spans="1:7">
      <c r="A234" s="223" t="s">
        <v>2421</v>
      </c>
      <c r="B234" s="224">
        <v>13500</v>
      </c>
      <c r="C234" s="221">
        <v>450</v>
      </c>
      <c r="D234" s="224">
        <v>4710.8454237288133</v>
      </c>
      <c r="E234" s="221">
        <v>363.6</v>
      </c>
      <c r="F234" s="221"/>
      <c r="G234" s="222" t="s">
        <v>2191</v>
      </c>
    </row>
    <row r="235" spans="1:7">
      <c r="A235" s="223" t="s">
        <v>2422</v>
      </c>
      <c r="B235" s="224">
        <v>34000</v>
      </c>
      <c r="C235" s="221">
        <v>450</v>
      </c>
      <c r="D235" s="224">
        <v>7062.5362711864391</v>
      </c>
      <c r="E235" s="221">
        <v>363.6</v>
      </c>
      <c r="F235" s="221"/>
      <c r="G235" s="222" t="s">
        <v>2191</v>
      </c>
    </row>
    <row r="236" spans="1:7">
      <c r="A236" s="220" t="s">
        <v>2423</v>
      </c>
      <c r="B236" s="221">
        <v>3000</v>
      </c>
      <c r="C236" s="221">
        <v>550</v>
      </c>
      <c r="D236" s="221">
        <v>2020</v>
      </c>
      <c r="E236" s="221">
        <v>454.5</v>
      </c>
      <c r="F236" s="221"/>
      <c r="G236" s="222" t="s">
        <v>2191</v>
      </c>
    </row>
    <row r="237" spans="1:7">
      <c r="A237" s="220" t="s">
        <v>2424</v>
      </c>
      <c r="B237" s="221">
        <v>6000</v>
      </c>
      <c r="C237" s="221">
        <v>550</v>
      </c>
      <c r="D237" s="221">
        <v>3535.0000000000005</v>
      </c>
      <c r="E237" s="221">
        <v>454.5</v>
      </c>
      <c r="F237" s="221"/>
      <c r="G237" s="222" t="s">
        <v>2191</v>
      </c>
    </row>
    <row r="238" spans="1:7">
      <c r="A238" s="223" t="s">
        <v>2425</v>
      </c>
      <c r="B238" s="224">
        <v>13500</v>
      </c>
      <c r="C238" s="221">
        <v>550</v>
      </c>
      <c r="D238" s="224">
        <v>4710.8454237288133</v>
      </c>
      <c r="E238" s="221">
        <v>454.5</v>
      </c>
      <c r="F238" s="221"/>
      <c r="G238" s="222" t="s">
        <v>2191</v>
      </c>
    </row>
    <row r="239" spans="1:7">
      <c r="A239" s="223" t="s">
        <v>2426</v>
      </c>
      <c r="B239" s="224">
        <v>34000</v>
      </c>
      <c r="C239" s="221">
        <v>550</v>
      </c>
      <c r="D239" s="224">
        <v>7062.5362711864391</v>
      </c>
      <c r="E239" s="221">
        <v>454.5</v>
      </c>
      <c r="F239" s="221"/>
      <c r="G239" s="222" t="s">
        <v>2191</v>
      </c>
    </row>
    <row r="240" spans="1:7">
      <c r="A240" s="220" t="s">
        <v>2427</v>
      </c>
      <c r="B240" s="221">
        <v>3000</v>
      </c>
      <c r="C240" s="221">
        <v>800</v>
      </c>
      <c r="D240" s="221">
        <v>2020</v>
      </c>
      <c r="E240" s="221">
        <v>672.66</v>
      </c>
      <c r="F240" s="221"/>
      <c r="G240" s="222" t="s">
        <v>2191</v>
      </c>
    </row>
    <row r="241" spans="1:7">
      <c r="A241" s="220" t="s">
        <v>2428</v>
      </c>
      <c r="B241" s="221">
        <v>6000</v>
      </c>
      <c r="C241" s="221">
        <v>800</v>
      </c>
      <c r="D241" s="221">
        <v>3535.0000000000005</v>
      </c>
      <c r="E241" s="221">
        <v>672.66</v>
      </c>
      <c r="F241" s="221"/>
      <c r="G241" s="222" t="s">
        <v>2191</v>
      </c>
    </row>
    <row r="242" spans="1:7">
      <c r="A242" s="223" t="s">
        <v>2429</v>
      </c>
      <c r="B242" s="224">
        <v>13500</v>
      </c>
      <c r="C242" s="221">
        <v>800</v>
      </c>
      <c r="D242" s="224">
        <v>4710.8454237288133</v>
      </c>
      <c r="E242" s="221">
        <v>672.66</v>
      </c>
      <c r="F242" s="221"/>
      <c r="G242" s="222" t="s">
        <v>2191</v>
      </c>
    </row>
    <row r="243" spans="1:7">
      <c r="A243" s="223" t="s">
        <v>2430</v>
      </c>
      <c r="B243" s="224">
        <v>34000</v>
      </c>
      <c r="C243" s="221">
        <v>800</v>
      </c>
      <c r="D243" s="224">
        <v>7062.5362711864391</v>
      </c>
      <c r="E243" s="221">
        <v>672.66</v>
      </c>
      <c r="F243" s="221"/>
      <c r="G243" s="222" t="s">
        <v>2191</v>
      </c>
    </row>
    <row r="244" spans="1:7">
      <c r="A244" s="220" t="s">
        <v>2431</v>
      </c>
      <c r="B244" s="221">
        <v>8000</v>
      </c>
      <c r="C244" s="221">
        <v>900</v>
      </c>
      <c r="D244" s="221">
        <v>4040</v>
      </c>
      <c r="E244" s="221">
        <v>681.75</v>
      </c>
      <c r="F244" s="221"/>
      <c r="G244" s="222" t="s">
        <v>2191</v>
      </c>
    </row>
    <row r="245" spans="1:7">
      <c r="A245" s="220" t="s">
        <v>2432</v>
      </c>
      <c r="B245" s="221">
        <v>11000</v>
      </c>
      <c r="C245" s="221">
        <v>900</v>
      </c>
      <c r="D245" s="221">
        <v>5215.8454237288133</v>
      </c>
      <c r="E245" s="221">
        <v>681.75</v>
      </c>
      <c r="F245" s="221"/>
      <c r="G245" s="222" t="s">
        <v>2191</v>
      </c>
    </row>
    <row r="246" spans="1:7">
      <c r="A246" s="223" t="s">
        <v>2433</v>
      </c>
      <c r="B246" s="224">
        <v>18500</v>
      </c>
      <c r="C246" s="221">
        <v>900</v>
      </c>
      <c r="D246" s="224">
        <v>6391.6908474576276</v>
      </c>
      <c r="E246" s="221">
        <v>681.75</v>
      </c>
      <c r="F246" s="221"/>
      <c r="G246" s="222" t="s">
        <v>2191</v>
      </c>
    </row>
    <row r="247" spans="1:7">
      <c r="A247" s="223" t="s">
        <v>2434</v>
      </c>
      <c r="B247" s="224">
        <v>39000</v>
      </c>
      <c r="C247" s="221">
        <v>900</v>
      </c>
      <c r="D247" s="224">
        <v>8743.3816949152533</v>
      </c>
      <c r="E247" s="221">
        <v>681.75</v>
      </c>
      <c r="F247" s="221"/>
      <c r="G247" s="222" t="s">
        <v>2191</v>
      </c>
    </row>
    <row r="248" spans="1:7">
      <c r="A248" s="220" t="s">
        <v>2435</v>
      </c>
      <c r="B248" s="221">
        <v>8000</v>
      </c>
      <c r="C248" s="221">
        <v>1100</v>
      </c>
      <c r="D248" s="221">
        <v>4040</v>
      </c>
      <c r="E248" s="221">
        <v>863.55</v>
      </c>
      <c r="F248" s="221"/>
      <c r="G248" s="222" t="s">
        <v>2191</v>
      </c>
    </row>
    <row r="249" spans="1:7">
      <c r="A249" s="220" t="s">
        <v>2436</v>
      </c>
      <c r="B249" s="221">
        <v>11000</v>
      </c>
      <c r="C249" s="221">
        <v>1100</v>
      </c>
      <c r="D249" s="221">
        <v>5215.8454237288133</v>
      </c>
      <c r="E249" s="221">
        <v>863.55</v>
      </c>
      <c r="F249" s="221"/>
      <c r="G249" s="222" t="s">
        <v>2191</v>
      </c>
    </row>
    <row r="250" spans="1:7">
      <c r="A250" s="223" t="s">
        <v>2437</v>
      </c>
      <c r="B250" s="224">
        <v>18500</v>
      </c>
      <c r="C250" s="221">
        <v>1100</v>
      </c>
      <c r="D250" s="224">
        <v>6391.6908474576276</v>
      </c>
      <c r="E250" s="221">
        <v>863.55</v>
      </c>
      <c r="F250" s="221"/>
      <c r="G250" s="222" t="s">
        <v>2191</v>
      </c>
    </row>
    <row r="251" spans="1:7">
      <c r="A251" s="223" t="s">
        <v>2438</v>
      </c>
      <c r="B251" s="224">
        <v>39000</v>
      </c>
      <c r="C251" s="221">
        <v>1100</v>
      </c>
      <c r="D251" s="224">
        <v>8743.3816949152533</v>
      </c>
      <c r="E251" s="221">
        <v>863.55</v>
      </c>
      <c r="F251" s="221"/>
      <c r="G251" s="222" t="s">
        <v>2191</v>
      </c>
    </row>
    <row r="252" spans="1:7">
      <c r="A252" s="220" t="s">
        <v>2439</v>
      </c>
      <c r="B252" s="221">
        <v>8000</v>
      </c>
      <c r="C252" s="221">
        <v>1600</v>
      </c>
      <c r="D252" s="221">
        <v>4040</v>
      </c>
      <c r="E252" s="221">
        <v>1181.7</v>
      </c>
      <c r="F252" s="221"/>
      <c r="G252" s="222" t="s">
        <v>2191</v>
      </c>
    </row>
    <row r="253" spans="1:7">
      <c r="A253" s="220" t="s">
        <v>2440</v>
      </c>
      <c r="B253" s="221">
        <v>11000</v>
      </c>
      <c r="C253" s="221">
        <v>1600</v>
      </c>
      <c r="D253" s="221">
        <v>5215.8454237288133</v>
      </c>
      <c r="E253" s="221">
        <v>1181.7</v>
      </c>
      <c r="F253" s="221"/>
      <c r="G253" s="222" t="s">
        <v>2191</v>
      </c>
    </row>
    <row r="254" spans="1:7">
      <c r="A254" s="223" t="s">
        <v>2441</v>
      </c>
      <c r="B254" s="224">
        <v>18500</v>
      </c>
      <c r="C254" s="221">
        <v>1600</v>
      </c>
      <c r="D254" s="224">
        <v>6391.6908474576276</v>
      </c>
      <c r="E254" s="221">
        <v>1181.7</v>
      </c>
      <c r="F254" s="221"/>
      <c r="G254" s="222" t="s">
        <v>2191</v>
      </c>
    </row>
    <row r="255" spans="1:7">
      <c r="A255" s="223" t="s">
        <v>2442</v>
      </c>
      <c r="B255" s="224">
        <v>39000</v>
      </c>
      <c r="C255" s="221">
        <v>1600</v>
      </c>
      <c r="D255" s="224">
        <v>8743.3816949152533</v>
      </c>
      <c r="E255" s="221">
        <v>1181.7</v>
      </c>
      <c r="F255" s="221"/>
      <c r="G255" s="222" t="s">
        <v>2191</v>
      </c>
    </row>
    <row r="256" spans="1:7">
      <c r="A256" s="220" t="s">
        <v>2443</v>
      </c>
      <c r="B256" s="221">
        <v>13000</v>
      </c>
      <c r="C256" s="221">
        <v>1125</v>
      </c>
      <c r="D256" s="221">
        <v>2020</v>
      </c>
      <c r="E256" s="221">
        <v>363.6</v>
      </c>
      <c r="F256" s="221"/>
      <c r="G256" s="222" t="s">
        <v>2191</v>
      </c>
    </row>
    <row r="257" spans="1:7">
      <c r="A257" s="220" t="s">
        <v>2444</v>
      </c>
      <c r="B257" s="221">
        <v>16000</v>
      </c>
      <c r="C257" s="221">
        <v>1125</v>
      </c>
      <c r="D257" s="221">
        <v>3535.0000000000005</v>
      </c>
      <c r="E257" s="221">
        <v>363.6</v>
      </c>
      <c r="F257" s="221"/>
      <c r="G257" s="222" t="s">
        <v>2191</v>
      </c>
    </row>
    <row r="258" spans="1:7">
      <c r="A258" s="223" t="s">
        <v>2445</v>
      </c>
      <c r="B258" s="224">
        <v>23500</v>
      </c>
      <c r="C258" s="221">
        <v>1125</v>
      </c>
      <c r="D258" s="224">
        <v>4710.8454237288133</v>
      </c>
      <c r="E258" s="221">
        <v>363.6</v>
      </c>
      <c r="F258" s="221"/>
      <c r="G258" s="222" t="s">
        <v>2191</v>
      </c>
    </row>
    <row r="259" spans="1:7">
      <c r="A259" s="223" t="s">
        <v>2446</v>
      </c>
      <c r="B259" s="224">
        <v>44000</v>
      </c>
      <c r="C259" s="221">
        <v>1125</v>
      </c>
      <c r="D259" s="224">
        <v>7062.5362711864391</v>
      </c>
      <c r="E259" s="221">
        <v>363.6</v>
      </c>
      <c r="F259" s="221"/>
      <c r="G259" s="222" t="s">
        <v>2191</v>
      </c>
    </row>
    <row r="260" spans="1:7">
      <c r="A260" s="220" t="s">
        <v>2447</v>
      </c>
      <c r="B260" s="221">
        <v>13000</v>
      </c>
      <c r="C260" s="221">
        <v>1375</v>
      </c>
      <c r="D260" s="221">
        <v>2020</v>
      </c>
      <c r="E260" s="221">
        <v>454.5</v>
      </c>
      <c r="F260" s="221"/>
      <c r="G260" s="222" t="s">
        <v>2191</v>
      </c>
    </row>
    <row r="261" spans="1:7">
      <c r="A261" s="220" t="s">
        <v>2448</v>
      </c>
      <c r="B261" s="221">
        <v>16000</v>
      </c>
      <c r="C261" s="221">
        <v>1375</v>
      </c>
      <c r="D261" s="221">
        <v>3535.0000000000005</v>
      </c>
      <c r="E261" s="221">
        <v>454.5</v>
      </c>
      <c r="F261" s="221"/>
      <c r="G261" s="222" t="s">
        <v>2191</v>
      </c>
    </row>
    <row r="262" spans="1:7">
      <c r="A262" s="223" t="s">
        <v>2449</v>
      </c>
      <c r="B262" s="224">
        <v>23500</v>
      </c>
      <c r="C262" s="221">
        <v>1375</v>
      </c>
      <c r="D262" s="224">
        <v>4710.8454237288133</v>
      </c>
      <c r="E262" s="221">
        <v>454.5</v>
      </c>
      <c r="F262" s="221"/>
      <c r="G262" s="222" t="s">
        <v>2191</v>
      </c>
    </row>
    <row r="263" spans="1:7">
      <c r="A263" s="223" t="s">
        <v>2450</v>
      </c>
      <c r="B263" s="224">
        <v>44000</v>
      </c>
      <c r="C263" s="221">
        <v>1375</v>
      </c>
      <c r="D263" s="224">
        <v>7062.5362711864391</v>
      </c>
      <c r="E263" s="221">
        <v>454.5</v>
      </c>
      <c r="F263" s="221"/>
      <c r="G263" s="222" t="s">
        <v>2191</v>
      </c>
    </row>
    <row r="264" spans="1:7">
      <c r="A264" s="220" t="s">
        <v>2451</v>
      </c>
      <c r="B264" s="221">
        <v>13000</v>
      </c>
      <c r="C264" s="221">
        <v>2000</v>
      </c>
      <c r="D264" s="221">
        <v>2020</v>
      </c>
      <c r="E264" s="221">
        <v>672.66</v>
      </c>
      <c r="F264" s="221"/>
      <c r="G264" s="222" t="s">
        <v>2191</v>
      </c>
    </row>
    <row r="265" spans="1:7">
      <c r="A265" s="220" t="s">
        <v>2452</v>
      </c>
      <c r="B265" s="221">
        <v>16000</v>
      </c>
      <c r="C265" s="221">
        <v>2000</v>
      </c>
      <c r="D265" s="221">
        <v>3535.0000000000005</v>
      </c>
      <c r="E265" s="221">
        <v>672.66</v>
      </c>
      <c r="F265" s="221"/>
      <c r="G265" s="222" t="s">
        <v>2191</v>
      </c>
    </row>
    <row r="266" spans="1:7">
      <c r="A266" s="223" t="s">
        <v>2453</v>
      </c>
      <c r="B266" s="224">
        <v>23500</v>
      </c>
      <c r="C266" s="221">
        <v>2000</v>
      </c>
      <c r="D266" s="224">
        <v>4710.8454237288133</v>
      </c>
      <c r="E266" s="221">
        <v>672.66</v>
      </c>
      <c r="F266" s="221"/>
      <c r="G266" s="222" t="s">
        <v>2191</v>
      </c>
    </row>
    <row r="267" spans="1:7">
      <c r="A267" s="223" t="s">
        <v>2454</v>
      </c>
      <c r="B267" s="224">
        <v>44000</v>
      </c>
      <c r="C267" s="221">
        <v>2000</v>
      </c>
      <c r="D267" s="224">
        <v>7062.5362711864391</v>
      </c>
      <c r="E267" s="221">
        <v>672.66</v>
      </c>
      <c r="F267" s="221"/>
      <c r="G267" s="222" t="s">
        <v>2191</v>
      </c>
    </row>
    <row r="268" spans="1:7">
      <c r="A268" s="220" t="s">
        <v>2455</v>
      </c>
      <c r="B268" s="221">
        <v>23000</v>
      </c>
      <c r="C268" s="221">
        <v>2250</v>
      </c>
      <c r="D268" s="221">
        <v>4040</v>
      </c>
      <c r="E268" s="221">
        <v>681.75</v>
      </c>
      <c r="F268" s="221"/>
      <c r="G268" s="222" t="s">
        <v>2191</v>
      </c>
    </row>
    <row r="269" spans="1:7">
      <c r="A269" s="220" t="s">
        <v>2456</v>
      </c>
      <c r="B269" s="221">
        <v>26000</v>
      </c>
      <c r="C269" s="221">
        <v>2250</v>
      </c>
      <c r="D269" s="221">
        <v>5215.8454237288133</v>
      </c>
      <c r="E269" s="221">
        <v>681.75</v>
      </c>
      <c r="F269" s="221"/>
      <c r="G269" s="222" t="s">
        <v>2191</v>
      </c>
    </row>
    <row r="270" spans="1:7">
      <c r="A270" s="223" t="s">
        <v>2457</v>
      </c>
      <c r="B270" s="224">
        <v>33500</v>
      </c>
      <c r="C270" s="221">
        <v>2250</v>
      </c>
      <c r="D270" s="224">
        <v>6391.6908474576276</v>
      </c>
      <c r="E270" s="221">
        <v>681.75</v>
      </c>
      <c r="F270" s="221"/>
      <c r="G270" s="222" t="s">
        <v>2191</v>
      </c>
    </row>
    <row r="271" spans="1:7">
      <c r="A271" s="223" t="s">
        <v>2458</v>
      </c>
      <c r="B271" s="224">
        <v>54000</v>
      </c>
      <c r="C271" s="221">
        <v>2250</v>
      </c>
      <c r="D271" s="224">
        <v>8743.3816949152533</v>
      </c>
      <c r="E271" s="221">
        <v>681.75</v>
      </c>
      <c r="F271" s="221"/>
      <c r="G271" s="222" t="s">
        <v>2191</v>
      </c>
    </row>
    <row r="272" spans="1:7">
      <c r="A272" s="220" t="s">
        <v>2459</v>
      </c>
      <c r="B272" s="221">
        <v>23000</v>
      </c>
      <c r="C272" s="221">
        <v>2750</v>
      </c>
      <c r="D272" s="221">
        <v>4040</v>
      </c>
      <c r="E272" s="221">
        <v>863.55</v>
      </c>
      <c r="F272" s="221"/>
      <c r="G272" s="222" t="s">
        <v>2191</v>
      </c>
    </row>
    <row r="273" spans="1:7">
      <c r="A273" s="220" t="s">
        <v>2460</v>
      </c>
      <c r="B273" s="221">
        <v>26000</v>
      </c>
      <c r="C273" s="221">
        <v>2750</v>
      </c>
      <c r="D273" s="221">
        <v>5215.8454237288133</v>
      </c>
      <c r="E273" s="221">
        <v>863.55</v>
      </c>
      <c r="F273" s="221"/>
      <c r="G273" s="222" t="s">
        <v>2191</v>
      </c>
    </row>
    <row r="274" spans="1:7">
      <c r="A274" s="223" t="s">
        <v>2461</v>
      </c>
      <c r="B274" s="224">
        <v>33500</v>
      </c>
      <c r="C274" s="221">
        <v>2750</v>
      </c>
      <c r="D274" s="224">
        <v>6391.6908474576276</v>
      </c>
      <c r="E274" s="221">
        <v>863.55</v>
      </c>
      <c r="F274" s="221"/>
      <c r="G274" s="222" t="s">
        <v>2191</v>
      </c>
    </row>
    <row r="275" spans="1:7">
      <c r="A275" s="223" t="s">
        <v>2462</v>
      </c>
      <c r="B275" s="224">
        <v>54000</v>
      </c>
      <c r="C275" s="221">
        <v>2750</v>
      </c>
      <c r="D275" s="224">
        <v>8743.3816949152533</v>
      </c>
      <c r="E275" s="221">
        <v>863.55</v>
      </c>
      <c r="F275" s="221"/>
      <c r="G275" s="222" t="s">
        <v>2191</v>
      </c>
    </row>
    <row r="276" spans="1:7">
      <c r="A276" s="220" t="s">
        <v>2463</v>
      </c>
      <c r="B276" s="221">
        <v>23000</v>
      </c>
      <c r="C276" s="221">
        <v>4000</v>
      </c>
      <c r="D276" s="221">
        <v>4040</v>
      </c>
      <c r="E276" s="221">
        <v>1181.7</v>
      </c>
      <c r="F276" s="221"/>
      <c r="G276" s="222" t="s">
        <v>2191</v>
      </c>
    </row>
    <row r="277" spans="1:7">
      <c r="A277" s="220" t="s">
        <v>2464</v>
      </c>
      <c r="B277" s="221">
        <v>26000</v>
      </c>
      <c r="C277" s="221">
        <v>4000</v>
      </c>
      <c r="D277" s="221">
        <v>5215.8454237288133</v>
      </c>
      <c r="E277" s="221">
        <v>1181.7</v>
      </c>
      <c r="F277" s="221"/>
      <c r="G277" s="222" t="s">
        <v>2191</v>
      </c>
    </row>
    <row r="278" spans="1:7">
      <c r="A278" s="223" t="s">
        <v>2465</v>
      </c>
      <c r="B278" s="224">
        <v>33500</v>
      </c>
      <c r="C278" s="221">
        <v>4000</v>
      </c>
      <c r="D278" s="224">
        <v>6391.6908474576276</v>
      </c>
      <c r="E278" s="221">
        <v>1181.7</v>
      </c>
      <c r="F278" s="221"/>
      <c r="G278" s="222" t="s">
        <v>2191</v>
      </c>
    </row>
    <row r="279" spans="1:7">
      <c r="A279" s="223" t="s">
        <v>2466</v>
      </c>
      <c r="B279" s="224">
        <v>54000</v>
      </c>
      <c r="C279" s="221">
        <v>4000</v>
      </c>
      <c r="D279" s="224">
        <v>8743.3816949152533</v>
      </c>
      <c r="E279" s="221">
        <v>1181.7</v>
      </c>
      <c r="F279" s="221"/>
      <c r="G279" s="222" t="s">
        <v>2191</v>
      </c>
    </row>
    <row r="280" spans="1:7">
      <c r="A280" s="220" t="s">
        <v>2467</v>
      </c>
      <c r="B280" s="221">
        <v>600</v>
      </c>
      <c r="C280" s="221">
        <v>50</v>
      </c>
      <c r="D280" s="221">
        <v>429.25</v>
      </c>
      <c r="E280" s="221">
        <v>40.905000000000001</v>
      </c>
      <c r="F280" s="221"/>
      <c r="G280" s="222" t="s">
        <v>2191</v>
      </c>
    </row>
    <row r="281" spans="1:7">
      <c r="A281" s="220" t="s">
        <v>2468</v>
      </c>
      <c r="B281" s="221">
        <v>1125</v>
      </c>
      <c r="C281" s="221">
        <v>50</v>
      </c>
      <c r="D281" s="221">
        <v>934.24999999999989</v>
      </c>
      <c r="E281" s="221">
        <v>40.905000000000001</v>
      </c>
      <c r="F281" s="221"/>
      <c r="G281" s="222" t="s">
        <v>2191</v>
      </c>
    </row>
    <row r="282" spans="1:7">
      <c r="A282" s="220" t="s">
        <v>2469</v>
      </c>
      <c r="B282" s="221">
        <v>600</v>
      </c>
      <c r="C282" s="221">
        <v>50</v>
      </c>
      <c r="D282" s="221">
        <v>429.25</v>
      </c>
      <c r="E282" s="221">
        <v>40.905000000000001</v>
      </c>
      <c r="F282" s="221"/>
      <c r="G282" s="222" t="s">
        <v>2191</v>
      </c>
    </row>
    <row r="283" spans="1:7">
      <c r="A283" s="220" t="s">
        <v>2470</v>
      </c>
      <c r="B283" s="221">
        <v>1125</v>
      </c>
      <c r="C283" s="221">
        <v>50</v>
      </c>
      <c r="D283" s="221">
        <v>934.24999999999989</v>
      </c>
      <c r="E283" s="221">
        <v>40.905000000000001</v>
      </c>
      <c r="F283" s="221"/>
      <c r="G283" s="222" t="s">
        <v>2191</v>
      </c>
    </row>
    <row r="284" spans="1:7">
      <c r="A284" s="220" t="s">
        <v>2471</v>
      </c>
      <c r="B284" s="221">
        <v>600</v>
      </c>
      <c r="C284" s="221">
        <v>50</v>
      </c>
      <c r="D284" s="221">
        <v>429.25</v>
      </c>
      <c r="E284" s="221">
        <v>40.905000000000001</v>
      </c>
      <c r="F284" s="221"/>
      <c r="G284" s="222" t="s">
        <v>2191</v>
      </c>
    </row>
    <row r="285" spans="1:7">
      <c r="A285" s="220" t="s">
        <v>2472</v>
      </c>
      <c r="B285" s="221">
        <v>1125</v>
      </c>
      <c r="C285" s="221">
        <v>50</v>
      </c>
      <c r="D285" s="221">
        <v>934.24999999999989</v>
      </c>
      <c r="E285" s="221">
        <v>40.905000000000001</v>
      </c>
      <c r="F285" s="221"/>
      <c r="G285" s="222" t="s">
        <v>2191</v>
      </c>
    </row>
    <row r="286" spans="1:7">
      <c r="A286" s="220" t="s">
        <v>2473</v>
      </c>
      <c r="B286" s="221">
        <v>1250</v>
      </c>
      <c r="C286" s="221">
        <v>75</v>
      </c>
      <c r="D286" s="221">
        <v>833.25000000000011</v>
      </c>
      <c r="E286" s="221">
        <v>63.63</v>
      </c>
      <c r="F286" s="221"/>
      <c r="G286" s="222" t="s">
        <v>2191</v>
      </c>
    </row>
    <row r="287" spans="1:7">
      <c r="A287" s="220" t="s">
        <v>2474</v>
      </c>
      <c r="B287" s="221">
        <v>1775</v>
      </c>
      <c r="C287" s="221">
        <v>75</v>
      </c>
      <c r="D287" s="221">
        <v>1338.25</v>
      </c>
      <c r="E287" s="221">
        <v>63.63</v>
      </c>
      <c r="F287" s="221"/>
      <c r="G287" s="222" t="s">
        <v>2191</v>
      </c>
    </row>
    <row r="288" spans="1:7">
      <c r="A288" s="220" t="s">
        <v>2475</v>
      </c>
      <c r="B288" s="221">
        <v>1250</v>
      </c>
      <c r="C288" s="221">
        <v>75</v>
      </c>
      <c r="D288" s="221">
        <v>833.25000000000011</v>
      </c>
      <c r="E288" s="221">
        <v>63.63</v>
      </c>
      <c r="F288" s="221"/>
      <c r="G288" s="222" t="s">
        <v>2191</v>
      </c>
    </row>
    <row r="289" spans="1:7">
      <c r="A289" s="220" t="s">
        <v>2476</v>
      </c>
      <c r="B289" s="221">
        <v>1775</v>
      </c>
      <c r="C289" s="221">
        <v>75</v>
      </c>
      <c r="D289" s="221">
        <v>1338.25</v>
      </c>
      <c r="E289" s="221">
        <v>63.63</v>
      </c>
      <c r="F289" s="221"/>
      <c r="G289" s="222" t="s">
        <v>2191</v>
      </c>
    </row>
    <row r="290" spans="1:7">
      <c r="A290" s="220" t="s">
        <v>2477</v>
      </c>
      <c r="B290" s="221">
        <v>1250</v>
      </c>
      <c r="C290" s="221">
        <v>75</v>
      </c>
      <c r="D290" s="221">
        <v>833.25000000000011</v>
      </c>
      <c r="E290" s="221">
        <v>63.63</v>
      </c>
      <c r="F290" s="221"/>
      <c r="G290" s="222" t="s">
        <v>2191</v>
      </c>
    </row>
    <row r="291" spans="1:7">
      <c r="A291" s="220" t="s">
        <v>2478</v>
      </c>
      <c r="B291" s="221">
        <v>1775</v>
      </c>
      <c r="C291" s="221">
        <v>75</v>
      </c>
      <c r="D291" s="221">
        <v>1338.25</v>
      </c>
      <c r="E291" s="221">
        <v>63.63</v>
      </c>
      <c r="F291" s="221"/>
      <c r="G291" s="222" t="s">
        <v>2191</v>
      </c>
    </row>
    <row r="292" spans="1:7">
      <c r="A292" s="220" t="s">
        <v>2479</v>
      </c>
      <c r="B292" s="221">
        <v>1250</v>
      </c>
      <c r="C292" s="221">
        <v>105</v>
      </c>
      <c r="D292" s="221">
        <v>833.25000000000011</v>
      </c>
      <c r="E292" s="221">
        <v>90.9</v>
      </c>
      <c r="F292" s="221"/>
      <c r="G292" s="222" t="s">
        <v>2191</v>
      </c>
    </row>
    <row r="293" spans="1:7">
      <c r="A293" s="220" t="s">
        <v>2480</v>
      </c>
      <c r="B293" s="221">
        <v>1775</v>
      </c>
      <c r="C293" s="221">
        <v>105</v>
      </c>
      <c r="D293" s="221">
        <v>1338.25</v>
      </c>
      <c r="E293" s="221">
        <v>90.9</v>
      </c>
      <c r="F293" s="221"/>
      <c r="G293" s="222" t="s">
        <v>2191</v>
      </c>
    </row>
    <row r="294" spans="1:7">
      <c r="A294" s="220" t="s">
        <v>2481</v>
      </c>
      <c r="B294" s="221">
        <v>1250</v>
      </c>
      <c r="C294" s="221">
        <v>105</v>
      </c>
      <c r="D294" s="221">
        <v>833.25000000000011</v>
      </c>
      <c r="E294" s="221">
        <v>90.9</v>
      </c>
      <c r="F294" s="221"/>
      <c r="G294" s="222" t="s">
        <v>2191</v>
      </c>
    </row>
    <row r="295" spans="1:7">
      <c r="A295" s="220" t="s">
        <v>2482</v>
      </c>
      <c r="B295" s="221">
        <v>1775</v>
      </c>
      <c r="C295" s="221">
        <v>105</v>
      </c>
      <c r="D295" s="221">
        <v>1338.25</v>
      </c>
      <c r="E295" s="221">
        <v>90.9</v>
      </c>
      <c r="F295" s="221"/>
      <c r="G295" s="222" t="s">
        <v>2191</v>
      </c>
    </row>
    <row r="296" spans="1:7">
      <c r="A296" s="220" t="s">
        <v>2483</v>
      </c>
      <c r="B296" s="221">
        <v>1250</v>
      </c>
      <c r="C296" s="221">
        <v>105</v>
      </c>
      <c r="D296" s="221">
        <v>833.25000000000011</v>
      </c>
      <c r="E296" s="221">
        <v>90.9</v>
      </c>
      <c r="F296" s="221"/>
      <c r="G296" s="222" t="s">
        <v>2191</v>
      </c>
    </row>
    <row r="297" spans="1:7">
      <c r="A297" s="220" t="s">
        <v>2484</v>
      </c>
      <c r="B297" s="221">
        <v>1775</v>
      </c>
      <c r="C297" s="221">
        <v>105</v>
      </c>
      <c r="D297" s="221">
        <v>1338.25</v>
      </c>
      <c r="E297" s="221">
        <v>90.9</v>
      </c>
      <c r="F297" s="221"/>
      <c r="G297" s="222" t="s">
        <v>2191</v>
      </c>
    </row>
    <row r="298" spans="1:7">
      <c r="A298" s="220" t="s">
        <v>2485</v>
      </c>
      <c r="B298" s="221">
        <v>1250</v>
      </c>
      <c r="C298" s="221">
        <v>130</v>
      </c>
      <c r="D298" s="221">
        <v>833.25000000000011</v>
      </c>
      <c r="E298" s="221">
        <v>113.625</v>
      </c>
      <c r="F298" s="221"/>
      <c r="G298" s="222" t="s">
        <v>2191</v>
      </c>
    </row>
    <row r="299" spans="1:7">
      <c r="A299" s="220" t="s">
        <v>2486</v>
      </c>
      <c r="B299" s="221">
        <v>1775</v>
      </c>
      <c r="C299" s="221">
        <v>130</v>
      </c>
      <c r="D299" s="221">
        <v>1338.25</v>
      </c>
      <c r="E299" s="221">
        <v>113.625</v>
      </c>
      <c r="F299" s="221"/>
      <c r="G299" s="222" t="s">
        <v>2191</v>
      </c>
    </row>
    <row r="300" spans="1:7">
      <c r="A300" s="220" t="s">
        <v>2487</v>
      </c>
      <c r="B300" s="221">
        <v>1250</v>
      </c>
      <c r="C300" s="221">
        <v>130</v>
      </c>
      <c r="D300" s="221">
        <v>833.25000000000011</v>
      </c>
      <c r="E300" s="221">
        <v>113.625</v>
      </c>
      <c r="F300" s="221"/>
      <c r="G300" s="222" t="s">
        <v>2191</v>
      </c>
    </row>
    <row r="301" spans="1:7">
      <c r="A301" s="220" t="s">
        <v>2488</v>
      </c>
      <c r="B301" s="221">
        <v>1775</v>
      </c>
      <c r="C301" s="221">
        <v>130</v>
      </c>
      <c r="D301" s="221">
        <v>1338.25</v>
      </c>
      <c r="E301" s="221">
        <v>113.625</v>
      </c>
      <c r="F301" s="221"/>
      <c r="G301" s="222" t="s">
        <v>2191</v>
      </c>
    </row>
    <row r="302" spans="1:7">
      <c r="A302" s="220" t="s">
        <v>2489</v>
      </c>
      <c r="B302" s="221">
        <v>1250</v>
      </c>
      <c r="C302" s="221">
        <v>130</v>
      </c>
      <c r="D302" s="221">
        <v>833.25000000000011</v>
      </c>
      <c r="E302" s="221">
        <v>113.625</v>
      </c>
      <c r="F302" s="221"/>
      <c r="G302" s="222" t="s">
        <v>2191</v>
      </c>
    </row>
    <row r="303" spans="1:7">
      <c r="A303" s="220" t="s">
        <v>2490</v>
      </c>
      <c r="B303" s="221">
        <v>1775</v>
      </c>
      <c r="C303" s="221">
        <v>130</v>
      </c>
      <c r="D303" s="221">
        <v>1338.25</v>
      </c>
      <c r="E303" s="221">
        <v>113.625</v>
      </c>
      <c r="F303" s="221"/>
      <c r="G303" s="222" t="s">
        <v>2191</v>
      </c>
    </row>
    <row r="304" spans="1:7">
      <c r="A304" s="220" t="s">
        <v>2491</v>
      </c>
      <c r="B304" s="221">
        <v>1250</v>
      </c>
      <c r="C304" s="221">
        <v>155</v>
      </c>
      <c r="D304" s="221">
        <v>833.25000000000011</v>
      </c>
      <c r="E304" s="221">
        <v>136.35</v>
      </c>
      <c r="F304" s="221"/>
      <c r="G304" s="222" t="s">
        <v>2191</v>
      </c>
    </row>
    <row r="305" spans="1:7">
      <c r="A305" s="220" t="s">
        <v>2492</v>
      </c>
      <c r="B305" s="221">
        <v>1775</v>
      </c>
      <c r="C305" s="221">
        <v>155</v>
      </c>
      <c r="D305" s="221">
        <v>1338.25</v>
      </c>
      <c r="E305" s="221">
        <v>136.35</v>
      </c>
      <c r="F305" s="221"/>
      <c r="G305" s="222" t="s">
        <v>2191</v>
      </c>
    </row>
    <row r="306" spans="1:7">
      <c r="A306" s="220" t="s">
        <v>2493</v>
      </c>
      <c r="B306" s="221">
        <v>1250</v>
      </c>
      <c r="C306" s="221">
        <v>155</v>
      </c>
      <c r="D306" s="221">
        <v>833.25000000000011</v>
      </c>
      <c r="E306" s="221">
        <v>136.35</v>
      </c>
      <c r="F306" s="221"/>
      <c r="G306" s="222" t="s">
        <v>2191</v>
      </c>
    </row>
    <row r="307" spans="1:7">
      <c r="A307" s="220" t="s">
        <v>2494</v>
      </c>
      <c r="B307" s="221">
        <v>1775</v>
      </c>
      <c r="C307" s="221">
        <v>155</v>
      </c>
      <c r="D307" s="221">
        <v>1338.25</v>
      </c>
      <c r="E307" s="221">
        <v>136.35</v>
      </c>
      <c r="F307" s="221"/>
      <c r="G307" s="222" t="s">
        <v>2191</v>
      </c>
    </row>
    <row r="308" spans="1:7">
      <c r="A308" s="220" t="s">
        <v>2495</v>
      </c>
      <c r="B308" s="221">
        <v>1250</v>
      </c>
      <c r="C308" s="221">
        <v>155</v>
      </c>
      <c r="D308" s="221">
        <v>833.25000000000011</v>
      </c>
      <c r="E308" s="221">
        <v>136.35</v>
      </c>
      <c r="F308" s="221"/>
      <c r="G308" s="222" t="s">
        <v>2191</v>
      </c>
    </row>
    <row r="309" spans="1:7">
      <c r="A309" s="220" t="s">
        <v>2496</v>
      </c>
      <c r="B309" s="221">
        <v>1775</v>
      </c>
      <c r="C309" s="221">
        <v>155</v>
      </c>
      <c r="D309" s="221">
        <v>1338.25</v>
      </c>
      <c r="E309" s="221">
        <v>136.35</v>
      </c>
      <c r="F309" s="221"/>
      <c r="G309" s="222" t="s">
        <v>2191</v>
      </c>
    </row>
    <row r="310" spans="1:7">
      <c r="A310" s="220" t="s">
        <v>2497</v>
      </c>
      <c r="B310" s="221">
        <v>1500</v>
      </c>
      <c r="C310" s="221">
        <v>225</v>
      </c>
      <c r="D310" s="221">
        <v>1009.9999999999999</v>
      </c>
      <c r="E310" s="221">
        <v>181.8</v>
      </c>
      <c r="F310" s="221"/>
      <c r="G310" s="222" t="s">
        <v>2191</v>
      </c>
    </row>
    <row r="311" spans="1:7">
      <c r="A311" s="220" t="s">
        <v>2498</v>
      </c>
      <c r="B311" s="221">
        <v>3000</v>
      </c>
      <c r="C311" s="221">
        <v>225</v>
      </c>
      <c r="D311" s="221">
        <v>1767.5000000000002</v>
      </c>
      <c r="E311" s="221">
        <v>181.8</v>
      </c>
      <c r="F311" s="221"/>
      <c r="G311" s="222" t="s">
        <v>2191</v>
      </c>
    </row>
    <row r="312" spans="1:7">
      <c r="A312" s="223" t="s">
        <v>2499</v>
      </c>
      <c r="B312" s="224">
        <v>6750</v>
      </c>
      <c r="C312" s="221">
        <v>225</v>
      </c>
      <c r="D312" s="224">
        <v>2551.3969491525427</v>
      </c>
      <c r="E312" s="221">
        <v>181.8</v>
      </c>
      <c r="F312" s="221"/>
      <c r="G312" s="222" t="s">
        <v>2191</v>
      </c>
    </row>
    <row r="313" spans="1:7">
      <c r="A313" s="223" t="s">
        <v>2500</v>
      </c>
      <c r="B313" s="224">
        <v>17000</v>
      </c>
      <c r="C313" s="221">
        <v>225</v>
      </c>
      <c r="D313" s="224">
        <v>4119.1908474576267</v>
      </c>
      <c r="E313" s="221">
        <v>181.8</v>
      </c>
      <c r="F313" s="221"/>
      <c r="G313" s="222" t="s">
        <v>2191</v>
      </c>
    </row>
    <row r="314" spans="1:7">
      <c r="A314" s="220" t="s">
        <v>2501</v>
      </c>
      <c r="B314" s="221">
        <v>1500</v>
      </c>
      <c r="C314" s="221">
        <v>275</v>
      </c>
      <c r="D314" s="221">
        <v>1009.9999999999999</v>
      </c>
      <c r="E314" s="221">
        <v>227.25</v>
      </c>
      <c r="F314" s="221"/>
      <c r="G314" s="222" t="s">
        <v>2191</v>
      </c>
    </row>
    <row r="315" spans="1:7">
      <c r="A315" s="220" t="s">
        <v>2502</v>
      </c>
      <c r="B315" s="221">
        <v>3000</v>
      </c>
      <c r="C315" s="221">
        <v>275</v>
      </c>
      <c r="D315" s="221">
        <v>1767.5000000000002</v>
      </c>
      <c r="E315" s="221">
        <v>227.25</v>
      </c>
      <c r="F315" s="221"/>
      <c r="G315" s="222" t="s">
        <v>2191</v>
      </c>
    </row>
    <row r="316" spans="1:7">
      <c r="A316" s="223" t="s">
        <v>2503</v>
      </c>
      <c r="B316" s="224">
        <v>6750</v>
      </c>
      <c r="C316" s="221">
        <v>275</v>
      </c>
      <c r="D316" s="224">
        <v>2551.3969491525427</v>
      </c>
      <c r="E316" s="221">
        <v>227.25</v>
      </c>
      <c r="F316" s="221"/>
      <c r="G316" s="222" t="s">
        <v>2191</v>
      </c>
    </row>
    <row r="317" spans="1:7">
      <c r="A317" s="223" t="s">
        <v>2504</v>
      </c>
      <c r="B317" s="224">
        <v>17000</v>
      </c>
      <c r="C317" s="221">
        <v>275</v>
      </c>
      <c r="D317" s="224">
        <v>4119.1908474576267</v>
      </c>
      <c r="E317" s="221">
        <v>227.25</v>
      </c>
      <c r="F317" s="221"/>
      <c r="G317" s="222" t="s">
        <v>2191</v>
      </c>
    </row>
    <row r="318" spans="1:7">
      <c r="A318" s="220" t="s">
        <v>2505</v>
      </c>
      <c r="B318" s="221">
        <v>1500</v>
      </c>
      <c r="C318" s="221">
        <v>400</v>
      </c>
      <c r="D318" s="221">
        <v>1009.9999999999999</v>
      </c>
      <c r="E318" s="221">
        <v>336.33</v>
      </c>
      <c r="F318" s="221"/>
      <c r="G318" s="222" t="s">
        <v>2191</v>
      </c>
    </row>
    <row r="319" spans="1:7">
      <c r="A319" s="220" t="s">
        <v>2506</v>
      </c>
      <c r="B319" s="221">
        <v>3000</v>
      </c>
      <c r="C319" s="221">
        <v>400</v>
      </c>
      <c r="D319" s="221">
        <v>1767.5000000000002</v>
      </c>
      <c r="E319" s="221">
        <v>336.33</v>
      </c>
      <c r="F319" s="221"/>
      <c r="G319" s="222" t="s">
        <v>2191</v>
      </c>
    </row>
    <row r="320" spans="1:7">
      <c r="A320" s="223" t="s">
        <v>2507</v>
      </c>
      <c r="B320" s="224">
        <v>6750</v>
      </c>
      <c r="C320" s="221">
        <v>400</v>
      </c>
      <c r="D320" s="224">
        <v>2551.3969491525427</v>
      </c>
      <c r="E320" s="221">
        <v>336.33</v>
      </c>
      <c r="F320" s="221"/>
      <c r="G320" s="222" t="s">
        <v>2191</v>
      </c>
    </row>
    <row r="321" spans="1:7">
      <c r="A321" s="223" t="s">
        <v>2508</v>
      </c>
      <c r="B321" s="224">
        <v>17000</v>
      </c>
      <c r="C321" s="221">
        <v>400</v>
      </c>
      <c r="D321" s="224">
        <v>4119.1908474576267</v>
      </c>
      <c r="E321" s="221">
        <v>336.33</v>
      </c>
      <c r="F321" s="221"/>
      <c r="G321" s="222" t="s">
        <v>2191</v>
      </c>
    </row>
    <row r="322" spans="1:7">
      <c r="A322" s="220" t="s">
        <v>2509</v>
      </c>
      <c r="B322" s="221">
        <v>3000</v>
      </c>
      <c r="C322" s="221">
        <v>450</v>
      </c>
      <c r="D322" s="221">
        <v>2019.9999999999998</v>
      </c>
      <c r="E322" s="221">
        <v>340.875</v>
      </c>
      <c r="F322" s="221"/>
      <c r="G322" s="222" t="s">
        <v>2191</v>
      </c>
    </row>
    <row r="323" spans="1:7">
      <c r="A323" s="220" t="s">
        <v>2510</v>
      </c>
      <c r="B323" s="221">
        <v>6000</v>
      </c>
      <c r="C323" s="221">
        <v>450</v>
      </c>
      <c r="D323" s="221">
        <v>2803.8969491525422</v>
      </c>
      <c r="E323" s="221">
        <v>340.875</v>
      </c>
      <c r="F323" s="221"/>
      <c r="G323" s="222" t="s">
        <v>2191</v>
      </c>
    </row>
    <row r="324" spans="1:7">
      <c r="A324" s="223" t="s">
        <v>2511</v>
      </c>
      <c r="B324" s="224">
        <v>13500</v>
      </c>
      <c r="C324" s="221">
        <v>450</v>
      </c>
      <c r="D324" s="224">
        <v>3587.7938983050844</v>
      </c>
      <c r="E324" s="221">
        <v>340.875</v>
      </c>
      <c r="F324" s="221"/>
      <c r="G324" s="222" t="s">
        <v>2191</v>
      </c>
    </row>
    <row r="325" spans="1:7">
      <c r="A325" s="223" t="s">
        <v>2512</v>
      </c>
      <c r="B325" s="224">
        <v>34000</v>
      </c>
      <c r="C325" s="221">
        <v>450</v>
      </c>
      <c r="D325" s="224">
        <v>5155.5877966101698</v>
      </c>
      <c r="E325" s="221">
        <v>340.875</v>
      </c>
      <c r="F325" s="221"/>
      <c r="G325" s="222" t="s">
        <v>2191</v>
      </c>
    </row>
    <row r="326" spans="1:7">
      <c r="A326" s="220" t="s">
        <v>2513</v>
      </c>
      <c r="B326" s="221">
        <v>3000</v>
      </c>
      <c r="C326" s="221">
        <v>550</v>
      </c>
      <c r="D326" s="221">
        <v>2019.9999999999998</v>
      </c>
      <c r="E326" s="221">
        <v>431.77499999999998</v>
      </c>
      <c r="F326" s="221"/>
      <c r="G326" s="222" t="s">
        <v>2191</v>
      </c>
    </row>
    <row r="327" spans="1:7">
      <c r="A327" s="220" t="s">
        <v>2514</v>
      </c>
      <c r="B327" s="221">
        <v>6000</v>
      </c>
      <c r="C327" s="221">
        <v>550</v>
      </c>
      <c r="D327" s="221">
        <v>2803.8969491525422</v>
      </c>
      <c r="E327" s="221">
        <v>431.77499999999998</v>
      </c>
      <c r="F327" s="221"/>
      <c r="G327" s="222" t="s">
        <v>2191</v>
      </c>
    </row>
    <row r="328" spans="1:7">
      <c r="A328" s="223" t="s">
        <v>2515</v>
      </c>
      <c r="B328" s="224">
        <v>13500</v>
      </c>
      <c r="C328" s="221">
        <v>550</v>
      </c>
      <c r="D328" s="224">
        <v>3587.7938983050844</v>
      </c>
      <c r="E328" s="221">
        <v>431.77499999999998</v>
      </c>
      <c r="F328" s="221"/>
      <c r="G328" s="222" t="s">
        <v>2191</v>
      </c>
    </row>
    <row r="329" spans="1:7">
      <c r="A329" s="223" t="s">
        <v>2516</v>
      </c>
      <c r="B329" s="224">
        <v>34000</v>
      </c>
      <c r="C329" s="221">
        <v>550</v>
      </c>
      <c r="D329" s="224">
        <v>5155.5877966101698</v>
      </c>
      <c r="E329" s="221">
        <v>431.77499999999998</v>
      </c>
      <c r="F329" s="221"/>
      <c r="G329" s="222" t="s">
        <v>2191</v>
      </c>
    </row>
    <row r="330" spans="1:7">
      <c r="A330" s="220" t="s">
        <v>2517</v>
      </c>
      <c r="B330" s="221">
        <v>3000</v>
      </c>
      <c r="C330" s="221">
        <v>800</v>
      </c>
      <c r="D330" s="221">
        <v>2019.9999999999998</v>
      </c>
      <c r="E330" s="221">
        <v>590.85</v>
      </c>
      <c r="F330" s="221"/>
      <c r="G330" s="222" t="s">
        <v>2191</v>
      </c>
    </row>
    <row r="331" spans="1:7">
      <c r="A331" s="220" t="s">
        <v>2518</v>
      </c>
      <c r="B331" s="221">
        <v>6000</v>
      </c>
      <c r="C331" s="221">
        <v>800</v>
      </c>
      <c r="D331" s="221">
        <v>2803.8969491525422</v>
      </c>
      <c r="E331" s="221">
        <v>590.85</v>
      </c>
      <c r="F331" s="221"/>
      <c r="G331" s="222" t="s">
        <v>2191</v>
      </c>
    </row>
    <row r="332" spans="1:7">
      <c r="A332" s="223" t="s">
        <v>2519</v>
      </c>
      <c r="B332" s="224">
        <v>13500</v>
      </c>
      <c r="C332" s="221">
        <v>800</v>
      </c>
      <c r="D332" s="224">
        <v>3587.7938983050844</v>
      </c>
      <c r="E332" s="221">
        <v>590.85</v>
      </c>
      <c r="F332" s="221"/>
      <c r="G332" s="222" t="s">
        <v>2191</v>
      </c>
    </row>
    <row r="333" spans="1:7">
      <c r="A333" s="223" t="s">
        <v>2520</v>
      </c>
      <c r="B333" s="224">
        <v>34000</v>
      </c>
      <c r="C333" s="221">
        <v>800</v>
      </c>
      <c r="D333" s="224">
        <v>5155.5877966101698</v>
      </c>
      <c r="E333" s="221">
        <v>590.85</v>
      </c>
      <c r="F333" s="221"/>
      <c r="G333" s="222" t="s">
        <v>2191</v>
      </c>
    </row>
    <row r="334" spans="1:7">
      <c r="A334" s="220" t="s">
        <v>2521</v>
      </c>
      <c r="B334" s="221">
        <v>3000</v>
      </c>
      <c r="C334" s="221">
        <v>450</v>
      </c>
      <c r="D334" s="221">
        <v>2019.9999999999998</v>
      </c>
      <c r="E334" s="221">
        <v>363.6</v>
      </c>
      <c r="F334" s="221"/>
      <c r="G334" s="222" t="s">
        <v>2191</v>
      </c>
    </row>
    <row r="335" spans="1:7">
      <c r="A335" s="220" t="s">
        <v>2522</v>
      </c>
      <c r="B335" s="221">
        <v>6000</v>
      </c>
      <c r="C335" s="221">
        <v>450</v>
      </c>
      <c r="D335" s="221">
        <v>3535.0000000000005</v>
      </c>
      <c r="E335" s="221">
        <v>363.6</v>
      </c>
      <c r="F335" s="221"/>
      <c r="G335" s="222" t="s">
        <v>2191</v>
      </c>
    </row>
    <row r="336" spans="1:7">
      <c r="A336" s="223" t="s">
        <v>2523</v>
      </c>
      <c r="B336" s="224">
        <v>13500</v>
      </c>
      <c r="C336" s="221">
        <v>450</v>
      </c>
      <c r="D336" s="224">
        <v>5102.7938983050853</v>
      </c>
      <c r="E336" s="221">
        <v>363.6</v>
      </c>
      <c r="F336" s="221"/>
      <c r="G336" s="222" t="s">
        <v>2191</v>
      </c>
    </row>
    <row r="337" spans="1:7">
      <c r="A337" s="223" t="s">
        <v>2524</v>
      </c>
      <c r="B337" s="224">
        <v>34000</v>
      </c>
      <c r="C337" s="221">
        <v>450</v>
      </c>
      <c r="D337" s="224">
        <v>8238.3816949152533</v>
      </c>
      <c r="E337" s="221">
        <v>363.6</v>
      </c>
      <c r="F337" s="221"/>
      <c r="G337" s="222" t="s">
        <v>2191</v>
      </c>
    </row>
    <row r="338" spans="1:7">
      <c r="A338" s="220" t="s">
        <v>2525</v>
      </c>
      <c r="B338" s="221">
        <v>3000</v>
      </c>
      <c r="C338" s="221">
        <v>550</v>
      </c>
      <c r="D338" s="221">
        <v>2019.9999999999998</v>
      </c>
      <c r="E338" s="221">
        <v>454.5</v>
      </c>
      <c r="F338" s="221"/>
      <c r="G338" s="222" t="s">
        <v>2191</v>
      </c>
    </row>
    <row r="339" spans="1:7">
      <c r="A339" s="220" t="s">
        <v>2526</v>
      </c>
      <c r="B339" s="221">
        <v>6000</v>
      </c>
      <c r="C339" s="221">
        <v>550</v>
      </c>
      <c r="D339" s="221">
        <v>3535.0000000000005</v>
      </c>
      <c r="E339" s="221">
        <v>454.5</v>
      </c>
      <c r="F339" s="221"/>
      <c r="G339" s="222" t="s">
        <v>2191</v>
      </c>
    </row>
    <row r="340" spans="1:7">
      <c r="A340" s="223" t="s">
        <v>2527</v>
      </c>
      <c r="B340" s="224">
        <v>13500</v>
      </c>
      <c r="C340" s="221">
        <v>550</v>
      </c>
      <c r="D340" s="224">
        <v>5102.7938983050853</v>
      </c>
      <c r="E340" s="221">
        <v>454.5</v>
      </c>
      <c r="F340" s="221"/>
      <c r="G340" s="222" t="s">
        <v>2191</v>
      </c>
    </row>
    <row r="341" spans="1:7">
      <c r="A341" s="223" t="s">
        <v>2528</v>
      </c>
      <c r="B341" s="224">
        <v>34000</v>
      </c>
      <c r="C341" s="221">
        <v>550</v>
      </c>
      <c r="D341" s="224">
        <v>8238.3816949152533</v>
      </c>
      <c r="E341" s="221">
        <v>454.5</v>
      </c>
      <c r="F341" s="221"/>
      <c r="G341" s="222" t="s">
        <v>2191</v>
      </c>
    </row>
    <row r="342" spans="1:7">
      <c r="A342" s="220" t="s">
        <v>2529</v>
      </c>
      <c r="B342" s="221">
        <v>3000</v>
      </c>
      <c r="C342" s="221">
        <v>800</v>
      </c>
      <c r="D342" s="221">
        <v>2019.9999999999998</v>
      </c>
      <c r="E342" s="221">
        <v>672.66</v>
      </c>
      <c r="F342" s="221"/>
      <c r="G342" s="222" t="s">
        <v>2191</v>
      </c>
    </row>
    <row r="343" spans="1:7">
      <c r="A343" s="220" t="s">
        <v>2530</v>
      </c>
      <c r="B343" s="221">
        <v>6000</v>
      </c>
      <c r="C343" s="221">
        <v>800</v>
      </c>
      <c r="D343" s="221">
        <v>3535.0000000000005</v>
      </c>
      <c r="E343" s="221">
        <v>672.66</v>
      </c>
      <c r="F343" s="221"/>
      <c r="G343" s="222" t="s">
        <v>2191</v>
      </c>
    </row>
    <row r="344" spans="1:7">
      <c r="A344" s="223" t="s">
        <v>2531</v>
      </c>
      <c r="B344" s="224">
        <v>13500</v>
      </c>
      <c r="C344" s="221">
        <v>800</v>
      </c>
      <c r="D344" s="224">
        <v>5102.7938983050853</v>
      </c>
      <c r="E344" s="221">
        <v>672.66</v>
      </c>
      <c r="F344" s="221"/>
      <c r="G344" s="222" t="s">
        <v>2191</v>
      </c>
    </row>
    <row r="345" spans="1:7">
      <c r="A345" s="223" t="s">
        <v>2532</v>
      </c>
      <c r="B345" s="224">
        <v>34000</v>
      </c>
      <c r="C345" s="221">
        <v>800</v>
      </c>
      <c r="D345" s="224">
        <v>8238.3816949152533</v>
      </c>
      <c r="E345" s="221">
        <v>672.66</v>
      </c>
      <c r="F345" s="221"/>
      <c r="G345" s="222" t="s">
        <v>2191</v>
      </c>
    </row>
    <row r="346" spans="1:7">
      <c r="A346" s="220" t="s">
        <v>2533</v>
      </c>
      <c r="B346" s="221">
        <v>8000</v>
      </c>
      <c r="C346" s="221">
        <v>900</v>
      </c>
      <c r="D346" s="221">
        <v>4039.9999999999995</v>
      </c>
      <c r="E346" s="221">
        <v>681.75</v>
      </c>
      <c r="F346" s="221"/>
      <c r="G346" s="222" t="s">
        <v>2191</v>
      </c>
    </row>
    <row r="347" spans="1:7">
      <c r="A347" s="220" t="s">
        <v>2534</v>
      </c>
      <c r="B347" s="221">
        <v>11000</v>
      </c>
      <c r="C347" s="221">
        <v>900</v>
      </c>
      <c r="D347" s="221">
        <v>5607.7938983050844</v>
      </c>
      <c r="E347" s="221">
        <v>681.75</v>
      </c>
      <c r="F347" s="221"/>
      <c r="G347" s="222" t="s">
        <v>2191</v>
      </c>
    </row>
    <row r="348" spans="1:7">
      <c r="A348" s="223" t="s">
        <v>2535</v>
      </c>
      <c r="B348" s="224">
        <v>18500</v>
      </c>
      <c r="C348" s="221">
        <v>900</v>
      </c>
      <c r="D348" s="224">
        <v>7175.5877966101689</v>
      </c>
      <c r="E348" s="221">
        <v>681.75</v>
      </c>
      <c r="F348" s="221"/>
      <c r="G348" s="222" t="s">
        <v>2191</v>
      </c>
    </row>
    <row r="349" spans="1:7">
      <c r="A349" s="223" t="s">
        <v>2536</v>
      </c>
      <c r="B349" s="224">
        <v>39000</v>
      </c>
      <c r="C349" s="221">
        <v>900</v>
      </c>
      <c r="D349" s="224">
        <v>10311.17559322034</v>
      </c>
      <c r="E349" s="221">
        <v>681.75</v>
      </c>
      <c r="F349" s="221"/>
      <c r="G349" s="222" t="s">
        <v>2191</v>
      </c>
    </row>
    <row r="350" spans="1:7">
      <c r="A350" s="220" t="s">
        <v>2537</v>
      </c>
      <c r="B350" s="221">
        <v>8000</v>
      </c>
      <c r="C350" s="221">
        <v>1100</v>
      </c>
      <c r="D350" s="221">
        <v>4039.9999999999995</v>
      </c>
      <c r="E350" s="221">
        <v>863.55</v>
      </c>
      <c r="F350" s="221"/>
      <c r="G350" s="222" t="s">
        <v>2191</v>
      </c>
    </row>
    <row r="351" spans="1:7">
      <c r="A351" s="220" t="s">
        <v>2538</v>
      </c>
      <c r="B351" s="221">
        <v>11000</v>
      </c>
      <c r="C351" s="221">
        <v>1100</v>
      </c>
      <c r="D351" s="221">
        <v>5607.7938983050844</v>
      </c>
      <c r="E351" s="221">
        <v>863.55</v>
      </c>
      <c r="F351" s="221"/>
      <c r="G351" s="222" t="s">
        <v>2191</v>
      </c>
    </row>
    <row r="352" spans="1:7">
      <c r="A352" s="223" t="s">
        <v>2539</v>
      </c>
      <c r="B352" s="224">
        <v>18500</v>
      </c>
      <c r="C352" s="221">
        <v>1100</v>
      </c>
      <c r="D352" s="224">
        <v>7175.5877966101689</v>
      </c>
      <c r="E352" s="221">
        <v>863.55</v>
      </c>
      <c r="F352" s="221"/>
      <c r="G352" s="222" t="s">
        <v>2191</v>
      </c>
    </row>
    <row r="353" spans="1:7">
      <c r="A353" s="223" t="s">
        <v>2540</v>
      </c>
      <c r="B353" s="224">
        <v>39000</v>
      </c>
      <c r="C353" s="221">
        <v>1100</v>
      </c>
      <c r="D353" s="224">
        <v>10311.17559322034</v>
      </c>
      <c r="E353" s="221">
        <v>863.55</v>
      </c>
      <c r="F353" s="221"/>
      <c r="G353" s="222" t="s">
        <v>2191</v>
      </c>
    </row>
    <row r="354" spans="1:7">
      <c r="A354" s="220" t="s">
        <v>2541</v>
      </c>
      <c r="B354" s="221">
        <v>8000</v>
      </c>
      <c r="C354" s="221">
        <v>1600</v>
      </c>
      <c r="D354" s="221">
        <v>4039.9999999999995</v>
      </c>
      <c r="E354" s="221">
        <v>1181.7</v>
      </c>
      <c r="F354" s="221"/>
      <c r="G354" s="222" t="s">
        <v>2191</v>
      </c>
    </row>
    <row r="355" spans="1:7">
      <c r="A355" s="220" t="s">
        <v>2542</v>
      </c>
      <c r="B355" s="221">
        <v>11000</v>
      </c>
      <c r="C355" s="221">
        <v>1600</v>
      </c>
      <c r="D355" s="221">
        <v>5607.7938983050844</v>
      </c>
      <c r="E355" s="221">
        <v>1181.7</v>
      </c>
      <c r="F355" s="221"/>
      <c r="G355" s="222" t="s">
        <v>2191</v>
      </c>
    </row>
    <row r="356" spans="1:7">
      <c r="A356" s="223" t="s">
        <v>2543</v>
      </c>
      <c r="B356" s="224">
        <v>18500</v>
      </c>
      <c r="C356" s="221">
        <v>1600</v>
      </c>
      <c r="D356" s="224">
        <v>7175.5877966101689</v>
      </c>
      <c r="E356" s="221">
        <v>1181.7</v>
      </c>
      <c r="F356" s="221"/>
      <c r="G356" s="222" t="s">
        <v>2191</v>
      </c>
    </row>
    <row r="357" spans="1:7">
      <c r="A357" s="223" t="s">
        <v>2544</v>
      </c>
      <c r="B357" s="224">
        <v>39000</v>
      </c>
      <c r="C357" s="221">
        <v>1600</v>
      </c>
      <c r="D357" s="224">
        <v>10311.17559322034</v>
      </c>
      <c r="E357" s="221">
        <v>1181.7</v>
      </c>
      <c r="F357" s="221"/>
      <c r="G357" s="222" t="s">
        <v>2191</v>
      </c>
    </row>
    <row r="358" spans="1:7">
      <c r="A358" s="220" t="s">
        <v>2545</v>
      </c>
      <c r="B358" s="221">
        <v>13000</v>
      </c>
      <c r="C358" s="221">
        <v>1125</v>
      </c>
      <c r="D358" s="221">
        <v>2019.9999999999998</v>
      </c>
      <c r="E358" s="221">
        <v>363.6</v>
      </c>
      <c r="F358" s="221"/>
      <c r="G358" s="222" t="s">
        <v>2191</v>
      </c>
    </row>
    <row r="359" spans="1:7">
      <c r="A359" s="220" t="s">
        <v>2546</v>
      </c>
      <c r="B359" s="221">
        <v>16000</v>
      </c>
      <c r="C359" s="221">
        <v>1125</v>
      </c>
      <c r="D359" s="221">
        <v>3535.0000000000005</v>
      </c>
      <c r="E359" s="221">
        <v>363.6</v>
      </c>
      <c r="F359" s="221"/>
      <c r="G359" s="222" t="s">
        <v>2191</v>
      </c>
    </row>
    <row r="360" spans="1:7">
      <c r="A360" s="223" t="s">
        <v>2547</v>
      </c>
      <c r="B360" s="224">
        <v>23500</v>
      </c>
      <c r="C360" s="221">
        <v>1125</v>
      </c>
      <c r="D360" s="224">
        <v>5102.7938983050853</v>
      </c>
      <c r="E360" s="221">
        <v>363.6</v>
      </c>
      <c r="F360" s="221"/>
      <c r="G360" s="222" t="s">
        <v>2191</v>
      </c>
    </row>
    <row r="361" spans="1:7">
      <c r="A361" s="223" t="s">
        <v>2548</v>
      </c>
      <c r="B361" s="224">
        <v>44000</v>
      </c>
      <c r="C361" s="221">
        <v>1125</v>
      </c>
      <c r="D361" s="224">
        <v>8238.3816949152533</v>
      </c>
      <c r="E361" s="221">
        <v>363.6</v>
      </c>
      <c r="F361" s="221"/>
      <c r="G361" s="222" t="s">
        <v>2191</v>
      </c>
    </row>
    <row r="362" spans="1:7">
      <c r="A362" s="220" t="s">
        <v>2549</v>
      </c>
      <c r="B362" s="221">
        <v>13000</v>
      </c>
      <c r="C362" s="221">
        <v>1375</v>
      </c>
      <c r="D362" s="221">
        <v>2019.9999999999998</v>
      </c>
      <c r="E362" s="221">
        <v>454.5</v>
      </c>
      <c r="F362" s="221"/>
      <c r="G362" s="222" t="s">
        <v>2191</v>
      </c>
    </row>
    <row r="363" spans="1:7">
      <c r="A363" s="220" t="s">
        <v>2550</v>
      </c>
      <c r="B363" s="221">
        <v>16000</v>
      </c>
      <c r="C363" s="221">
        <v>1375</v>
      </c>
      <c r="D363" s="221">
        <v>3535.0000000000005</v>
      </c>
      <c r="E363" s="221">
        <v>454.5</v>
      </c>
      <c r="F363" s="221"/>
      <c r="G363" s="222" t="s">
        <v>2191</v>
      </c>
    </row>
    <row r="364" spans="1:7">
      <c r="A364" s="223" t="s">
        <v>2551</v>
      </c>
      <c r="B364" s="224">
        <v>23500</v>
      </c>
      <c r="C364" s="221">
        <v>1375</v>
      </c>
      <c r="D364" s="224">
        <v>5102.7938983050853</v>
      </c>
      <c r="E364" s="221">
        <v>454.5</v>
      </c>
      <c r="F364" s="221"/>
      <c r="G364" s="222" t="s">
        <v>2191</v>
      </c>
    </row>
    <row r="365" spans="1:7">
      <c r="A365" s="223" t="s">
        <v>2552</v>
      </c>
      <c r="B365" s="224">
        <v>44000</v>
      </c>
      <c r="C365" s="221">
        <v>1375</v>
      </c>
      <c r="D365" s="224">
        <v>8238.3816949152533</v>
      </c>
      <c r="E365" s="221">
        <v>454.5</v>
      </c>
      <c r="F365" s="221"/>
      <c r="G365" s="222" t="s">
        <v>2191</v>
      </c>
    </row>
    <row r="366" spans="1:7">
      <c r="A366" s="220" t="s">
        <v>2553</v>
      </c>
      <c r="B366" s="221">
        <v>13000</v>
      </c>
      <c r="C366" s="221">
        <v>2000</v>
      </c>
      <c r="D366" s="221">
        <v>2019.9999999999998</v>
      </c>
      <c r="E366" s="221">
        <v>672.66</v>
      </c>
      <c r="F366" s="221"/>
      <c r="G366" s="222" t="s">
        <v>2191</v>
      </c>
    </row>
    <row r="367" spans="1:7">
      <c r="A367" s="220" t="s">
        <v>2554</v>
      </c>
      <c r="B367" s="221">
        <v>16000</v>
      </c>
      <c r="C367" s="221">
        <v>2000</v>
      </c>
      <c r="D367" s="221">
        <v>3535.0000000000005</v>
      </c>
      <c r="E367" s="221">
        <v>672.66</v>
      </c>
      <c r="F367" s="221"/>
      <c r="G367" s="222" t="s">
        <v>2191</v>
      </c>
    </row>
    <row r="368" spans="1:7">
      <c r="A368" s="223" t="s">
        <v>2555</v>
      </c>
      <c r="B368" s="224">
        <v>23500</v>
      </c>
      <c r="C368" s="221">
        <v>2000</v>
      </c>
      <c r="D368" s="224">
        <v>5102.7938983050853</v>
      </c>
      <c r="E368" s="221">
        <v>672.66</v>
      </c>
      <c r="F368" s="221"/>
      <c r="G368" s="222" t="s">
        <v>2191</v>
      </c>
    </row>
    <row r="369" spans="1:7">
      <c r="A369" s="223" t="s">
        <v>2556</v>
      </c>
      <c r="B369" s="224">
        <v>44000</v>
      </c>
      <c r="C369" s="221">
        <v>2000</v>
      </c>
      <c r="D369" s="224">
        <v>8238.3816949152533</v>
      </c>
      <c r="E369" s="221">
        <v>672.66</v>
      </c>
      <c r="F369" s="221"/>
      <c r="G369" s="222" t="s">
        <v>2191</v>
      </c>
    </row>
    <row r="370" spans="1:7">
      <c r="A370" s="220" t="s">
        <v>2557</v>
      </c>
      <c r="B370" s="221">
        <v>23000</v>
      </c>
      <c r="C370" s="221">
        <v>2250</v>
      </c>
      <c r="D370" s="221">
        <v>4039.9999999999995</v>
      </c>
      <c r="E370" s="221">
        <v>681.75</v>
      </c>
      <c r="F370" s="221"/>
      <c r="G370" s="222" t="s">
        <v>2191</v>
      </c>
    </row>
    <row r="371" spans="1:7">
      <c r="A371" s="220" t="s">
        <v>2558</v>
      </c>
      <c r="B371" s="221">
        <v>26000</v>
      </c>
      <c r="C371" s="221">
        <v>2250</v>
      </c>
      <c r="D371" s="221">
        <v>5607.7938983050844</v>
      </c>
      <c r="E371" s="221">
        <v>681.75</v>
      </c>
      <c r="F371" s="221"/>
      <c r="G371" s="222" t="s">
        <v>2191</v>
      </c>
    </row>
    <row r="372" spans="1:7">
      <c r="A372" s="223" t="s">
        <v>2559</v>
      </c>
      <c r="B372" s="224">
        <v>33500</v>
      </c>
      <c r="C372" s="221">
        <v>2250</v>
      </c>
      <c r="D372" s="224">
        <v>7175.5877966101689</v>
      </c>
      <c r="E372" s="221">
        <v>681.75</v>
      </c>
      <c r="F372" s="221"/>
      <c r="G372" s="222" t="s">
        <v>2191</v>
      </c>
    </row>
    <row r="373" spans="1:7">
      <c r="A373" s="223" t="s">
        <v>2560</v>
      </c>
      <c r="B373" s="224">
        <v>54000</v>
      </c>
      <c r="C373" s="221">
        <v>2250</v>
      </c>
      <c r="D373" s="224">
        <v>10311.17559322034</v>
      </c>
      <c r="E373" s="221">
        <v>681.75</v>
      </c>
      <c r="F373" s="221"/>
      <c r="G373" s="222" t="s">
        <v>2191</v>
      </c>
    </row>
    <row r="374" spans="1:7">
      <c r="A374" s="220" t="s">
        <v>2561</v>
      </c>
      <c r="B374" s="221">
        <v>23000</v>
      </c>
      <c r="C374" s="221">
        <v>2750</v>
      </c>
      <c r="D374" s="221">
        <v>4039.9999999999995</v>
      </c>
      <c r="E374" s="221">
        <v>863.55</v>
      </c>
      <c r="F374" s="221"/>
      <c r="G374" s="222" t="s">
        <v>2191</v>
      </c>
    </row>
    <row r="375" spans="1:7">
      <c r="A375" s="220" t="s">
        <v>2562</v>
      </c>
      <c r="B375" s="221">
        <v>26000</v>
      </c>
      <c r="C375" s="221">
        <v>2750</v>
      </c>
      <c r="D375" s="221">
        <v>5607.7938983050844</v>
      </c>
      <c r="E375" s="221">
        <v>863.55</v>
      </c>
      <c r="F375" s="221"/>
      <c r="G375" s="222" t="s">
        <v>2191</v>
      </c>
    </row>
    <row r="376" spans="1:7">
      <c r="A376" s="223" t="s">
        <v>2563</v>
      </c>
      <c r="B376" s="224">
        <v>33500</v>
      </c>
      <c r="C376" s="221">
        <v>2750</v>
      </c>
      <c r="D376" s="224">
        <v>7175.5877966101689</v>
      </c>
      <c r="E376" s="221">
        <v>863.55</v>
      </c>
      <c r="F376" s="221"/>
      <c r="G376" s="222" t="s">
        <v>2191</v>
      </c>
    </row>
    <row r="377" spans="1:7">
      <c r="A377" s="223" t="s">
        <v>2564</v>
      </c>
      <c r="B377" s="224">
        <v>54000</v>
      </c>
      <c r="C377" s="221">
        <v>2750</v>
      </c>
      <c r="D377" s="224">
        <v>10311.17559322034</v>
      </c>
      <c r="E377" s="221">
        <v>863.55</v>
      </c>
      <c r="F377" s="221"/>
      <c r="G377" s="222" t="s">
        <v>2191</v>
      </c>
    </row>
    <row r="378" spans="1:7">
      <c r="A378" s="220" t="s">
        <v>2565</v>
      </c>
      <c r="B378" s="221">
        <v>23000</v>
      </c>
      <c r="C378" s="221">
        <v>4000</v>
      </c>
      <c r="D378" s="221">
        <v>4039.9999999999995</v>
      </c>
      <c r="E378" s="221">
        <v>1181.7</v>
      </c>
      <c r="F378" s="221"/>
      <c r="G378" s="222" t="s">
        <v>2191</v>
      </c>
    </row>
    <row r="379" spans="1:7">
      <c r="A379" s="220" t="s">
        <v>2566</v>
      </c>
      <c r="B379" s="221">
        <v>26000</v>
      </c>
      <c r="C379" s="221">
        <v>4000</v>
      </c>
      <c r="D379" s="221">
        <v>5607.7938983050844</v>
      </c>
      <c r="E379" s="221">
        <v>1181.7</v>
      </c>
      <c r="F379" s="221"/>
      <c r="G379" s="222" t="s">
        <v>2191</v>
      </c>
    </row>
    <row r="380" spans="1:7">
      <c r="A380" s="223" t="s">
        <v>2567</v>
      </c>
      <c r="B380" s="224">
        <v>33500</v>
      </c>
      <c r="C380" s="221">
        <v>4000</v>
      </c>
      <c r="D380" s="224">
        <v>7175.5877966101689</v>
      </c>
      <c r="E380" s="221">
        <v>1181.7</v>
      </c>
      <c r="F380" s="221"/>
      <c r="G380" s="222" t="s">
        <v>2191</v>
      </c>
    </row>
    <row r="381" spans="1:7">
      <c r="A381" s="223" t="s">
        <v>2568</v>
      </c>
      <c r="B381" s="224">
        <v>54000</v>
      </c>
      <c r="C381" s="221">
        <v>4000</v>
      </c>
      <c r="D381" s="224">
        <v>10311.17559322034</v>
      </c>
      <c r="E381" s="221">
        <v>1181.7</v>
      </c>
      <c r="F381" s="221"/>
      <c r="G381" s="222" t="s">
        <v>2191</v>
      </c>
    </row>
    <row r="382" spans="1:7">
      <c r="A382" s="220" t="s">
        <v>2569</v>
      </c>
      <c r="B382" s="221">
        <v>600</v>
      </c>
      <c r="C382" s="221">
        <v>50</v>
      </c>
      <c r="D382" s="221">
        <v>429.24999999999994</v>
      </c>
      <c r="E382" s="221">
        <v>40.905000000000001</v>
      </c>
      <c r="F382" s="221"/>
      <c r="G382" s="222" t="s">
        <v>2191</v>
      </c>
    </row>
    <row r="383" spans="1:7">
      <c r="A383" s="220" t="s">
        <v>2570</v>
      </c>
      <c r="B383" s="221">
        <v>1125</v>
      </c>
      <c r="C383" s="221">
        <v>50</v>
      </c>
      <c r="D383" s="221">
        <v>934.24999999999989</v>
      </c>
      <c r="E383" s="221">
        <v>40.905000000000001</v>
      </c>
      <c r="F383" s="221"/>
      <c r="G383" s="222" t="s">
        <v>2191</v>
      </c>
    </row>
    <row r="384" spans="1:7">
      <c r="A384" s="220" t="s">
        <v>2571</v>
      </c>
      <c r="B384" s="221">
        <v>600</v>
      </c>
      <c r="C384" s="221">
        <v>50</v>
      </c>
      <c r="D384" s="221">
        <v>429.24999999999994</v>
      </c>
      <c r="E384" s="221">
        <v>40.905000000000001</v>
      </c>
      <c r="F384" s="221"/>
      <c r="G384" s="222" t="s">
        <v>2191</v>
      </c>
    </row>
    <row r="385" spans="1:7">
      <c r="A385" s="220" t="s">
        <v>2572</v>
      </c>
      <c r="B385" s="221">
        <v>1125</v>
      </c>
      <c r="C385" s="221">
        <v>50</v>
      </c>
      <c r="D385" s="221">
        <v>934.24999999999989</v>
      </c>
      <c r="E385" s="221">
        <v>40.905000000000001</v>
      </c>
      <c r="F385" s="221"/>
      <c r="G385" s="222" t="s">
        <v>2191</v>
      </c>
    </row>
    <row r="386" spans="1:7">
      <c r="A386" s="220" t="s">
        <v>2573</v>
      </c>
      <c r="B386" s="221">
        <v>600</v>
      </c>
      <c r="C386" s="221">
        <v>50</v>
      </c>
      <c r="D386" s="221">
        <v>429.24999999999994</v>
      </c>
      <c r="E386" s="221">
        <v>40.905000000000001</v>
      </c>
      <c r="F386" s="221"/>
      <c r="G386" s="222" t="s">
        <v>2191</v>
      </c>
    </row>
    <row r="387" spans="1:7">
      <c r="A387" s="220" t="s">
        <v>2574</v>
      </c>
      <c r="B387" s="221">
        <v>1125</v>
      </c>
      <c r="C387" s="221">
        <v>50</v>
      </c>
      <c r="D387" s="221">
        <v>934.24999999999989</v>
      </c>
      <c r="E387" s="221">
        <v>40.905000000000001</v>
      </c>
      <c r="F387" s="221"/>
      <c r="G387" s="222" t="s">
        <v>2191</v>
      </c>
    </row>
    <row r="388" spans="1:7">
      <c r="A388" s="220" t="s">
        <v>2575</v>
      </c>
      <c r="B388" s="221">
        <v>1250</v>
      </c>
      <c r="C388" s="221">
        <v>75</v>
      </c>
      <c r="D388" s="221">
        <v>833.25</v>
      </c>
      <c r="E388" s="221">
        <v>63.63</v>
      </c>
      <c r="F388" s="221"/>
      <c r="G388" s="222" t="s">
        <v>2191</v>
      </c>
    </row>
    <row r="389" spans="1:7">
      <c r="A389" s="220" t="s">
        <v>2576</v>
      </c>
      <c r="B389" s="221">
        <v>1775</v>
      </c>
      <c r="C389" s="221">
        <v>75</v>
      </c>
      <c r="D389" s="221">
        <v>1338.25</v>
      </c>
      <c r="E389" s="221">
        <v>63.63</v>
      </c>
      <c r="F389" s="221"/>
      <c r="G389" s="222" t="s">
        <v>2191</v>
      </c>
    </row>
    <row r="390" spans="1:7">
      <c r="A390" s="220" t="s">
        <v>2577</v>
      </c>
      <c r="B390" s="221">
        <v>1250</v>
      </c>
      <c r="C390" s="221">
        <v>75</v>
      </c>
      <c r="D390" s="221">
        <v>833.25</v>
      </c>
      <c r="E390" s="221">
        <v>63.63</v>
      </c>
      <c r="F390" s="221"/>
      <c r="G390" s="222" t="s">
        <v>2191</v>
      </c>
    </row>
    <row r="391" spans="1:7">
      <c r="A391" s="220" t="s">
        <v>2578</v>
      </c>
      <c r="B391" s="221">
        <v>1775</v>
      </c>
      <c r="C391" s="221">
        <v>75</v>
      </c>
      <c r="D391" s="221">
        <v>1338.25</v>
      </c>
      <c r="E391" s="221">
        <v>63.63</v>
      </c>
      <c r="F391" s="221"/>
      <c r="G391" s="222" t="s">
        <v>2191</v>
      </c>
    </row>
    <row r="392" spans="1:7">
      <c r="A392" s="220" t="s">
        <v>2579</v>
      </c>
      <c r="B392" s="221">
        <v>1250</v>
      </c>
      <c r="C392" s="221">
        <v>75</v>
      </c>
      <c r="D392" s="221">
        <v>833.25</v>
      </c>
      <c r="E392" s="221">
        <v>63.63</v>
      </c>
      <c r="F392" s="221"/>
      <c r="G392" s="222" t="s">
        <v>2191</v>
      </c>
    </row>
    <row r="393" spans="1:7">
      <c r="A393" s="220" t="s">
        <v>2580</v>
      </c>
      <c r="B393" s="221">
        <v>1775</v>
      </c>
      <c r="C393" s="221">
        <v>75</v>
      </c>
      <c r="D393" s="221">
        <v>1338.25</v>
      </c>
      <c r="E393" s="221">
        <v>63.63</v>
      </c>
      <c r="F393" s="221"/>
      <c r="G393" s="222" t="s">
        <v>2191</v>
      </c>
    </row>
    <row r="394" spans="1:7">
      <c r="A394" s="220" t="s">
        <v>2581</v>
      </c>
      <c r="B394" s="221">
        <v>1250</v>
      </c>
      <c r="C394" s="221">
        <v>105</v>
      </c>
      <c r="D394" s="221">
        <v>833.25</v>
      </c>
      <c r="E394" s="221">
        <v>90.9</v>
      </c>
      <c r="F394" s="221"/>
      <c r="G394" s="222" t="s">
        <v>2191</v>
      </c>
    </row>
    <row r="395" spans="1:7">
      <c r="A395" s="220" t="s">
        <v>2582</v>
      </c>
      <c r="B395" s="221">
        <v>1775</v>
      </c>
      <c r="C395" s="221">
        <v>105</v>
      </c>
      <c r="D395" s="221">
        <v>1338.25</v>
      </c>
      <c r="E395" s="221">
        <v>90.9</v>
      </c>
      <c r="F395" s="221"/>
      <c r="G395" s="222" t="s">
        <v>2191</v>
      </c>
    </row>
    <row r="396" spans="1:7">
      <c r="A396" s="220" t="s">
        <v>2583</v>
      </c>
      <c r="B396" s="221">
        <v>1250</v>
      </c>
      <c r="C396" s="221">
        <v>105</v>
      </c>
      <c r="D396" s="221">
        <v>833.25</v>
      </c>
      <c r="E396" s="221">
        <v>90.9</v>
      </c>
      <c r="F396" s="221"/>
      <c r="G396" s="222" t="s">
        <v>2191</v>
      </c>
    </row>
    <row r="397" spans="1:7">
      <c r="A397" s="220" t="s">
        <v>2584</v>
      </c>
      <c r="B397" s="221">
        <v>1775</v>
      </c>
      <c r="C397" s="221">
        <v>105</v>
      </c>
      <c r="D397" s="221">
        <v>1338.25</v>
      </c>
      <c r="E397" s="221">
        <v>90.9</v>
      </c>
      <c r="F397" s="221"/>
      <c r="G397" s="222" t="s">
        <v>2191</v>
      </c>
    </row>
    <row r="398" spans="1:7">
      <c r="A398" s="220" t="s">
        <v>2585</v>
      </c>
      <c r="B398" s="221">
        <v>1250</v>
      </c>
      <c r="C398" s="221">
        <v>105</v>
      </c>
      <c r="D398" s="221">
        <v>833.25</v>
      </c>
      <c r="E398" s="221">
        <v>90.9</v>
      </c>
      <c r="F398" s="221"/>
      <c r="G398" s="222" t="s">
        <v>2191</v>
      </c>
    </row>
    <row r="399" spans="1:7">
      <c r="A399" s="220" t="s">
        <v>2586</v>
      </c>
      <c r="B399" s="221">
        <v>1775</v>
      </c>
      <c r="C399" s="221">
        <v>105</v>
      </c>
      <c r="D399" s="221">
        <v>1338.25</v>
      </c>
      <c r="E399" s="221">
        <v>90.9</v>
      </c>
      <c r="F399" s="221"/>
      <c r="G399" s="222" t="s">
        <v>2191</v>
      </c>
    </row>
    <row r="400" spans="1:7">
      <c r="A400" s="220" t="s">
        <v>2587</v>
      </c>
      <c r="B400" s="221">
        <v>1250</v>
      </c>
      <c r="C400" s="221">
        <v>130</v>
      </c>
      <c r="D400" s="221">
        <v>833.25</v>
      </c>
      <c r="E400" s="221">
        <v>113.625</v>
      </c>
      <c r="F400" s="221"/>
      <c r="G400" s="222" t="s">
        <v>2191</v>
      </c>
    </row>
    <row r="401" spans="1:7">
      <c r="A401" s="220" t="s">
        <v>2588</v>
      </c>
      <c r="B401" s="221">
        <v>1775</v>
      </c>
      <c r="C401" s="221">
        <v>130</v>
      </c>
      <c r="D401" s="221">
        <v>1338.25</v>
      </c>
      <c r="E401" s="221">
        <v>113.625</v>
      </c>
      <c r="F401" s="221"/>
      <c r="G401" s="222" t="s">
        <v>2191</v>
      </c>
    </row>
    <row r="402" spans="1:7">
      <c r="A402" s="220" t="s">
        <v>2589</v>
      </c>
      <c r="B402" s="221">
        <v>1250</v>
      </c>
      <c r="C402" s="221">
        <v>130</v>
      </c>
      <c r="D402" s="221">
        <v>833.25</v>
      </c>
      <c r="E402" s="221">
        <v>113.625</v>
      </c>
      <c r="F402" s="221"/>
      <c r="G402" s="222" t="s">
        <v>2191</v>
      </c>
    </row>
    <row r="403" spans="1:7">
      <c r="A403" s="220" t="s">
        <v>2590</v>
      </c>
      <c r="B403" s="221">
        <v>1775</v>
      </c>
      <c r="C403" s="221">
        <v>130</v>
      </c>
      <c r="D403" s="221">
        <v>1338.25</v>
      </c>
      <c r="E403" s="221">
        <v>113.625</v>
      </c>
      <c r="F403" s="221"/>
      <c r="G403" s="222" t="s">
        <v>2191</v>
      </c>
    </row>
    <row r="404" spans="1:7">
      <c r="A404" s="220" t="s">
        <v>2591</v>
      </c>
      <c r="B404" s="221">
        <v>1250</v>
      </c>
      <c r="C404" s="221">
        <v>130</v>
      </c>
      <c r="D404" s="221">
        <v>833.25</v>
      </c>
      <c r="E404" s="221">
        <v>113.625</v>
      </c>
      <c r="F404" s="221"/>
      <c r="G404" s="222" t="s">
        <v>2191</v>
      </c>
    </row>
    <row r="405" spans="1:7">
      <c r="A405" s="220" t="s">
        <v>2592</v>
      </c>
      <c r="B405" s="221">
        <v>1775</v>
      </c>
      <c r="C405" s="221">
        <v>130</v>
      </c>
      <c r="D405" s="221">
        <v>1338.25</v>
      </c>
      <c r="E405" s="221">
        <v>113.625</v>
      </c>
      <c r="F405" s="221"/>
      <c r="G405" s="222" t="s">
        <v>2191</v>
      </c>
    </row>
    <row r="406" spans="1:7">
      <c r="A406" s="220" t="s">
        <v>2593</v>
      </c>
      <c r="B406" s="221">
        <v>1250</v>
      </c>
      <c r="C406" s="221">
        <v>155</v>
      </c>
      <c r="D406" s="221">
        <v>833.25</v>
      </c>
      <c r="E406" s="221">
        <v>136.35</v>
      </c>
      <c r="F406" s="221"/>
      <c r="G406" s="222" t="s">
        <v>2191</v>
      </c>
    </row>
    <row r="407" spans="1:7">
      <c r="A407" s="220" t="s">
        <v>2594</v>
      </c>
      <c r="B407" s="221">
        <v>1775</v>
      </c>
      <c r="C407" s="221">
        <v>155</v>
      </c>
      <c r="D407" s="221">
        <v>1338.25</v>
      </c>
      <c r="E407" s="221">
        <v>136.35</v>
      </c>
      <c r="F407" s="221"/>
      <c r="G407" s="222" t="s">
        <v>2191</v>
      </c>
    </row>
    <row r="408" spans="1:7">
      <c r="A408" s="220" t="s">
        <v>2595</v>
      </c>
      <c r="B408" s="221">
        <v>1250</v>
      </c>
      <c r="C408" s="221">
        <v>155</v>
      </c>
      <c r="D408" s="221">
        <v>833.25</v>
      </c>
      <c r="E408" s="221">
        <v>136.35</v>
      </c>
      <c r="F408" s="221"/>
      <c r="G408" s="222" t="s">
        <v>2191</v>
      </c>
    </row>
    <row r="409" spans="1:7">
      <c r="A409" s="220" t="s">
        <v>2596</v>
      </c>
      <c r="B409" s="221">
        <v>1775</v>
      </c>
      <c r="C409" s="221">
        <v>155</v>
      </c>
      <c r="D409" s="221">
        <v>1338.25</v>
      </c>
      <c r="E409" s="221">
        <v>136.35</v>
      </c>
      <c r="F409" s="221"/>
      <c r="G409" s="222" t="s">
        <v>2191</v>
      </c>
    </row>
    <row r="410" spans="1:7">
      <c r="A410" s="220" t="s">
        <v>2597</v>
      </c>
      <c r="B410" s="221">
        <v>1250</v>
      </c>
      <c r="C410" s="221">
        <v>155</v>
      </c>
      <c r="D410" s="221">
        <v>833.25</v>
      </c>
      <c r="E410" s="221">
        <v>136.35</v>
      </c>
      <c r="F410" s="221"/>
      <c r="G410" s="222" t="s">
        <v>2191</v>
      </c>
    </row>
    <row r="411" spans="1:7">
      <c r="A411" s="220" t="s">
        <v>2598</v>
      </c>
      <c r="B411" s="221">
        <v>1775</v>
      </c>
      <c r="C411" s="221">
        <v>155</v>
      </c>
      <c r="D411" s="221">
        <v>1338.25</v>
      </c>
      <c r="E411" s="221">
        <v>136.35</v>
      </c>
      <c r="F411" s="221"/>
      <c r="G411" s="222" t="s">
        <v>2191</v>
      </c>
    </row>
    <row r="412" spans="1:7">
      <c r="A412" s="220" t="s">
        <v>2599</v>
      </c>
      <c r="B412" s="221">
        <v>1500</v>
      </c>
      <c r="C412" s="221">
        <v>225</v>
      </c>
      <c r="D412" s="221">
        <v>1010.0000000000001</v>
      </c>
      <c r="E412" s="221">
        <v>181.8</v>
      </c>
      <c r="F412" s="221"/>
      <c r="G412" s="222" t="s">
        <v>2191</v>
      </c>
    </row>
    <row r="413" spans="1:7">
      <c r="A413" s="220" t="s">
        <v>2600</v>
      </c>
      <c r="B413" s="221">
        <v>3000</v>
      </c>
      <c r="C413" s="221">
        <v>225</v>
      </c>
      <c r="D413" s="221">
        <v>1767.5000000000002</v>
      </c>
      <c r="E413" s="221">
        <v>181.8</v>
      </c>
      <c r="F413" s="221"/>
      <c r="G413" s="222" t="s">
        <v>2191</v>
      </c>
    </row>
    <row r="414" spans="1:7">
      <c r="A414" s="223" t="s">
        <v>2601</v>
      </c>
      <c r="B414" s="224">
        <v>6750</v>
      </c>
      <c r="C414" s="221">
        <v>225</v>
      </c>
      <c r="D414" s="224">
        <v>2747.3711864406778</v>
      </c>
      <c r="E414" s="221">
        <v>181.8</v>
      </c>
      <c r="F414" s="221"/>
      <c r="G414" s="222" t="s">
        <v>2191</v>
      </c>
    </row>
    <row r="415" spans="1:7">
      <c r="A415" s="223" t="s">
        <v>2602</v>
      </c>
      <c r="B415" s="224">
        <v>17000</v>
      </c>
      <c r="C415" s="221">
        <v>225</v>
      </c>
      <c r="D415" s="224">
        <v>4707.1135593220333</v>
      </c>
      <c r="E415" s="221">
        <v>181.8</v>
      </c>
      <c r="F415" s="221"/>
      <c r="G415" s="222" t="s">
        <v>2191</v>
      </c>
    </row>
    <row r="416" spans="1:7">
      <c r="A416" s="220" t="s">
        <v>2603</v>
      </c>
      <c r="B416" s="221">
        <v>1500</v>
      </c>
      <c r="C416" s="221">
        <v>275</v>
      </c>
      <c r="D416" s="221">
        <v>1010.0000000000001</v>
      </c>
      <c r="E416" s="221">
        <v>227.25</v>
      </c>
      <c r="F416" s="221"/>
      <c r="G416" s="222" t="s">
        <v>2191</v>
      </c>
    </row>
    <row r="417" spans="1:7">
      <c r="A417" s="220" t="s">
        <v>2604</v>
      </c>
      <c r="B417" s="221">
        <v>3000</v>
      </c>
      <c r="C417" s="221">
        <v>275</v>
      </c>
      <c r="D417" s="221">
        <v>1767.5000000000002</v>
      </c>
      <c r="E417" s="221">
        <v>227.25</v>
      </c>
      <c r="F417" s="221"/>
      <c r="G417" s="222" t="s">
        <v>2191</v>
      </c>
    </row>
    <row r="418" spans="1:7">
      <c r="A418" s="223" t="s">
        <v>2605</v>
      </c>
      <c r="B418" s="224">
        <v>6750</v>
      </c>
      <c r="C418" s="221">
        <v>275</v>
      </c>
      <c r="D418" s="224">
        <v>2747.3711864406778</v>
      </c>
      <c r="E418" s="221">
        <v>227.25</v>
      </c>
      <c r="F418" s="221"/>
      <c r="G418" s="222" t="s">
        <v>2191</v>
      </c>
    </row>
    <row r="419" spans="1:7">
      <c r="A419" s="223" t="s">
        <v>2606</v>
      </c>
      <c r="B419" s="224">
        <v>17000</v>
      </c>
      <c r="C419" s="221">
        <v>275</v>
      </c>
      <c r="D419" s="224">
        <v>4707.1135593220333</v>
      </c>
      <c r="E419" s="221">
        <v>227.25</v>
      </c>
      <c r="F419" s="221"/>
      <c r="G419" s="222" t="s">
        <v>2191</v>
      </c>
    </row>
    <row r="420" spans="1:7">
      <c r="A420" s="220" t="s">
        <v>2607</v>
      </c>
      <c r="B420" s="221">
        <v>1500</v>
      </c>
      <c r="C420" s="221">
        <v>400</v>
      </c>
      <c r="D420" s="221">
        <v>1010.0000000000001</v>
      </c>
      <c r="E420" s="221">
        <v>336.33</v>
      </c>
      <c r="F420" s="221"/>
      <c r="G420" s="222" t="s">
        <v>2191</v>
      </c>
    </row>
    <row r="421" spans="1:7">
      <c r="A421" s="220" t="s">
        <v>2608</v>
      </c>
      <c r="B421" s="221">
        <v>3000</v>
      </c>
      <c r="C421" s="221">
        <v>400</v>
      </c>
      <c r="D421" s="221">
        <v>1767.5000000000002</v>
      </c>
      <c r="E421" s="221">
        <v>336.33</v>
      </c>
      <c r="F421" s="221"/>
      <c r="G421" s="222" t="s">
        <v>2191</v>
      </c>
    </row>
    <row r="422" spans="1:7">
      <c r="A422" s="223" t="s">
        <v>2609</v>
      </c>
      <c r="B422" s="224">
        <v>6750</v>
      </c>
      <c r="C422" s="221">
        <v>400</v>
      </c>
      <c r="D422" s="224">
        <v>2747.3711864406778</v>
      </c>
      <c r="E422" s="221">
        <v>336.33</v>
      </c>
      <c r="F422" s="221"/>
      <c r="G422" s="222" t="s">
        <v>2191</v>
      </c>
    </row>
    <row r="423" spans="1:7">
      <c r="A423" s="223" t="s">
        <v>2610</v>
      </c>
      <c r="B423" s="224">
        <v>17000</v>
      </c>
      <c r="C423" s="221">
        <v>400</v>
      </c>
      <c r="D423" s="224">
        <v>4707.1135593220333</v>
      </c>
      <c r="E423" s="221">
        <v>336.33</v>
      </c>
      <c r="F423" s="221"/>
      <c r="G423" s="222" t="s">
        <v>2191</v>
      </c>
    </row>
    <row r="424" spans="1:7">
      <c r="A424" s="220" t="s">
        <v>2611</v>
      </c>
      <c r="B424" s="221">
        <v>3000</v>
      </c>
      <c r="C424" s="221">
        <v>450</v>
      </c>
      <c r="D424" s="221">
        <v>2020.0000000000002</v>
      </c>
      <c r="E424" s="221">
        <v>340.875</v>
      </c>
      <c r="F424" s="221"/>
      <c r="G424" s="222" t="s">
        <v>2191</v>
      </c>
    </row>
    <row r="425" spans="1:7">
      <c r="A425" s="220" t="s">
        <v>2612</v>
      </c>
      <c r="B425" s="221">
        <v>6000</v>
      </c>
      <c r="C425" s="221">
        <v>450</v>
      </c>
      <c r="D425" s="221">
        <v>2999.8711864406782</v>
      </c>
      <c r="E425" s="221">
        <v>340.875</v>
      </c>
      <c r="F425" s="221"/>
      <c r="G425" s="222" t="s">
        <v>2191</v>
      </c>
    </row>
    <row r="426" spans="1:7">
      <c r="A426" s="223" t="s">
        <v>2613</v>
      </c>
      <c r="B426" s="224">
        <v>13500</v>
      </c>
      <c r="C426" s="221">
        <v>450</v>
      </c>
      <c r="D426" s="224">
        <v>3979.7423728813555</v>
      </c>
      <c r="E426" s="221">
        <v>340.875</v>
      </c>
      <c r="F426" s="221"/>
      <c r="G426" s="222" t="s">
        <v>2191</v>
      </c>
    </row>
    <row r="427" spans="1:7">
      <c r="A427" s="223" t="s">
        <v>2614</v>
      </c>
      <c r="B427" s="224">
        <v>34000</v>
      </c>
      <c r="C427" s="221">
        <v>450</v>
      </c>
      <c r="D427" s="224">
        <v>5939.4847457627111</v>
      </c>
      <c r="E427" s="221">
        <v>340.875</v>
      </c>
      <c r="F427" s="221"/>
      <c r="G427" s="222" t="s">
        <v>2191</v>
      </c>
    </row>
    <row r="428" spans="1:7">
      <c r="A428" s="220" t="s">
        <v>2615</v>
      </c>
      <c r="B428" s="221">
        <v>3000</v>
      </c>
      <c r="C428" s="221">
        <v>550</v>
      </c>
      <c r="D428" s="221">
        <v>2020.0000000000002</v>
      </c>
      <c r="E428" s="221">
        <v>431.77499999999998</v>
      </c>
      <c r="F428" s="221"/>
      <c r="G428" s="222" t="s">
        <v>2191</v>
      </c>
    </row>
    <row r="429" spans="1:7">
      <c r="A429" s="220" t="s">
        <v>2616</v>
      </c>
      <c r="B429" s="221">
        <v>6000</v>
      </c>
      <c r="C429" s="221">
        <v>550</v>
      </c>
      <c r="D429" s="221">
        <v>2999.8711864406782</v>
      </c>
      <c r="E429" s="221">
        <v>431.77499999999998</v>
      </c>
      <c r="F429" s="221"/>
      <c r="G429" s="222" t="s">
        <v>2191</v>
      </c>
    </row>
    <row r="430" spans="1:7">
      <c r="A430" s="223" t="s">
        <v>2617</v>
      </c>
      <c r="B430" s="224">
        <v>13500</v>
      </c>
      <c r="C430" s="221">
        <v>550</v>
      </c>
      <c r="D430" s="224">
        <v>3979.7423728813555</v>
      </c>
      <c r="E430" s="221">
        <v>431.77499999999998</v>
      </c>
      <c r="F430" s="221"/>
      <c r="G430" s="222" t="s">
        <v>2191</v>
      </c>
    </row>
    <row r="431" spans="1:7">
      <c r="A431" s="223" t="s">
        <v>2618</v>
      </c>
      <c r="B431" s="224">
        <v>34000</v>
      </c>
      <c r="C431" s="221">
        <v>550</v>
      </c>
      <c r="D431" s="224">
        <v>5939.4847457627111</v>
      </c>
      <c r="E431" s="221">
        <v>431.77499999999998</v>
      </c>
      <c r="F431" s="221"/>
      <c r="G431" s="222" t="s">
        <v>2191</v>
      </c>
    </row>
    <row r="432" spans="1:7">
      <c r="A432" s="220" t="s">
        <v>2619</v>
      </c>
      <c r="B432" s="221">
        <v>3000</v>
      </c>
      <c r="C432" s="221">
        <v>800</v>
      </c>
      <c r="D432" s="221">
        <v>2020.0000000000002</v>
      </c>
      <c r="E432" s="221">
        <v>590.85</v>
      </c>
      <c r="F432" s="221"/>
      <c r="G432" s="222" t="s">
        <v>2191</v>
      </c>
    </row>
    <row r="433" spans="1:7">
      <c r="A433" s="220" t="s">
        <v>2620</v>
      </c>
      <c r="B433" s="221">
        <v>6000</v>
      </c>
      <c r="C433" s="221">
        <v>800</v>
      </c>
      <c r="D433" s="221">
        <v>2999.8711864406782</v>
      </c>
      <c r="E433" s="221">
        <v>590.85</v>
      </c>
      <c r="F433" s="221"/>
      <c r="G433" s="222" t="s">
        <v>2191</v>
      </c>
    </row>
    <row r="434" spans="1:7">
      <c r="A434" s="223" t="s">
        <v>2621</v>
      </c>
      <c r="B434" s="224">
        <v>13500</v>
      </c>
      <c r="C434" s="221">
        <v>800</v>
      </c>
      <c r="D434" s="224">
        <v>3979.7423728813555</v>
      </c>
      <c r="E434" s="221">
        <v>590.85</v>
      </c>
      <c r="F434" s="221"/>
      <c r="G434" s="222" t="s">
        <v>2191</v>
      </c>
    </row>
    <row r="435" spans="1:7">
      <c r="A435" s="223" t="s">
        <v>2622</v>
      </c>
      <c r="B435" s="224">
        <v>34000</v>
      </c>
      <c r="C435" s="221">
        <v>800</v>
      </c>
      <c r="D435" s="224">
        <v>5939.4847457627111</v>
      </c>
      <c r="E435" s="221">
        <v>590.85</v>
      </c>
      <c r="F435" s="221"/>
      <c r="G435" s="222" t="s">
        <v>2191</v>
      </c>
    </row>
    <row r="436" spans="1:7">
      <c r="A436" s="220" t="s">
        <v>2623</v>
      </c>
      <c r="B436" s="221">
        <v>3000</v>
      </c>
      <c r="C436" s="221">
        <v>450</v>
      </c>
      <c r="D436" s="221">
        <v>2020.0000000000002</v>
      </c>
      <c r="E436" s="221">
        <v>363.6</v>
      </c>
      <c r="F436" s="221"/>
      <c r="G436" s="222" t="s">
        <v>2191</v>
      </c>
    </row>
    <row r="437" spans="1:7">
      <c r="A437" s="220" t="s">
        <v>2624</v>
      </c>
      <c r="B437" s="221">
        <v>6000</v>
      </c>
      <c r="C437" s="221">
        <v>450</v>
      </c>
      <c r="D437" s="221">
        <v>3535.0000000000005</v>
      </c>
      <c r="E437" s="221">
        <v>363.6</v>
      </c>
      <c r="F437" s="221"/>
      <c r="G437" s="222" t="s">
        <v>2191</v>
      </c>
    </row>
    <row r="438" spans="1:7">
      <c r="A438" s="223" t="s">
        <v>2625</v>
      </c>
      <c r="B438" s="224">
        <v>13500</v>
      </c>
      <c r="C438" s="221">
        <v>450</v>
      </c>
      <c r="D438" s="224">
        <v>5494.7423728813555</v>
      </c>
      <c r="E438" s="221">
        <v>363.6</v>
      </c>
      <c r="F438" s="221"/>
      <c r="G438" s="222" t="s">
        <v>2191</v>
      </c>
    </row>
    <row r="439" spans="1:7">
      <c r="A439" s="223" t="s">
        <v>2626</v>
      </c>
      <c r="B439" s="224">
        <v>34000</v>
      </c>
      <c r="C439" s="221">
        <v>450</v>
      </c>
      <c r="D439" s="224">
        <v>9414.2271186440666</v>
      </c>
      <c r="E439" s="221">
        <v>363.6</v>
      </c>
      <c r="F439" s="221"/>
      <c r="G439" s="222" t="s">
        <v>2191</v>
      </c>
    </row>
    <row r="440" spans="1:7">
      <c r="A440" s="220" t="s">
        <v>2627</v>
      </c>
      <c r="B440" s="221">
        <v>3000</v>
      </c>
      <c r="C440" s="221">
        <v>550</v>
      </c>
      <c r="D440" s="221">
        <v>2020.0000000000002</v>
      </c>
      <c r="E440" s="221">
        <v>454.5</v>
      </c>
      <c r="F440" s="221"/>
      <c r="G440" s="222" t="s">
        <v>2191</v>
      </c>
    </row>
    <row r="441" spans="1:7">
      <c r="A441" s="220" t="s">
        <v>2628</v>
      </c>
      <c r="B441" s="221">
        <v>6000</v>
      </c>
      <c r="C441" s="221">
        <v>550</v>
      </c>
      <c r="D441" s="221">
        <v>3535.0000000000005</v>
      </c>
      <c r="E441" s="221">
        <v>454.5</v>
      </c>
      <c r="F441" s="221"/>
      <c r="G441" s="222" t="s">
        <v>2191</v>
      </c>
    </row>
    <row r="442" spans="1:7">
      <c r="A442" s="223" t="s">
        <v>2629</v>
      </c>
      <c r="B442" s="224">
        <v>13500</v>
      </c>
      <c r="C442" s="221">
        <v>550</v>
      </c>
      <c r="D442" s="224">
        <v>5494.7423728813555</v>
      </c>
      <c r="E442" s="221">
        <v>454.5</v>
      </c>
      <c r="F442" s="221"/>
      <c r="G442" s="222" t="s">
        <v>2191</v>
      </c>
    </row>
    <row r="443" spans="1:7">
      <c r="A443" s="223" t="s">
        <v>2630</v>
      </c>
      <c r="B443" s="224">
        <v>34000</v>
      </c>
      <c r="C443" s="221">
        <v>550</v>
      </c>
      <c r="D443" s="224">
        <v>9414.2271186440666</v>
      </c>
      <c r="E443" s="221">
        <v>454.5</v>
      </c>
      <c r="F443" s="221"/>
      <c r="G443" s="222" t="s">
        <v>2191</v>
      </c>
    </row>
    <row r="444" spans="1:7">
      <c r="A444" s="220" t="s">
        <v>2631</v>
      </c>
      <c r="B444" s="221">
        <v>3000</v>
      </c>
      <c r="C444" s="221">
        <v>800</v>
      </c>
      <c r="D444" s="221">
        <v>2020.0000000000002</v>
      </c>
      <c r="E444" s="221">
        <v>672.66</v>
      </c>
      <c r="F444" s="221"/>
      <c r="G444" s="222" t="s">
        <v>2191</v>
      </c>
    </row>
    <row r="445" spans="1:7">
      <c r="A445" s="220" t="s">
        <v>2632</v>
      </c>
      <c r="B445" s="221">
        <v>6000</v>
      </c>
      <c r="C445" s="221">
        <v>800</v>
      </c>
      <c r="D445" s="221">
        <v>3535.0000000000005</v>
      </c>
      <c r="E445" s="221">
        <v>672.66</v>
      </c>
      <c r="F445" s="221"/>
      <c r="G445" s="222" t="s">
        <v>2191</v>
      </c>
    </row>
    <row r="446" spans="1:7">
      <c r="A446" s="223" t="s">
        <v>2633</v>
      </c>
      <c r="B446" s="224">
        <v>13500</v>
      </c>
      <c r="C446" s="221">
        <v>800</v>
      </c>
      <c r="D446" s="224">
        <v>5494.7423728813555</v>
      </c>
      <c r="E446" s="221">
        <v>672.66</v>
      </c>
      <c r="F446" s="221"/>
      <c r="G446" s="222" t="s">
        <v>2191</v>
      </c>
    </row>
    <row r="447" spans="1:7">
      <c r="A447" s="223" t="s">
        <v>2634</v>
      </c>
      <c r="B447" s="224">
        <v>34000</v>
      </c>
      <c r="C447" s="221">
        <v>800</v>
      </c>
      <c r="D447" s="224">
        <v>9414.2271186440666</v>
      </c>
      <c r="E447" s="221">
        <v>672.66</v>
      </c>
      <c r="F447" s="221"/>
      <c r="G447" s="222" t="s">
        <v>2191</v>
      </c>
    </row>
    <row r="448" spans="1:7">
      <c r="A448" s="220" t="s">
        <v>2635</v>
      </c>
      <c r="B448" s="221">
        <v>8000.0000000000009</v>
      </c>
      <c r="C448" s="221">
        <v>900</v>
      </c>
      <c r="D448" s="221">
        <v>4040.0000000000005</v>
      </c>
      <c r="E448" s="221">
        <v>681.75</v>
      </c>
      <c r="F448" s="221"/>
      <c r="G448" s="222" t="s">
        <v>2191</v>
      </c>
    </row>
    <row r="449" spans="1:7">
      <c r="A449" s="220" t="s">
        <v>2636</v>
      </c>
      <c r="B449" s="221">
        <v>11000</v>
      </c>
      <c r="C449" s="221">
        <v>900</v>
      </c>
      <c r="D449" s="221">
        <v>5999.7423728813565</v>
      </c>
      <c r="E449" s="221">
        <v>681.75</v>
      </c>
      <c r="F449" s="221"/>
      <c r="G449" s="222" t="s">
        <v>2191</v>
      </c>
    </row>
    <row r="450" spans="1:7">
      <c r="A450" s="223" t="s">
        <v>2637</v>
      </c>
      <c r="B450" s="224">
        <v>18500</v>
      </c>
      <c r="C450" s="221">
        <v>900</v>
      </c>
      <c r="D450" s="224">
        <v>7959.4847457627111</v>
      </c>
      <c r="E450" s="221">
        <v>681.75</v>
      </c>
      <c r="F450" s="221"/>
      <c r="G450" s="222" t="s">
        <v>2191</v>
      </c>
    </row>
    <row r="451" spans="1:7">
      <c r="A451" s="223" t="s">
        <v>2638</v>
      </c>
      <c r="B451" s="224">
        <v>39000</v>
      </c>
      <c r="C451" s="221">
        <v>900</v>
      </c>
      <c r="D451" s="224">
        <v>11878.969491525422</v>
      </c>
      <c r="E451" s="221">
        <v>681.75</v>
      </c>
      <c r="F451" s="221"/>
      <c r="G451" s="222" t="s">
        <v>2191</v>
      </c>
    </row>
    <row r="452" spans="1:7">
      <c r="A452" s="220" t="s">
        <v>2639</v>
      </c>
      <c r="B452" s="221">
        <v>8000.0000000000009</v>
      </c>
      <c r="C452" s="221">
        <v>1100</v>
      </c>
      <c r="D452" s="221">
        <v>4040.0000000000005</v>
      </c>
      <c r="E452" s="221">
        <v>863.55</v>
      </c>
      <c r="F452" s="221"/>
      <c r="G452" s="222" t="s">
        <v>2191</v>
      </c>
    </row>
    <row r="453" spans="1:7">
      <c r="A453" s="220" t="s">
        <v>2640</v>
      </c>
      <c r="B453" s="221">
        <v>11000</v>
      </c>
      <c r="C453" s="221">
        <v>1100</v>
      </c>
      <c r="D453" s="221">
        <v>5999.7423728813565</v>
      </c>
      <c r="E453" s="221">
        <v>863.55</v>
      </c>
      <c r="F453" s="221"/>
      <c r="G453" s="222" t="s">
        <v>2191</v>
      </c>
    </row>
    <row r="454" spans="1:7">
      <c r="A454" s="223" t="s">
        <v>2641</v>
      </c>
      <c r="B454" s="224">
        <v>18500</v>
      </c>
      <c r="C454" s="221">
        <v>1100</v>
      </c>
      <c r="D454" s="224">
        <v>7959.4847457627111</v>
      </c>
      <c r="E454" s="221">
        <v>863.55</v>
      </c>
      <c r="F454" s="221"/>
      <c r="G454" s="222" t="s">
        <v>2191</v>
      </c>
    </row>
    <row r="455" spans="1:7">
      <c r="A455" s="223" t="s">
        <v>2642</v>
      </c>
      <c r="B455" s="224">
        <v>39000</v>
      </c>
      <c r="C455" s="221">
        <v>1100</v>
      </c>
      <c r="D455" s="224">
        <v>11878.969491525422</v>
      </c>
      <c r="E455" s="221">
        <v>863.55</v>
      </c>
      <c r="F455" s="221"/>
      <c r="G455" s="222" t="s">
        <v>2191</v>
      </c>
    </row>
    <row r="456" spans="1:7">
      <c r="A456" s="220" t="s">
        <v>2643</v>
      </c>
      <c r="B456" s="221">
        <v>8000.0000000000009</v>
      </c>
      <c r="C456" s="221">
        <v>1600</v>
      </c>
      <c r="D456" s="221">
        <v>4040.0000000000005</v>
      </c>
      <c r="E456" s="221">
        <v>1181.7</v>
      </c>
      <c r="F456" s="221"/>
      <c r="G456" s="222" t="s">
        <v>2191</v>
      </c>
    </row>
    <row r="457" spans="1:7">
      <c r="A457" s="220" t="s">
        <v>2644</v>
      </c>
      <c r="B457" s="221">
        <v>11000</v>
      </c>
      <c r="C457" s="221">
        <v>1600</v>
      </c>
      <c r="D457" s="221">
        <v>5999.7423728813565</v>
      </c>
      <c r="E457" s="221">
        <v>1181.7</v>
      </c>
      <c r="F457" s="221"/>
      <c r="G457" s="222" t="s">
        <v>2191</v>
      </c>
    </row>
    <row r="458" spans="1:7">
      <c r="A458" s="223" t="s">
        <v>2645</v>
      </c>
      <c r="B458" s="224">
        <v>18500</v>
      </c>
      <c r="C458" s="221">
        <v>1600</v>
      </c>
      <c r="D458" s="224">
        <v>7959.4847457627111</v>
      </c>
      <c r="E458" s="221">
        <v>1181.7</v>
      </c>
      <c r="F458" s="221"/>
      <c r="G458" s="222" t="s">
        <v>2191</v>
      </c>
    </row>
    <row r="459" spans="1:7">
      <c r="A459" s="223" t="s">
        <v>2646</v>
      </c>
      <c r="B459" s="224">
        <v>39000</v>
      </c>
      <c r="C459" s="221">
        <v>1600</v>
      </c>
      <c r="D459" s="224">
        <v>11878.969491525422</v>
      </c>
      <c r="E459" s="221">
        <v>1181.7</v>
      </c>
      <c r="F459" s="221"/>
      <c r="G459" s="222" t="s">
        <v>2191</v>
      </c>
    </row>
    <row r="460" spans="1:7">
      <c r="A460" s="220" t="s">
        <v>2647</v>
      </c>
      <c r="B460" s="221">
        <v>13000</v>
      </c>
      <c r="C460" s="221">
        <v>1125</v>
      </c>
      <c r="D460" s="221">
        <v>2020.0000000000002</v>
      </c>
      <c r="E460" s="221">
        <v>363.6</v>
      </c>
      <c r="F460" s="221"/>
      <c r="G460" s="222" t="s">
        <v>2191</v>
      </c>
    </row>
    <row r="461" spans="1:7">
      <c r="A461" s="220" t="s">
        <v>2648</v>
      </c>
      <c r="B461" s="221">
        <v>16000.000000000002</v>
      </c>
      <c r="C461" s="221">
        <v>1125</v>
      </c>
      <c r="D461" s="221">
        <v>3535.0000000000005</v>
      </c>
      <c r="E461" s="221">
        <v>363.6</v>
      </c>
      <c r="F461" s="221"/>
      <c r="G461" s="222" t="s">
        <v>2191</v>
      </c>
    </row>
    <row r="462" spans="1:7">
      <c r="A462" s="223" t="s">
        <v>2649</v>
      </c>
      <c r="B462" s="224">
        <v>23500</v>
      </c>
      <c r="C462" s="221">
        <v>1125</v>
      </c>
      <c r="D462" s="224">
        <v>5494.7423728813555</v>
      </c>
      <c r="E462" s="221">
        <v>363.6</v>
      </c>
      <c r="F462" s="221"/>
      <c r="G462" s="222" t="s">
        <v>2191</v>
      </c>
    </row>
    <row r="463" spans="1:7">
      <c r="A463" s="223" t="s">
        <v>2650</v>
      </c>
      <c r="B463" s="224">
        <v>44000</v>
      </c>
      <c r="C463" s="221">
        <v>1125</v>
      </c>
      <c r="D463" s="224">
        <v>9414.2271186440666</v>
      </c>
      <c r="E463" s="221">
        <v>363.6</v>
      </c>
      <c r="F463" s="221"/>
      <c r="G463" s="222" t="s">
        <v>2191</v>
      </c>
    </row>
    <row r="464" spans="1:7">
      <c r="A464" s="220" t="s">
        <v>2651</v>
      </c>
      <c r="B464" s="221">
        <v>13000</v>
      </c>
      <c r="C464" s="221">
        <v>1375</v>
      </c>
      <c r="D464" s="221">
        <v>2020.0000000000002</v>
      </c>
      <c r="E464" s="221">
        <v>454.5</v>
      </c>
      <c r="F464" s="221"/>
      <c r="G464" s="222" t="s">
        <v>2191</v>
      </c>
    </row>
    <row r="465" spans="1:7">
      <c r="A465" s="220" t="s">
        <v>2652</v>
      </c>
      <c r="B465" s="221">
        <v>16000.000000000002</v>
      </c>
      <c r="C465" s="221">
        <v>1375</v>
      </c>
      <c r="D465" s="221">
        <v>3535.0000000000005</v>
      </c>
      <c r="E465" s="221">
        <v>454.5</v>
      </c>
      <c r="F465" s="221"/>
      <c r="G465" s="222" t="s">
        <v>2191</v>
      </c>
    </row>
    <row r="466" spans="1:7">
      <c r="A466" s="223" t="s">
        <v>2653</v>
      </c>
      <c r="B466" s="224">
        <v>23500</v>
      </c>
      <c r="C466" s="221">
        <v>1375</v>
      </c>
      <c r="D466" s="224">
        <v>5494.7423728813555</v>
      </c>
      <c r="E466" s="221">
        <v>454.5</v>
      </c>
      <c r="F466" s="221"/>
      <c r="G466" s="222" t="s">
        <v>2191</v>
      </c>
    </row>
    <row r="467" spans="1:7">
      <c r="A467" s="223" t="s">
        <v>2654</v>
      </c>
      <c r="B467" s="224">
        <v>44000</v>
      </c>
      <c r="C467" s="221">
        <v>1375</v>
      </c>
      <c r="D467" s="224">
        <v>9414.2271186440666</v>
      </c>
      <c r="E467" s="221">
        <v>454.5</v>
      </c>
      <c r="F467" s="221"/>
      <c r="G467" s="222" t="s">
        <v>2191</v>
      </c>
    </row>
    <row r="468" spans="1:7">
      <c r="A468" s="220" t="s">
        <v>2655</v>
      </c>
      <c r="B468" s="221">
        <v>13000</v>
      </c>
      <c r="C468" s="221">
        <v>2000</v>
      </c>
      <c r="D468" s="221">
        <v>2020.0000000000002</v>
      </c>
      <c r="E468" s="221">
        <v>672.66</v>
      </c>
      <c r="F468" s="221"/>
      <c r="G468" s="222" t="s">
        <v>2191</v>
      </c>
    </row>
    <row r="469" spans="1:7">
      <c r="A469" s="220" t="s">
        <v>2656</v>
      </c>
      <c r="B469" s="221">
        <v>16000.000000000002</v>
      </c>
      <c r="C469" s="221">
        <v>2000</v>
      </c>
      <c r="D469" s="221">
        <v>3535.0000000000005</v>
      </c>
      <c r="E469" s="221">
        <v>672.66</v>
      </c>
      <c r="F469" s="221"/>
      <c r="G469" s="222" t="s">
        <v>2191</v>
      </c>
    </row>
    <row r="470" spans="1:7">
      <c r="A470" s="223" t="s">
        <v>2657</v>
      </c>
      <c r="B470" s="224">
        <v>23500</v>
      </c>
      <c r="C470" s="221">
        <v>2000</v>
      </c>
      <c r="D470" s="224">
        <v>5494.7423728813555</v>
      </c>
      <c r="E470" s="221">
        <v>672.66</v>
      </c>
      <c r="F470" s="221"/>
      <c r="G470" s="222" t="s">
        <v>2191</v>
      </c>
    </row>
    <row r="471" spans="1:7">
      <c r="A471" s="223" t="s">
        <v>2658</v>
      </c>
      <c r="B471" s="224">
        <v>44000</v>
      </c>
      <c r="C471" s="221">
        <v>2000</v>
      </c>
      <c r="D471" s="224">
        <v>9414.2271186440666</v>
      </c>
      <c r="E471" s="221">
        <v>672.66</v>
      </c>
      <c r="F471" s="221"/>
      <c r="G471" s="222" t="s">
        <v>2191</v>
      </c>
    </row>
    <row r="472" spans="1:7">
      <c r="A472" s="220" t="s">
        <v>2659</v>
      </c>
      <c r="B472" s="221">
        <v>23000</v>
      </c>
      <c r="C472" s="221">
        <v>2250</v>
      </c>
      <c r="D472" s="221">
        <v>4040.0000000000005</v>
      </c>
      <c r="E472" s="221">
        <v>681.75</v>
      </c>
      <c r="F472" s="221"/>
      <c r="G472" s="222" t="s">
        <v>2191</v>
      </c>
    </row>
    <row r="473" spans="1:7">
      <c r="A473" s="220" t="s">
        <v>2660</v>
      </c>
      <c r="B473" s="221">
        <v>26000</v>
      </c>
      <c r="C473" s="221">
        <v>2250</v>
      </c>
      <c r="D473" s="221">
        <v>5999.7423728813565</v>
      </c>
      <c r="E473" s="221">
        <v>681.75</v>
      </c>
      <c r="F473" s="221"/>
      <c r="G473" s="222" t="s">
        <v>2191</v>
      </c>
    </row>
    <row r="474" spans="1:7">
      <c r="A474" s="223" t="s">
        <v>2661</v>
      </c>
      <c r="B474" s="224">
        <v>33500</v>
      </c>
      <c r="C474" s="221">
        <v>2250</v>
      </c>
      <c r="D474" s="224">
        <v>7959.4847457627111</v>
      </c>
      <c r="E474" s="221">
        <v>681.75</v>
      </c>
      <c r="F474" s="221"/>
      <c r="G474" s="222" t="s">
        <v>2191</v>
      </c>
    </row>
    <row r="475" spans="1:7">
      <c r="A475" s="223" t="s">
        <v>2662</v>
      </c>
      <c r="B475" s="224">
        <v>54000</v>
      </c>
      <c r="C475" s="221">
        <v>2250</v>
      </c>
      <c r="D475" s="224">
        <v>11878.969491525422</v>
      </c>
      <c r="E475" s="221">
        <v>681.75</v>
      </c>
      <c r="F475" s="221"/>
      <c r="G475" s="222" t="s">
        <v>2191</v>
      </c>
    </row>
    <row r="476" spans="1:7">
      <c r="A476" s="220" t="s">
        <v>2663</v>
      </c>
      <c r="B476" s="221">
        <v>23000</v>
      </c>
      <c r="C476" s="221">
        <v>2750</v>
      </c>
      <c r="D476" s="221">
        <v>4040.0000000000005</v>
      </c>
      <c r="E476" s="221">
        <v>863.55</v>
      </c>
      <c r="F476" s="221"/>
      <c r="G476" s="222" t="s">
        <v>2191</v>
      </c>
    </row>
    <row r="477" spans="1:7">
      <c r="A477" s="220" t="s">
        <v>2664</v>
      </c>
      <c r="B477" s="221">
        <v>26000</v>
      </c>
      <c r="C477" s="221">
        <v>2750</v>
      </c>
      <c r="D477" s="221">
        <v>5999.7423728813565</v>
      </c>
      <c r="E477" s="221">
        <v>863.55</v>
      </c>
      <c r="F477" s="221"/>
      <c r="G477" s="222" t="s">
        <v>2191</v>
      </c>
    </row>
    <row r="478" spans="1:7">
      <c r="A478" s="223" t="s">
        <v>2665</v>
      </c>
      <c r="B478" s="224">
        <v>33500</v>
      </c>
      <c r="C478" s="221">
        <v>2750</v>
      </c>
      <c r="D478" s="224">
        <v>7959.4847457627111</v>
      </c>
      <c r="E478" s="221">
        <v>863.55</v>
      </c>
      <c r="F478" s="221"/>
      <c r="G478" s="222" t="s">
        <v>2191</v>
      </c>
    </row>
    <row r="479" spans="1:7">
      <c r="A479" s="223" t="s">
        <v>2666</v>
      </c>
      <c r="B479" s="224">
        <v>54000</v>
      </c>
      <c r="C479" s="221">
        <v>2750</v>
      </c>
      <c r="D479" s="224">
        <v>11878.969491525422</v>
      </c>
      <c r="E479" s="221">
        <v>863.55</v>
      </c>
      <c r="F479" s="221"/>
      <c r="G479" s="222" t="s">
        <v>2191</v>
      </c>
    </row>
    <row r="480" spans="1:7">
      <c r="A480" s="220" t="s">
        <v>2667</v>
      </c>
      <c r="B480" s="221">
        <v>23000</v>
      </c>
      <c r="C480" s="221">
        <v>4000</v>
      </c>
      <c r="D480" s="221">
        <v>4040.0000000000005</v>
      </c>
      <c r="E480" s="221">
        <v>1181.7</v>
      </c>
      <c r="F480" s="221"/>
      <c r="G480" s="222" t="s">
        <v>2191</v>
      </c>
    </row>
    <row r="481" spans="1:7">
      <c r="A481" s="220" t="s">
        <v>2668</v>
      </c>
      <c r="B481" s="221">
        <v>26000</v>
      </c>
      <c r="C481" s="221">
        <v>4000</v>
      </c>
      <c r="D481" s="221">
        <v>5999.7423728813565</v>
      </c>
      <c r="E481" s="221">
        <v>1181.7</v>
      </c>
      <c r="F481" s="221"/>
      <c r="G481" s="222" t="s">
        <v>2191</v>
      </c>
    </row>
    <row r="482" spans="1:7">
      <c r="A482" s="223" t="s">
        <v>2669</v>
      </c>
      <c r="B482" s="224"/>
      <c r="C482" s="221">
        <v>4000</v>
      </c>
      <c r="D482" s="224"/>
      <c r="E482" s="221">
        <v>1181.7</v>
      </c>
      <c r="F482" s="221"/>
      <c r="G482" s="222" t="s">
        <v>2191</v>
      </c>
    </row>
    <row r="483" spans="1:7">
      <c r="A483" s="223" t="s">
        <v>2670</v>
      </c>
      <c r="B483" s="224"/>
      <c r="C483" s="221">
        <v>4000</v>
      </c>
      <c r="D483" s="224"/>
      <c r="E483" s="221">
        <v>1181.7</v>
      </c>
      <c r="F483" s="221"/>
      <c r="G483" s="222" t="s">
        <v>2191</v>
      </c>
    </row>
    <row r="484" spans="1:7">
      <c r="A484" s="220" t="s">
        <v>2671</v>
      </c>
      <c r="B484" s="221">
        <v>600</v>
      </c>
      <c r="C484" s="221">
        <v>50</v>
      </c>
      <c r="D484" s="221">
        <v>429.25</v>
      </c>
      <c r="E484" s="221">
        <v>40.905000000000001</v>
      </c>
      <c r="F484" s="221"/>
      <c r="G484" s="222" t="s">
        <v>2191</v>
      </c>
    </row>
    <row r="485" spans="1:7">
      <c r="A485" s="220" t="s">
        <v>2672</v>
      </c>
      <c r="B485" s="221">
        <v>1125</v>
      </c>
      <c r="C485" s="221">
        <v>50</v>
      </c>
      <c r="D485" s="221">
        <v>934.25</v>
      </c>
      <c r="E485" s="221">
        <v>40.905000000000001</v>
      </c>
      <c r="F485" s="221"/>
      <c r="G485" s="222" t="s">
        <v>2191</v>
      </c>
    </row>
    <row r="486" spans="1:7">
      <c r="A486" s="220" t="s">
        <v>2673</v>
      </c>
      <c r="B486" s="221">
        <v>600</v>
      </c>
      <c r="C486" s="221">
        <v>50</v>
      </c>
      <c r="D486" s="221">
        <v>429.25</v>
      </c>
      <c r="E486" s="221">
        <v>40.905000000000001</v>
      </c>
      <c r="F486" s="221"/>
      <c r="G486" s="222" t="s">
        <v>2191</v>
      </c>
    </row>
    <row r="487" spans="1:7">
      <c r="A487" s="220" t="s">
        <v>2674</v>
      </c>
      <c r="B487" s="221">
        <v>1125</v>
      </c>
      <c r="C487" s="221">
        <v>50</v>
      </c>
      <c r="D487" s="221">
        <v>934.25</v>
      </c>
      <c r="E487" s="221">
        <v>40.905000000000001</v>
      </c>
      <c r="F487" s="221"/>
      <c r="G487" s="222" t="s">
        <v>2191</v>
      </c>
    </row>
    <row r="488" spans="1:7">
      <c r="A488" s="220" t="s">
        <v>2675</v>
      </c>
      <c r="B488" s="221">
        <v>600</v>
      </c>
      <c r="C488" s="221">
        <v>50</v>
      </c>
      <c r="D488" s="221">
        <v>429.25</v>
      </c>
      <c r="E488" s="221">
        <v>40.905000000000001</v>
      </c>
      <c r="F488" s="221"/>
      <c r="G488" s="222" t="s">
        <v>2191</v>
      </c>
    </row>
    <row r="489" spans="1:7">
      <c r="A489" s="220" t="s">
        <v>2676</v>
      </c>
      <c r="B489" s="221">
        <v>1125</v>
      </c>
      <c r="C489" s="221">
        <v>50</v>
      </c>
      <c r="D489" s="221">
        <v>934.25</v>
      </c>
      <c r="E489" s="221">
        <v>40.905000000000001</v>
      </c>
      <c r="F489" s="221"/>
      <c r="G489" s="222" t="s">
        <v>2191</v>
      </c>
    </row>
    <row r="490" spans="1:7">
      <c r="A490" s="220" t="s">
        <v>2677</v>
      </c>
      <c r="B490" s="221">
        <v>1250</v>
      </c>
      <c r="C490" s="221">
        <v>75</v>
      </c>
      <c r="D490" s="221">
        <v>833.25</v>
      </c>
      <c r="E490" s="221">
        <v>63.63</v>
      </c>
      <c r="F490" s="221"/>
      <c r="G490" s="222" t="s">
        <v>2191</v>
      </c>
    </row>
    <row r="491" spans="1:7">
      <c r="A491" s="220" t="s">
        <v>2678</v>
      </c>
      <c r="B491" s="221">
        <v>1775</v>
      </c>
      <c r="C491" s="221">
        <v>75</v>
      </c>
      <c r="D491" s="221">
        <v>1338.25</v>
      </c>
      <c r="E491" s="221">
        <v>63.63</v>
      </c>
      <c r="F491" s="221"/>
      <c r="G491" s="222" t="s">
        <v>2191</v>
      </c>
    </row>
    <row r="492" spans="1:7">
      <c r="A492" s="220" t="s">
        <v>2679</v>
      </c>
      <c r="B492" s="221">
        <v>1250</v>
      </c>
      <c r="C492" s="221">
        <v>75</v>
      </c>
      <c r="D492" s="221">
        <v>833.25</v>
      </c>
      <c r="E492" s="221">
        <v>63.63</v>
      </c>
      <c r="F492" s="221"/>
      <c r="G492" s="222" t="s">
        <v>2191</v>
      </c>
    </row>
    <row r="493" spans="1:7">
      <c r="A493" s="220" t="s">
        <v>2680</v>
      </c>
      <c r="B493" s="221">
        <v>1775</v>
      </c>
      <c r="C493" s="221">
        <v>75</v>
      </c>
      <c r="D493" s="221">
        <v>1338.25</v>
      </c>
      <c r="E493" s="221">
        <v>63.63</v>
      </c>
      <c r="F493" s="221"/>
      <c r="G493" s="222" t="s">
        <v>2191</v>
      </c>
    </row>
    <row r="494" spans="1:7">
      <c r="A494" s="220" t="s">
        <v>2681</v>
      </c>
      <c r="B494" s="221">
        <v>1250</v>
      </c>
      <c r="C494" s="221">
        <v>75</v>
      </c>
      <c r="D494" s="221">
        <v>833.25</v>
      </c>
      <c r="E494" s="221">
        <v>63.63</v>
      </c>
      <c r="F494" s="221"/>
      <c r="G494" s="222" t="s">
        <v>2191</v>
      </c>
    </row>
    <row r="495" spans="1:7">
      <c r="A495" s="220" t="s">
        <v>2682</v>
      </c>
      <c r="B495" s="221">
        <v>1775</v>
      </c>
      <c r="C495" s="221">
        <v>75</v>
      </c>
      <c r="D495" s="221">
        <v>1338.25</v>
      </c>
      <c r="E495" s="221">
        <v>63.63</v>
      </c>
      <c r="F495" s="221"/>
      <c r="G495" s="222" t="s">
        <v>2191</v>
      </c>
    </row>
    <row r="496" spans="1:7">
      <c r="A496" s="220" t="s">
        <v>2683</v>
      </c>
      <c r="B496" s="221">
        <v>1250</v>
      </c>
      <c r="C496" s="221">
        <v>105</v>
      </c>
      <c r="D496" s="221">
        <v>833.25</v>
      </c>
      <c r="E496" s="221">
        <v>90.9</v>
      </c>
      <c r="F496" s="221"/>
      <c r="G496" s="222" t="s">
        <v>2191</v>
      </c>
    </row>
    <row r="497" spans="1:7">
      <c r="A497" s="220" t="s">
        <v>2684</v>
      </c>
      <c r="B497" s="221">
        <v>1775</v>
      </c>
      <c r="C497" s="221">
        <v>105</v>
      </c>
      <c r="D497" s="221">
        <v>1338.25</v>
      </c>
      <c r="E497" s="221">
        <v>90.9</v>
      </c>
      <c r="F497" s="221"/>
      <c r="G497" s="222" t="s">
        <v>2191</v>
      </c>
    </row>
    <row r="498" spans="1:7">
      <c r="A498" s="220" t="s">
        <v>2685</v>
      </c>
      <c r="B498" s="221">
        <v>1250</v>
      </c>
      <c r="C498" s="221">
        <v>105</v>
      </c>
      <c r="D498" s="221">
        <v>833.25</v>
      </c>
      <c r="E498" s="221">
        <v>90.9</v>
      </c>
      <c r="F498" s="221"/>
      <c r="G498" s="222" t="s">
        <v>2191</v>
      </c>
    </row>
    <row r="499" spans="1:7">
      <c r="A499" s="220" t="s">
        <v>2686</v>
      </c>
      <c r="B499" s="221">
        <v>1775</v>
      </c>
      <c r="C499" s="221">
        <v>105</v>
      </c>
      <c r="D499" s="221">
        <v>1338.25</v>
      </c>
      <c r="E499" s="221">
        <v>90.9</v>
      </c>
      <c r="F499" s="221"/>
      <c r="G499" s="222" t="s">
        <v>2191</v>
      </c>
    </row>
    <row r="500" spans="1:7">
      <c r="A500" s="220" t="s">
        <v>2687</v>
      </c>
      <c r="B500" s="221">
        <v>1250</v>
      </c>
      <c r="C500" s="221">
        <v>105</v>
      </c>
      <c r="D500" s="221">
        <v>833.25</v>
      </c>
      <c r="E500" s="221">
        <v>90.9</v>
      </c>
      <c r="F500" s="221"/>
      <c r="G500" s="222" t="s">
        <v>2191</v>
      </c>
    </row>
    <row r="501" spans="1:7">
      <c r="A501" s="220" t="s">
        <v>2688</v>
      </c>
      <c r="B501" s="221">
        <v>1775</v>
      </c>
      <c r="C501" s="221">
        <v>105</v>
      </c>
      <c r="D501" s="221">
        <v>1338.25</v>
      </c>
      <c r="E501" s="221">
        <v>90.9</v>
      </c>
      <c r="F501" s="221"/>
      <c r="G501" s="222" t="s">
        <v>2191</v>
      </c>
    </row>
    <row r="502" spans="1:7">
      <c r="A502" s="220" t="s">
        <v>2689</v>
      </c>
      <c r="B502" s="221">
        <v>1250</v>
      </c>
      <c r="C502" s="221">
        <v>130</v>
      </c>
      <c r="D502" s="221">
        <v>833.25</v>
      </c>
      <c r="E502" s="221">
        <v>113.625</v>
      </c>
      <c r="F502" s="221"/>
      <c r="G502" s="222" t="s">
        <v>2191</v>
      </c>
    </row>
    <row r="503" spans="1:7">
      <c r="A503" s="220" t="s">
        <v>2690</v>
      </c>
      <c r="B503" s="221">
        <v>1775</v>
      </c>
      <c r="C503" s="221">
        <v>130</v>
      </c>
      <c r="D503" s="221">
        <v>1338.25</v>
      </c>
      <c r="E503" s="221">
        <v>113.625</v>
      </c>
      <c r="F503" s="221"/>
      <c r="G503" s="222" t="s">
        <v>2191</v>
      </c>
    </row>
    <row r="504" spans="1:7">
      <c r="A504" s="220" t="s">
        <v>2691</v>
      </c>
      <c r="B504" s="221">
        <v>1250</v>
      </c>
      <c r="C504" s="221">
        <v>130</v>
      </c>
      <c r="D504" s="221">
        <v>833.25</v>
      </c>
      <c r="E504" s="221">
        <v>113.625</v>
      </c>
      <c r="F504" s="221"/>
      <c r="G504" s="222" t="s">
        <v>2191</v>
      </c>
    </row>
    <row r="505" spans="1:7">
      <c r="A505" s="220" t="s">
        <v>2692</v>
      </c>
      <c r="B505" s="221">
        <v>1775</v>
      </c>
      <c r="C505" s="221">
        <v>130</v>
      </c>
      <c r="D505" s="221">
        <v>1338.25</v>
      </c>
      <c r="E505" s="221">
        <v>113.625</v>
      </c>
      <c r="F505" s="221"/>
      <c r="G505" s="222" t="s">
        <v>2191</v>
      </c>
    </row>
    <row r="506" spans="1:7">
      <c r="A506" s="220" t="s">
        <v>2693</v>
      </c>
      <c r="B506" s="221">
        <v>1250</v>
      </c>
      <c r="C506" s="221">
        <v>130</v>
      </c>
      <c r="D506" s="221">
        <v>833.25</v>
      </c>
      <c r="E506" s="221">
        <v>113.625</v>
      </c>
      <c r="F506" s="221"/>
      <c r="G506" s="222" t="s">
        <v>2191</v>
      </c>
    </row>
    <row r="507" spans="1:7">
      <c r="A507" s="220" t="s">
        <v>2694</v>
      </c>
      <c r="B507" s="221">
        <v>1775</v>
      </c>
      <c r="C507" s="221">
        <v>130</v>
      </c>
      <c r="D507" s="221">
        <v>1338.25</v>
      </c>
      <c r="E507" s="221">
        <v>113.625</v>
      </c>
      <c r="F507" s="221"/>
      <c r="G507" s="222" t="s">
        <v>2191</v>
      </c>
    </row>
    <row r="508" spans="1:7">
      <c r="A508" s="220" t="s">
        <v>2695</v>
      </c>
      <c r="B508" s="221">
        <v>1250</v>
      </c>
      <c r="C508" s="221">
        <v>155</v>
      </c>
      <c r="D508" s="221">
        <v>833.25</v>
      </c>
      <c r="E508" s="221">
        <v>136.35</v>
      </c>
      <c r="F508" s="221"/>
      <c r="G508" s="222" t="s">
        <v>2191</v>
      </c>
    </row>
    <row r="509" spans="1:7">
      <c r="A509" s="220" t="s">
        <v>2696</v>
      </c>
      <c r="B509" s="221">
        <v>1775</v>
      </c>
      <c r="C509" s="221">
        <v>155</v>
      </c>
      <c r="D509" s="221">
        <v>1338.25</v>
      </c>
      <c r="E509" s="221">
        <v>136.35</v>
      </c>
      <c r="F509" s="221"/>
      <c r="G509" s="222" t="s">
        <v>2191</v>
      </c>
    </row>
    <row r="510" spans="1:7">
      <c r="A510" s="220" t="s">
        <v>2697</v>
      </c>
      <c r="B510" s="221">
        <v>1250</v>
      </c>
      <c r="C510" s="221">
        <v>155</v>
      </c>
      <c r="D510" s="221">
        <v>833.25</v>
      </c>
      <c r="E510" s="221">
        <v>136.35</v>
      </c>
      <c r="F510" s="221"/>
      <c r="G510" s="222" t="s">
        <v>2191</v>
      </c>
    </row>
    <row r="511" spans="1:7">
      <c r="A511" s="220" t="s">
        <v>2698</v>
      </c>
      <c r="B511" s="221">
        <v>1775</v>
      </c>
      <c r="C511" s="221">
        <v>155</v>
      </c>
      <c r="D511" s="221">
        <v>1338.25</v>
      </c>
      <c r="E511" s="221">
        <v>136.35</v>
      </c>
      <c r="F511" s="221"/>
      <c r="G511" s="222" t="s">
        <v>2191</v>
      </c>
    </row>
    <row r="512" spans="1:7">
      <c r="A512" s="220" t="s">
        <v>2699</v>
      </c>
      <c r="B512" s="221">
        <v>1250</v>
      </c>
      <c r="C512" s="221">
        <v>155</v>
      </c>
      <c r="D512" s="221">
        <v>833.25</v>
      </c>
      <c r="E512" s="221">
        <v>136.35</v>
      </c>
      <c r="F512" s="221"/>
      <c r="G512" s="222" t="s">
        <v>2191</v>
      </c>
    </row>
    <row r="513" spans="1:7">
      <c r="A513" s="220" t="s">
        <v>2700</v>
      </c>
      <c r="B513" s="221">
        <v>1775</v>
      </c>
      <c r="C513" s="221">
        <v>155</v>
      </c>
      <c r="D513" s="221">
        <v>1338.25</v>
      </c>
      <c r="E513" s="221">
        <v>136.35</v>
      </c>
      <c r="F513" s="221"/>
      <c r="G513" s="222" t="s">
        <v>2191</v>
      </c>
    </row>
    <row r="514" spans="1:7">
      <c r="A514" s="225" t="s">
        <v>2701</v>
      </c>
      <c r="B514" s="224"/>
      <c r="C514" s="221">
        <v>225</v>
      </c>
      <c r="D514" s="224"/>
      <c r="E514" s="221">
        <v>181.8</v>
      </c>
      <c r="F514" s="221"/>
      <c r="G514" s="222" t="s">
        <v>2191</v>
      </c>
    </row>
    <row r="515" spans="1:7">
      <c r="A515" s="225" t="s">
        <v>2702</v>
      </c>
      <c r="B515" s="224"/>
      <c r="C515" s="221">
        <v>275</v>
      </c>
      <c r="D515" s="224"/>
      <c r="E515" s="221">
        <v>227.25</v>
      </c>
      <c r="F515" s="221"/>
      <c r="G515" s="222" t="s">
        <v>2191</v>
      </c>
    </row>
    <row r="516" spans="1:7">
      <c r="A516" s="225" t="s">
        <v>2703</v>
      </c>
      <c r="B516" s="224"/>
      <c r="C516" s="221">
        <v>400</v>
      </c>
      <c r="D516" s="224"/>
      <c r="E516" s="221">
        <v>336.33</v>
      </c>
      <c r="F516" s="221"/>
      <c r="G516" s="222" t="s">
        <v>2191</v>
      </c>
    </row>
    <row r="517" spans="1:7">
      <c r="A517" s="225" t="s">
        <v>2704</v>
      </c>
      <c r="B517" s="224"/>
      <c r="C517" s="221">
        <v>450</v>
      </c>
      <c r="D517" s="224"/>
      <c r="E517" s="221">
        <v>340.875</v>
      </c>
      <c r="F517" s="221"/>
      <c r="G517" s="222" t="s">
        <v>2191</v>
      </c>
    </row>
    <row r="518" spans="1:7">
      <c r="A518" s="225" t="s">
        <v>2705</v>
      </c>
      <c r="B518" s="224"/>
      <c r="C518" s="221">
        <v>550</v>
      </c>
      <c r="D518" s="224"/>
      <c r="E518" s="221">
        <v>431.77499999999998</v>
      </c>
      <c r="F518" s="221"/>
      <c r="G518" s="222" t="s">
        <v>2191</v>
      </c>
    </row>
    <row r="519" spans="1:7">
      <c r="A519" s="225" t="s">
        <v>2706</v>
      </c>
      <c r="B519" s="224"/>
      <c r="C519" s="221">
        <v>800</v>
      </c>
      <c r="D519" s="224"/>
      <c r="E519" s="221">
        <v>590.85</v>
      </c>
      <c r="F519" s="221"/>
      <c r="G519" s="222" t="s">
        <v>2191</v>
      </c>
    </row>
    <row r="520" spans="1:7">
      <c r="A520" s="225" t="s">
        <v>2707</v>
      </c>
      <c r="B520" s="224"/>
      <c r="C520" s="221">
        <v>450</v>
      </c>
      <c r="D520" s="224"/>
      <c r="E520" s="221">
        <v>363.6</v>
      </c>
      <c r="F520" s="221"/>
      <c r="G520" s="222" t="s">
        <v>2191</v>
      </c>
    </row>
    <row r="521" spans="1:7">
      <c r="A521" s="225" t="s">
        <v>2708</v>
      </c>
      <c r="B521" s="224"/>
      <c r="C521" s="221">
        <v>550</v>
      </c>
      <c r="D521" s="224"/>
      <c r="E521" s="221">
        <v>454.5</v>
      </c>
      <c r="F521" s="221"/>
      <c r="G521" s="222" t="s">
        <v>2191</v>
      </c>
    </row>
    <row r="522" spans="1:7">
      <c r="A522" s="225" t="s">
        <v>2709</v>
      </c>
      <c r="B522" s="224"/>
      <c r="C522" s="221">
        <v>800</v>
      </c>
      <c r="D522" s="224"/>
      <c r="E522" s="221">
        <v>672.66</v>
      </c>
      <c r="F522" s="221"/>
      <c r="G522" s="222" t="s">
        <v>2191</v>
      </c>
    </row>
    <row r="523" spans="1:7">
      <c r="A523" s="225" t="s">
        <v>2710</v>
      </c>
      <c r="B523" s="224"/>
      <c r="C523" s="221">
        <v>900</v>
      </c>
      <c r="D523" s="224"/>
      <c r="E523" s="221">
        <v>681.75</v>
      </c>
      <c r="F523" s="221"/>
      <c r="G523" s="222" t="s">
        <v>2191</v>
      </c>
    </row>
    <row r="524" spans="1:7">
      <c r="A524" s="225" t="s">
        <v>2711</v>
      </c>
      <c r="B524" s="224"/>
      <c r="C524" s="221">
        <v>1100</v>
      </c>
      <c r="D524" s="224"/>
      <c r="E524" s="221">
        <v>863.55</v>
      </c>
      <c r="F524" s="221"/>
      <c r="G524" s="222" t="s">
        <v>2191</v>
      </c>
    </row>
    <row r="525" spans="1:7">
      <c r="A525" s="225" t="s">
        <v>2712</v>
      </c>
      <c r="B525" s="224"/>
      <c r="C525" s="221">
        <v>1600</v>
      </c>
      <c r="D525" s="224"/>
      <c r="E525" s="221">
        <v>1181.7</v>
      </c>
      <c r="F525" s="221"/>
      <c r="G525" s="222" t="s">
        <v>2191</v>
      </c>
    </row>
    <row r="526" spans="1:7">
      <c r="A526" s="225" t="s">
        <v>2713</v>
      </c>
      <c r="B526" s="224"/>
      <c r="C526" s="221">
        <v>1125</v>
      </c>
      <c r="D526" s="224"/>
      <c r="E526" s="221">
        <v>363.6</v>
      </c>
      <c r="F526" s="221"/>
      <c r="G526" s="222" t="s">
        <v>2191</v>
      </c>
    </row>
    <row r="527" spans="1:7">
      <c r="A527" s="225" t="s">
        <v>2714</v>
      </c>
      <c r="B527" s="224"/>
      <c r="C527" s="221">
        <v>1375</v>
      </c>
      <c r="D527" s="224"/>
      <c r="E527" s="221">
        <v>454.5</v>
      </c>
      <c r="F527" s="221"/>
      <c r="G527" s="222" t="s">
        <v>2191</v>
      </c>
    </row>
    <row r="528" spans="1:7">
      <c r="A528" s="225" t="s">
        <v>2715</v>
      </c>
      <c r="B528" s="224"/>
      <c r="C528" s="221">
        <v>2000</v>
      </c>
      <c r="D528" s="224"/>
      <c r="E528" s="221">
        <v>672.66</v>
      </c>
      <c r="F528" s="221"/>
      <c r="G528" s="222" t="s">
        <v>2191</v>
      </c>
    </row>
    <row r="529" spans="1:7">
      <c r="A529" s="225" t="s">
        <v>2716</v>
      </c>
      <c r="B529" s="224"/>
      <c r="C529" s="221">
        <v>2250</v>
      </c>
      <c r="D529" s="224"/>
      <c r="E529" s="221">
        <v>681.75</v>
      </c>
      <c r="F529" s="221"/>
      <c r="G529" s="222" t="s">
        <v>2191</v>
      </c>
    </row>
    <row r="530" spans="1:7">
      <c r="A530" s="225" t="s">
        <v>2717</v>
      </c>
      <c r="B530" s="224"/>
      <c r="C530" s="221">
        <v>2750</v>
      </c>
      <c r="D530" s="224"/>
      <c r="E530" s="221">
        <v>863.55</v>
      </c>
      <c r="F530" s="221"/>
      <c r="G530" s="222" t="s">
        <v>2191</v>
      </c>
    </row>
    <row r="531" spans="1:7">
      <c r="A531" s="225" t="s">
        <v>2718</v>
      </c>
      <c r="B531" s="224"/>
      <c r="C531" s="221">
        <v>4000</v>
      </c>
      <c r="D531" s="224"/>
      <c r="E531" s="221">
        <v>1181.7</v>
      </c>
      <c r="F531" s="221"/>
      <c r="G531" s="222" t="s">
        <v>2191</v>
      </c>
    </row>
    <row r="532" spans="1:7">
      <c r="A532" s="225" t="s">
        <v>2719</v>
      </c>
      <c r="B532" s="224"/>
      <c r="C532" s="221">
        <v>50</v>
      </c>
      <c r="D532" s="224"/>
      <c r="E532" s="221">
        <v>40.905000000000001</v>
      </c>
      <c r="F532" s="221"/>
      <c r="G532" s="222" t="s">
        <v>2191</v>
      </c>
    </row>
    <row r="533" spans="1:7">
      <c r="A533" s="225" t="s">
        <v>2720</v>
      </c>
      <c r="B533" s="224"/>
      <c r="C533" s="221">
        <v>50</v>
      </c>
      <c r="D533" s="224"/>
      <c r="E533" s="221">
        <v>40.905000000000001</v>
      </c>
      <c r="F533" s="221"/>
      <c r="G533" s="222" t="s">
        <v>2191</v>
      </c>
    </row>
    <row r="534" spans="1:7">
      <c r="A534" s="225" t="s">
        <v>2721</v>
      </c>
      <c r="B534" s="224"/>
      <c r="C534" s="221">
        <v>50</v>
      </c>
      <c r="D534" s="224"/>
      <c r="E534" s="221">
        <v>40.905000000000001</v>
      </c>
      <c r="F534" s="221"/>
      <c r="G534" s="222" t="s">
        <v>2191</v>
      </c>
    </row>
    <row r="535" spans="1:7">
      <c r="A535" s="225" t="s">
        <v>2722</v>
      </c>
      <c r="B535" s="224"/>
      <c r="C535" s="221">
        <v>75</v>
      </c>
      <c r="D535" s="224"/>
      <c r="E535" s="221">
        <v>63.63</v>
      </c>
      <c r="F535" s="221"/>
      <c r="G535" s="222" t="s">
        <v>2191</v>
      </c>
    </row>
    <row r="536" spans="1:7">
      <c r="A536" s="225" t="s">
        <v>2723</v>
      </c>
      <c r="B536" s="224"/>
      <c r="C536" s="221">
        <v>75</v>
      </c>
      <c r="D536" s="224"/>
      <c r="E536" s="221">
        <v>63.63</v>
      </c>
      <c r="F536" s="221"/>
      <c r="G536" s="222" t="s">
        <v>2191</v>
      </c>
    </row>
    <row r="537" spans="1:7">
      <c r="A537" s="225" t="s">
        <v>2724</v>
      </c>
      <c r="B537" s="224"/>
      <c r="C537" s="221">
        <v>75</v>
      </c>
      <c r="D537" s="224"/>
      <c r="E537" s="221">
        <v>63.63</v>
      </c>
      <c r="F537" s="221"/>
      <c r="G537" s="222" t="s">
        <v>2191</v>
      </c>
    </row>
    <row r="538" spans="1:7">
      <c r="A538" s="225" t="s">
        <v>2725</v>
      </c>
      <c r="B538" s="224"/>
      <c r="C538" s="221">
        <v>105</v>
      </c>
      <c r="D538" s="224"/>
      <c r="E538" s="221">
        <v>90.9</v>
      </c>
      <c r="F538" s="221"/>
      <c r="G538" s="222" t="s">
        <v>2191</v>
      </c>
    </row>
    <row r="539" spans="1:7">
      <c r="A539" s="225" t="s">
        <v>2726</v>
      </c>
      <c r="B539" s="224"/>
      <c r="C539" s="221">
        <v>105</v>
      </c>
      <c r="D539" s="224"/>
      <c r="E539" s="221">
        <v>90.9</v>
      </c>
      <c r="F539" s="221"/>
      <c r="G539" s="222" t="s">
        <v>2191</v>
      </c>
    </row>
    <row r="540" spans="1:7">
      <c r="A540" s="225" t="s">
        <v>2727</v>
      </c>
      <c r="B540" s="224"/>
      <c r="C540" s="221">
        <v>105</v>
      </c>
      <c r="D540" s="224"/>
      <c r="E540" s="221">
        <v>90.9</v>
      </c>
      <c r="F540" s="221"/>
      <c r="G540" s="222" t="s">
        <v>2191</v>
      </c>
    </row>
    <row r="541" spans="1:7">
      <c r="A541" s="225" t="s">
        <v>2728</v>
      </c>
      <c r="B541" s="224"/>
      <c r="C541" s="221">
        <v>130</v>
      </c>
      <c r="D541" s="224"/>
      <c r="E541" s="221">
        <v>113.625</v>
      </c>
      <c r="F541" s="221"/>
      <c r="G541" s="222" t="s">
        <v>2191</v>
      </c>
    </row>
    <row r="542" spans="1:7">
      <c r="A542" s="225" t="s">
        <v>2729</v>
      </c>
      <c r="B542" s="224"/>
      <c r="C542" s="221">
        <v>130</v>
      </c>
      <c r="D542" s="224"/>
      <c r="E542" s="221">
        <v>113.625</v>
      </c>
      <c r="F542" s="221"/>
      <c r="G542" s="222" t="s">
        <v>2191</v>
      </c>
    </row>
    <row r="543" spans="1:7">
      <c r="A543" s="225" t="s">
        <v>2730</v>
      </c>
      <c r="B543" s="224"/>
      <c r="C543" s="221">
        <v>130</v>
      </c>
      <c r="D543" s="224"/>
      <c r="E543" s="221">
        <v>113.625</v>
      </c>
      <c r="F543" s="221"/>
      <c r="G543" s="222" t="s">
        <v>2191</v>
      </c>
    </row>
    <row r="544" spans="1:7">
      <c r="A544" s="225" t="s">
        <v>2731</v>
      </c>
      <c r="B544" s="224"/>
      <c r="C544" s="221">
        <v>155</v>
      </c>
      <c r="D544" s="224"/>
      <c r="E544" s="221">
        <v>136.35</v>
      </c>
      <c r="F544" s="221"/>
      <c r="G544" s="222" t="s">
        <v>2191</v>
      </c>
    </row>
    <row r="545" spans="1:7">
      <c r="A545" s="225" t="s">
        <v>2732</v>
      </c>
      <c r="B545" s="224"/>
      <c r="C545" s="221">
        <v>155</v>
      </c>
      <c r="D545" s="224"/>
      <c r="E545" s="221">
        <v>136.35</v>
      </c>
      <c r="F545" s="221"/>
      <c r="G545" s="222" t="s">
        <v>2191</v>
      </c>
    </row>
    <row r="546" spans="1:7">
      <c r="A546" s="225" t="s">
        <v>2733</v>
      </c>
      <c r="B546" s="224"/>
      <c r="C546" s="221">
        <v>155</v>
      </c>
      <c r="D546" s="224"/>
      <c r="E546" s="221">
        <v>136.35</v>
      </c>
      <c r="F546" s="221"/>
      <c r="G546" s="222" t="s">
        <v>2191</v>
      </c>
    </row>
    <row r="547" spans="1:7">
      <c r="A547" s="225" t="s">
        <v>2734</v>
      </c>
      <c r="B547" s="224"/>
      <c r="C547" s="221">
        <v>225</v>
      </c>
      <c r="D547" s="224"/>
      <c r="E547" s="221">
        <v>181.8</v>
      </c>
      <c r="F547" s="221"/>
      <c r="G547" s="222" t="s">
        <v>2191</v>
      </c>
    </row>
    <row r="548" spans="1:7">
      <c r="A548" s="225" t="s">
        <v>2735</v>
      </c>
      <c r="B548" s="224"/>
      <c r="C548" s="221">
        <v>275</v>
      </c>
      <c r="D548" s="224"/>
      <c r="E548" s="221">
        <v>227.25</v>
      </c>
      <c r="F548" s="221"/>
      <c r="G548" s="222" t="s">
        <v>2191</v>
      </c>
    </row>
    <row r="549" spans="1:7">
      <c r="A549" s="225" t="s">
        <v>2736</v>
      </c>
      <c r="B549" s="224"/>
      <c r="C549" s="221">
        <v>400</v>
      </c>
      <c r="D549" s="224"/>
      <c r="E549" s="221">
        <v>336.33</v>
      </c>
      <c r="F549" s="221"/>
      <c r="G549" s="222" t="s">
        <v>2191</v>
      </c>
    </row>
    <row r="550" spans="1:7">
      <c r="A550" s="225" t="s">
        <v>2737</v>
      </c>
      <c r="B550" s="224"/>
      <c r="C550" s="221">
        <v>450</v>
      </c>
      <c r="D550" s="224"/>
      <c r="E550" s="221">
        <v>340.875</v>
      </c>
      <c r="F550" s="221"/>
      <c r="G550" s="222" t="s">
        <v>2191</v>
      </c>
    </row>
    <row r="551" spans="1:7">
      <c r="A551" s="225" t="s">
        <v>2738</v>
      </c>
      <c r="B551" s="224"/>
      <c r="C551" s="221">
        <v>550</v>
      </c>
      <c r="D551" s="224"/>
      <c r="E551" s="221">
        <v>431.77499999999998</v>
      </c>
      <c r="F551" s="221"/>
      <c r="G551" s="222" t="s">
        <v>2191</v>
      </c>
    </row>
    <row r="552" spans="1:7">
      <c r="A552" s="225" t="s">
        <v>2739</v>
      </c>
      <c r="B552" s="224"/>
      <c r="C552" s="221">
        <v>800</v>
      </c>
      <c r="D552" s="224"/>
      <c r="E552" s="221">
        <v>590.85</v>
      </c>
      <c r="F552" s="221"/>
      <c r="G552" s="222" t="s">
        <v>2191</v>
      </c>
    </row>
    <row r="553" spans="1:7">
      <c r="A553" s="225" t="s">
        <v>2740</v>
      </c>
      <c r="B553" s="224"/>
      <c r="C553" s="221">
        <v>450</v>
      </c>
      <c r="D553" s="224"/>
      <c r="E553" s="221">
        <v>363.6</v>
      </c>
      <c r="F553" s="221"/>
      <c r="G553" s="222" t="s">
        <v>2191</v>
      </c>
    </row>
    <row r="554" spans="1:7">
      <c r="A554" s="225" t="s">
        <v>2741</v>
      </c>
      <c r="B554" s="224"/>
      <c r="C554" s="221">
        <v>550</v>
      </c>
      <c r="D554" s="224"/>
      <c r="E554" s="221">
        <v>454.5</v>
      </c>
      <c r="F554" s="221"/>
      <c r="G554" s="222" t="s">
        <v>2191</v>
      </c>
    </row>
    <row r="555" spans="1:7">
      <c r="A555" s="225" t="s">
        <v>2742</v>
      </c>
      <c r="B555" s="224"/>
      <c r="C555" s="221">
        <v>800</v>
      </c>
      <c r="D555" s="224"/>
      <c r="E555" s="221">
        <v>672.66</v>
      </c>
      <c r="F555" s="221"/>
      <c r="G555" s="222" t="s">
        <v>2191</v>
      </c>
    </row>
    <row r="556" spans="1:7">
      <c r="A556" s="225" t="s">
        <v>2743</v>
      </c>
      <c r="B556" s="224"/>
      <c r="C556" s="221">
        <v>900</v>
      </c>
      <c r="D556" s="224"/>
      <c r="E556" s="221">
        <v>681.75</v>
      </c>
      <c r="F556" s="221"/>
      <c r="G556" s="222" t="s">
        <v>2191</v>
      </c>
    </row>
    <row r="557" spans="1:7">
      <c r="A557" s="225" t="s">
        <v>2744</v>
      </c>
      <c r="B557" s="224"/>
      <c r="C557" s="221">
        <v>1100</v>
      </c>
      <c r="D557" s="224"/>
      <c r="E557" s="221">
        <v>863.55</v>
      </c>
      <c r="F557" s="221"/>
      <c r="G557" s="222" t="s">
        <v>2191</v>
      </c>
    </row>
    <row r="558" spans="1:7">
      <c r="A558" s="225" t="s">
        <v>2745</v>
      </c>
      <c r="B558" s="224"/>
      <c r="C558" s="221">
        <v>1600</v>
      </c>
      <c r="D558" s="224"/>
      <c r="E558" s="221">
        <v>1181.7</v>
      </c>
      <c r="F558" s="221"/>
      <c r="G558" s="222" t="s">
        <v>2191</v>
      </c>
    </row>
    <row r="559" spans="1:7">
      <c r="A559" s="225" t="s">
        <v>2746</v>
      </c>
      <c r="B559" s="224"/>
      <c r="C559" s="221">
        <v>1125</v>
      </c>
      <c r="D559" s="224"/>
      <c r="E559" s="221">
        <v>363.6</v>
      </c>
      <c r="F559" s="221"/>
      <c r="G559" s="222" t="s">
        <v>2191</v>
      </c>
    </row>
    <row r="560" spans="1:7">
      <c r="A560" s="225" t="s">
        <v>2747</v>
      </c>
      <c r="B560" s="224"/>
      <c r="C560" s="221">
        <v>1375</v>
      </c>
      <c r="D560" s="224"/>
      <c r="E560" s="221">
        <v>454.5</v>
      </c>
      <c r="F560" s="221"/>
      <c r="G560" s="222" t="s">
        <v>2191</v>
      </c>
    </row>
    <row r="561" spans="1:7">
      <c r="A561" s="225" t="s">
        <v>2748</v>
      </c>
      <c r="B561" s="224"/>
      <c r="C561" s="221">
        <v>2000</v>
      </c>
      <c r="D561" s="224"/>
      <c r="E561" s="221">
        <v>672.66</v>
      </c>
      <c r="F561" s="221"/>
      <c r="G561" s="222" t="s">
        <v>2191</v>
      </c>
    </row>
    <row r="562" spans="1:7">
      <c r="A562" s="225" t="s">
        <v>2749</v>
      </c>
      <c r="B562" s="224"/>
      <c r="C562" s="221">
        <v>2250</v>
      </c>
      <c r="D562" s="224"/>
      <c r="E562" s="221">
        <v>681.75</v>
      </c>
      <c r="F562" s="221"/>
      <c r="G562" s="222" t="s">
        <v>2191</v>
      </c>
    </row>
    <row r="563" spans="1:7">
      <c r="A563" s="225" t="s">
        <v>2750</v>
      </c>
      <c r="B563" s="224"/>
      <c r="C563" s="221">
        <v>2750</v>
      </c>
      <c r="D563" s="224"/>
      <c r="E563" s="221">
        <v>863.55</v>
      </c>
      <c r="F563" s="221"/>
      <c r="G563" s="222" t="s">
        <v>2191</v>
      </c>
    </row>
    <row r="564" spans="1:7">
      <c r="A564" s="225" t="s">
        <v>2751</v>
      </c>
      <c r="B564" s="224"/>
      <c r="C564" s="221">
        <v>4000</v>
      </c>
      <c r="D564" s="224"/>
      <c r="E564" s="221">
        <v>1181.7</v>
      </c>
      <c r="F564" s="221"/>
      <c r="G564" s="222" t="s">
        <v>2191</v>
      </c>
    </row>
    <row r="565" spans="1:7">
      <c r="A565" s="225" t="s">
        <v>2752</v>
      </c>
      <c r="B565" s="224"/>
      <c r="C565" s="221">
        <v>50</v>
      </c>
      <c r="D565" s="224"/>
      <c r="E565" s="221">
        <v>40.905000000000001</v>
      </c>
      <c r="F565" s="221"/>
      <c r="G565" s="222" t="s">
        <v>2191</v>
      </c>
    </row>
    <row r="566" spans="1:7">
      <c r="A566" s="225" t="s">
        <v>2753</v>
      </c>
      <c r="B566" s="224"/>
      <c r="C566" s="221">
        <v>50</v>
      </c>
      <c r="D566" s="224"/>
      <c r="E566" s="221">
        <v>40.905000000000001</v>
      </c>
      <c r="F566" s="221"/>
      <c r="G566" s="222" t="s">
        <v>2191</v>
      </c>
    </row>
    <row r="567" spans="1:7">
      <c r="A567" s="225" t="s">
        <v>2754</v>
      </c>
      <c r="B567" s="224"/>
      <c r="C567" s="221">
        <v>50</v>
      </c>
      <c r="D567" s="224"/>
      <c r="E567" s="221">
        <v>40.905000000000001</v>
      </c>
      <c r="F567" s="221"/>
      <c r="G567" s="222" t="s">
        <v>2191</v>
      </c>
    </row>
    <row r="568" spans="1:7">
      <c r="A568" s="225" t="s">
        <v>2755</v>
      </c>
      <c r="B568" s="224"/>
      <c r="C568" s="221">
        <v>75</v>
      </c>
      <c r="D568" s="224"/>
      <c r="E568" s="221">
        <v>63.63</v>
      </c>
      <c r="F568" s="221"/>
      <c r="G568" s="222" t="s">
        <v>2191</v>
      </c>
    </row>
    <row r="569" spans="1:7">
      <c r="A569" s="225" t="s">
        <v>2756</v>
      </c>
      <c r="B569" s="224"/>
      <c r="C569" s="221">
        <v>75</v>
      </c>
      <c r="D569" s="224"/>
      <c r="E569" s="221">
        <v>63.63</v>
      </c>
      <c r="F569" s="221"/>
      <c r="G569" s="222" t="s">
        <v>2191</v>
      </c>
    </row>
    <row r="570" spans="1:7">
      <c r="A570" s="225" t="s">
        <v>2757</v>
      </c>
      <c r="B570" s="224"/>
      <c r="C570" s="221">
        <v>75</v>
      </c>
      <c r="D570" s="224"/>
      <c r="E570" s="221">
        <v>63.63</v>
      </c>
      <c r="F570" s="221"/>
      <c r="G570" s="222" t="s">
        <v>2191</v>
      </c>
    </row>
    <row r="571" spans="1:7">
      <c r="A571" s="225" t="s">
        <v>2758</v>
      </c>
      <c r="B571" s="224"/>
      <c r="C571" s="221">
        <v>105</v>
      </c>
      <c r="D571" s="224"/>
      <c r="E571" s="221">
        <v>90.9</v>
      </c>
      <c r="F571" s="221"/>
      <c r="G571" s="222" t="s">
        <v>2191</v>
      </c>
    </row>
    <row r="572" spans="1:7">
      <c r="A572" s="225" t="s">
        <v>2759</v>
      </c>
      <c r="B572" s="224"/>
      <c r="C572" s="221">
        <v>105</v>
      </c>
      <c r="D572" s="224"/>
      <c r="E572" s="221">
        <v>90.9</v>
      </c>
      <c r="F572" s="221"/>
      <c r="G572" s="222" t="s">
        <v>2191</v>
      </c>
    </row>
    <row r="573" spans="1:7">
      <c r="A573" s="225" t="s">
        <v>2760</v>
      </c>
      <c r="B573" s="224"/>
      <c r="C573" s="221">
        <v>105</v>
      </c>
      <c r="D573" s="224"/>
      <c r="E573" s="221">
        <v>90.9</v>
      </c>
      <c r="F573" s="221"/>
      <c r="G573" s="222" t="s">
        <v>2191</v>
      </c>
    </row>
    <row r="574" spans="1:7">
      <c r="A574" s="225" t="s">
        <v>2761</v>
      </c>
      <c r="B574" s="224"/>
      <c r="C574" s="221">
        <v>130</v>
      </c>
      <c r="D574" s="224"/>
      <c r="E574" s="221">
        <v>113.625</v>
      </c>
      <c r="F574" s="221"/>
      <c r="G574" s="222" t="s">
        <v>2191</v>
      </c>
    </row>
    <row r="575" spans="1:7">
      <c r="A575" s="225" t="s">
        <v>2762</v>
      </c>
      <c r="B575" s="224"/>
      <c r="C575" s="221">
        <v>130</v>
      </c>
      <c r="D575" s="224"/>
      <c r="E575" s="221">
        <v>113.625</v>
      </c>
      <c r="F575" s="221"/>
      <c r="G575" s="222" t="s">
        <v>2191</v>
      </c>
    </row>
    <row r="576" spans="1:7">
      <c r="A576" s="225" t="s">
        <v>2763</v>
      </c>
      <c r="B576" s="224"/>
      <c r="C576" s="221">
        <v>130</v>
      </c>
      <c r="D576" s="224"/>
      <c r="E576" s="221">
        <v>113.625</v>
      </c>
      <c r="F576" s="221"/>
      <c r="G576" s="222" t="s">
        <v>2191</v>
      </c>
    </row>
    <row r="577" spans="1:7">
      <c r="A577" s="225" t="s">
        <v>2764</v>
      </c>
      <c r="B577" s="224"/>
      <c r="C577" s="221">
        <v>155</v>
      </c>
      <c r="D577" s="224"/>
      <c r="E577" s="221">
        <v>136.35</v>
      </c>
      <c r="F577" s="221"/>
      <c r="G577" s="222" t="s">
        <v>2191</v>
      </c>
    </row>
    <row r="578" spans="1:7">
      <c r="A578" s="225" t="s">
        <v>2765</v>
      </c>
      <c r="B578" s="224"/>
      <c r="C578" s="221">
        <v>155</v>
      </c>
      <c r="D578" s="224"/>
      <c r="E578" s="221">
        <v>136.35</v>
      </c>
      <c r="F578" s="221"/>
      <c r="G578" s="222" t="s">
        <v>2191</v>
      </c>
    </row>
    <row r="579" spans="1:7">
      <c r="A579" s="225" t="s">
        <v>2766</v>
      </c>
      <c r="B579" s="224"/>
      <c r="C579" s="221">
        <v>155</v>
      </c>
      <c r="D579" s="224"/>
      <c r="E579" s="221">
        <v>136.35</v>
      </c>
      <c r="F579" s="221"/>
      <c r="G579" s="222" t="s">
        <v>2191</v>
      </c>
    </row>
    <row r="580" spans="1:7">
      <c r="A580" s="225" t="s">
        <v>2767</v>
      </c>
      <c r="B580" s="224"/>
      <c r="C580" s="221">
        <v>225</v>
      </c>
      <c r="D580" s="224"/>
      <c r="E580" s="221">
        <v>181.8</v>
      </c>
      <c r="F580" s="221"/>
      <c r="G580" s="222" t="s">
        <v>2191</v>
      </c>
    </row>
    <row r="581" spans="1:7">
      <c r="A581" s="225" t="s">
        <v>2768</v>
      </c>
      <c r="B581" s="224"/>
      <c r="C581" s="221">
        <v>275</v>
      </c>
      <c r="D581" s="224"/>
      <c r="E581" s="221">
        <v>227.25</v>
      </c>
      <c r="F581" s="221"/>
      <c r="G581" s="222" t="s">
        <v>2191</v>
      </c>
    </row>
    <row r="582" spans="1:7">
      <c r="A582" s="225" t="s">
        <v>2769</v>
      </c>
      <c r="B582" s="224"/>
      <c r="C582" s="221">
        <v>400</v>
      </c>
      <c r="D582" s="224"/>
      <c r="E582" s="221">
        <v>336.33</v>
      </c>
      <c r="F582" s="221"/>
      <c r="G582" s="222" t="s">
        <v>2191</v>
      </c>
    </row>
    <row r="583" spans="1:7">
      <c r="A583" s="225" t="s">
        <v>2770</v>
      </c>
      <c r="B583" s="224"/>
      <c r="C583" s="221">
        <v>450</v>
      </c>
      <c r="D583" s="224"/>
      <c r="E583" s="221">
        <v>340.875</v>
      </c>
      <c r="F583" s="221"/>
      <c r="G583" s="222" t="s">
        <v>2191</v>
      </c>
    </row>
    <row r="584" spans="1:7">
      <c r="A584" s="225" t="s">
        <v>2771</v>
      </c>
      <c r="B584" s="224"/>
      <c r="C584" s="221">
        <v>550</v>
      </c>
      <c r="D584" s="224"/>
      <c r="E584" s="221">
        <v>431.77499999999998</v>
      </c>
      <c r="F584" s="221"/>
      <c r="G584" s="222" t="s">
        <v>2191</v>
      </c>
    </row>
    <row r="585" spans="1:7">
      <c r="A585" s="225" t="s">
        <v>2772</v>
      </c>
      <c r="B585" s="224"/>
      <c r="C585" s="221">
        <v>800</v>
      </c>
      <c r="D585" s="224"/>
      <c r="E585" s="221">
        <v>590.85</v>
      </c>
      <c r="F585" s="221"/>
      <c r="G585" s="222" t="s">
        <v>2191</v>
      </c>
    </row>
    <row r="586" spans="1:7">
      <c r="A586" s="225" t="s">
        <v>2773</v>
      </c>
      <c r="B586" s="224"/>
      <c r="C586" s="221">
        <v>450</v>
      </c>
      <c r="D586" s="224"/>
      <c r="E586" s="221">
        <v>363.6</v>
      </c>
      <c r="F586" s="221"/>
      <c r="G586" s="222" t="s">
        <v>2191</v>
      </c>
    </row>
    <row r="587" spans="1:7">
      <c r="A587" s="225" t="s">
        <v>2774</v>
      </c>
      <c r="B587" s="224"/>
      <c r="C587" s="221">
        <v>550</v>
      </c>
      <c r="D587" s="224"/>
      <c r="E587" s="221">
        <v>454.5</v>
      </c>
      <c r="F587" s="221"/>
      <c r="G587" s="222" t="s">
        <v>2191</v>
      </c>
    </row>
    <row r="588" spans="1:7">
      <c r="A588" s="225" t="s">
        <v>2775</v>
      </c>
      <c r="B588" s="224"/>
      <c r="C588" s="221">
        <v>800</v>
      </c>
      <c r="D588" s="224"/>
      <c r="E588" s="221">
        <v>672.66</v>
      </c>
      <c r="F588" s="221"/>
      <c r="G588" s="222" t="s">
        <v>2191</v>
      </c>
    </row>
    <row r="589" spans="1:7">
      <c r="A589" s="225" t="s">
        <v>2776</v>
      </c>
      <c r="B589" s="224"/>
      <c r="C589" s="221">
        <v>900</v>
      </c>
      <c r="D589" s="224"/>
      <c r="E589" s="221">
        <v>681.75</v>
      </c>
      <c r="F589" s="221"/>
      <c r="G589" s="222" t="s">
        <v>2191</v>
      </c>
    </row>
    <row r="590" spans="1:7">
      <c r="A590" s="225" t="s">
        <v>2777</v>
      </c>
      <c r="B590" s="224"/>
      <c r="C590" s="221">
        <v>1100</v>
      </c>
      <c r="D590" s="224"/>
      <c r="E590" s="221">
        <v>863.55</v>
      </c>
      <c r="F590" s="221"/>
      <c r="G590" s="222" t="s">
        <v>2191</v>
      </c>
    </row>
    <row r="591" spans="1:7">
      <c r="A591" s="225" t="s">
        <v>2778</v>
      </c>
      <c r="B591" s="224"/>
      <c r="C591" s="221">
        <v>1600</v>
      </c>
      <c r="D591" s="224"/>
      <c r="E591" s="221">
        <v>1181.7</v>
      </c>
      <c r="F591" s="221"/>
      <c r="G591" s="222" t="s">
        <v>2191</v>
      </c>
    </row>
    <row r="592" spans="1:7">
      <c r="A592" s="225" t="s">
        <v>2779</v>
      </c>
      <c r="B592" s="224"/>
      <c r="C592" s="221">
        <v>1125</v>
      </c>
      <c r="D592" s="224"/>
      <c r="E592" s="221">
        <v>363.6</v>
      </c>
      <c r="F592" s="221"/>
      <c r="G592" s="222" t="s">
        <v>2191</v>
      </c>
    </row>
    <row r="593" spans="1:7">
      <c r="A593" s="225" t="s">
        <v>2780</v>
      </c>
      <c r="B593" s="224"/>
      <c r="C593" s="221">
        <v>1375</v>
      </c>
      <c r="D593" s="224"/>
      <c r="E593" s="221">
        <v>454.5</v>
      </c>
      <c r="F593" s="221"/>
      <c r="G593" s="222" t="s">
        <v>2191</v>
      </c>
    </row>
    <row r="594" spans="1:7">
      <c r="A594" s="225" t="s">
        <v>2781</v>
      </c>
      <c r="B594" s="224"/>
      <c r="C594" s="221">
        <v>2000</v>
      </c>
      <c r="D594" s="224"/>
      <c r="E594" s="221">
        <v>672.66</v>
      </c>
      <c r="F594" s="221"/>
      <c r="G594" s="222" t="s">
        <v>2191</v>
      </c>
    </row>
    <row r="595" spans="1:7">
      <c r="A595" s="225" t="s">
        <v>2782</v>
      </c>
      <c r="B595" s="224"/>
      <c r="C595" s="221">
        <v>2250</v>
      </c>
      <c r="D595" s="224"/>
      <c r="E595" s="221">
        <v>681.75</v>
      </c>
      <c r="F595" s="221"/>
      <c r="G595" s="222" t="s">
        <v>2191</v>
      </c>
    </row>
    <row r="596" spans="1:7">
      <c r="A596" s="225" t="s">
        <v>2783</v>
      </c>
      <c r="B596" s="224"/>
      <c r="C596" s="221">
        <v>2750</v>
      </c>
      <c r="D596" s="224"/>
      <c r="E596" s="221">
        <v>863.55</v>
      </c>
      <c r="F596" s="221"/>
      <c r="G596" s="222" t="s">
        <v>2191</v>
      </c>
    </row>
    <row r="597" spans="1:7">
      <c r="A597" s="225" t="s">
        <v>2784</v>
      </c>
      <c r="B597" s="224"/>
      <c r="C597" s="221">
        <v>4000</v>
      </c>
      <c r="D597" s="224"/>
      <c r="E597" s="221">
        <v>1181.7</v>
      </c>
      <c r="F597" s="221"/>
      <c r="G597" s="222" t="s">
        <v>2191</v>
      </c>
    </row>
    <row r="598" spans="1:7">
      <c r="A598" s="225" t="s">
        <v>2785</v>
      </c>
      <c r="B598" s="224"/>
      <c r="C598" s="221">
        <v>50</v>
      </c>
      <c r="D598" s="224"/>
      <c r="E598" s="221">
        <v>40.905000000000001</v>
      </c>
      <c r="F598" s="221"/>
      <c r="G598" s="222" t="s">
        <v>2191</v>
      </c>
    </row>
    <row r="599" spans="1:7">
      <c r="A599" s="225" t="s">
        <v>2786</v>
      </c>
      <c r="B599" s="224"/>
      <c r="C599" s="221">
        <v>50</v>
      </c>
      <c r="D599" s="224"/>
      <c r="E599" s="221">
        <v>40.905000000000001</v>
      </c>
      <c r="F599" s="221"/>
      <c r="G599" s="222" t="s">
        <v>2191</v>
      </c>
    </row>
    <row r="600" spans="1:7">
      <c r="A600" s="225" t="s">
        <v>2787</v>
      </c>
      <c r="B600" s="224"/>
      <c r="C600" s="221">
        <v>50</v>
      </c>
      <c r="D600" s="224"/>
      <c r="E600" s="221">
        <v>40.905000000000001</v>
      </c>
      <c r="F600" s="221"/>
      <c r="G600" s="222" t="s">
        <v>2191</v>
      </c>
    </row>
    <row r="601" spans="1:7">
      <c r="A601" s="225" t="s">
        <v>2788</v>
      </c>
      <c r="B601" s="224"/>
      <c r="C601" s="221">
        <v>75</v>
      </c>
      <c r="D601" s="224"/>
      <c r="E601" s="221">
        <v>63.63</v>
      </c>
      <c r="F601" s="221"/>
      <c r="G601" s="222" t="s">
        <v>2191</v>
      </c>
    </row>
    <row r="602" spans="1:7">
      <c r="A602" s="225" t="s">
        <v>2789</v>
      </c>
      <c r="B602" s="224"/>
      <c r="C602" s="221">
        <v>75</v>
      </c>
      <c r="D602" s="224"/>
      <c r="E602" s="221">
        <v>63.63</v>
      </c>
      <c r="F602" s="221"/>
      <c r="G602" s="222" t="s">
        <v>2191</v>
      </c>
    </row>
    <row r="603" spans="1:7">
      <c r="A603" s="225" t="s">
        <v>2790</v>
      </c>
      <c r="B603" s="224"/>
      <c r="C603" s="221">
        <v>75</v>
      </c>
      <c r="D603" s="224"/>
      <c r="E603" s="221">
        <v>63.63</v>
      </c>
      <c r="F603" s="221"/>
      <c r="G603" s="222" t="s">
        <v>2191</v>
      </c>
    </row>
    <row r="604" spans="1:7">
      <c r="A604" s="225" t="s">
        <v>2791</v>
      </c>
      <c r="B604" s="224"/>
      <c r="C604" s="221">
        <v>105</v>
      </c>
      <c r="D604" s="224"/>
      <c r="E604" s="221">
        <v>90.9</v>
      </c>
      <c r="F604" s="221"/>
      <c r="G604" s="222" t="s">
        <v>2191</v>
      </c>
    </row>
    <row r="605" spans="1:7">
      <c r="A605" s="225" t="s">
        <v>2792</v>
      </c>
      <c r="B605" s="224"/>
      <c r="C605" s="221">
        <v>105</v>
      </c>
      <c r="D605" s="224"/>
      <c r="E605" s="221">
        <v>90.9</v>
      </c>
      <c r="F605" s="221"/>
      <c r="G605" s="222" t="s">
        <v>2191</v>
      </c>
    </row>
    <row r="606" spans="1:7">
      <c r="A606" s="225" t="s">
        <v>2793</v>
      </c>
      <c r="B606" s="224"/>
      <c r="C606" s="221">
        <v>105</v>
      </c>
      <c r="D606" s="224"/>
      <c r="E606" s="221">
        <v>90.9</v>
      </c>
      <c r="F606" s="221"/>
      <c r="G606" s="222" t="s">
        <v>2191</v>
      </c>
    </row>
    <row r="607" spans="1:7">
      <c r="A607" s="225" t="s">
        <v>2794</v>
      </c>
      <c r="B607" s="224"/>
      <c r="C607" s="221">
        <v>130</v>
      </c>
      <c r="D607" s="224"/>
      <c r="E607" s="221">
        <v>113.625</v>
      </c>
      <c r="F607" s="221"/>
      <c r="G607" s="222" t="s">
        <v>2191</v>
      </c>
    </row>
    <row r="608" spans="1:7">
      <c r="A608" s="225" t="s">
        <v>2795</v>
      </c>
      <c r="B608" s="224"/>
      <c r="C608" s="221">
        <v>130</v>
      </c>
      <c r="D608" s="224"/>
      <c r="E608" s="221">
        <v>113.625</v>
      </c>
      <c r="F608" s="221"/>
      <c r="G608" s="222" t="s">
        <v>2191</v>
      </c>
    </row>
    <row r="609" spans="1:7">
      <c r="A609" s="225" t="s">
        <v>2796</v>
      </c>
      <c r="B609" s="224"/>
      <c r="C609" s="221">
        <v>130</v>
      </c>
      <c r="D609" s="224"/>
      <c r="E609" s="221">
        <v>113.625</v>
      </c>
      <c r="F609" s="221"/>
      <c r="G609" s="222" t="s">
        <v>2191</v>
      </c>
    </row>
    <row r="610" spans="1:7">
      <c r="A610" s="225" t="s">
        <v>2797</v>
      </c>
      <c r="B610" s="224"/>
      <c r="C610" s="221">
        <v>155</v>
      </c>
      <c r="D610" s="224"/>
      <c r="E610" s="221">
        <v>136.35</v>
      </c>
      <c r="F610" s="221"/>
      <c r="G610" s="222" t="s">
        <v>2191</v>
      </c>
    </row>
    <row r="611" spans="1:7">
      <c r="A611" s="225" t="s">
        <v>2798</v>
      </c>
      <c r="B611" s="224"/>
      <c r="C611" s="221">
        <v>155</v>
      </c>
      <c r="D611" s="224"/>
      <c r="E611" s="221">
        <v>136.35</v>
      </c>
      <c r="F611" s="221"/>
      <c r="G611" s="222" t="s">
        <v>2191</v>
      </c>
    </row>
    <row r="612" spans="1:7">
      <c r="A612" s="225" t="s">
        <v>2799</v>
      </c>
      <c r="B612" s="224"/>
      <c r="C612" s="221">
        <v>155</v>
      </c>
      <c r="D612" s="224"/>
      <c r="E612" s="221">
        <v>136.35</v>
      </c>
      <c r="F612" s="221"/>
      <c r="G612" s="222" t="s">
        <v>2191</v>
      </c>
    </row>
    <row r="613" spans="1:7">
      <c r="A613" s="225" t="s">
        <v>2800</v>
      </c>
      <c r="B613" s="224"/>
      <c r="C613" s="221">
        <v>225</v>
      </c>
      <c r="D613" s="224"/>
      <c r="E613" s="221">
        <v>181.8</v>
      </c>
      <c r="F613" s="221"/>
      <c r="G613" s="222" t="s">
        <v>2191</v>
      </c>
    </row>
    <row r="614" spans="1:7">
      <c r="A614" s="225" t="s">
        <v>2801</v>
      </c>
      <c r="B614" s="224"/>
      <c r="C614" s="221">
        <v>275</v>
      </c>
      <c r="D614" s="224"/>
      <c r="E614" s="221">
        <v>227.25</v>
      </c>
      <c r="F614" s="221"/>
      <c r="G614" s="222" t="s">
        <v>2191</v>
      </c>
    </row>
    <row r="615" spans="1:7">
      <c r="A615" s="225" t="s">
        <v>2802</v>
      </c>
      <c r="B615" s="224"/>
      <c r="C615" s="221">
        <v>400</v>
      </c>
      <c r="D615" s="224"/>
      <c r="E615" s="221">
        <v>336.33</v>
      </c>
      <c r="F615" s="221"/>
      <c r="G615" s="222" t="s">
        <v>2191</v>
      </c>
    </row>
    <row r="616" spans="1:7">
      <c r="A616" s="225" t="s">
        <v>2803</v>
      </c>
      <c r="B616" s="224"/>
      <c r="C616" s="221">
        <v>450</v>
      </c>
      <c r="D616" s="224"/>
      <c r="E616" s="221">
        <v>340.875</v>
      </c>
      <c r="F616" s="221"/>
      <c r="G616" s="222" t="s">
        <v>2191</v>
      </c>
    </row>
    <row r="617" spans="1:7">
      <c r="A617" s="225" t="s">
        <v>2804</v>
      </c>
      <c r="B617" s="224"/>
      <c r="C617" s="221">
        <v>550</v>
      </c>
      <c r="D617" s="224"/>
      <c r="E617" s="221">
        <v>431.77499999999998</v>
      </c>
      <c r="F617" s="221"/>
      <c r="G617" s="222" t="s">
        <v>2191</v>
      </c>
    </row>
    <row r="618" spans="1:7">
      <c r="A618" s="225" t="s">
        <v>2805</v>
      </c>
      <c r="B618" s="224"/>
      <c r="C618" s="221">
        <v>800</v>
      </c>
      <c r="D618" s="224"/>
      <c r="E618" s="221">
        <v>590.85</v>
      </c>
      <c r="F618" s="221"/>
      <c r="G618" s="222" t="s">
        <v>2191</v>
      </c>
    </row>
    <row r="619" spans="1:7">
      <c r="A619" s="225" t="s">
        <v>2806</v>
      </c>
      <c r="B619" s="224"/>
      <c r="C619" s="221">
        <v>450</v>
      </c>
      <c r="D619" s="224"/>
      <c r="E619" s="221">
        <v>363.6</v>
      </c>
      <c r="F619" s="221"/>
      <c r="G619" s="222" t="s">
        <v>2191</v>
      </c>
    </row>
    <row r="620" spans="1:7">
      <c r="A620" s="225" t="s">
        <v>2807</v>
      </c>
      <c r="B620" s="224"/>
      <c r="C620" s="221">
        <v>550</v>
      </c>
      <c r="D620" s="224"/>
      <c r="E620" s="221">
        <v>454.5</v>
      </c>
      <c r="F620" s="221"/>
      <c r="G620" s="222" t="s">
        <v>2191</v>
      </c>
    </row>
    <row r="621" spans="1:7">
      <c r="A621" s="225" t="s">
        <v>2808</v>
      </c>
      <c r="B621" s="224"/>
      <c r="C621" s="221">
        <v>800</v>
      </c>
      <c r="D621" s="224"/>
      <c r="E621" s="221">
        <v>672.66</v>
      </c>
      <c r="F621" s="221"/>
      <c r="G621" s="222" t="s">
        <v>2191</v>
      </c>
    </row>
    <row r="622" spans="1:7">
      <c r="A622" s="225" t="s">
        <v>2809</v>
      </c>
      <c r="B622" s="224"/>
      <c r="C622" s="221">
        <v>900</v>
      </c>
      <c r="D622" s="224"/>
      <c r="E622" s="221">
        <v>681.75</v>
      </c>
      <c r="F622" s="221"/>
      <c r="G622" s="222" t="s">
        <v>2191</v>
      </c>
    </row>
    <row r="623" spans="1:7">
      <c r="A623" s="225" t="s">
        <v>2810</v>
      </c>
      <c r="B623" s="224"/>
      <c r="C623" s="221">
        <v>1100</v>
      </c>
      <c r="D623" s="224"/>
      <c r="E623" s="221">
        <v>863.55</v>
      </c>
      <c r="F623" s="221"/>
      <c r="G623" s="222" t="s">
        <v>2191</v>
      </c>
    </row>
    <row r="624" spans="1:7">
      <c r="A624" s="225" t="s">
        <v>2811</v>
      </c>
      <c r="B624" s="224"/>
      <c r="C624" s="221">
        <v>1600</v>
      </c>
      <c r="D624" s="224"/>
      <c r="E624" s="221">
        <v>1181.7</v>
      </c>
      <c r="F624" s="221"/>
      <c r="G624" s="222" t="s">
        <v>2191</v>
      </c>
    </row>
    <row r="625" spans="1:7">
      <c r="A625" s="225" t="s">
        <v>2812</v>
      </c>
      <c r="B625" s="224"/>
      <c r="C625" s="221">
        <v>1125</v>
      </c>
      <c r="D625" s="224"/>
      <c r="E625" s="221">
        <v>363.6</v>
      </c>
      <c r="F625" s="221"/>
      <c r="G625" s="222" t="s">
        <v>2191</v>
      </c>
    </row>
    <row r="626" spans="1:7">
      <c r="A626" s="225" t="s">
        <v>2813</v>
      </c>
      <c r="B626" s="224"/>
      <c r="C626" s="221">
        <v>1375</v>
      </c>
      <c r="D626" s="224"/>
      <c r="E626" s="221">
        <v>454.5</v>
      </c>
      <c r="F626" s="221"/>
      <c r="G626" s="222" t="s">
        <v>2191</v>
      </c>
    </row>
    <row r="627" spans="1:7">
      <c r="A627" s="225" t="s">
        <v>2814</v>
      </c>
      <c r="B627" s="224"/>
      <c r="C627" s="221">
        <v>2000</v>
      </c>
      <c r="D627" s="224"/>
      <c r="E627" s="221">
        <v>672.66</v>
      </c>
      <c r="F627" s="221"/>
      <c r="G627" s="222" t="s">
        <v>2191</v>
      </c>
    </row>
    <row r="628" spans="1:7">
      <c r="A628" s="225" t="s">
        <v>2815</v>
      </c>
      <c r="B628" s="224"/>
      <c r="C628" s="221">
        <v>2250</v>
      </c>
      <c r="D628" s="224"/>
      <c r="E628" s="221">
        <v>681.75</v>
      </c>
      <c r="F628" s="221"/>
      <c r="G628" s="222" t="s">
        <v>2191</v>
      </c>
    </row>
    <row r="629" spans="1:7">
      <c r="A629" s="225" t="s">
        <v>2816</v>
      </c>
      <c r="B629" s="224"/>
      <c r="C629" s="221">
        <v>2750</v>
      </c>
      <c r="D629" s="224"/>
      <c r="E629" s="221">
        <v>863.55</v>
      </c>
      <c r="F629" s="221"/>
      <c r="G629" s="222" t="s">
        <v>2191</v>
      </c>
    </row>
    <row r="630" spans="1:7">
      <c r="A630" s="225" t="s">
        <v>2817</v>
      </c>
      <c r="B630" s="224"/>
      <c r="C630" s="221">
        <v>4000</v>
      </c>
      <c r="D630" s="224"/>
      <c r="E630" s="221">
        <v>1181.7</v>
      </c>
      <c r="F630" s="221"/>
      <c r="G630" s="222" t="s">
        <v>2191</v>
      </c>
    </row>
    <row r="631" spans="1:7">
      <c r="A631" s="225" t="s">
        <v>2818</v>
      </c>
      <c r="B631" s="224"/>
      <c r="C631" s="221">
        <v>50</v>
      </c>
      <c r="D631" s="224"/>
      <c r="E631" s="221">
        <v>40.905000000000001</v>
      </c>
      <c r="F631" s="221"/>
      <c r="G631" s="222" t="s">
        <v>2191</v>
      </c>
    </row>
    <row r="632" spans="1:7">
      <c r="A632" s="225" t="s">
        <v>2819</v>
      </c>
      <c r="B632" s="224"/>
      <c r="C632" s="221">
        <v>50</v>
      </c>
      <c r="D632" s="224"/>
      <c r="E632" s="221">
        <v>40.905000000000001</v>
      </c>
      <c r="F632" s="221"/>
      <c r="G632" s="222" t="s">
        <v>2191</v>
      </c>
    </row>
    <row r="633" spans="1:7">
      <c r="A633" s="225" t="s">
        <v>2820</v>
      </c>
      <c r="B633" s="224"/>
      <c r="C633" s="221">
        <v>50</v>
      </c>
      <c r="D633" s="224"/>
      <c r="E633" s="221">
        <v>40.905000000000001</v>
      </c>
      <c r="F633" s="221"/>
      <c r="G633" s="222" t="s">
        <v>2191</v>
      </c>
    </row>
    <row r="634" spans="1:7">
      <c r="A634" s="225" t="s">
        <v>2821</v>
      </c>
      <c r="B634" s="224"/>
      <c r="C634" s="221">
        <v>75</v>
      </c>
      <c r="D634" s="224"/>
      <c r="E634" s="221">
        <v>63.63</v>
      </c>
      <c r="F634" s="221"/>
      <c r="G634" s="222" t="s">
        <v>2191</v>
      </c>
    </row>
    <row r="635" spans="1:7">
      <c r="A635" s="225" t="s">
        <v>2822</v>
      </c>
      <c r="B635" s="224"/>
      <c r="C635" s="221">
        <v>75</v>
      </c>
      <c r="D635" s="224"/>
      <c r="E635" s="221">
        <v>63.63</v>
      </c>
      <c r="F635" s="221"/>
      <c r="G635" s="222" t="s">
        <v>2191</v>
      </c>
    </row>
    <row r="636" spans="1:7">
      <c r="A636" s="225" t="s">
        <v>2823</v>
      </c>
      <c r="B636" s="224"/>
      <c r="C636" s="221">
        <v>75</v>
      </c>
      <c r="D636" s="224"/>
      <c r="E636" s="221">
        <v>63.63</v>
      </c>
      <c r="F636" s="221"/>
      <c r="G636" s="222" t="s">
        <v>2191</v>
      </c>
    </row>
    <row r="637" spans="1:7">
      <c r="A637" s="225" t="s">
        <v>2824</v>
      </c>
      <c r="B637" s="224"/>
      <c r="C637" s="221">
        <v>105</v>
      </c>
      <c r="D637" s="224"/>
      <c r="E637" s="221">
        <v>90.9</v>
      </c>
      <c r="F637" s="221"/>
      <c r="G637" s="222" t="s">
        <v>2191</v>
      </c>
    </row>
    <row r="638" spans="1:7">
      <c r="A638" s="225" t="s">
        <v>2825</v>
      </c>
      <c r="B638" s="224"/>
      <c r="C638" s="221">
        <v>105</v>
      </c>
      <c r="D638" s="224"/>
      <c r="E638" s="221">
        <v>90.9</v>
      </c>
      <c r="F638" s="221"/>
      <c r="G638" s="222" t="s">
        <v>2191</v>
      </c>
    </row>
    <row r="639" spans="1:7">
      <c r="A639" s="225" t="s">
        <v>2826</v>
      </c>
      <c r="B639" s="224"/>
      <c r="C639" s="221">
        <v>105</v>
      </c>
      <c r="D639" s="224"/>
      <c r="E639" s="221">
        <v>90.9</v>
      </c>
      <c r="F639" s="221"/>
      <c r="G639" s="222" t="s">
        <v>2191</v>
      </c>
    </row>
    <row r="640" spans="1:7">
      <c r="A640" s="225" t="s">
        <v>2827</v>
      </c>
      <c r="B640" s="224"/>
      <c r="C640" s="221">
        <v>130</v>
      </c>
      <c r="D640" s="224"/>
      <c r="E640" s="221">
        <v>113.625</v>
      </c>
      <c r="F640" s="221"/>
      <c r="G640" s="222" t="s">
        <v>2191</v>
      </c>
    </row>
    <row r="641" spans="1:7">
      <c r="A641" s="225" t="s">
        <v>2828</v>
      </c>
      <c r="B641" s="224"/>
      <c r="C641" s="221">
        <v>130</v>
      </c>
      <c r="D641" s="224"/>
      <c r="E641" s="221">
        <v>113.625</v>
      </c>
      <c r="F641" s="221"/>
      <c r="G641" s="222" t="s">
        <v>2191</v>
      </c>
    </row>
    <row r="642" spans="1:7">
      <c r="A642" s="225" t="s">
        <v>2829</v>
      </c>
      <c r="B642" s="224"/>
      <c r="C642" s="221">
        <v>130</v>
      </c>
      <c r="D642" s="224"/>
      <c r="E642" s="221">
        <v>113.625</v>
      </c>
      <c r="F642" s="221"/>
      <c r="G642" s="222" t="s">
        <v>2191</v>
      </c>
    </row>
    <row r="643" spans="1:7">
      <c r="A643" s="225" t="s">
        <v>2830</v>
      </c>
      <c r="B643" s="224"/>
      <c r="C643" s="221">
        <v>155</v>
      </c>
      <c r="D643" s="224"/>
      <c r="E643" s="221">
        <v>136.35</v>
      </c>
      <c r="F643" s="221"/>
      <c r="G643" s="222" t="s">
        <v>2191</v>
      </c>
    </row>
    <row r="644" spans="1:7">
      <c r="A644" s="225" t="s">
        <v>2831</v>
      </c>
      <c r="B644" s="224"/>
      <c r="C644" s="221">
        <v>155</v>
      </c>
      <c r="D644" s="224"/>
      <c r="E644" s="221">
        <v>136.35</v>
      </c>
      <c r="F644" s="221"/>
      <c r="G644" s="222" t="s">
        <v>2191</v>
      </c>
    </row>
    <row r="645" spans="1:7">
      <c r="A645" s="225" t="s">
        <v>2832</v>
      </c>
      <c r="B645" s="224"/>
      <c r="C645" s="221">
        <v>155</v>
      </c>
      <c r="D645" s="224"/>
      <c r="E645" s="221">
        <v>136.35</v>
      </c>
      <c r="F645" s="221"/>
      <c r="G645" s="222" t="s">
        <v>2191</v>
      </c>
    </row>
    <row r="646" spans="1:7">
      <c r="A646" s="225" t="s">
        <v>2833</v>
      </c>
      <c r="B646" s="224"/>
      <c r="C646" s="221">
        <v>225</v>
      </c>
      <c r="D646" s="224"/>
      <c r="E646" s="221">
        <v>181.8</v>
      </c>
      <c r="F646" s="221"/>
      <c r="G646" s="222" t="s">
        <v>2191</v>
      </c>
    </row>
    <row r="647" spans="1:7">
      <c r="A647" s="225" t="s">
        <v>2834</v>
      </c>
      <c r="B647" s="224"/>
      <c r="C647" s="221">
        <v>275</v>
      </c>
      <c r="D647" s="224"/>
      <c r="E647" s="221">
        <v>227.25</v>
      </c>
      <c r="F647" s="221"/>
      <c r="G647" s="222" t="s">
        <v>2191</v>
      </c>
    </row>
    <row r="648" spans="1:7">
      <c r="A648" s="225" t="s">
        <v>2835</v>
      </c>
      <c r="B648" s="224"/>
      <c r="C648" s="221">
        <v>400</v>
      </c>
      <c r="D648" s="224"/>
      <c r="E648" s="221">
        <v>336.33</v>
      </c>
      <c r="F648" s="221"/>
      <c r="G648" s="222" t="s">
        <v>2191</v>
      </c>
    </row>
    <row r="649" spans="1:7">
      <c r="A649" s="225" t="s">
        <v>2836</v>
      </c>
      <c r="B649" s="224"/>
      <c r="C649" s="221">
        <v>450</v>
      </c>
      <c r="D649" s="224"/>
      <c r="E649" s="221">
        <v>340.875</v>
      </c>
      <c r="F649" s="221"/>
      <c r="G649" s="222" t="s">
        <v>2191</v>
      </c>
    </row>
    <row r="650" spans="1:7">
      <c r="A650" s="225" t="s">
        <v>2837</v>
      </c>
      <c r="B650" s="224"/>
      <c r="C650" s="221">
        <v>550</v>
      </c>
      <c r="D650" s="224"/>
      <c r="E650" s="221">
        <v>431.77499999999998</v>
      </c>
      <c r="F650" s="221"/>
      <c r="G650" s="222" t="s">
        <v>2191</v>
      </c>
    </row>
    <row r="651" spans="1:7">
      <c r="A651" s="225" t="s">
        <v>2838</v>
      </c>
      <c r="B651" s="224"/>
      <c r="C651" s="221">
        <v>800</v>
      </c>
      <c r="D651" s="224"/>
      <c r="E651" s="221">
        <v>590.85</v>
      </c>
      <c r="F651" s="221"/>
      <c r="G651" s="222" t="s">
        <v>2191</v>
      </c>
    </row>
    <row r="652" spans="1:7">
      <c r="A652" s="225" t="s">
        <v>2839</v>
      </c>
      <c r="B652" s="224"/>
      <c r="C652" s="221">
        <v>450</v>
      </c>
      <c r="D652" s="224"/>
      <c r="E652" s="221">
        <v>363.6</v>
      </c>
      <c r="F652" s="221"/>
      <c r="G652" s="222" t="s">
        <v>2191</v>
      </c>
    </row>
    <row r="653" spans="1:7">
      <c r="A653" s="225" t="s">
        <v>2840</v>
      </c>
      <c r="B653" s="224"/>
      <c r="C653" s="221">
        <v>550</v>
      </c>
      <c r="D653" s="224"/>
      <c r="E653" s="221">
        <v>454.5</v>
      </c>
      <c r="F653" s="221"/>
      <c r="G653" s="222" t="s">
        <v>2191</v>
      </c>
    </row>
    <row r="654" spans="1:7">
      <c r="A654" s="225" t="s">
        <v>2841</v>
      </c>
      <c r="B654" s="224"/>
      <c r="C654" s="221">
        <v>800</v>
      </c>
      <c r="D654" s="224"/>
      <c r="E654" s="221">
        <v>672.66</v>
      </c>
      <c r="F654" s="221"/>
      <c r="G654" s="222" t="s">
        <v>2191</v>
      </c>
    </row>
    <row r="655" spans="1:7">
      <c r="A655" s="225" t="s">
        <v>2842</v>
      </c>
      <c r="B655" s="224"/>
      <c r="C655" s="221">
        <v>900</v>
      </c>
      <c r="D655" s="224"/>
      <c r="E655" s="221">
        <v>681.75</v>
      </c>
      <c r="F655" s="221"/>
      <c r="G655" s="222" t="s">
        <v>2191</v>
      </c>
    </row>
    <row r="656" spans="1:7">
      <c r="A656" s="225" t="s">
        <v>2843</v>
      </c>
      <c r="B656" s="224"/>
      <c r="C656" s="221">
        <v>1100</v>
      </c>
      <c r="D656" s="224"/>
      <c r="E656" s="221">
        <v>863.55</v>
      </c>
      <c r="F656" s="221"/>
      <c r="G656" s="222" t="s">
        <v>2191</v>
      </c>
    </row>
    <row r="657" spans="1:7">
      <c r="A657" s="225" t="s">
        <v>2844</v>
      </c>
      <c r="B657" s="224"/>
      <c r="C657" s="221">
        <v>1600</v>
      </c>
      <c r="D657" s="224"/>
      <c r="E657" s="221">
        <v>1181.7</v>
      </c>
      <c r="F657" s="221"/>
      <c r="G657" s="222" t="s">
        <v>2191</v>
      </c>
    </row>
    <row r="658" spans="1:7">
      <c r="A658" s="225" t="s">
        <v>2845</v>
      </c>
      <c r="B658" s="224"/>
      <c r="C658" s="221">
        <v>1125</v>
      </c>
      <c r="D658" s="224"/>
      <c r="E658" s="221">
        <v>363.6</v>
      </c>
      <c r="F658" s="221"/>
      <c r="G658" s="222" t="s">
        <v>2191</v>
      </c>
    </row>
    <row r="659" spans="1:7">
      <c r="A659" s="225" t="s">
        <v>2846</v>
      </c>
      <c r="B659" s="224"/>
      <c r="C659" s="221">
        <v>1375</v>
      </c>
      <c r="D659" s="224"/>
      <c r="E659" s="221">
        <v>454.5</v>
      </c>
      <c r="F659" s="221"/>
      <c r="G659" s="222" t="s">
        <v>2191</v>
      </c>
    </row>
    <row r="660" spans="1:7">
      <c r="A660" s="225" t="s">
        <v>2847</v>
      </c>
      <c r="B660" s="224"/>
      <c r="C660" s="221">
        <v>2000</v>
      </c>
      <c r="D660" s="224"/>
      <c r="E660" s="221">
        <v>672.66</v>
      </c>
      <c r="F660" s="221"/>
      <c r="G660" s="222" t="s">
        <v>2191</v>
      </c>
    </row>
    <row r="661" spans="1:7">
      <c r="A661" s="225" t="s">
        <v>2848</v>
      </c>
      <c r="B661" s="224"/>
      <c r="C661" s="221">
        <v>2250</v>
      </c>
      <c r="D661" s="224"/>
      <c r="E661" s="221">
        <v>681.75</v>
      </c>
      <c r="F661" s="221"/>
      <c r="G661" s="222" t="s">
        <v>2191</v>
      </c>
    </row>
    <row r="662" spans="1:7">
      <c r="A662" s="225" t="s">
        <v>2849</v>
      </c>
      <c r="B662" s="224"/>
      <c r="C662" s="221">
        <v>2750</v>
      </c>
      <c r="D662" s="224"/>
      <c r="E662" s="221">
        <v>863.55</v>
      </c>
      <c r="F662" s="221"/>
      <c r="G662" s="222" t="s">
        <v>2191</v>
      </c>
    </row>
    <row r="663" spans="1:7">
      <c r="A663" s="225" t="s">
        <v>2850</v>
      </c>
      <c r="B663" s="224"/>
      <c r="C663" s="221">
        <v>4000</v>
      </c>
      <c r="D663" s="224"/>
      <c r="E663" s="221">
        <v>1181.7</v>
      </c>
      <c r="F663" s="221"/>
      <c r="G663" s="222" t="s">
        <v>2191</v>
      </c>
    </row>
    <row r="664" spans="1:7">
      <c r="A664" s="225" t="s">
        <v>2851</v>
      </c>
      <c r="B664" s="224"/>
      <c r="C664" s="221">
        <v>50</v>
      </c>
      <c r="D664" s="224"/>
      <c r="E664" s="221">
        <v>40.905000000000001</v>
      </c>
      <c r="F664" s="221"/>
      <c r="G664" s="222" t="s">
        <v>2191</v>
      </c>
    </row>
    <row r="665" spans="1:7">
      <c r="A665" s="225" t="s">
        <v>2852</v>
      </c>
      <c r="B665" s="224"/>
      <c r="C665" s="221">
        <v>50</v>
      </c>
      <c r="D665" s="224"/>
      <c r="E665" s="221">
        <v>40.905000000000001</v>
      </c>
      <c r="F665" s="221"/>
      <c r="G665" s="222" t="s">
        <v>2191</v>
      </c>
    </row>
    <row r="666" spans="1:7">
      <c r="A666" s="225" t="s">
        <v>2853</v>
      </c>
      <c r="B666" s="224"/>
      <c r="C666" s="221">
        <v>50</v>
      </c>
      <c r="D666" s="224"/>
      <c r="E666" s="221">
        <v>40.905000000000001</v>
      </c>
      <c r="F666" s="221"/>
      <c r="G666" s="222" t="s">
        <v>2191</v>
      </c>
    </row>
    <row r="667" spans="1:7">
      <c r="A667" s="225" t="s">
        <v>2854</v>
      </c>
      <c r="B667" s="224"/>
      <c r="C667" s="221">
        <v>75</v>
      </c>
      <c r="D667" s="224"/>
      <c r="E667" s="221">
        <v>63.63</v>
      </c>
      <c r="F667" s="221"/>
      <c r="G667" s="222" t="s">
        <v>2191</v>
      </c>
    </row>
    <row r="668" spans="1:7">
      <c r="A668" s="225" t="s">
        <v>2855</v>
      </c>
      <c r="B668" s="224"/>
      <c r="C668" s="221">
        <v>75</v>
      </c>
      <c r="D668" s="224"/>
      <c r="E668" s="221">
        <v>63.63</v>
      </c>
      <c r="F668" s="221"/>
      <c r="G668" s="222" t="s">
        <v>2191</v>
      </c>
    </row>
    <row r="669" spans="1:7">
      <c r="A669" s="225" t="s">
        <v>2856</v>
      </c>
      <c r="B669" s="224"/>
      <c r="C669" s="221">
        <v>75</v>
      </c>
      <c r="D669" s="224"/>
      <c r="E669" s="221">
        <v>63.63</v>
      </c>
      <c r="F669" s="221"/>
      <c r="G669" s="222" t="s">
        <v>2191</v>
      </c>
    </row>
    <row r="670" spans="1:7">
      <c r="A670" s="225" t="s">
        <v>2857</v>
      </c>
      <c r="B670" s="224"/>
      <c r="C670" s="221">
        <v>105</v>
      </c>
      <c r="D670" s="224"/>
      <c r="E670" s="221">
        <v>90.9</v>
      </c>
      <c r="F670" s="221"/>
      <c r="G670" s="222" t="s">
        <v>2191</v>
      </c>
    </row>
    <row r="671" spans="1:7">
      <c r="A671" s="225" t="s">
        <v>2858</v>
      </c>
      <c r="B671" s="224"/>
      <c r="C671" s="221">
        <v>105</v>
      </c>
      <c r="D671" s="224"/>
      <c r="E671" s="221">
        <v>90.9</v>
      </c>
      <c r="F671" s="221"/>
      <c r="G671" s="222" t="s">
        <v>2191</v>
      </c>
    </row>
    <row r="672" spans="1:7">
      <c r="A672" s="225" t="s">
        <v>2859</v>
      </c>
      <c r="B672" s="224"/>
      <c r="C672" s="221">
        <v>105</v>
      </c>
      <c r="D672" s="224"/>
      <c r="E672" s="221">
        <v>90.9</v>
      </c>
      <c r="F672" s="221"/>
      <c r="G672" s="222" t="s">
        <v>2191</v>
      </c>
    </row>
    <row r="673" spans="1:7">
      <c r="A673" s="225" t="s">
        <v>2860</v>
      </c>
      <c r="B673" s="224"/>
      <c r="C673" s="221">
        <v>130</v>
      </c>
      <c r="D673" s="224"/>
      <c r="E673" s="221">
        <v>113.625</v>
      </c>
      <c r="F673" s="221"/>
      <c r="G673" s="222" t="s">
        <v>2191</v>
      </c>
    </row>
    <row r="674" spans="1:7">
      <c r="A674" s="225" t="s">
        <v>2861</v>
      </c>
      <c r="B674" s="224"/>
      <c r="C674" s="221">
        <v>130</v>
      </c>
      <c r="D674" s="224"/>
      <c r="E674" s="221">
        <v>113.625</v>
      </c>
      <c r="F674" s="221"/>
      <c r="G674" s="222" t="s">
        <v>2191</v>
      </c>
    </row>
    <row r="675" spans="1:7">
      <c r="A675" s="225" t="s">
        <v>2862</v>
      </c>
      <c r="B675" s="224"/>
      <c r="C675" s="221">
        <v>130</v>
      </c>
      <c r="D675" s="224"/>
      <c r="E675" s="221">
        <v>113.625</v>
      </c>
      <c r="F675" s="221"/>
      <c r="G675" s="222" t="s">
        <v>2191</v>
      </c>
    </row>
    <row r="676" spans="1:7">
      <c r="A676" s="225" t="s">
        <v>2863</v>
      </c>
      <c r="B676" s="224"/>
      <c r="C676" s="221">
        <v>155</v>
      </c>
      <c r="D676" s="224"/>
      <c r="E676" s="221">
        <v>136.35</v>
      </c>
      <c r="F676" s="221"/>
      <c r="G676" s="222" t="s">
        <v>2191</v>
      </c>
    </row>
    <row r="677" spans="1:7">
      <c r="A677" s="225" t="s">
        <v>2864</v>
      </c>
      <c r="B677" s="224"/>
      <c r="C677" s="221">
        <v>155</v>
      </c>
      <c r="D677" s="224"/>
      <c r="E677" s="221">
        <v>136.35</v>
      </c>
      <c r="F677" s="221"/>
      <c r="G677" s="222" t="s">
        <v>2191</v>
      </c>
    </row>
    <row r="678" spans="1:7">
      <c r="A678" s="225" t="s">
        <v>2865</v>
      </c>
      <c r="B678" s="224"/>
      <c r="C678" s="221">
        <v>155</v>
      </c>
      <c r="D678" s="224"/>
      <c r="E678" s="221">
        <v>136.35</v>
      </c>
      <c r="F678" s="221"/>
      <c r="G678" s="222" t="s">
        <v>2191</v>
      </c>
    </row>
    <row r="679" spans="1:7">
      <c r="A679" s="225" t="s">
        <v>2866</v>
      </c>
      <c r="B679" s="221">
        <v>15000</v>
      </c>
      <c r="C679" s="221">
        <v>225</v>
      </c>
      <c r="D679" s="224"/>
      <c r="E679" s="226">
        <v>970.51076257967622</v>
      </c>
      <c r="F679" s="221">
        <v>960.90174512839235</v>
      </c>
      <c r="G679" s="227" t="s">
        <v>269</v>
      </c>
    </row>
    <row r="680" spans="1:7">
      <c r="A680" s="225" t="s">
        <v>2867</v>
      </c>
      <c r="B680" s="221">
        <v>15000</v>
      </c>
      <c r="C680" s="221">
        <v>225</v>
      </c>
      <c r="D680" s="224"/>
      <c r="E680" s="226">
        <v>970.51076257967622</v>
      </c>
      <c r="F680" s="221">
        <v>960.90174512839235</v>
      </c>
      <c r="G680" s="227" t="s">
        <v>269</v>
      </c>
    </row>
    <row r="681" spans="1:7">
      <c r="A681" s="225" t="s">
        <v>2868</v>
      </c>
      <c r="B681" s="224">
        <v>15000</v>
      </c>
      <c r="C681" s="221">
        <v>225</v>
      </c>
      <c r="D681" s="224"/>
      <c r="E681" s="226">
        <v>970.51076257967622</v>
      </c>
      <c r="F681" s="221">
        <v>960.90174512839235</v>
      </c>
      <c r="G681" s="227" t="s">
        <v>269</v>
      </c>
    </row>
    <row r="682" spans="1:7">
      <c r="A682" s="225" t="s">
        <v>2869</v>
      </c>
      <c r="B682" s="224">
        <v>15000</v>
      </c>
      <c r="C682" s="221">
        <v>225</v>
      </c>
      <c r="D682" s="224"/>
      <c r="E682" s="226">
        <v>970.51076257967622</v>
      </c>
      <c r="F682" s="221">
        <v>960.90174512839235</v>
      </c>
      <c r="G682" s="227" t="s">
        <v>269</v>
      </c>
    </row>
    <row r="683" spans="1:7">
      <c r="A683" s="225" t="s">
        <v>2870</v>
      </c>
      <c r="B683" s="224">
        <v>0</v>
      </c>
      <c r="C683" s="221">
        <v>225</v>
      </c>
      <c r="D683" s="224"/>
      <c r="E683" s="226">
        <v>970.51076257967622</v>
      </c>
      <c r="F683" s="221">
        <v>960.90174512839235</v>
      </c>
      <c r="G683" s="227" t="s">
        <v>2871</v>
      </c>
    </row>
    <row r="684" spans="1:7">
      <c r="A684" s="225" t="s">
        <v>2872</v>
      </c>
      <c r="B684" s="221">
        <v>15000</v>
      </c>
      <c r="C684" s="221">
        <v>275</v>
      </c>
      <c r="D684" s="224"/>
      <c r="E684" s="226">
        <v>970.51076257967622</v>
      </c>
      <c r="F684" s="221">
        <v>960.90174512839235</v>
      </c>
      <c r="G684" s="227" t="s">
        <v>269</v>
      </c>
    </row>
    <row r="685" spans="1:7">
      <c r="A685" s="225" t="s">
        <v>2873</v>
      </c>
      <c r="B685" s="221">
        <v>15000</v>
      </c>
      <c r="C685" s="221">
        <v>275</v>
      </c>
      <c r="D685" s="224"/>
      <c r="E685" s="226">
        <v>970.51076257967622</v>
      </c>
      <c r="F685" s="221">
        <v>960.90174512839235</v>
      </c>
      <c r="G685" s="227" t="s">
        <v>269</v>
      </c>
    </row>
    <row r="686" spans="1:7">
      <c r="A686" s="225" t="s">
        <v>2874</v>
      </c>
      <c r="B686" s="224">
        <v>15000</v>
      </c>
      <c r="C686" s="221">
        <v>275</v>
      </c>
      <c r="D686" s="224"/>
      <c r="E686" s="226">
        <v>970.51076257967622</v>
      </c>
      <c r="F686" s="221">
        <v>960.90174512839235</v>
      </c>
      <c r="G686" s="227" t="s">
        <v>269</v>
      </c>
    </row>
    <row r="687" spans="1:7">
      <c r="A687" s="225" t="s">
        <v>2875</v>
      </c>
      <c r="B687" s="224">
        <v>15000</v>
      </c>
      <c r="C687" s="221">
        <v>275</v>
      </c>
      <c r="D687" s="224"/>
      <c r="E687" s="226">
        <v>970.51076257967622</v>
      </c>
      <c r="F687" s="221">
        <v>960.90174512839235</v>
      </c>
      <c r="G687" s="227" t="s">
        <v>269</v>
      </c>
    </row>
    <row r="688" spans="1:7">
      <c r="A688" s="225" t="s">
        <v>2876</v>
      </c>
      <c r="B688" s="224">
        <v>0</v>
      </c>
      <c r="C688" s="221">
        <v>275</v>
      </c>
      <c r="D688" s="224"/>
      <c r="E688" s="226">
        <v>970.51076257967622</v>
      </c>
      <c r="F688" s="221">
        <v>960.90174512839235</v>
      </c>
      <c r="G688" s="227" t="s">
        <v>2871</v>
      </c>
    </row>
    <row r="689" spans="1:7">
      <c r="A689" s="225" t="s">
        <v>2877</v>
      </c>
      <c r="B689" s="221">
        <v>15000</v>
      </c>
      <c r="C689" s="221">
        <v>400</v>
      </c>
      <c r="D689" s="224"/>
      <c r="E689" s="226">
        <v>970.51076257967622</v>
      </c>
      <c r="F689" s="221">
        <v>960.90174512839235</v>
      </c>
      <c r="G689" s="227" t="s">
        <v>269</v>
      </c>
    </row>
    <row r="690" spans="1:7">
      <c r="A690" s="225" t="s">
        <v>2878</v>
      </c>
      <c r="B690" s="221">
        <v>15000</v>
      </c>
      <c r="C690" s="221">
        <v>400</v>
      </c>
      <c r="D690" s="224"/>
      <c r="E690" s="226">
        <v>970.51076257967622</v>
      </c>
      <c r="F690" s="221">
        <v>960.90174512839235</v>
      </c>
      <c r="G690" s="227" t="s">
        <v>269</v>
      </c>
    </row>
    <row r="691" spans="1:7">
      <c r="A691" s="225" t="s">
        <v>2879</v>
      </c>
      <c r="B691" s="224">
        <v>15000</v>
      </c>
      <c r="C691" s="221">
        <v>400</v>
      </c>
      <c r="D691" s="224"/>
      <c r="E691" s="226">
        <v>970.51076257967622</v>
      </c>
      <c r="F691" s="221">
        <v>960.90174512839235</v>
      </c>
      <c r="G691" s="227" t="s">
        <v>269</v>
      </c>
    </row>
    <row r="692" spans="1:7">
      <c r="A692" s="225" t="s">
        <v>2880</v>
      </c>
      <c r="B692" s="224">
        <v>15000</v>
      </c>
      <c r="C692" s="221">
        <v>400</v>
      </c>
      <c r="D692" s="224"/>
      <c r="E692" s="226">
        <v>970.51076257967622</v>
      </c>
      <c r="F692" s="221">
        <v>960.90174512839235</v>
      </c>
      <c r="G692" s="227" t="s">
        <v>269</v>
      </c>
    </row>
    <row r="693" spans="1:7">
      <c r="A693" s="225" t="s">
        <v>2881</v>
      </c>
      <c r="B693" s="224">
        <v>0</v>
      </c>
      <c r="C693" s="221">
        <v>400</v>
      </c>
      <c r="D693" s="224"/>
      <c r="E693" s="226">
        <v>970.51076257967622</v>
      </c>
      <c r="F693" s="221">
        <v>960.90174512839235</v>
      </c>
      <c r="G693" s="227" t="s">
        <v>2871</v>
      </c>
    </row>
    <row r="694" spans="1:7">
      <c r="A694" s="225" t="s">
        <v>2882</v>
      </c>
      <c r="B694" s="221">
        <v>15000</v>
      </c>
      <c r="C694" s="221">
        <v>225</v>
      </c>
      <c r="D694" s="224"/>
      <c r="E694" s="226">
        <v>970.51076257967622</v>
      </c>
      <c r="F694" s="221">
        <v>960.90174512839235</v>
      </c>
      <c r="G694" s="227" t="s">
        <v>269</v>
      </c>
    </row>
    <row r="695" spans="1:7">
      <c r="A695" s="225" t="s">
        <v>2883</v>
      </c>
      <c r="B695" s="221">
        <v>15000</v>
      </c>
      <c r="C695" s="221">
        <v>225</v>
      </c>
      <c r="D695" s="224"/>
      <c r="E695" s="226">
        <v>970.51076257967622</v>
      </c>
      <c r="F695" s="221">
        <v>960.90174512839235</v>
      </c>
      <c r="G695" s="227" t="s">
        <v>269</v>
      </c>
    </row>
    <row r="696" spans="1:7">
      <c r="A696" s="225" t="s">
        <v>2884</v>
      </c>
      <c r="B696" s="224">
        <v>15000</v>
      </c>
      <c r="C696" s="221">
        <v>225</v>
      </c>
      <c r="D696" s="224"/>
      <c r="E696" s="226">
        <v>970.51076257967622</v>
      </c>
      <c r="F696" s="221">
        <v>960.90174512839235</v>
      </c>
      <c r="G696" s="227" t="s">
        <v>269</v>
      </c>
    </row>
    <row r="697" spans="1:7">
      <c r="A697" s="225" t="s">
        <v>2885</v>
      </c>
      <c r="B697" s="224">
        <v>15000</v>
      </c>
      <c r="C697" s="221">
        <v>225</v>
      </c>
      <c r="D697" s="224"/>
      <c r="E697" s="226">
        <v>970.51076257967622</v>
      </c>
      <c r="F697" s="221">
        <v>960.90174512839235</v>
      </c>
      <c r="G697" s="227" t="s">
        <v>269</v>
      </c>
    </row>
    <row r="698" spans="1:7">
      <c r="A698" s="225" t="s">
        <v>2886</v>
      </c>
      <c r="B698" s="224">
        <v>0</v>
      </c>
      <c r="C698" s="221">
        <v>225</v>
      </c>
      <c r="D698" s="224"/>
      <c r="E698" s="226">
        <v>970.51076257967622</v>
      </c>
      <c r="F698" s="221">
        <v>960.90174512839235</v>
      </c>
      <c r="G698" s="227" t="s">
        <v>2871</v>
      </c>
    </row>
    <row r="699" spans="1:7">
      <c r="A699" s="225" t="s">
        <v>2887</v>
      </c>
      <c r="B699" s="221">
        <v>15000</v>
      </c>
      <c r="C699" s="221">
        <v>275</v>
      </c>
      <c r="D699" s="224"/>
      <c r="E699" s="226">
        <v>970.51076257967622</v>
      </c>
      <c r="F699" s="221">
        <v>960.90174512839235</v>
      </c>
      <c r="G699" s="227" t="s">
        <v>269</v>
      </c>
    </row>
    <row r="700" spans="1:7">
      <c r="A700" s="225" t="s">
        <v>2888</v>
      </c>
      <c r="B700" s="221">
        <v>15000</v>
      </c>
      <c r="C700" s="221">
        <v>275</v>
      </c>
      <c r="D700" s="224"/>
      <c r="E700" s="226">
        <v>970.51076257967622</v>
      </c>
      <c r="F700" s="221">
        <v>960.90174512839235</v>
      </c>
      <c r="G700" s="227" t="s">
        <v>269</v>
      </c>
    </row>
    <row r="701" spans="1:7">
      <c r="A701" s="225" t="s">
        <v>2889</v>
      </c>
      <c r="B701" s="224">
        <v>15000</v>
      </c>
      <c r="C701" s="221">
        <v>275</v>
      </c>
      <c r="D701" s="224"/>
      <c r="E701" s="226">
        <v>970.51076257967622</v>
      </c>
      <c r="F701" s="221">
        <v>960.90174512839235</v>
      </c>
      <c r="G701" s="227" t="s">
        <v>269</v>
      </c>
    </row>
    <row r="702" spans="1:7">
      <c r="A702" s="225" t="s">
        <v>2890</v>
      </c>
      <c r="B702" s="224">
        <v>15000</v>
      </c>
      <c r="C702" s="221">
        <v>275</v>
      </c>
      <c r="D702" s="224"/>
      <c r="E702" s="226">
        <v>970.51076257967622</v>
      </c>
      <c r="F702" s="221">
        <v>960.90174512839235</v>
      </c>
      <c r="G702" s="227" t="s">
        <v>269</v>
      </c>
    </row>
    <row r="703" spans="1:7">
      <c r="A703" s="225" t="s">
        <v>2891</v>
      </c>
      <c r="B703" s="224">
        <v>0</v>
      </c>
      <c r="C703" s="221">
        <v>275</v>
      </c>
      <c r="D703" s="224"/>
      <c r="E703" s="226">
        <v>970.51076257967622</v>
      </c>
      <c r="F703" s="221">
        <v>960.90174512839235</v>
      </c>
      <c r="G703" s="227" t="s">
        <v>2871</v>
      </c>
    </row>
    <row r="704" spans="1:7">
      <c r="A704" s="225" t="s">
        <v>2892</v>
      </c>
      <c r="B704" s="221">
        <v>15000</v>
      </c>
      <c r="C704" s="221">
        <v>400</v>
      </c>
      <c r="D704" s="224"/>
      <c r="E704" s="226">
        <v>970.51076257967622</v>
      </c>
      <c r="F704" s="221">
        <v>960.90174512839235</v>
      </c>
      <c r="G704" s="227" t="s">
        <v>269</v>
      </c>
    </row>
    <row r="705" spans="1:7">
      <c r="A705" s="225" t="s">
        <v>2893</v>
      </c>
      <c r="B705" s="221">
        <v>15000</v>
      </c>
      <c r="C705" s="221">
        <v>400</v>
      </c>
      <c r="D705" s="224"/>
      <c r="E705" s="226">
        <v>970.51076257967622</v>
      </c>
      <c r="F705" s="221">
        <v>960.90174512839235</v>
      </c>
      <c r="G705" s="227" t="s">
        <v>269</v>
      </c>
    </row>
    <row r="706" spans="1:7">
      <c r="A706" s="225" t="s">
        <v>2894</v>
      </c>
      <c r="B706" s="224">
        <v>15000</v>
      </c>
      <c r="C706" s="221">
        <v>400</v>
      </c>
      <c r="D706" s="224"/>
      <c r="E706" s="226">
        <v>970.51076257967622</v>
      </c>
      <c r="F706" s="221">
        <v>960.90174512839235</v>
      </c>
      <c r="G706" s="227" t="s">
        <v>269</v>
      </c>
    </row>
    <row r="707" spans="1:7">
      <c r="A707" s="225" t="s">
        <v>2895</v>
      </c>
      <c r="B707" s="224">
        <v>15000</v>
      </c>
      <c r="C707" s="221">
        <v>400</v>
      </c>
      <c r="D707" s="224"/>
      <c r="E707" s="226">
        <v>970.51076257967622</v>
      </c>
      <c r="F707" s="221">
        <v>960.90174512839235</v>
      </c>
      <c r="G707" s="227" t="s">
        <v>269</v>
      </c>
    </row>
    <row r="708" spans="1:7">
      <c r="A708" s="225" t="s">
        <v>2896</v>
      </c>
      <c r="B708" s="224">
        <v>0</v>
      </c>
      <c r="C708" s="221">
        <v>400</v>
      </c>
      <c r="D708" s="224"/>
      <c r="E708" s="226">
        <v>970.51076257967622</v>
      </c>
      <c r="F708" s="221">
        <v>960.90174512839235</v>
      </c>
      <c r="G708" s="227" t="s">
        <v>2871</v>
      </c>
    </row>
    <row r="709" spans="1:7">
      <c r="A709" s="225" t="s">
        <v>2897</v>
      </c>
      <c r="B709" s="221">
        <v>15000</v>
      </c>
      <c r="C709" s="221">
        <v>225</v>
      </c>
      <c r="D709" s="224"/>
      <c r="E709" s="226">
        <v>970.51076257967622</v>
      </c>
      <c r="F709" s="221">
        <v>960.90174512839235</v>
      </c>
      <c r="G709" s="227" t="s">
        <v>269</v>
      </c>
    </row>
    <row r="710" spans="1:7">
      <c r="A710" s="225" t="s">
        <v>2898</v>
      </c>
      <c r="B710" s="221">
        <v>15000</v>
      </c>
      <c r="C710" s="221">
        <v>225</v>
      </c>
      <c r="D710" s="224"/>
      <c r="E710" s="226">
        <v>970.51076257967622</v>
      </c>
      <c r="F710" s="221">
        <v>960.90174512839235</v>
      </c>
      <c r="G710" s="227" t="s">
        <v>269</v>
      </c>
    </row>
    <row r="711" spans="1:7">
      <c r="A711" s="225" t="s">
        <v>2899</v>
      </c>
      <c r="B711" s="224">
        <v>15000</v>
      </c>
      <c r="C711" s="221">
        <v>225</v>
      </c>
      <c r="D711" s="224"/>
      <c r="E711" s="226">
        <v>970.51076257967622</v>
      </c>
      <c r="F711" s="221">
        <v>960.90174512839235</v>
      </c>
      <c r="G711" s="227" t="s">
        <v>269</v>
      </c>
    </row>
    <row r="712" spans="1:7">
      <c r="A712" s="225" t="s">
        <v>2900</v>
      </c>
      <c r="B712" s="224">
        <v>15000</v>
      </c>
      <c r="C712" s="221">
        <v>225</v>
      </c>
      <c r="D712" s="224"/>
      <c r="E712" s="226">
        <v>970.51076257967622</v>
      </c>
      <c r="F712" s="221">
        <v>960.90174512839235</v>
      </c>
      <c r="G712" s="227" t="s">
        <v>269</v>
      </c>
    </row>
    <row r="713" spans="1:7">
      <c r="A713" s="225" t="s">
        <v>2901</v>
      </c>
      <c r="B713" s="224">
        <v>0</v>
      </c>
      <c r="C713" s="221">
        <v>225</v>
      </c>
      <c r="D713" s="224"/>
      <c r="E713" s="226">
        <v>970.51076257967622</v>
      </c>
      <c r="F713" s="221">
        <v>960.90174512839235</v>
      </c>
      <c r="G713" s="227" t="s">
        <v>2871</v>
      </c>
    </row>
    <row r="714" spans="1:7">
      <c r="A714" s="225" t="s">
        <v>2902</v>
      </c>
      <c r="B714" s="221">
        <v>15000</v>
      </c>
      <c r="C714" s="221">
        <v>275</v>
      </c>
      <c r="D714" s="224"/>
      <c r="E714" s="226">
        <v>970.51076257967622</v>
      </c>
      <c r="F714" s="221">
        <v>960.90174512839235</v>
      </c>
      <c r="G714" s="227" t="s">
        <v>269</v>
      </c>
    </row>
    <row r="715" spans="1:7">
      <c r="A715" s="225" t="s">
        <v>2903</v>
      </c>
      <c r="B715" s="221">
        <v>15000</v>
      </c>
      <c r="C715" s="221">
        <v>275</v>
      </c>
      <c r="D715" s="224"/>
      <c r="E715" s="226">
        <v>970.51076257967622</v>
      </c>
      <c r="F715" s="221">
        <v>960.90174512839235</v>
      </c>
      <c r="G715" s="227" t="s">
        <v>269</v>
      </c>
    </row>
    <row r="716" spans="1:7">
      <c r="A716" s="225" t="s">
        <v>2904</v>
      </c>
      <c r="B716" s="224">
        <v>15000</v>
      </c>
      <c r="C716" s="221">
        <v>275</v>
      </c>
      <c r="D716" s="224"/>
      <c r="E716" s="226">
        <v>970.51076257967622</v>
      </c>
      <c r="F716" s="221">
        <v>960.90174512839235</v>
      </c>
      <c r="G716" s="227" t="s">
        <v>269</v>
      </c>
    </row>
    <row r="717" spans="1:7">
      <c r="A717" s="225" t="s">
        <v>2905</v>
      </c>
      <c r="B717" s="224">
        <v>15000</v>
      </c>
      <c r="C717" s="221">
        <v>275</v>
      </c>
      <c r="D717" s="224"/>
      <c r="E717" s="226">
        <v>970.51076257967622</v>
      </c>
      <c r="F717" s="221">
        <v>960.90174512839235</v>
      </c>
      <c r="G717" s="227" t="s">
        <v>269</v>
      </c>
    </row>
    <row r="718" spans="1:7">
      <c r="A718" s="225" t="s">
        <v>2906</v>
      </c>
      <c r="B718" s="224">
        <v>0</v>
      </c>
      <c r="C718" s="221">
        <v>275</v>
      </c>
      <c r="D718" s="224"/>
      <c r="E718" s="226">
        <v>970.51076257967622</v>
      </c>
      <c r="F718" s="221">
        <v>960.90174512839235</v>
      </c>
      <c r="G718" s="227" t="s">
        <v>2871</v>
      </c>
    </row>
    <row r="719" spans="1:7">
      <c r="A719" s="225" t="s">
        <v>2907</v>
      </c>
      <c r="B719" s="221">
        <v>15000</v>
      </c>
      <c r="C719" s="221">
        <v>400</v>
      </c>
      <c r="D719" s="224"/>
      <c r="E719" s="226">
        <v>970.51076257967622</v>
      </c>
      <c r="F719" s="221">
        <v>960.90174512839235</v>
      </c>
      <c r="G719" s="227" t="s">
        <v>269</v>
      </c>
    </row>
    <row r="720" spans="1:7">
      <c r="A720" s="225" t="s">
        <v>2908</v>
      </c>
      <c r="B720" s="221">
        <v>15000</v>
      </c>
      <c r="C720" s="221">
        <v>400</v>
      </c>
      <c r="D720" s="224"/>
      <c r="E720" s="226">
        <v>970.51076257967622</v>
      </c>
      <c r="F720" s="221">
        <v>960.90174512839235</v>
      </c>
      <c r="G720" s="227" t="s">
        <v>269</v>
      </c>
    </row>
    <row r="721" spans="1:7">
      <c r="A721" s="225" t="s">
        <v>2909</v>
      </c>
      <c r="B721" s="224">
        <v>15000</v>
      </c>
      <c r="C721" s="221">
        <v>400</v>
      </c>
      <c r="D721" s="224"/>
      <c r="E721" s="226">
        <v>970.51076257967622</v>
      </c>
      <c r="F721" s="221">
        <v>960.90174512839235</v>
      </c>
      <c r="G721" s="227" t="s">
        <v>269</v>
      </c>
    </row>
    <row r="722" spans="1:7">
      <c r="A722" s="225" t="s">
        <v>2910</v>
      </c>
      <c r="B722" s="224">
        <v>15000</v>
      </c>
      <c r="C722" s="221">
        <v>400</v>
      </c>
      <c r="D722" s="224"/>
      <c r="E722" s="226">
        <v>970.51076257967622</v>
      </c>
      <c r="F722" s="221">
        <v>960.90174512839235</v>
      </c>
      <c r="G722" s="227" t="s">
        <v>269</v>
      </c>
    </row>
    <row r="723" spans="1:7">
      <c r="A723" s="225" t="s">
        <v>2911</v>
      </c>
      <c r="B723" s="224">
        <v>0</v>
      </c>
      <c r="C723" s="221">
        <v>400</v>
      </c>
      <c r="D723" s="224"/>
      <c r="E723" s="226">
        <v>970.51076257967622</v>
      </c>
      <c r="F723" s="221">
        <v>960.90174512839235</v>
      </c>
      <c r="G723" s="227" t="s">
        <v>2871</v>
      </c>
    </row>
    <row r="724" spans="1:7">
      <c r="A724" s="225" t="s">
        <v>2912</v>
      </c>
      <c r="B724" s="221">
        <v>15000</v>
      </c>
      <c r="C724" s="221">
        <v>225</v>
      </c>
      <c r="D724" s="224"/>
      <c r="E724" s="226">
        <v>970.51076257967622</v>
      </c>
      <c r="F724" s="221">
        <v>960.90174512839235</v>
      </c>
      <c r="G724" s="227" t="s">
        <v>269</v>
      </c>
    </row>
    <row r="725" spans="1:7">
      <c r="A725" s="225" t="s">
        <v>2913</v>
      </c>
      <c r="B725" s="221">
        <v>15000</v>
      </c>
      <c r="C725" s="221">
        <v>225</v>
      </c>
      <c r="D725" s="224"/>
      <c r="E725" s="226">
        <v>970.51076257967622</v>
      </c>
      <c r="F725" s="221">
        <v>960.90174512839235</v>
      </c>
      <c r="G725" s="227" t="s">
        <v>269</v>
      </c>
    </row>
    <row r="726" spans="1:7">
      <c r="A726" s="225" t="s">
        <v>2914</v>
      </c>
      <c r="B726" s="224">
        <v>15000</v>
      </c>
      <c r="C726" s="221">
        <v>225</v>
      </c>
      <c r="D726" s="224"/>
      <c r="E726" s="226">
        <v>970.51076257967622</v>
      </c>
      <c r="F726" s="221">
        <v>960.90174512839235</v>
      </c>
      <c r="G726" s="227" t="s">
        <v>269</v>
      </c>
    </row>
    <row r="727" spans="1:7">
      <c r="A727" s="225" t="s">
        <v>2915</v>
      </c>
      <c r="B727" s="224">
        <v>15000</v>
      </c>
      <c r="C727" s="221">
        <v>225</v>
      </c>
      <c r="D727" s="224"/>
      <c r="E727" s="226">
        <v>970.51076257967622</v>
      </c>
      <c r="F727" s="221">
        <v>960.90174512839235</v>
      </c>
      <c r="G727" s="227" t="s">
        <v>269</v>
      </c>
    </row>
    <row r="728" spans="1:7">
      <c r="A728" s="225" t="s">
        <v>2916</v>
      </c>
      <c r="B728" s="224">
        <v>0</v>
      </c>
      <c r="C728" s="221">
        <v>225</v>
      </c>
      <c r="D728" s="224"/>
      <c r="E728" s="226">
        <v>970.51076257967622</v>
      </c>
      <c r="F728" s="221">
        <v>960.90174512839235</v>
      </c>
      <c r="G728" s="227" t="s">
        <v>2871</v>
      </c>
    </row>
    <row r="729" spans="1:7">
      <c r="A729" s="225" t="s">
        <v>2917</v>
      </c>
      <c r="B729" s="221">
        <v>15000</v>
      </c>
      <c r="C729" s="221">
        <v>275</v>
      </c>
      <c r="D729" s="224"/>
      <c r="E729" s="226">
        <v>970.51076257967622</v>
      </c>
      <c r="F729" s="221">
        <v>960.90174512839235</v>
      </c>
      <c r="G729" s="227" t="s">
        <v>269</v>
      </c>
    </row>
    <row r="730" spans="1:7">
      <c r="A730" s="225" t="s">
        <v>2918</v>
      </c>
      <c r="B730" s="221">
        <v>15000</v>
      </c>
      <c r="C730" s="221">
        <v>275</v>
      </c>
      <c r="D730" s="224"/>
      <c r="E730" s="226">
        <v>970.51076257967622</v>
      </c>
      <c r="F730" s="221">
        <v>960.90174512839235</v>
      </c>
      <c r="G730" s="227" t="s">
        <v>269</v>
      </c>
    </row>
    <row r="731" spans="1:7">
      <c r="A731" s="225" t="s">
        <v>2919</v>
      </c>
      <c r="B731" s="224">
        <v>15000</v>
      </c>
      <c r="C731" s="221">
        <v>275</v>
      </c>
      <c r="D731" s="224"/>
      <c r="E731" s="226">
        <v>970.51076257967622</v>
      </c>
      <c r="F731" s="221">
        <v>960.90174512839235</v>
      </c>
      <c r="G731" s="227" t="s">
        <v>269</v>
      </c>
    </row>
    <row r="732" spans="1:7">
      <c r="A732" s="225" t="s">
        <v>2920</v>
      </c>
      <c r="B732" s="224">
        <v>15000</v>
      </c>
      <c r="C732" s="221">
        <v>275</v>
      </c>
      <c r="D732" s="224"/>
      <c r="E732" s="226">
        <v>970.51076257967622</v>
      </c>
      <c r="F732" s="221">
        <v>960.90174512839235</v>
      </c>
      <c r="G732" s="227" t="s">
        <v>269</v>
      </c>
    </row>
    <row r="733" spans="1:7">
      <c r="A733" s="225" t="s">
        <v>2921</v>
      </c>
      <c r="B733" s="224">
        <v>0</v>
      </c>
      <c r="C733" s="221">
        <v>275</v>
      </c>
      <c r="D733" s="224"/>
      <c r="E733" s="226">
        <v>970.51076257967622</v>
      </c>
      <c r="F733" s="221">
        <v>960.90174512839235</v>
      </c>
      <c r="G733" s="227" t="s">
        <v>2871</v>
      </c>
    </row>
    <row r="734" spans="1:7">
      <c r="A734" s="225" t="s">
        <v>2922</v>
      </c>
      <c r="B734" s="221">
        <v>15000</v>
      </c>
      <c r="C734" s="221">
        <v>400</v>
      </c>
      <c r="D734" s="224"/>
      <c r="E734" s="226">
        <v>970.51076257967622</v>
      </c>
      <c r="F734" s="221">
        <v>960.90174512839235</v>
      </c>
      <c r="G734" s="227" t="s">
        <v>269</v>
      </c>
    </row>
    <row r="735" spans="1:7">
      <c r="A735" s="225" t="s">
        <v>2923</v>
      </c>
      <c r="B735" s="221">
        <v>15000</v>
      </c>
      <c r="C735" s="221">
        <v>400</v>
      </c>
      <c r="D735" s="224"/>
      <c r="E735" s="226">
        <v>970.51076257967622</v>
      </c>
      <c r="F735" s="221">
        <v>960.90174512839235</v>
      </c>
      <c r="G735" s="227" t="s">
        <v>269</v>
      </c>
    </row>
    <row r="736" spans="1:7">
      <c r="A736" s="225" t="s">
        <v>2924</v>
      </c>
      <c r="B736" s="224">
        <v>15000</v>
      </c>
      <c r="C736" s="221">
        <v>400</v>
      </c>
      <c r="D736" s="224"/>
      <c r="E736" s="226">
        <v>970.51076257967622</v>
      </c>
      <c r="F736" s="221">
        <v>960.90174512839235</v>
      </c>
      <c r="G736" s="227" t="s">
        <v>269</v>
      </c>
    </row>
    <row r="737" spans="1:7">
      <c r="A737" s="225" t="s">
        <v>2925</v>
      </c>
      <c r="B737" s="224">
        <v>15000</v>
      </c>
      <c r="C737" s="221">
        <v>400</v>
      </c>
      <c r="D737" s="224"/>
      <c r="E737" s="226">
        <v>970.51076257967622</v>
      </c>
      <c r="F737" s="221">
        <v>960.90174512839235</v>
      </c>
      <c r="G737" s="227" t="s">
        <v>269</v>
      </c>
    </row>
    <row r="738" spans="1:7">
      <c r="A738" s="225" t="s">
        <v>2926</v>
      </c>
      <c r="B738" s="224">
        <v>0</v>
      </c>
      <c r="C738" s="221">
        <v>400</v>
      </c>
      <c r="D738" s="224"/>
      <c r="E738" s="226">
        <v>970.51076257967622</v>
      </c>
      <c r="F738" s="221">
        <v>960.90174512839235</v>
      </c>
      <c r="G738" s="227" t="s">
        <v>2871</v>
      </c>
    </row>
    <row r="739" spans="1:7">
      <c r="A739" s="225" t="s">
        <v>2927</v>
      </c>
      <c r="B739" s="221">
        <v>15000</v>
      </c>
      <c r="C739" s="221">
        <v>225</v>
      </c>
      <c r="D739" s="224"/>
      <c r="E739" s="226">
        <v>970.51076257967622</v>
      </c>
      <c r="F739" s="221">
        <v>960.90174512839235</v>
      </c>
      <c r="G739" s="227" t="s">
        <v>269</v>
      </c>
    </row>
    <row r="740" spans="1:7">
      <c r="A740" s="225" t="s">
        <v>2928</v>
      </c>
      <c r="B740" s="221">
        <v>15000</v>
      </c>
      <c r="C740" s="221">
        <v>225</v>
      </c>
      <c r="D740" s="224"/>
      <c r="E740" s="226">
        <v>970.51076257967622</v>
      </c>
      <c r="F740" s="221">
        <v>960.90174512839235</v>
      </c>
      <c r="G740" s="227" t="s">
        <v>269</v>
      </c>
    </row>
    <row r="741" spans="1:7">
      <c r="A741" s="225" t="s">
        <v>2929</v>
      </c>
      <c r="B741" s="224">
        <v>15000</v>
      </c>
      <c r="C741" s="221">
        <v>225</v>
      </c>
      <c r="D741" s="224"/>
      <c r="E741" s="226">
        <v>970.51076257967622</v>
      </c>
      <c r="F741" s="221">
        <v>960.90174512839235</v>
      </c>
      <c r="G741" s="227" t="s">
        <v>269</v>
      </c>
    </row>
    <row r="742" spans="1:7">
      <c r="A742" s="225" t="s">
        <v>2930</v>
      </c>
      <c r="B742" s="224">
        <v>15000</v>
      </c>
      <c r="C742" s="221">
        <v>225</v>
      </c>
      <c r="D742" s="224"/>
      <c r="E742" s="226">
        <v>970.51076257967622</v>
      </c>
      <c r="F742" s="221">
        <v>960.90174512839235</v>
      </c>
      <c r="G742" s="227" t="s">
        <v>269</v>
      </c>
    </row>
    <row r="743" spans="1:7">
      <c r="A743" s="225" t="s">
        <v>2931</v>
      </c>
      <c r="B743" s="224">
        <v>0</v>
      </c>
      <c r="C743" s="221">
        <v>225</v>
      </c>
      <c r="D743" s="224"/>
      <c r="E743" s="226">
        <v>970.51076257967622</v>
      </c>
      <c r="F743" s="221">
        <v>960.90174512839235</v>
      </c>
      <c r="G743" s="227" t="s">
        <v>2871</v>
      </c>
    </row>
    <row r="744" spans="1:7">
      <c r="A744" s="225" t="s">
        <v>2932</v>
      </c>
      <c r="B744" s="221">
        <v>15000</v>
      </c>
      <c r="C744" s="221">
        <v>275</v>
      </c>
      <c r="D744" s="224"/>
      <c r="E744" s="226">
        <v>970.51076257967622</v>
      </c>
      <c r="F744" s="221">
        <v>960.90174512839235</v>
      </c>
      <c r="G744" s="227" t="s">
        <v>269</v>
      </c>
    </row>
    <row r="745" spans="1:7">
      <c r="A745" s="225" t="s">
        <v>2933</v>
      </c>
      <c r="B745" s="221">
        <v>15000</v>
      </c>
      <c r="C745" s="221">
        <v>275</v>
      </c>
      <c r="D745" s="224"/>
      <c r="E745" s="226">
        <v>970.51076257967622</v>
      </c>
      <c r="F745" s="221">
        <v>960.90174512839235</v>
      </c>
      <c r="G745" s="227" t="s">
        <v>269</v>
      </c>
    </row>
    <row r="746" spans="1:7">
      <c r="A746" s="225" t="s">
        <v>2934</v>
      </c>
      <c r="B746" s="224">
        <v>15000</v>
      </c>
      <c r="C746" s="221">
        <v>275</v>
      </c>
      <c r="D746" s="224"/>
      <c r="E746" s="226">
        <v>970.51076257967622</v>
      </c>
      <c r="F746" s="221">
        <v>960.90174512839235</v>
      </c>
      <c r="G746" s="227" t="s">
        <v>269</v>
      </c>
    </row>
    <row r="747" spans="1:7">
      <c r="A747" s="225" t="s">
        <v>2935</v>
      </c>
      <c r="B747" s="224">
        <v>15000</v>
      </c>
      <c r="C747" s="221">
        <v>275</v>
      </c>
      <c r="D747" s="224"/>
      <c r="E747" s="226">
        <v>970.51076257967622</v>
      </c>
      <c r="F747" s="221">
        <v>960.90174512839235</v>
      </c>
      <c r="G747" s="227" t="s">
        <v>269</v>
      </c>
    </row>
    <row r="748" spans="1:7">
      <c r="A748" s="225" t="s">
        <v>2936</v>
      </c>
      <c r="B748" s="224">
        <v>0</v>
      </c>
      <c r="C748" s="221">
        <v>275</v>
      </c>
      <c r="D748" s="224"/>
      <c r="E748" s="226">
        <v>970.51076257967622</v>
      </c>
      <c r="F748" s="221">
        <v>960.90174512839235</v>
      </c>
      <c r="G748" s="227" t="s">
        <v>2871</v>
      </c>
    </row>
    <row r="749" spans="1:7">
      <c r="A749" s="225" t="s">
        <v>2937</v>
      </c>
      <c r="B749" s="221">
        <v>15000</v>
      </c>
      <c r="C749" s="221">
        <v>400</v>
      </c>
      <c r="D749" s="224"/>
      <c r="E749" s="226">
        <v>970.51076257967622</v>
      </c>
      <c r="F749" s="221">
        <v>960.90174512839235</v>
      </c>
      <c r="G749" s="227" t="s">
        <v>269</v>
      </c>
    </row>
    <row r="750" spans="1:7">
      <c r="A750" s="225" t="s">
        <v>2938</v>
      </c>
      <c r="B750" s="221">
        <v>15000</v>
      </c>
      <c r="C750" s="221">
        <v>400</v>
      </c>
      <c r="D750" s="224"/>
      <c r="E750" s="226">
        <v>970.51076257967622</v>
      </c>
      <c r="F750" s="221">
        <v>960.90174512839235</v>
      </c>
      <c r="G750" s="227" t="s">
        <v>269</v>
      </c>
    </row>
    <row r="751" spans="1:7">
      <c r="A751" s="225" t="s">
        <v>2939</v>
      </c>
      <c r="B751" s="224">
        <v>15000</v>
      </c>
      <c r="C751" s="221">
        <v>400</v>
      </c>
      <c r="D751" s="224"/>
      <c r="E751" s="226">
        <v>970.51076257967622</v>
      </c>
      <c r="F751" s="221">
        <v>960.90174512839235</v>
      </c>
      <c r="G751" s="227" t="s">
        <v>269</v>
      </c>
    </row>
    <row r="752" spans="1:7">
      <c r="A752" s="225" t="s">
        <v>2940</v>
      </c>
      <c r="B752" s="224">
        <v>15000</v>
      </c>
      <c r="C752" s="221">
        <v>400</v>
      </c>
      <c r="D752" s="224"/>
      <c r="E752" s="226">
        <v>970.51076257967622</v>
      </c>
      <c r="F752" s="221">
        <v>960.90174512839235</v>
      </c>
      <c r="G752" s="227" t="s">
        <v>269</v>
      </c>
    </row>
    <row r="753" spans="1:7">
      <c r="A753" s="225" t="s">
        <v>2941</v>
      </c>
      <c r="B753" s="224">
        <v>0</v>
      </c>
      <c r="C753" s="221">
        <v>400</v>
      </c>
      <c r="D753" s="224"/>
      <c r="E753" s="226">
        <v>970.51076257967622</v>
      </c>
      <c r="F753" s="221">
        <v>960.90174512839235</v>
      </c>
      <c r="G753" s="227" t="s">
        <v>2871</v>
      </c>
    </row>
    <row r="754" spans="1:7">
      <c r="A754" s="228" t="s">
        <v>441</v>
      </c>
      <c r="B754" s="221">
        <v>0</v>
      </c>
      <c r="C754" s="221">
        <v>70</v>
      </c>
      <c r="D754" s="221">
        <v>25.25</v>
      </c>
      <c r="E754" s="221">
        <v>30.655213280285011</v>
      </c>
      <c r="F754" s="221">
        <v>6.8616963171138705</v>
      </c>
      <c r="G754" s="222" t="s">
        <v>2942</v>
      </c>
    </row>
    <row r="755" spans="1:7">
      <c r="A755" s="220" t="s">
        <v>442</v>
      </c>
      <c r="B755" s="221">
        <v>0</v>
      </c>
      <c r="C755" s="221">
        <v>70</v>
      </c>
      <c r="D755" s="221">
        <v>25.25</v>
      </c>
      <c r="E755" s="221">
        <v>33.927613280285001</v>
      </c>
      <c r="F755" s="221">
        <v>6.8616963171138705</v>
      </c>
      <c r="G755" s="222" t="s">
        <v>2942</v>
      </c>
    </row>
    <row r="756" spans="1:7">
      <c r="A756" s="220" t="s">
        <v>443</v>
      </c>
      <c r="B756" s="221">
        <v>0</v>
      </c>
      <c r="C756" s="221">
        <v>80</v>
      </c>
      <c r="D756" s="221">
        <v>25.25</v>
      </c>
      <c r="E756" s="221">
        <v>38.018113280285007</v>
      </c>
      <c r="F756" s="221">
        <v>6.8616963171138705</v>
      </c>
      <c r="G756" s="222" t="s">
        <v>2942</v>
      </c>
    </row>
    <row r="757" spans="1:7">
      <c r="A757" s="220" t="s">
        <v>444</v>
      </c>
      <c r="B757" s="221">
        <v>0</v>
      </c>
      <c r="C757" s="221">
        <v>90</v>
      </c>
      <c r="D757" s="221">
        <v>25.25</v>
      </c>
      <c r="E757" s="221">
        <v>38.018113280285007</v>
      </c>
      <c r="F757" s="221">
        <v>6.8616963171138705</v>
      </c>
      <c r="G757" s="222" t="s">
        <v>2942</v>
      </c>
    </row>
    <row r="758" spans="1:7">
      <c r="A758" s="220" t="s">
        <v>445</v>
      </c>
      <c r="B758" s="221">
        <v>0</v>
      </c>
      <c r="C758" s="221">
        <v>90</v>
      </c>
      <c r="D758" s="221">
        <v>25.25</v>
      </c>
      <c r="E758" s="221">
        <v>38.018113280285007</v>
      </c>
      <c r="F758" s="221">
        <v>6.8616963171138705</v>
      </c>
      <c r="G758" s="222" t="s">
        <v>2942</v>
      </c>
    </row>
    <row r="759" spans="1:7">
      <c r="A759" s="220" t="s">
        <v>446</v>
      </c>
      <c r="B759" s="221">
        <v>0</v>
      </c>
      <c r="C759" s="221">
        <v>95</v>
      </c>
      <c r="D759" s="221">
        <v>25.25</v>
      </c>
      <c r="E759" s="221">
        <v>38.018113280285007</v>
      </c>
      <c r="F759" s="221">
        <v>6.8616963171138705</v>
      </c>
      <c r="G759" s="222" t="s">
        <v>2942</v>
      </c>
    </row>
    <row r="760" spans="1:7">
      <c r="A760" s="220" t="s">
        <v>447</v>
      </c>
      <c r="B760" s="221">
        <v>0</v>
      </c>
      <c r="C760" s="221">
        <v>100</v>
      </c>
      <c r="D760" s="221">
        <v>25.25</v>
      </c>
      <c r="E760" s="221">
        <v>38.018113280285007</v>
      </c>
      <c r="F760" s="221">
        <v>6.8616963171138705</v>
      </c>
      <c r="G760" s="222" t="s">
        <v>2942</v>
      </c>
    </row>
    <row r="761" spans="1:7">
      <c r="A761" s="220" t="s">
        <v>448</v>
      </c>
      <c r="B761" s="221">
        <v>0</v>
      </c>
      <c r="C761" s="221">
        <v>115</v>
      </c>
      <c r="D761" s="221">
        <v>25.25</v>
      </c>
      <c r="E761" s="221">
        <v>38.018113280285007</v>
      </c>
      <c r="F761" s="221">
        <v>6.8616963171138705</v>
      </c>
      <c r="G761" s="222" t="s">
        <v>2942</v>
      </c>
    </row>
    <row r="762" spans="1:7">
      <c r="A762" s="220" t="s">
        <v>449</v>
      </c>
      <c r="B762" s="221">
        <v>0</v>
      </c>
      <c r="C762" s="221">
        <v>120</v>
      </c>
      <c r="D762" s="221">
        <v>25.25</v>
      </c>
      <c r="E762" s="221">
        <v>42.926713280285007</v>
      </c>
      <c r="F762" s="221">
        <v>6.8616963171138705</v>
      </c>
      <c r="G762" s="222" t="s">
        <v>2942</v>
      </c>
    </row>
    <row r="763" spans="1:7">
      <c r="A763" s="220" t="s">
        <v>450</v>
      </c>
      <c r="B763" s="221">
        <v>0</v>
      </c>
      <c r="C763" s="221">
        <v>130</v>
      </c>
      <c r="D763" s="221">
        <v>25.25</v>
      </c>
      <c r="E763" s="221">
        <v>51.925813280285013</v>
      </c>
      <c r="F763" s="221">
        <v>6.8616963171138705</v>
      </c>
      <c r="G763" s="222" t="s">
        <v>2942</v>
      </c>
    </row>
    <row r="764" spans="1:7">
      <c r="A764" s="220" t="s">
        <v>451</v>
      </c>
      <c r="B764" s="221">
        <v>0</v>
      </c>
      <c r="C764" s="221">
        <v>145</v>
      </c>
      <c r="D764" s="221">
        <v>25.25</v>
      </c>
      <c r="E764" s="221">
        <v>56.016313280285011</v>
      </c>
      <c r="F764" s="221">
        <v>6.8616963171138705</v>
      </c>
      <c r="G764" s="222" t="s">
        <v>2942</v>
      </c>
    </row>
    <row r="765" spans="1:7">
      <c r="A765" s="220" t="s">
        <v>452</v>
      </c>
      <c r="B765" s="221">
        <v>0</v>
      </c>
      <c r="C765" s="221">
        <v>175</v>
      </c>
      <c r="D765" s="221">
        <v>25.25</v>
      </c>
      <c r="E765" s="221">
        <v>72.378313280284999</v>
      </c>
      <c r="F765" s="221">
        <v>6.8616963171138705</v>
      </c>
      <c r="G765" s="222" t="s">
        <v>2942</v>
      </c>
    </row>
    <row r="766" spans="1:7">
      <c r="A766" s="220" t="s">
        <v>453</v>
      </c>
      <c r="B766" s="221">
        <v>0</v>
      </c>
      <c r="C766" s="221">
        <v>210</v>
      </c>
      <c r="D766" s="221">
        <v>25.25</v>
      </c>
      <c r="E766" s="221">
        <v>88.740313280285008</v>
      </c>
      <c r="F766" s="221">
        <v>6.8616963171138705</v>
      </c>
      <c r="G766" s="222" t="s">
        <v>2942</v>
      </c>
    </row>
    <row r="767" spans="1:7">
      <c r="A767" s="220" t="s">
        <v>454</v>
      </c>
      <c r="B767" s="221">
        <v>0</v>
      </c>
      <c r="C767" s="221">
        <v>230</v>
      </c>
      <c r="D767" s="221">
        <v>25.25</v>
      </c>
      <c r="E767" s="221">
        <v>96.921313280285005</v>
      </c>
      <c r="F767" s="221">
        <v>6.8616963171138705</v>
      </c>
      <c r="G767" s="222" t="s">
        <v>2942</v>
      </c>
    </row>
    <row r="768" spans="1:7">
      <c r="A768" s="220" t="s">
        <v>455</v>
      </c>
      <c r="B768" s="221">
        <v>0</v>
      </c>
      <c r="C768" s="221">
        <v>285</v>
      </c>
      <c r="D768" s="221">
        <v>25.25</v>
      </c>
      <c r="E768" s="221">
        <v>137.82631328028501</v>
      </c>
      <c r="F768" s="221">
        <v>6.8616963171138705</v>
      </c>
      <c r="G768" s="222" t="s">
        <v>2942</v>
      </c>
    </row>
    <row r="769" spans="1:7">
      <c r="A769" s="220" t="s">
        <v>456</v>
      </c>
      <c r="B769" s="221">
        <v>0</v>
      </c>
      <c r="C769" s="221">
        <v>300</v>
      </c>
      <c r="D769" s="221">
        <v>25.25</v>
      </c>
      <c r="E769" s="221">
        <v>158.27881328028502</v>
      </c>
      <c r="F769" s="221">
        <v>6.8616963171138705</v>
      </c>
      <c r="G769" s="222" t="s">
        <v>2942</v>
      </c>
    </row>
    <row r="770" spans="1:7">
      <c r="A770" s="220" t="s">
        <v>457</v>
      </c>
      <c r="B770" s="221">
        <v>0</v>
      </c>
      <c r="C770" s="221">
        <v>350</v>
      </c>
      <c r="D770" s="221">
        <v>25.25</v>
      </c>
      <c r="E770" s="221">
        <v>195.093313280285</v>
      </c>
      <c r="F770" s="221">
        <v>6.8616963171138705</v>
      </c>
      <c r="G770" s="222" t="s">
        <v>2942</v>
      </c>
    </row>
    <row r="771" spans="1:7">
      <c r="A771" s="220" t="s">
        <v>458</v>
      </c>
      <c r="B771" s="221">
        <v>0</v>
      </c>
      <c r="C771" s="221">
        <v>405</v>
      </c>
      <c r="D771" s="221">
        <v>25.25</v>
      </c>
      <c r="E771" s="221">
        <v>219.63631328028501</v>
      </c>
      <c r="F771" s="221">
        <v>6.8616963171138705</v>
      </c>
      <c r="G771" s="222" t="s">
        <v>2942</v>
      </c>
    </row>
    <row r="772" spans="1:7">
      <c r="A772" s="220" t="s">
        <v>459</v>
      </c>
      <c r="B772" s="221">
        <v>0</v>
      </c>
      <c r="C772" s="221">
        <v>450</v>
      </c>
      <c r="D772" s="221">
        <v>25.25</v>
      </c>
      <c r="E772" s="221">
        <v>240.08881328028502</v>
      </c>
      <c r="F772" s="221">
        <v>6.8616963171138705</v>
      </c>
      <c r="G772" s="222" t="s">
        <v>2942</v>
      </c>
    </row>
    <row r="773" spans="1:7">
      <c r="A773" s="220" t="s">
        <v>460</v>
      </c>
      <c r="B773" s="221">
        <v>0</v>
      </c>
      <c r="C773" s="221">
        <v>75</v>
      </c>
      <c r="D773" s="221">
        <v>25.25</v>
      </c>
      <c r="E773" s="221">
        <v>30.655213280285011</v>
      </c>
      <c r="F773" s="221">
        <v>6.8616963171138705</v>
      </c>
      <c r="G773" s="222" t="s">
        <v>2942</v>
      </c>
    </row>
    <row r="774" spans="1:7">
      <c r="A774" s="220" t="s">
        <v>461</v>
      </c>
      <c r="B774" s="221">
        <v>0</v>
      </c>
      <c r="C774" s="221">
        <v>75</v>
      </c>
      <c r="D774" s="221">
        <v>25.25</v>
      </c>
      <c r="E774" s="221">
        <v>33.927613280285001</v>
      </c>
      <c r="F774" s="221">
        <v>6.8616963171138705</v>
      </c>
      <c r="G774" s="222" t="s">
        <v>2942</v>
      </c>
    </row>
    <row r="775" spans="1:7">
      <c r="A775" s="220" t="s">
        <v>462</v>
      </c>
      <c r="B775" s="221">
        <v>0</v>
      </c>
      <c r="C775" s="221">
        <v>85</v>
      </c>
      <c r="D775" s="221">
        <v>25.25</v>
      </c>
      <c r="E775" s="221">
        <v>38.018113280285007</v>
      </c>
      <c r="F775" s="221">
        <v>6.8616963171138705</v>
      </c>
      <c r="G775" s="222" t="s">
        <v>2942</v>
      </c>
    </row>
    <row r="776" spans="1:7">
      <c r="A776" s="220" t="s">
        <v>463</v>
      </c>
      <c r="B776" s="221">
        <v>0</v>
      </c>
      <c r="C776" s="221">
        <v>120</v>
      </c>
      <c r="D776" s="221">
        <v>25.25</v>
      </c>
      <c r="E776" s="221">
        <v>38.018113280285007</v>
      </c>
      <c r="F776" s="221">
        <v>6.8616963171138705</v>
      </c>
      <c r="G776" s="222" t="s">
        <v>2942</v>
      </c>
    </row>
    <row r="777" spans="1:7">
      <c r="A777" s="220" t="s">
        <v>464</v>
      </c>
      <c r="B777" s="221">
        <v>0</v>
      </c>
      <c r="C777" s="221">
        <v>120</v>
      </c>
      <c r="D777" s="221">
        <v>25.25</v>
      </c>
      <c r="E777" s="221">
        <v>38.018113280285007</v>
      </c>
      <c r="F777" s="221">
        <v>6.8616963171138705</v>
      </c>
      <c r="G777" s="222" t="s">
        <v>2942</v>
      </c>
    </row>
    <row r="778" spans="1:7">
      <c r="A778" s="220" t="s">
        <v>465</v>
      </c>
      <c r="B778" s="221">
        <v>0</v>
      </c>
      <c r="C778" s="221">
        <v>125</v>
      </c>
      <c r="D778" s="221">
        <v>25.25</v>
      </c>
      <c r="E778" s="221">
        <v>38.018113280285007</v>
      </c>
      <c r="F778" s="221">
        <v>6.8616963171138705</v>
      </c>
      <c r="G778" s="222" t="s">
        <v>2942</v>
      </c>
    </row>
    <row r="779" spans="1:7">
      <c r="A779" s="220" t="s">
        <v>466</v>
      </c>
      <c r="B779" s="221">
        <v>0</v>
      </c>
      <c r="C779" s="221">
        <v>145</v>
      </c>
      <c r="D779" s="221">
        <v>25.25</v>
      </c>
      <c r="E779" s="221">
        <v>38.018113280285007</v>
      </c>
      <c r="F779" s="221">
        <v>6.8616963171138705</v>
      </c>
      <c r="G779" s="222" t="s">
        <v>2942</v>
      </c>
    </row>
    <row r="780" spans="1:7">
      <c r="A780" s="220" t="s">
        <v>467</v>
      </c>
      <c r="B780" s="221">
        <v>0</v>
      </c>
      <c r="C780" s="221">
        <v>150</v>
      </c>
      <c r="D780" s="221">
        <v>25.25</v>
      </c>
      <c r="E780" s="221">
        <v>38.018113280285007</v>
      </c>
      <c r="F780" s="221">
        <v>6.8616963171138705</v>
      </c>
      <c r="G780" s="222" t="s">
        <v>2942</v>
      </c>
    </row>
    <row r="781" spans="1:7">
      <c r="A781" s="220" t="s">
        <v>468</v>
      </c>
      <c r="B781" s="221">
        <v>0</v>
      </c>
      <c r="C781" s="221">
        <v>225</v>
      </c>
      <c r="D781" s="221">
        <v>25.25</v>
      </c>
      <c r="E781" s="221">
        <v>42.926713280285007</v>
      </c>
      <c r="F781" s="221">
        <v>6.8616963171138705</v>
      </c>
      <c r="G781" s="222" t="s">
        <v>2942</v>
      </c>
    </row>
    <row r="782" spans="1:7">
      <c r="A782" s="220" t="s">
        <v>469</v>
      </c>
      <c r="B782" s="221">
        <v>0</v>
      </c>
      <c r="C782" s="221">
        <v>260</v>
      </c>
      <c r="D782" s="221">
        <v>25.25</v>
      </c>
      <c r="E782" s="221">
        <v>51.925813280285013</v>
      </c>
      <c r="F782" s="221">
        <v>6.8616963171138705</v>
      </c>
      <c r="G782" s="222" t="s">
        <v>2942</v>
      </c>
    </row>
    <row r="783" spans="1:7">
      <c r="A783" s="220" t="s">
        <v>470</v>
      </c>
      <c r="B783" s="221">
        <v>0</v>
      </c>
      <c r="C783" s="221">
        <v>345</v>
      </c>
      <c r="D783" s="221">
        <v>25.25</v>
      </c>
      <c r="E783" s="221">
        <v>56.016313280285011</v>
      </c>
      <c r="F783" s="221">
        <v>6.8616963171138705</v>
      </c>
      <c r="G783" s="222" t="s">
        <v>2942</v>
      </c>
    </row>
    <row r="784" spans="1:7">
      <c r="A784" s="220" t="s">
        <v>471</v>
      </c>
      <c r="B784" s="221">
        <v>0</v>
      </c>
      <c r="C784" s="221">
        <v>520</v>
      </c>
      <c r="D784" s="221">
        <v>25.25</v>
      </c>
      <c r="E784" s="221">
        <v>72.378313280284999</v>
      </c>
      <c r="F784" s="221">
        <v>6.8616963171138705</v>
      </c>
      <c r="G784" s="222" t="s">
        <v>2942</v>
      </c>
    </row>
    <row r="785" spans="1:7">
      <c r="A785" s="220" t="s">
        <v>472</v>
      </c>
      <c r="B785" s="221">
        <v>0</v>
      </c>
      <c r="C785" s="221">
        <v>610</v>
      </c>
      <c r="D785" s="221">
        <v>25.25</v>
      </c>
      <c r="E785" s="221">
        <v>88.740313280285008</v>
      </c>
      <c r="F785" s="221">
        <v>6.8616963171138705</v>
      </c>
      <c r="G785" s="222" t="s">
        <v>2942</v>
      </c>
    </row>
    <row r="786" spans="1:7">
      <c r="A786" s="220" t="s">
        <v>473</v>
      </c>
      <c r="B786" s="221">
        <v>0</v>
      </c>
      <c r="C786" s="221">
        <v>670</v>
      </c>
      <c r="D786" s="221">
        <v>25.25</v>
      </c>
      <c r="E786" s="221">
        <v>96.921313280285005</v>
      </c>
      <c r="F786" s="221">
        <v>6.8616963171138705</v>
      </c>
      <c r="G786" s="222" t="s">
        <v>2942</v>
      </c>
    </row>
    <row r="787" spans="1:7">
      <c r="A787" s="220" t="s">
        <v>474</v>
      </c>
      <c r="B787" s="221">
        <v>0</v>
      </c>
      <c r="C787" s="221">
        <v>820</v>
      </c>
      <c r="D787" s="221">
        <v>25.25</v>
      </c>
      <c r="E787" s="221">
        <v>137.82631328028501</v>
      </c>
      <c r="F787" s="221">
        <v>6.8616963171138705</v>
      </c>
      <c r="G787" s="222" t="s">
        <v>2942</v>
      </c>
    </row>
    <row r="788" spans="1:7">
      <c r="A788" s="220" t="s">
        <v>475</v>
      </c>
      <c r="B788" s="221">
        <v>0</v>
      </c>
      <c r="C788" s="221">
        <v>890</v>
      </c>
      <c r="D788" s="221">
        <v>25.25</v>
      </c>
      <c r="E788" s="221">
        <v>158.27881328028502</v>
      </c>
      <c r="F788" s="221">
        <v>6.8616963171138705</v>
      </c>
      <c r="G788" s="222" t="s">
        <v>2942</v>
      </c>
    </row>
    <row r="789" spans="1:7">
      <c r="A789" s="220" t="s">
        <v>476</v>
      </c>
      <c r="B789" s="221">
        <v>0</v>
      </c>
      <c r="C789" s="221">
        <v>1020</v>
      </c>
      <c r="D789" s="221">
        <v>25.25</v>
      </c>
      <c r="E789" s="221">
        <v>195.093313280285</v>
      </c>
      <c r="F789" s="221">
        <v>6.8616963171138705</v>
      </c>
      <c r="G789" s="222" t="s">
        <v>2942</v>
      </c>
    </row>
    <row r="790" spans="1:7">
      <c r="A790" s="220" t="s">
        <v>477</v>
      </c>
      <c r="B790" s="221">
        <v>0</v>
      </c>
      <c r="C790" s="221">
        <v>1120</v>
      </c>
      <c r="D790" s="221">
        <v>25.25</v>
      </c>
      <c r="E790" s="221">
        <v>219.63631328028501</v>
      </c>
      <c r="F790" s="221">
        <v>6.8616963171138705</v>
      </c>
      <c r="G790" s="222" t="s">
        <v>2942</v>
      </c>
    </row>
    <row r="791" spans="1:7">
      <c r="A791" s="220" t="s">
        <v>478</v>
      </c>
      <c r="B791" s="221">
        <v>0</v>
      </c>
      <c r="C791" s="221">
        <v>1185</v>
      </c>
      <c r="D791" s="221">
        <v>25.25</v>
      </c>
      <c r="E791" s="221">
        <v>240.08881328028502</v>
      </c>
      <c r="F791" s="221">
        <v>6.8616963171138705</v>
      </c>
      <c r="G791" s="222" t="s">
        <v>2942</v>
      </c>
    </row>
    <row r="792" spans="1:7">
      <c r="A792" s="220" t="s">
        <v>479</v>
      </c>
      <c r="B792" s="221">
        <v>0</v>
      </c>
      <c r="C792" s="221">
        <v>80</v>
      </c>
      <c r="D792" s="221">
        <v>25.25</v>
      </c>
      <c r="E792" s="221">
        <v>34.831206776855737</v>
      </c>
      <c r="F792" s="221">
        <v>10.996343343421518</v>
      </c>
      <c r="G792" s="222" t="s">
        <v>2942</v>
      </c>
    </row>
    <row r="793" spans="1:7">
      <c r="A793" s="220" t="s">
        <v>480</v>
      </c>
      <c r="B793" s="221">
        <v>0</v>
      </c>
      <c r="C793" s="221">
        <v>80</v>
      </c>
      <c r="D793" s="221">
        <v>25.25</v>
      </c>
      <c r="E793" s="221">
        <v>38.103606776855734</v>
      </c>
      <c r="F793" s="221">
        <v>10.996343343421518</v>
      </c>
      <c r="G793" s="222" t="s">
        <v>2942</v>
      </c>
    </row>
    <row r="794" spans="1:7">
      <c r="A794" s="220" t="s">
        <v>481</v>
      </c>
      <c r="B794" s="221">
        <v>0</v>
      </c>
      <c r="C794" s="221">
        <v>90</v>
      </c>
      <c r="D794" s="221">
        <v>25.25</v>
      </c>
      <c r="E794" s="221">
        <v>42.194106776855733</v>
      </c>
      <c r="F794" s="221">
        <v>10.996343343421518</v>
      </c>
      <c r="G794" s="222" t="s">
        <v>2942</v>
      </c>
    </row>
    <row r="795" spans="1:7">
      <c r="A795" s="220" t="s">
        <v>482</v>
      </c>
      <c r="B795" s="221">
        <v>0</v>
      </c>
      <c r="C795" s="221">
        <v>150</v>
      </c>
      <c r="D795" s="221">
        <v>25.25</v>
      </c>
      <c r="E795" s="221">
        <v>42.194106776855733</v>
      </c>
      <c r="F795" s="221">
        <v>10.996343343421518</v>
      </c>
      <c r="G795" s="222" t="s">
        <v>2942</v>
      </c>
    </row>
    <row r="796" spans="1:7">
      <c r="A796" s="220" t="s">
        <v>483</v>
      </c>
      <c r="B796" s="221">
        <v>0</v>
      </c>
      <c r="C796" s="221">
        <v>150</v>
      </c>
      <c r="D796" s="221">
        <v>25.25</v>
      </c>
      <c r="E796" s="221">
        <v>42.194106776855733</v>
      </c>
      <c r="F796" s="221">
        <v>10.996343343421518</v>
      </c>
      <c r="G796" s="222" t="s">
        <v>2942</v>
      </c>
    </row>
    <row r="797" spans="1:7">
      <c r="A797" s="220" t="s">
        <v>484</v>
      </c>
      <c r="B797" s="221">
        <v>0</v>
      </c>
      <c r="C797" s="221">
        <v>155</v>
      </c>
      <c r="D797" s="221">
        <v>25.25</v>
      </c>
      <c r="E797" s="221">
        <v>42.194106776855733</v>
      </c>
      <c r="F797" s="221">
        <v>10.996343343421518</v>
      </c>
      <c r="G797" s="222" t="s">
        <v>2942</v>
      </c>
    </row>
    <row r="798" spans="1:7">
      <c r="A798" s="220" t="s">
        <v>485</v>
      </c>
      <c r="B798" s="221">
        <v>0</v>
      </c>
      <c r="C798" s="221">
        <v>215</v>
      </c>
      <c r="D798" s="221">
        <v>25.25</v>
      </c>
      <c r="E798" s="221">
        <v>42.194106776855733</v>
      </c>
      <c r="F798" s="221">
        <v>10.996343343421518</v>
      </c>
      <c r="G798" s="222" t="s">
        <v>2942</v>
      </c>
    </row>
    <row r="799" spans="1:7">
      <c r="A799" s="220" t="s">
        <v>486</v>
      </c>
      <c r="B799" s="221">
        <v>0</v>
      </c>
      <c r="C799" s="221">
        <v>240</v>
      </c>
      <c r="D799" s="221">
        <v>25.25</v>
      </c>
      <c r="E799" s="221">
        <v>42.194106776855733</v>
      </c>
      <c r="F799" s="221">
        <v>10.996343343421518</v>
      </c>
      <c r="G799" s="222" t="s">
        <v>2942</v>
      </c>
    </row>
    <row r="800" spans="1:7">
      <c r="A800" s="220" t="s">
        <v>487</v>
      </c>
      <c r="B800" s="221">
        <v>0</v>
      </c>
      <c r="C800" s="221">
        <v>340</v>
      </c>
      <c r="D800" s="221">
        <v>25.25</v>
      </c>
      <c r="E800" s="221">
        <v>47.102706776855733</v>
      </c>
      <c r="F800" s="221">
        <v>10.996343343421518</v>
      </c>
      <c r="G800" s="222" t="s">
        <v>2942</v>
      </c>
    </row>
    <row r="801" spans="1:7">
      <c r="A801" s="220" t="s">
        <v>488</v>
      </c>
      <c r="B801" s="221">
        <v>0</v>
      </c>
      <c r="C801" s="221">
        <v>395</v>
      </c>
      <c r="D801" s="221">
        <v>25.25</v>
      </c>
      <c r="E801" s="221">
        <v>56.101806776855739</v>
      </c>
      <c r="F801" s="221">
        <v>10.996343343421518</v>
      </c>
      <c r="G801" s="222" t="s">
        <v>2942</v>
      </c>
    </row>
    <row r="802" spans="1:7">
      <c r="A802" s="220" t="s">
        <v>489</v>
      </c>
      <c r="B802" s="221">
        <v>0</v>
      </c>
      <c r="C802" s="221">
        <v>525</v>
      </c>
      <c r="D802" s="221">
        <v>25.25</v>
      </c>
      <c r="E802" s="221">
        <v>60.192306776855737</v>
      </c>
      <c r="F802" s="221">
        <v>10.996343343421518</v>
      </c>
      <c r="G802" s="222" t="s">
        <v>2942</v>
      </c>
    </row>
    <row r="803" spans="1:7">
      <c r="A803" s="220" t="s">
        <v>490</v>
      </c>
      <c r="B803" s="221">
        <v>0</v>
      </c>
      <c r="C803" s="221">
        <v>785</v>
      </c>
      <c r="D803" s="221">
        <v>25.25</v>
      </c>
      <c r="E803" s="221">
        <v>76.554306776855725</v>
      </c>
      <c r="F803" s="221">
        <v>10.996343343421518</v>
      </c>
      <c r="G803" s="222" t="s">
        <v>2942</v>
      </c>
    </row>
    <row r="804" spans="1:7">
      <c r="A804" s="220" t="s">
        <v>491</v>
      </c>
      <c r="B804" s="221">
        <v>0</v>
      </c>
      <c r="C804" s="221">
        <v>920</v>
      </c>
      <c r="D804" s="221">
        <v>25.25</v>
      </c>
      <c r="E804" s="221">
        <v>92.916306776855734</v>
      </c>
      <c r="F804" s="221">
        <v>10.996343343421518</v>
      </c>
      <c r="G804" s="222" t="s">
        <v>2942</v>
      </c>
    </row>
    <row r="805" spans="1:7">
      <c r="A805" s="220" t="s">
        <v>492</v>
      </c>
      <c r="B805" s="221">
        <v>0</v>
      </c>
      <c r="C805" s="221">
        <v>1005</v>
      </c>
      <c r="D805" s="221">
        <v>25.25</v>
      </c>
      <c r="E805" s="221">
        <v>101.09730677685572</v>
      </c>
      <c r="F805" s="221">
        <v>10.996343343421518</v>
      </c>
      <c r="G805" s="222" t="s">
        <v>2942</v>
      </c>
    </row>
    <row r="806" spans="1:7">
      <c r="A806" s="220" t="s">
        <v>493</v>
      </c>
      <c r="B806" s="221">
        <v>0</v>
      </c>
      <c r="C806" s="221">
        <v>1230</v>
      </c>
      <c r="D806" s="221">
        <v>25.25</v>
      </c>
      <c r="E806" s="221">
        <v>142.00230677685573</v>
      </c>
      <c r="F806" s="221">
        <v>10.996343343421518</v>
      </c>
      <c r="G806" s="222" t="s">
        <v>2942</v>
      </c>
    </row>
    <row r="807" spans="1:7">
      <c r="A807" s="220" t="s">
        <v>494</v>
      </c>
      <c r="B807" s="221">
        <v>0</v>
      </c>
      <c r="C807" s="221">
        <v>1330</v>
      </c>
      <c r="D807" s="221">
        <v>25.25</v>
      </c>
      <c r="E807" s="221">
        <v>162.45480677685575</v>
      </c>
      <c r="F807" s="221">
        <v>10.996343343421518</v>
      </c>
      <c r="G807" s="222" t="s">
        <v>2942</v>
      </c>
    </row>
    <row r="808" spans="1:7">
      <c r="A808" s="220" t="s">
        <v>495</v>
      </c>
      <c r="B808" s="221">
        <v>0</v>
      </c>
      <c r="C808" s="221">
        <v>1530</v>
      </c>
      <c r="D808" s="221">
        <v>25.25</v>
      </c>
      <c r="E808" s="221">
        <v>199.26930677685573</v>
      </c>
      <c r="F808" s="221">
        <v>10.996343343421518</v>
      </c>
      <c r="G808" s="222" t="s">
        <v>2942</v>
      </c>
    </row>
    <row r="809" spans="1:7">
      <c r="A809" s="220" t="s">
        <v>496</v>
      </c>
      <c r="B809" s="221">
        <v>0</v>
      </c>
      <c r="C809" s="221">
        <v>1680</v>
      </c>
      <c r="D809" s="221">
        <v>25.25</v>
      </c>
      <c r="E809" s="221">
        <v>223.81230677685573</v>
      </c>
      <c r="F809" s="221">
        <v>10.996343343421518</v>
      </c>
      <c r="G809" s="222" t="s">
        <v>2942</v>
      </c>
    </row>
    <row r="810" spans="1:7">
      <c r="A810" s="220" t="s">
        <v>497</v>
      </c>
      <c r="B810" s="221">
        <v>0</v>
      </c>
      <c r="C810" s="221">
        <v>1775</v>
      </c>
      <c r="D810" s="221">
        <v>25.25</v>
      </c>
      <c r="E810" s="221">
        <v>244.26480677685575</v>
      </c>
      <c r="F810" s="221">
        <v>10.996343343421518</v>
      </c>
      <c r="G810" s="222" t="s">
        <v>2942</v>
      </c>
    </row>
    <row r="811" spans="1:7">
      <c r="A811" s="220" t="s">
        <v>498</v>
      </c>
      <c r="B811" s="221">
        <v>0</v>
      </c>
      <c r="C811" s="221">
        <v>95</v>
      </c>
      <c r="D811" s="221">
        <v>25.25</v>
      </c>
      <c r="E811" s="221">
        <v>25.746613280285008</v>
      </c>
      <c r="F811" s="221">
        <v>6.8616963171138705</v>
      </c>
      <c r="G811" s="222" t="s">
        <v>2942</v>
      </c>
    </row>
    <row r="812" spans="1:7">
      <c r="A812" s="220" t="s">
        <v>499</v>
      </c>
      <c r="B812" s="221">
        <v>0</v>
      </c>
      <c r="C812" s="221">
        <v>95</v>
      </c>
      <c r="D812" s="221">
        <v>25.25</v>
      </c>
      <c r="E812" s="221">
        <v>29.019013280285012</v>
      </c>
      <c r="F812" s="221">
        <v>6.8616963171138705</v>
      </c>
      <c r="G812" s="222" t="s">
        <v>2942</v>
      </c>
    </row>
    <row r="813" spans="1:7">
      <c r="A813" s="220" t="s">
        <v>500</v>
      </c>
      <c r="B813" s="221">
        <v>0</v>
      </c>
      <c r="C813" s="221">
        <v>100</v>
      </c>
      <c r="D813" s="221">
        <v>25.25</v>
      </c>
      <c r="E813" s="221">
        <v>42.926713280285007</v>
      </c>
      <c r="F813" s="221">
        <v>6.8616963171138705</v>
      </c>
      <c r="G813" s="222" t="s">
        <v>2942</v>
      </c>
    </row>
    <row r="814" spans="1:7">
      <c r="A814" s="220" t="s">
        <v>501</v>
      </c>
      <c r="B814" s="221">
        <v>0</v>
      </c>
      <c r="C814" s="221">
        <v>130</v>
      </c>
      <c r="D814" s="221">
        <v>25.25</v>
      </c>
      <c r="E814" s="221">
        <v>60.924913280285004</v>
      </c>
      <c r="F814" s="221">
        <v>6.8616963171138705</v>
      </c>
      <c r="G814" s="222" t="s">
        <v>2942</v>
      </c>
    </row>
    <row r="815" spans="1:7">
      <c r="A815" s="220" t="s">
        <v>502</v>
      </c>
      <c r="B815" s="221">
        <v>0</v>
      </c>
      <c r="C815" s="221">
        <v>130</v>
      </c>
      <c r="D815" s="221">
        <v>25.25</v>
      </c>
      <c r="E815" s="221">
        <v>65.833513280285018</v>
      </c>
      <c r="F815" s="221">
        <v>6.8616963171138705</v>
      </c>
      <c r="G815" s="222" t="s">
        <v>2942</v>
      </c>
    </row>
    <row r="816" spans="1:7">
      <c r="A816" s="220" t="s">
        <v>503</v>
      </c>
      <c r="B816" s="221">
        <v>0</v>
      </c>
      <c r="C816" s="221">
        <v>145</v>
      </c>
      <c r="D816" s="221">
        <v>25.25</v>
      </c>
      <c r="E816" s="221">
        <v>70.742113280285011</v>
      </c>
      <c r="F816" s="221">
        <v>6.8616963171138705</v>
      </c>
      <c r="G816" s="222" t="s">
        <v>2942</v>
      </c>
    </row>
    <row r="817" spans="1:7">
      <c r="A817" s="220" t="s">
        <v>504</v>
      </c>
      <c r="B817" s="221">
        <v>0</v>
      </c>
      <c r="C817" s="221">
        <v>155</v>
      </c>
      <c r="D817" s="221">
        <v>25.25</v>
      </c>
      <c r="E817" s="221">
        <v>74.832613280285017</v>
      </c>
      <c r="F817" s="221">
        <v>6.8616963171138705</v>
      </c>
      <c r="G817" s="222" t="s">
        <v>2942</v>
      </c>
    </row>
    <row r="818" spans="1:7">
      <c r="A818" s="220" t="s">
        <v>505</v>
      </c>
      <c r="B818" s="221">
        <v>0</v>
      </c>
      <c r="C818" s="221">
        <v>170</v>
      </c>
      <c r="D818" s="221">
        <v>25.25</v>
      </c>
      <c r="E818" s="221">
        <v>79.74121328028501</v>
      </c>
      <c r="F818" s="221">
        <v>6.8616963171138705</v>
      </c>
      <c r="G818" s="222" t="s">
        <v>2942</v>
      </c>
    </row>
    <row r="819" spans="1:7">
      <c r="A819" s="220" t="s">
        <v>506</v>
      </c>
      <c r="B819" s="221">
        <v>0</v>
      </c>
      <c r="C819" s="221">
        <v>210</v>
      </c>
      <c r="D819" s="221">
        <v>25.25</v>
      </c>
      <c r="E819" s="221">
        <v>105.102313280285</v>
      </c>
      <c r="F819" s="221">
        <v>6.8616963171138705</v>
      </c>
      <c r="G819" s="222" t="s">
        <v>2942</v>
      </c>
    </row>
    <row r="820" spans="1:7">
      <c r="A820" s="220" t="s">
        <v>507</v>
      </c>
      <c r="B820" s="221">
        <v>0</v>
      </c>
      <c r="C820" s="221">
        <v>220</v>
      </c>
      <c r="D820" s="221">
        <v>25.25</v>
      </c>
      <c r="E820" s="221">
        <v>113.283313280285</v>
      </c>
      <c r="F820" s="221">
        <v>6.8616963171138705</v>
      </c>
      <c r="G820" s="222" t="s">
        <v>2942</v>
      </c>
    </row>
    <row r="821" spans="1:7">
      <c r="A821" s="220" t="s">
        <v>508</v>
      </c>
      <c r="B821" s="221">
        <v>0</v>
      </c>
      <c r="C821" s="221">
        <v>260</v>
      </c>
      <c r="D821" s="221">
        <v>25.25</v>
      </c>
      <c r="E821" s="221">
        <v>137.82631328028501</v>
      </c>
      <c r="F821" s="221">
        <v>6.8616963171138705</v>
      </c>
      <c r="G821" s="222" t="s">
        <v>2942</v>
      </c>
    </row>
    <row r="822" spans="1:7">
      <c r="A822" s="220" t="s">
        <v>509</v>
      </c>
      <c r="B822" s="221">
        <v>0</v>
      </c>
      <c r="C822" s="221">
        <v>325</v>
      </c>
      <c r="D822" s="221">
        <v>25.25</v>
      </c>
      <c r="E822" s="221">
        <v>162.36931328028501</v>
      </c>
      <c r="F822" s="221">
        <v>6.8616963171138705</v>
      </c>
      <c r="G822" s="222" t="s">
        <v>2942</v>
      </c>
    </row>
    <row r="823" spans="1:7">
      <c r="A823" s="220" t="s">
        <v>510</v>
      </c>
      <c r="B823" s="221">
        <v>0</v>
      </c>
      <c r="C823" s="221">
        <v>375</v>
      </c>
      <c r="D823" s="221">
        <v>25.25</v>
      </c>
      <c r="E823" s="221">
        <v>191.00281328028501</v>
      </c>
      <c r="F823" s="221">
        <v>6.8616963171138705</v>
      </c>
      <c r="G823" s="222" t="s">
        <v>2942</v>
      </c>
    </row>
    <row r="824" spans="1:7">
      <c r="A824" s="220" t="s">
        <v>511</v>
      </c>
      <c r="B824" s="221">
        <v>0</v>
      </c>
      <c r="C824" s="221">
        <v>420</v>
      </c>
      <c r="D824" s="221">
        <v>25.25</v>
      </c>
      <c r="E824" s="221">
        <v>211.45531328028503</v>
      </c>
      <c r="F824" s="221">
        <v>6.8616963171138705</v>
      </c>
      <c r="G824" s="222" t="s">
        <v>2942</v>
      </c>
    </row>
    <row r="825" spans="1:7">
      <c r="A825" s="220" t="s">
        <v>512</v>
      </c>
      <c r="B825" s="221">
        <v>0</v>
      </c>
      <c r="C825" s="221">
        <v>445</v>
      </c>
      <c r="D825" s="221">
        <v>25.25</v>
      </c>
      <c r="E825" s="221">
        <v>252.36031328028503</v>
      </c>
      <c r="F825" s="221">
        <v>6.8616963171138705</v>
      </c>
      <c r="G825" s="222" t="s">
        <v>2942</v>
      </c>
    </row>
    <row r="826" spans="1:7">
      <c r="A826" s="220" t="s">
        <v>513</v>
      </c>
      <c r="B826" s="221">
        <v>0</v>
      </c>
      <c r="C826" s="221">
        <v>510</v>
      </c>
      <c r="D826" s="221">
        <v>25.25</v>
      </c>
      <c r="E826" s="221">
        <v>293.265313280285</v>
      </c>
      <c r="F826" s="221">
        <v>6.8616963171138705</v>
      </c>
      <c r="G826" s="222" t="s">
        <v>2942</v>
      </c>
    </row>
    <row r="827" spans="1:7">
      <c r="A827" s="220" t="s">
        <v>514</v>
      </c>
      <c r="B827" s="221">
        <v>0</v>
      </c>
      <c r="C827" s="221">
        <v>610</v>
      </c>
      <c r="D827" s="221">
        <v>25.25</v>
      </c>
      <c r="E827" s="221">
        <v>354.62281328028502</v>
      </c>
      <c r="F827" s="221">
        <v>6.8616963171138705</v>
      </c>
      <c r="G827" s="222" t="s">
        <v>2942</v>
      </c>
    </row>
    <row r="828" spans="1:7">
      <c r="A828" s="220" t="s">
        <v>515</v>
      </c>
      <c r="B828" s="221">
        <v>0</v>
      </c>
      <c r="C828" s="221">
        <v>695</v>
      </c>
      <c r="D828" s="221">
        <v>25.25</v>
      </c>
      <c r="E828" s="221">
        <v>395.52781328028499</v>
      </c>
      <c r="F828" s="221">
        <v>6.8616963171138705</v>
      </c>
      <c r="G828" s="222" t="s">
        <v>2942</v>
      </c>
    </row>
    <row r="829" spans="1:7">
      <c r="A829" s="220" t="s">
        <v>516</v>
      </c>
      <c r="B829" s="221">
        <v>0</v>
      </c>
      <c r="C829" s="221">
        <v>755</v>
      </c>
      <c r="D829" s="221">
        <v>25.25</v>
      </c>
      <c r="E829" s="221">
        <v>436.43281328028502</v>
      </c>
      <c r="F829" s="221">
        <v>6.8616963171138705</v>
      </c>
      <c r="G829" s="222" t="s">
        <v>2942</v>
      </c>
    </row>
    <row r="830" spans="1:7">
      <c r="A830" s="220" t="s">
        <v>517</v>
      </c>
      <c r="B830" s="221">
        <v>0</v>
      </c>
      <c r="C830" s="221">
        <v>140</v>
      </c>
      <c r="D830" s="221">
        <v>25.25</v>
      </c>
      <c r="E830" s="221">
        <v>25.746613280285008</v>
      </c>
      <c r="F830" s="221">
        <v>6.8616963171138705</v>
      </c>
      <c r="G830" s="222" t="s">
        <v>2942</v>
      </c>
    </row>
    <row r="831" spans="1:7">
      <c r="A831" s="220" t="s">
        <v>518</v>
      </c>
      <c r="B831" s="221">
        <v>0</v>
      </c>
      <c r="C831" s="221">
        <v>140</v>
      </c>
      <c r="D831" s="221">
        <v>25.25</v>
      </c>
      <c r="E831" s="221">
        <v>29.019013280285012</v>
      </c>
      <c r="F831" s="221">
        <v>6.8616963171138705</v>
      </c>
      <c r="G831" s="222" t="s">
        <v>2942</v>
      </c>
    </row>
    <row r="832" spans="1:7">
      <c r="A832" s="220" t="s">
        <v>519</v>
      </c>
      <c r="B832" s="221">
        <v>0</v>
      </c>
      <c r="C832" s="221">
        <v>170</v>
      </c>
      <c r="D832" s="221">
        <v>25.25</v>
      </c>
      <c r="E832" s="221">
        <v>42.926713280285007</v>
      </c>
      <c r="F832" s="221">
        <v>6.8616963171138705</v>
      </c>
      <c r="G832" s="222" t="s">
        <v>2942</v>
      </c>
    </row>
    <row r="833" spans="1:7">
      <c r="A833" s="220" t="s">
        <v>520</v>
      </c>
      <c r="B833" s="221">
        <v>0</v>
      </c>
      <c r="C833" s="221">
        <v>250</v>
      </c>
      <c r="D833" s="221">
        <v>25.25</v>
      </c>
      <c r="E833" s="221">
        <v>60.924913280285004</v>
      </c>
      <c r="F833" s="221">
        <v>6.8616963171138705</v>
      </c>
      <c r="G833" s="222" t="s">
        <v>2942</v>
      </c>
    </row>
    <row r="834" spans="1:7">
      <c r="A834" s="220" t="s">
        <v>521</v>
      </c>
      <c r="B834" s="221">
        <v>0</v>
      </c>
      <c r="C834" s="221">
        <v>250</v>
      </c>
      <c r="D834" s="221">
        <v>25.25</v>
      </c>
      <c r="E834" s="221">
        <v>65.833513280285018</v>
      </c>
      <c r="F834" s="221">
        <v>6.8616963171138705</v>
      </c>
      <c r="G834" s="222" t="s">
        <v>2942</v>
      </c>
    </row>
    <row r="835" spans="1:7">
      <c r="A835" s="220" t="s">
        <v>522</v>
      </c>
      <c r="B835" s="221">
        <v>0</v>
      </c>
      <c r="C835" s="221">
        <v>345</v>
      </c>
      <c r="D835" s="221">
        <v>25.25</v>
      </c>
      <c r="E835" s="221">
        <v>70.742113280285011</v>
      </c>
      <c r="F835" s="221">
        <v>6.8616963171138705</v>
      </c>
      <c r="G835" s="222" t="s">
        <v>2942</v>
      </c>
    </row>
    <row r="836" spans="1:7">
      <c r="A836" s="220" t="s">
        <v>523</v>
      </c>
      <c r="B836" s="221">
        <v>0</v>
      </c>
      <c r="C836" s="221">
        <v>405</v>
      </c>
      <c r="D836" s="221">
        <v>25.25</v>
      </c>
      <c r="E836" s="221">
        <v>74.832613280285017</v>
      </c>
      <c r="F836" s="221">
        <v>6.8616963171138705</v>
      </c>
      <c r="G836" s="222" t="s">
        <v>2942</v>
      </c>
    </row>
    <row r="837" spans="1:7">
      <c r="A837" s="220" t="s">
        <v>524</v>
      </c>
      <c r="B837" s="221">
        <v>0</v>
      </c>
      <c r="C837" s="221">
        <v>440</v>
      </c>
      <c r="D837" s="221">
        <v>25.25</v>
      </c>
      <c r="E837" s="221">
        <v>79.74121328028501</v>
      </c>
      <c r="F837" s="221">
        <v>6.8616963171138705</v>
      </c>
      <c r="G837" s="222" t="s">
        <v>2942</v>
      </c>
    </row>
    <row r="838" spans="1:7">
      <c r="A838" s="220" t="s">
        <v>525</v>
      </c>
      <c r="B838" s="221">
        <v>0</v>
      </c>
      <c r="C838" s="221">
        <v>475</v>
      </c>
      <c r="D838" s="221">
        <v>25.25</v>
      </c>
      <c r="E838" s="221">
        <v>105.102313280285</v>
      </c>
      <c r="F838" s="221">
        <v>6.8616963171138705</v>
      </c>
      <c r="G838" s="222" t="s">
        <v>2942</v>
      </c>
    </row>
    <row r="839" spans="1:7">
      <c r="A839" s="220" t="s">
        <v>526</v>
      </c>
      <c r="B839" s="221">
        <v>0</v>
      </c>
      <c r="C839" s="221">
        <v>535</v>
      </c>
      <c r="D839" s="221">
        <v>25.25</v>
      </c>
      <c r="E839" s="221">
        <v>113.283313280285</v>
      </c>
      <c r="F839" s="221">
        <v>6.8616963171138705</v>
      </c>
      <c r="G839" s="222" t="s">
        <v>2942</v>
      </c>
    </row>
    <row r="840" spans="1:7">
      <c r="A840" s="220" t="s">
        <v>527</v>
      </c>
      <c r="B840" s="221">
        <v>0</v>
      </c>
      <c r="C840" s="221">
        <v>610</v>
      </c>
      <c r="D840" s="221">
        <v>25.25</v>
      </c>
      <c r="E840" s="221">
        <v>137.82631328028501</v>
      </c>
      <c r="F840" s="221">
        <v>6.8616963171138705</v>
      </c>
      <c r="G840" s="222" t="s">
        <v>2942</v>
      </c>
    </row>
    <row r="841" spans="1:7">
      <c r="A841" s="220" t="s">
        <v>528</v>
      </c>
      <c r="B841" s="221">
        <v>0</v>
      </c>
      <c r="C841" s="221">
        <v>780</v>
      </c>
      <c r="D841" s="221">
        <v>25.25</v>
      </c>
      <c r="E841" s="221">
        <v>162.36931328028501</v>
      </c>
      <c r="F841" s="221">
        <v>6.8616963171138705</v>
      </c>
      <c r="G841" s="222" t="s">
        <v>2942</v>
      </c>
    </row>
    <row r="842" spans="1:7">
      <c r="A842" s="220" t="s">
        <v>529</v>
      </c>
      <c r="B842" s="221">
        <v>0</v>
      </c>
      <c r="C842" s="221">
        <v>820</v>
      </c>
      <c r="D842" s="221">
        <v>25.25</v>
      </c>
      <c r="E842" s="221">
        <v>191.00281328028501</v>
      </c>
      <c r="F842" s="221">
        <v>6.8616963171138705</v>
      </c>
      <c r="G842" s="222" t="s">
        <v>2942</v>
      </c>
    </row>
    <row r="843" spans="1:7">
      <c r="A843" s="220" t="s">
        <v>530</v>
      </c>
      <c r="B843" s="221">
        <v>0</v>
      </c>
      <c r="C843" s="221">
        <v>845</v>
      </c>
      <c r="D843" s="221">
        <v>25.25</v>
      </c>
      <c r="E843" s="221">
        <v>211.45531328028503</v>
      </c>
      <c r="F843" s="221">
        <v>6.8616963171138705</v>
      </c>
      <c r="G843" s="222" t="s">
        <v>2942</v>
      </c>
    </row>
    <row r="844" spans="1:7">
      <c r="A844" s="220" t="s">
        <v>531</v>
      </c>
      <c r="B844" s="221">
        <v>0</v>
      </c>
      <c r="C844" s="221">
        <v>1040</v>
      </c>
      <c r="D844" s="221">
        <v>25.25</v>
      </c>
      <c r="E844" s="221">
        <v>252.36031328028503</v>
      </c>
      <c r="F844" s="221">
        <v>6.8616963171138705</v>
      </c>
      <c r="G844" s="222" t="s">
        <v>2942</v>
      </c>
    </row>
    <row r="845" spans="1:7">
      <c r="A845" s="220" t="s">
        <v>532</v>
      </c>
      <c r="B845" s="221">
        <v>0</v>
      </c>
      <c r="C845" s="221">
        <v>1165</v>
      </c>
      <c r="D845" s="221">
        <v>25.25</v>
      </c>
      <c r="E845" s="221">
        <v>293.265313280285</v>
      </c>
      <c r="F845" s="221">
        <v>6.8616963171138705</v>
      </c>
      <c r="G845" s="222" t="s">
        <v>2942</v>
      </c>
    </row>
    <row r="846" spans="1:7">
      <c r="A846" s="220" t="s">
        <v>533</v>
      </c>
      <c r="B846" s="221">
        <v>0</v>
      </c>
      <c r="C846" s="221">
        <v>1250</v>
      </c>
      <c r="D846" s="221">
        <v>25.25</v>
      </c>
      <c r="E846" s="221">
        <v>354.62281328028502</v>
      </c>
      <c r="F846" s="221">
        <v>6.8616963171138705</v>
      </c>
      <c r="G846" s="222" t="s">
        <v>2942</v>
      </c>
    </row>
    <row r="847" spans="1:7">
      <c r="A847" s="220" t="s">
        <v>534</v>
      </c>
      <c r="B847" s="221">
        <v>0</v>
      </c>
      <c r="C847" s="221">
        <v>1360</v>
      </c>
      <c r="D847" s="221">
        <v>25.25</v>
      </c>
      <c r="E847" s="221">
        <v>395.52781328028499</v>
      </c>
      <c r="F847" s="221">
        <v>6.8616963171138705</v>
      </c>
      <c r="G847" s="222" t="s">
        <v>2942</v>
      </c>
    </row>
    <row r="848" spans="1:7">
      <c r="A848" s="220" t="s">
        <v>535</v>
      </c>
      <c r="B848" s="221">
        <v>0</v>
      </c>
      <c r="C848" s="221">
        <v>1405</v>
      </c>
      <c r="D848" s="221">
        <v>25.25</v>
      </c>
      <c r="E848" s="221">
        <v>436.43281328028502</v>
      </c>
      <c r="F848" s="221">
        <v>6.8616963171138705</v>
      </c>
      <c r="G848" s="222" t="s">
        <v>2942</v>
      </c>
    </row>
    <row r="849" spans="1:7">
      <c r="A849" s="220" t="s">
        <v>536</v>
      </c>
      <c r="B849" s="221">
        <v>0</v>
      </c>
      <c r="C849" s="221">
        <v>179</v>
      </c>
      <c r="D849" s="221">
        <v>25.25</v>
      </c>
      <c r="E849" s="221">
        <v>29.922606776855734</v>
      </c>
      <c r="F849" s="221">
        <v>10.996343343421518</v>
      </c>
      <c r="G849" s="222" t="s">
        <v>2942</v>
      </c>
    </row>
    <row r="850" spans="1:7">
      <c r="A850" s="220" t="s">
        <v>537</v>
      </c>
      <c r="B850" s="221">
        <v>0</v>
      </c>
      <c r="C850" s="221">
        <v>179</v>
      </c>
      <c r="D850" s="221">
        <v>25.25</v>
      </c>
      <c r="E850" s="221">
        <v>33.195006776855735</v>
      </c>
      <c r="F850" s="221">
        <v>10.996343343421518</v>
      </c>
      <c r="G850" s="222" t="s">
        <v>2942</v>
      </c>
    </row>
    <row r="851" spans="1:7">
      <c r="A851" s="220" t="s">
        <v>538</v>
      </c>
      <c r="B851" s="221">
        <v>0</v>
      </c>
      <c r="C851" s="221">
        <v>189</v>
      </c>
      <c r="D851" s="221">
        <v>25.25</v>
      </c>
      <c r="E851" s="221">
        <v>47.102706776855733</v>
      </c>
      <c r="F851" s="221">
        <v>10.996343343421518</v>
      </c>
      <c r="G851" s="222" t="s">
        <v>2942</v>
      </c>
    </row>
    <row r="852" spans="1:7">
      <c r="A852" s="220" t="s">
        <v>539</v>
      </c>
      <c r="B852" s="221">
        <v>0</v>
      </c>
      <c r="C852" s="221">
        <v>385</v>
      </c>
      <c r="D852" s="221">
        <v>25.25</v>
      </c>
      <c r="E852" s="221">
        <v>65.100906776855737</v>
      </c>
      <c r="F852" s="221">
        <v>10.996343343421518</v>
      </c>
      <c r="G852" s="222" t="s">
        <v>2942</v>
      </c>
    </row>
    <row r="853" spans="1:7">
      <c r="A853" s="220" t="s">
        <v>540</v>
      </c>
      <c r="B853" s="221">
        <v>0</v>
      </c>
      <c r="C853" s="221">
        <v>385</v>
      </c>
      <c r="D853" s="221">
        <v>25.25</v>
      </c>
      <c r="E853" s="221">
        <v>70.009506776855744</v>
      </c>
      <c r="F853" s="221">
        <v>10.996343343421518</v>
      </c>
      <c r="G853" s="222" t="s">
        <v>2942</v>
      </c>
    </row>
    <row r="854" spans="1:7">
      <c r="A854" s="220" t="s">
        <v>541</v>
      </c>
      <c r="B854" s="221">
        <v>0</v>
      </c>
      <c r="C854" s="221">
        <v>545</v>
      </c>
      <c r="D854" s="221">
        <v>25.25</v>
      </c>
      <c r="E854" s="221">
        <v>74.918106776855737</v>
      </c>
      <c r="F854" s="221">
        <v>10.996343343421518</v>
      </c>
      <c r="G854" s="222" t="s">
        <v>2942</v>
      </c>
    </row>
    <row r="855" spans="1:7">
      <c r="A855" s="220" t="s">
        <v>542</v>
      </c>
      <c r="B855" s="221">
        <v>0</v>
      </c>
      <c r="C855" s="221">
        <v>655</v>
      </c>
      <c r="D855" s="221">
        <v>25.25</v>
      </c>
      <c r="E855" s="221">
        <v>79.008606776855729</v>
      </c>
      <c r="F855" s="221">
        <v>10.996343343421518</v>
      </c>
      <c r="G855" s="222" t="s">
        <v>2942</v>
      </c>
    </row>
    <row r="856" spans="1:7">
      <c r="A856" s="220" t="s">
        <v>543</v>
      </c>
      <c r="B856" s="221">
        <v>0</v>
      </c>
      <c r="C856" s="221">
        <v>715</v>
      </c>
      <c r="D856" s="221">
        <v>25.25</v>
      </c>
      <c r="E856" s="221">
        <v>83.917206776855735</v>
      </c>
      <c r="F856" s="221">
        <v>10.996343343421518</v>
      </c>
      <c r="G856" s="222" t="s">
        <v>2942</v>
      </c>
    </row>
    <row r="857" spans="1:7">
      <c r="A857" s="220" t="s">
        <v>544</v>
      </c>
      <c r="B857" s="221">
        <v>0</v>
      </c>
      <c r="C857" s="221">
        <v>790</v>
      </c>
      <c r="D857" s="221">
        <v>25.25</v>
      </c>
      <c r="E857" s="221">
        <v>109.27830677685573</v>
      </c>
      <c r="F857" s="221">
        <v>10.996343343421518</v>
      </c>
      <c r="G857" s="222" t="s">
        <v>2942</v>
      </c>
    </row>
    <row r="858" spans="1:7">
      <c r="A858" s="220" t="s">
        <v>545</v>
      </c>
      <c r="B858" s="221">
        <v>0</v>
      </c>
      <c r="C858" s="221">
        <v>865</v>
      </c>
      <c r="D858" s="221">
        <v>25.25</v>
      </c>
      <c r="E858" s="221">
        <v>117.45930677685573</v>
      </c>
      <c r="F858" s="221">
        <v>10.996343343421518</v>
      </c>
      <c r="G858" s="222" t="s">
        <v>2942</v>
      </c>
    </row>
    <row r="859" spans="1:7">
      <c r="A859" s="220" t="s">
        <v>546</v>
      </c>
      <c r="B859" s="221">
        <v>0</v>
      </c>
      <c r="C859" s="221">
        <v>970</v>
      </c>
      <c r="D859" s="221">
        <v>25.25</v>
      </c>
      <c r="E859" s="221">
        <v>142.00230677685573</v>
      </c>
      <c r="F859" s="221">
        <v>10.996343343421518</v>
      </c>
      <c r="G859" s="222" t="s">
        <v>2942</v>
      </c>
    </row>
    <row r="860" spans="1:7">
      <c r="A860" s="220" t="s">
        <v>547</v>
      </c>
      <c r="B860" s="221">
        <v>0</v>
      </c>
      <c r="C860" s="221">
        <v>1155</v>
      </c>
      <c r="D860" s="221">
        <v>25.25</v>
      </c>
      <c r="E860" s="221">
        <v>166.54530677685574</v>
      </c>
      <c r="F860" s="221">
        <v>10.996343343421518</v>
      </c>
      <c r="G860" s="222" t="s">
        <v>2942</v>
      </c>
    </row>
    <row r="861" spans="1:7">
      <c r="A861" s="220" t="s">
        <v>548</v>
      </c>
      <c r="B861" s="221">
        <v>0</v>
      </c>
      <c r="C861" s="221">
        <v>1230</v>
      </c>
      <c r="D861" s="221">
        <v>25.25</v>
      </c>
      <c r="E861" s="221">
        <v>195.17880677685574</v>
      </c>
      <c r="F861" s="221">
        <v>10.996343343421518</v>
      </c>
      <c r="G861" s="222" t="s">
        <v>2942</v>
      </c>
    </row>
    <row r="862" spans="1:7">
      <c r="A862" s="220" t="s">
        <v>549</v>
      </c>
      <c r="B862" s="221">
        <v>0</v>
      </c>
      <c r="C862" s="221">
        <v>1280</v>
      </c>
      <c r="D862" s="221">
        <v>25.25</v>
      </c>
      <c r="E862" s="221">
        <v>215.63130677685575</v>
      </c>
      <c r="F862" s="221">
        <v>10.996343343421518</v>
      </c>
      <c r="G862" s="222" t="s">
        <v>2942</v>
      </c>
    </row>
    <row r="863" spans="1:7">
      <c r="A863" s="220" t="s">
        <v>550</v>
      </c>
      <c r="B863" s="221">
        <v>0</v>
      </c>
      <c r="C863" s="221">
        <v>1560</v>
      </c>
      <c r="D863" s="221">
        <v>25.25</v>
      </c>
      <c r="E863" s="221">
        <v>256.53630677685572</v>
      </c>
      <c r="F863" s="221">
        <v>10.996343343421518</v>
      </c>
      <c r="G863" s="222" t="s">
        <v>2942</v>
      </c>
    </row>
    <row r="864" spans="1:7">
      <c r="A864" s="220" t="s">
        <v>551</v>
      </c>
      <c r="B864" s="221">
        <v>0</v>
      </c>
      <c r="C864" s="221">
        <v>1640</v>
      </c>
      <c r="D864" s="221">
        <v>25.25</v>
      </c>
      <c r="E864" s="221">
        <v>297.44130677685575</v>
      </c>
      <c r="F864" s="221">
        <v>10.996343343421518</v>
      </c>
      <c r="G864" s="222" t="s">
        <v>2942</v>
      </c>
    </row>
    <row r="865" spans="1:7">
      <c r="A865" s="220" t="s">
        <v>552</v>
      </c>
      <c r="B865" s="221">
        <v>0</v>
      </c>
      <c r="C865" s="221">
        <v>1880</v>
      </c>
      <c r="D865" s="221">
        <v>25.25</v>
      </c>
      <c r="E865" s="221">
        <v>358.79880677685577</v>
      </c>
      <c r="F865" s="221">
        <v>10.996343343421518</v>
      </c>
      <c r="G865" s="222" t="s">
        <v>2942</v>
      </c>
    </row>
    <row r="866" spans="1:7">
      <c r="A866" s="220" t="s">
        <v>553</v>
      </c>
      <c r="B866" s="221">
        <v>0</v>
      </c>
      <c r="C866" s="221">
        <v>2025</v>
      </c>
      <c r="D866" s="221">
        <v>25.25</v>
      </c>
      <c r="E866" s="221">
        <v>399.70380677685574</v>
      </c>
      <c r="F866" s="221">
        <v>10.996343343421518</v>
      </c>
      <c r="G866" s="222" t="s">
        <v>2942</v>
      </c>
    </row>
    <row r="867" spans="1:7">
      <c r="A867" s="220" t="s">
        <v>554</v>
      </c>
      <c r="B867" s="221">
        <v>0</v>
      </c>
      <c r="C867" s="221">
        <v>2145</v>
      </c>
      <c r="D867" s="221">
        <v>25.25</v>
      </c>
      <c r="E867" s="221">
        <v>440.60880677685577</v>
      </c>
      <c r="F867" s="221">
        <v>10.996343343421518</v>
      </c>
      <c r="G867" s="222" t="s">
        <v>2942</v>
      </c>
    </row>
    <row r="868" spans="1:7">
      <c r="A868" s="220" t="s">
        <v>783</v>
      </c>
      <c r="B868" s="221">
        <v>0</v>
      </c>
      <c r="C868" s="221">
        <v>70</v>
      </c>
      <c r="D868" s="221">
        <v>25.25</v>
      </c>
      <c r="E868" s="221">
        <v>30.655213280285011</v>
      </c>
      <c r="F868" s="221">
        <v>6.8616963171138705</v>
      </c>
      <c r="G868" s="222" t="s">
        <v>2942</v>
      </c>
    </row>
    <row r="869" spans="1:7">
      <c r="A869" s="220" t="s">
        <v>784</v>
      </c>
      <c r="B869" s="221">
        <v>0</v>
      </c>
      <c r="C869" s="221">
        <v>70</v>
      </c>
      <c r="D869" s="221">
        <v>25.25</v>
      </c>
      <c r="E869" s="221">
        <v>33.927613280285001</v>
      </c>
      <c r="F869" s="221">
        <v>6.8616963171138705</v>
      </c>
      <c r="G869" s="222" t="s">
        <v>2942</v>
      </c>
    </row>
    <row r="870" spans="1:7">
      <c r="A870" s="220" t="s">
        <v>785</v>
      </c>
      <c r="B870" s="221">
        <v>0</v>
      </c>
      <c r="C870" s="221">
        <v>80</v>
      </c>
      <c r="D870" s="221">
        <v>25.25</v>
      </c>
      <c r="E870" s="221">
        <v>38.018113280285007</v>
      </c>
      <c r="F870" s="221">
        <v>6.8616963171138705</v>
      </c>
      <c r="G870" s="222" t="s">
        <v>2942</v>
      </c>
    </row>
    <row r="871" spans="1:7">
      <c r="A871" s="220" t="s">
        <v>786</v>
      </c>
      <c r="B871" s="221">
        <v>0</v>
      </c>
      <c r="C871" s="221">
        <v>90</v>
      </c>
      <c r="D871" s="221">
        <v>25.25</v>
      </c>
      <c r="E871" s="221">
        <v>38.018113280285007</v>
      </c>
      <c r="F871" s="221">
        <v>6.8616963171138705</v>
      </c>
      <c r="G871" s="222" t="s">
        <v>2942</v>
      </c>
    </row>
    <row r="872" spans="1:7">
      <c r="A872" s="220" t="s">
        <v>787</v>
      </c>
      <c r="B872" s="221">
        <v>0</v>
      </c>
      <c r="C872" s="221">
        <v>90</v>
      </c>
      <c r="D872" s="221">
        <v>25.25</v>
      </c>
      <c r="E872" s="221">
        <v>38.018113280285007</v>
      </c>
      <c r="F872" s="221">
        <v>6.8616963171138705</v>
      </c>
      <c r="G872" s="222" t="s">
        <v>2942</v>
      </c>
    </row>
    <row r="873" spans="1:7">
      <c r="A873" s="220" t="s">
        <v>788</v>
      </c>
      <c r="B873" s="221">
        <v>0</v>
      </c>
      <c r="C873" s="221">
        <v>95</v>
      </c>
      <c r="D873" s="221">
        <v>25.25</v>
      </c>
      <c r="E873" s="221">
        <v>38.018113280285007</v>
      </c>
      <c r="F873" s="221">
        <v>6.8616963171138705</v>
      </c>
      <c r="G873" s="222" t="s">
        <v>2942</v>
      </c>
    </row>
    <row r="874" spans="1:7">
      <c r="A874" s="220" t="s">
        <v>789</v>
      </c>
      <c r="B874" s="221">
        <v>0</v>
      </c>
      <c r="C874" s="221">
        <v>100</v>
      </c>
      <c r="D874" s="221">
        <v>25.25</v>
      </c>
      <c r="E874" s="221">
        <v>38.018113280285007</v>
      </c>
      <c r="F874" s="221">
        <v>6.8616963171138705</v>
      </c>
      <c r="G874" s="222" t="s">
        <v>2942</v>
      </c>
    </row>
    <row r="875" spans="1:7">
      <c r="A875" s="220" t="s">
        <v>790</v>
      </c>
      <c r="B875" s="221">
        <v>0</v>
      </c>
      <c r="C875" s="221">
        <v>115</v>
      </c>
      <c r="D875" s="221">
        <v>25.25</v>
      </c>
      <c r="E875" s="221">
        <v>38.018113280285007</v>
      </c>
      <c r="F875" s="221">
        <v>6.8616963171138705</v>
      </c>
      <c r="G875" s="222" t="s">
        <v>2942</v>
      </c>
    </row>
    <row r="876" spans="1:7">
      <c r="A876" s="220" t="s">
        <v>791</v>
      </c>
      <c r="B876" s="221">
        <v>0</v>
      </c>
      <c r="C876" s="221">
        <v>120</v>
      </c>
      <c r="D876" s="221">
        <v>25.25</v>
      </c>
      <c r="E876" s="221">
        <v>42.926713280285007</v>
      </c>
      <c r="F876" s="221">
        <v>6.8616963171138705</v>
      </c>
      <c r="G876" s="222" t="s">
        <v>2942</v>
      </c>
    </row>
    <row r="877" spans="1:7">
      <c r="A877" s="220" t="s">
        <v>792</v>
      </c>
      <c r="B877" s="221">
        <v>0</v>
      </c>
      <c r="C877" s="221">
        <v>130</v>
      </c>
      <c r="D877" s="221">
        <v>25.25</v>
      </c>
      <c r="E877" s="221">
        <v>51.925813280285013</v>
      </c>
      <c r="F877" s="221">
        <v>6.8616963171138705</v>
      </c>
      <c r="G877" s="222" t="s">
        <v>2942</v>
      </c>
    </row>
    <row r="878" spans="1:7">
      <c r="A878" s="220" t="s">
        <v>793</v>
      </c>
      <c r="B878" s="221">
        <v>0</v>
      </c>
      <c r="C878" s="221">
        <v>145</v>
      </c>
      <c r="D878" s="221">
        <v>25.25</v>
      </c>
      <c r="E878" s="221">
        <v>56.016313280285011</v>
      </c>
      <c r="F878" s="221">
        <v>6.8616963171138705</v>
      </c>
      <c r="G878" s="222" t="s">
        <v>2942</v>
      </c>
    </row>
    <row r="879" spans="1:7">
      <c r="A879" s="220" t="s">
        <v>794</v>
      </c>
      <c r="B879" s="221">
        <v>0</v>
      </c>
      <c r="C879" s="221">
        <v>175</v>
      </c>
      <c r="D879" s="221">
        <v>25.25</v>
      </c>
      <c r="E879" s="221">
        <v>72.378313280284999</v>
      </c>
      <c r="F879" s="221">
        <v>6.8616963171138705</v>
      </c>
      <c r="G879" s="222" t="s">
        <v>2942</v>
      </c>
    </row>
    <row r="880" spans="1:7">
      <c r="A880" s="220" t="s">
        <v>795</v>
      </c>
      <c r="B880" s="221">
        <v>0</v>
      </c>
      <c r="C880" s="221">
        <v>210</v>
      </c>
      <c r="D880" s="221">
        <v>25.25</v>
      </c>
      <c r="E880" s="221">
        <v>88.740313280285008</v>
      </c>
      <c r="F880" s="221">
        <v>6.8616963171138705</v>
      </c>
      <c r="G880" s="222" t="s">
        <v>2942</v>
      </c>
    </row>
    <row r="881" spans="1:7">
      <c r="A881" s="220" t="s">
        <v>796</v>
      </c>
      <c r="B881" s="221">
        <v>0</v>
      </c>
      <c r="C881" s="221">
        <v>230</v>
      </c>
      <c r="D881" s="221">
        <v>25.25</v>
      </c>
      <c r="E881" s="221">
        <v>96.921313280285005</v>
      </c>
      <c r="F881" s="221">
        <v>6.8616963171138705</v>
      </c>
      <c r="G881" s="222" t="s">
        <v>2942</v>
      </c>
    </row>
    <row r="882" spans="1:7">
      <c r="A882" s="220" t="s">
        <v>797</v>
      </c>
      <c r="B882" s="221">
        <v>0</v>
      </c>
      <c r="C882" s="221">
        <v>285</v>
      </c>
      <c r="D882" s="221">
        <v>25.25</v>
      </c>
      <c r="E882" s="221">
        <v>137.82631328028501</v>
      </c>
      <c r="F882" s="221">
        <v>6.8616963171138705</v>
      </c>
      <c r="G882" s="222" t="s">
        <v>2942</v>
      </c>
    </row>
    <row r="883" spans="1:7">
      <c r="A883" s="220" t="s">
        <v>798</v>
      </c>
      <c r="B883" s="221">
        <v>0</v>
      </c>
      <c r="C883" s="221">
        <v>300</v>
      </c>
      <c r="D883" s="221">
        <v>25.25</v>
      </c>
      <c r="E883" s="221">
        <v>158.27881328028502</v>
      </c>
      <c r="F883" s="221">
        <v>6.8616963171138705</v>
      </c>
      <c r="G883" s="222" t="s">
        <v>2942</v>
      </c>
    </row>
    <row r="884" spans="1:7">
      <c r="A884" s="220" t="s">
        <v>799</v>
      </c>
      <c r="B884" s="221">
        <v>0</v>
      </c>
      <c r="C884" s="221">
        <v>350</v>
      </c>
      <c r="D884" s="221">
        <v>25.25</v>
      </c>
      <c r="E884" s="221">
        <v>195.093313280285</v>
      </c>
      <c r="F884" s="221">
        <v>6.8616963171138705</v>
      </c>
      <c r="G884" s="222" t="s">
        <v>2942</v>
      </c>
    </row>
    <row r="885" spans="1:7">
      <c r="A885" s="220" t="s">
        <v>800</v>
      </c>
      <c r="B885" s="221">
        <v>0</v>
      </c>
      <c r="C885" s="221">
        <v>405</v>
      </c>
      <c r="D885" s="221">
        <v>25.25</v>
      </c>
      <c r="E885" s="221">
        <v>219.63631328028501</v>
      </c>
      <c r="F885" s="221">
        <v>6.8616963171138705</v>
      </c>
      <c r="G885" s="222" t="s">
        <v>2942</v>
      </c>
    </row>
    <row r="886" spans="1:7">
      <c r="A886" s="220" t="s">
        <v>801</v>
      </c>
      <c r="B886" s="221">
        <v>0</v>
      </c>
      <c r="C886" s="221">
        <v>450</v>
      </c>
      <c r="D886" s="221">
        <v>25.25</v>
      </c>
      <c r="E886" s="221">
        <v>240.08881328028502</v>
      </c>
      <c r="F886" s="221">
        <v>6.8616963171138705</v>
      </c>
      <c r="G886" s="222" t="s">
        <v>2942</v>
      </c>
    </row>
    <row r="887" spans="1:7">
      <c r="A887" s="220" t="s">
        <v>802</v>
      </c>
      <c r="B887" s="221">
        <v>0</v>
      </c>
      <c r="C887" s="221">
        <v>75</v>
      </c>
      <c r="D887" s="221">
        <v>25.25</v>
      </c>
      <c r="E887" s="221">
        <v>30.655213280285011</v>
      </c>
      <c r="F887" s="221">
        <v>6.8616963171138705</v>
      </c>
      <c r="G887" s="222" t="s">
        <v>2942</v>
      </c>
    </row>
    <row r="888" spans="1:7">
      <c r="A888" s="220" t="s">
        <v>803</v>
      </c>
      <c r="B888" s="221">
        <v>0</v>
      </c>
      <c r="C888" s="221">
        <v>75</v>
      </c>
      <c r="D888" s="221">
        <v>25.25</v>
      </c>
      <c r="E888" s="221">
        <v>33.927613280285001</v>
      </c>
      <c r="F888" s="221">
        <v>6.8616963171138705</v>
      </c>
      <c r="G888" s="222" t="s">
        <v>2942</v>
      </c>
    </row>
    <row r="889" spans="1:7">
      <c r="A889" s="220" t="s">
        <v>804</v>
      </c>
      <c r="B889" s="221">
        <v>0</v>
      </c>
      <c r="C889" s="221">
        <v>85</v>
      </c>
      <c r="D889" s="221">
        <v>25.25</v>
      </c>
      <c r="E889" s="221">
        <v>38.018113280285007</v>
      </c>
      <c r="F889" s="221">
        <v>6.8616963171138705</v>
      </c>
      <c r="G889" s="222" t="s">
        <v>2942</v>
      </c>
    </row>
    <row r="890" spans="1:7">
      <c r="A890" s="220" t="s">
        <v>805</v>
      </c>
      <c r="B890" s="221">
        <v>0</v>
      </c>
      <c r="C890" s="221">
        <v>120</v>
      </c>
      <c r="D890" s="221">
        <v>25.25</v>
      </c>
      <c r="E890" s="221">
        <v>38.018113280285007</v>
      </c>
      <c r="F890" s="221">
        <v>6.8616963171138705</v>
      </c>
      <c r="G890" s="222" t="s">
        <v>2942</v>
      </c>
    </row>
    <row r="891" spans="1:7">
      <c r="A891" s="220" t="s">
        <v>806</v>
      </c>
      <c r="B891" s="221">
        <v>0</v>
      </c>
      <c r="C891" s="221">
        <v>120</v>
      </c>
      <c r="D891" s="221">
        <v>25.25</v>
      </c>
      <c r="E891" s="221">
        <v>38.018113280285007</v>
      </c>
      <c r="F891" s="221">
        <v>6.8616963171138705</v>
      </c>
      <c r="G891" s="222" t="s">
        <v>2942</v>
      </c>
    </row>
    <row r="892" spans="1:7">
      <c r="A892" s="220" t="s">
        <v>807</v>
      </c>
      <c r="B892" s="221">
        <v>0</v>
      </c>
      <c r="C892" s="221">
        <v>125</v>
      </c>
      <c r="D892" s="221">
        <v>25.25</v>
      </c>
      <c r="E892" s="221">
        <v>38.018113280285007</v>
      </c>
      <c r="F892" s="221">
        <v>6.8616963171138705</v>
      </c>
      <c r="G892" s="222" t="s">
        <v>2942</v>
      </c>
    </row>
    <row r="893" spans="1:7">
      <c r="A893" s="220" t="s">
        <v>808</v>
      </c>
      <c r="B893" s="221">
        <v>0</v>
      </c>
      <c r="C893" s="221">
        <v>145</v>
      </c>
      <c r="D893" s="221">
        <v>25.25</v>
      </c>
      <c r="E893" s="221">
        <v>38.018113280285007</v>
      </c>
      <c r="F893" s="221">
        <v>6.8616963171138705</v>
      </c>
      <c r="G893" s="222" t="s">
        <v>2942</v>
      </c>
    </row>
    <row r="894" spans="1:7">
      <c r="A894" s="220" t="s">
        <v>809</v>
      </c>
      <c r="B894" s="221">
        <v>0</v>
      </c>
      <c r="C894" s="221">
        <v>150</v>
      </c>
      <c r="D894" s="221">
        <v>25.25</v>
      </c>
      <c r="E894" s="221">
        <v>38.018113280285007</v>
      </c>
      <c r="F894" s="221">
        <v>6.8616963171138705</v>
      </c>
      <c r="G894" s="222" t="s">
        <v>2942</v>
      </c>
    </row>
    <row r="895" spans="1:7">
      <c r="A895" s="220" t="s">
        <v>810</v>
      </c>
      <c r="B895" s="221">
        <v>0</v>
      </c>
      <c r="C895" s="221">
        <v>225</v>
      </c>
      <c r="D895" s="221">
        <v>25.25</v>
      </c>
      <c r="E895" s="221">
        <v>42.926713280285007</v>
      </c>
      <c r="F895" s="221">
        <v>6.8616963171138705</v>
      </c>
      <c r="G895" s="222" t="s">
        <v>2942</v>
      </c>
    </row>
    <row r="896" spans="1:7">
      <c r="A896" s="220" t="s">
        <v>811</v>
      </c>
      <c r="B896" s="221">
        <v>0</v>
      </c>
      <c r="C896" s="221">
        <v>260</v>
      </c>
      <c r="D896" s="221">
        <v>25.25</v>
      </c>
      <c r="E896" s="221">
        <v>51.925813280285013</v>
      </c>
      <c r="F896" s="221">
        <v>6.8616963171138705</v>
      </c>
      <c r="G896" s="222" t="s">
        <v>2942</v>
      </c>
    </row>
    <row r="897" spans="1:7">
      <c r="A897" s="220" t="s">
        <v>812</v>
      </c>
      <c r="B897" s="221">
        <v>0</v>
      </c>
      <c r="C897" s="221">
        <v>345</v>
      </c>
      <c r="D897" s="221">
        <v>25.25</v>
      </c>
      <c r="E897" s="221">
        <v>56.016313280285011</v>
      </c>
      <c r="F897" s="221">
        <v>6.8616963171138705</v>
      </c>
      <c r="G897" s="222" t="s">
        <v>2942</v>
      </c>
    </row>
    <row r="898" spans="1:7">
      <c r="A898" s="220" t="s">
        <v>813</v>
      </c>
      <c r="B898" s="221">
        <v>0</v>
      </c>
      <c r="C898" s="221">
        <v>520</v>
      </c>
      <c r="D898" s="221">
        <v>25.25</v>
      </c>
      <c r="E898" s="221">
        <v>72.378313280284999</v>
      </c>
      <c r="F898" s="221">
        <v>6.8616963171138705</v>
      </c>
      <c r="G898" s="222" t="s">
        <v>2942</v>
      </c>
    </row>
    <row r="899" spans="1:7">
      <c r="A899" s="220" t="s">
        <v>814</v>
      </c>
      <c r="B899" s="221">
        <v>0</v>
      </c>
      <c r="C899" s="221">
        <v>610</v>
      </c>
      <c r="D899" s="221">
        <v>25.25</v>
      </c>
      <c r="E899" s="221">
        <v>88.740313280285008</v>
      </c>
      <c r="F899" s="221">
        <v>6.8616963171138705</v>
      </c>
      <c r="G899" s="222" t="s">
        <v>2942</v>
      </c>
    </row>
    <row r="900" spans="1:7">
      <c r="A900" s="220" t="s">
        <v>815</v>
      </c>
      <c r="B900" s="221">
        <v>0</v>
      </c>
      <c r="C900" s="221">
        <v>670</v>
      </c>
      <c r="D900" s="221">
        <v>25.25</v>
      </c>
      <c r="E900" s="221">
        <v>96.921313280285005</v>
      </c>
      <c r="F900" s="221">
        <v>6.8616963171138705</v>
      </c>
      <c r="G900" s="222" t="s">
        <v>2942</v>
      </c>
    </row>
    <row r="901" spans="1:7">
      <c r="A901" s="220" t="s">
        <v>816</v>
      </c>
      <c r="B901" s="221">
        <v>0</v>
      </c>
      <c r="C901" s="221">
        <v>820</v>
      </c>
      <c r="D901" s="221">
        <v>25.25</v>
      </c>
      <c r="E901" s="221">
        <v>137.82631328028501</v>
      </c>
      <c r="F901" s="221">
        <v>6.8616963171138705</v>
      </c>
      <c r="G901" s="222" t="s">
        <v>2942</v>
      </c>
    </row>
    <row r="902" spans="1:7">
      <c r="A902" s="220" t="s">
        <v>817</v>
      </c>
      <c r="B902" s="221">
        <v>0</v>
      </c>
      <c r="C902" s="221">
        <v>890</v>
      </c>
      <c r="D902" s="221">
        <v>25.25</v>
      </c>
      <c r="E902" s="221">
        <v>158.27881328028502</v>
      </c>
      <c r="F902" s="221">
        <v>6.8616963171138705</v>
      </c>
      <c r="G902" s="222" t="s">
        <v>2942</v>
      </c>
    </row>
    <row r="903" spans="1:7">
      <c r="A903" s="220" t="s">
        <v>818</v>
      </c>
      <c r="B903" s="221">
        <v>0</v>
      </c>
      <c r="C903" s="221">
        <v>1020</v>
      </c>
      <c r="D903" s="221">
        <v>25.25</v>
      </c>
      <c r="E903" s="221">
        <v>195.093313280285</v>
      </c>
      <c r="F903" s="221">
        <v>6.8616963171138705</v>
      </c>
      <c r="G903" s="222" t="s">
        <v>2942</v>
      </c>
    </row>
    <row r="904" spans="1:7">
      <c r="A904" s="220" t="s">
        <v>819</v>
      </c>
      <c r="B904" s="221">
        <v>0</v>
      </c>
      <c r="C904" s="221">
        <v>1120</v>
      </c>
      <c r="D904" s="221">
        <v>25.25</v>
      </c>
      <c r="E904" s="221">
        <v>219.63631328028501</v>
      </c>
      <c r="F904" s="221">
        <v>6.8616963171138705</v>
      </c>
      <c r="G904" s="222" t="s">
        <v>2942</v>
      </c>
    </row>
    <row r="905" spans="1:7">
      <c r="A905" s="220" t="s">
        <v>820</v>
      </c>
      <c r="B905" s="221">
        <v>0</v>
      </c>
      <c r="C905" s="221">
        <v>1185</v>
      </c>
      <c r="D905" s="221">
        <v>25.25</v>
      </c>
      <c r="E905" s="221">
        <v>240.08881328028502</v>
      </c>
      <c r="F905" s="221">
        <v>6.8616963171138705</v>
      </c>
      <c r="G905" s="222" t="s">
        <v>2942</v>
      </c>
    </row>
    <row r="906" spans="1:7">
      <c r="A906" s="220" t="s">
        <v>821</v>
      </c>
      <c r="B906" s="221">
        <v>0</v>
      </c>
      <c r="C906" s="221">
        <v>80</v>
      </c>
      <c r="D906" s="221">
        <v>25.25</v>
      </c>
      <c r="E906" s="221">
        <v>34.831206776855737</v>
      </c>
      <c r="F906" s="221">
        <v>10.996343343421518</v>
      </c>
      <c r="G906" s="222" t="s">
        <v>2942</v>
      </c>
    </row>
    <row r="907" spans="1:7">
      <c r="A907" s="220" t="s">
        <v>822</v>
      </c>
      <c r="B907" s="221">
        <v>0</v>
      </c>
      <c r="C907" s="221">
        <v>80</v>
      </c>
      <c r="D907" s="221">
        <v>25.25</v>
      </c>
      <c r="E907" s="221">
        <v>38.103606776855734</v>
      </c>
      <c r="F907" s="221">
        <v>10.996343343421518</v>
      </c>
      <c r="G907" s="222" t="s">
        <v>2942</v>
      </c>
    </row>
    <row r="908" spans="1:7">
      <c r="A908" s="220" t="s">
        <v>823</v>
      </c>
      <c r="B908" s="221">
        <v>0</v>
      </c>
      <c r="C908" s="221">
        <v>90</v>
      </c>
      <c r="D908" s="221">
        <v>25.25</v>
      </c>
      <c r="E908" s="221">
        <v>42.194106776855733</v>
      </c>
      <c r="F908" s="221">
        <v>10.996343343421518</v>
      </c>
      <c r="G908" s="222" t="s">
        <v>2942</v>
      </c>
    </row>
    <row r="909" spans="1:7">
      <c r="A909" s="220" t="s">
        <v>824</v>
      </c>
      <c r="B909" s="221">
        <v>0</v>
      </c>
      <c r="C909" s="221">
        <v>150</v>
      </c>
      <c r="D909" s="221">
        <v>25.25</v>
      </c>
      <c r="E909" s="221">
        <v>42.194106776855733</v>
      </c>
      <c r="F909" s="221">
        <v>10.996343343421518</v>
      </c>
      <c r="G909" s="222" t="s">
        <v>2942</v>
      </c>
    </row>
    <row r="910" spans="1:7">
      <c r="A910" s="220" t="s">
        <v>825</v>
      </c>
      <c r="B910" s="221">
        <v>0</v>
      </c>
      <c r="C910" s="221">
        <v>150</v>
      </c>
      <c r="D910" s="221">
        <v>25.25</v>
      </c>
      <c r="E910" s="221">
        <v>42.194106776855733</v>
      </c>
      <c r="F910" s="221">
        <v>10.996343343421518</v>
      </c>
      <c r="G910" s="222" t="s">
        <v>2942</v>
      </c>
    </row>
    <row r="911" spans="1:7">
      <c r="A911" s="220" t="s">
        <v>826</v>
      </c>
      <c r="B911" s="221">
        <v>0</v>
      </c>
      <c r="C911" s="221">
        <v>155</v>
      </c>
      <c r="D911" s="221">
        <v>25.25</v>
      </c>
      <c r="E911" s="221">
        <v>42.194106776855733</v>
      </c>
      <c r="F911" s="221">
        <v>10.996343343421518</v>
      </c>
      <c r="G911" s="222" t="s">
        <v>2942</v>
      </c>
    </row>
    <row r="912" spans="1:7">
      <c r="A912" s="220" t="s">
        <v>827</v>
      </c>
      <c r="B912" s="221">
        <v>0</v>
      </c>
      <c r="C912" s="221">
        <v>215</v>
      </c>
      <c r="D912" s="221">
        <v>25.25</v>
      </c>
      <c r="E912" s="221">
        <v>42.194106776855733</v>
      </c>
      <c r="F912" s="221">
        <v>10.996343343421518</v>
      </c>
      <c r="G912" s="222" t="s">
        <v>2942</v>
      </c>
    </row>
    <row r="913" spans="1:7">
      <c r="A913" s="220" t="s">
        <v>828</v>
      </c>
      <c r="B913" s="221">
        <v>0</v>
      </c>
      <c r="C913" s="221">
        <v>240</v>
      </c>
      <c r="D913" s="221">
        <v>25.25</v>
      </c>
      <c r="E913" s="221">
        <v>42.194106776855733</v>
      </c>
      <c r="F913" s="221">
        <v>10.996343343421518</v>
      </c>
      <c r="G913" s="222" t="s">
        <v>2942</v>
      </c>
    </row>
    <row r="914" spans="1:7">
      <c r="A914" s="220" t="s">
        <v>829</v>
      </c>
      <c r="B914" s="221">
        <v>0</v>
      </c>
      <c r="C914" s="221">
        <v>340</v>
      </c>
      <c r="D914" s="221">
        <v>25.25</v>
      </c>
      <c r="E914" s="221">
        <v>47.102706776855733</v>
      </c>
      <c r="F914" s="221">
        <v>10.996343343421518</v>
      </c>
      <c r="G914" s="222" t="s">
        <v>2942</v>
      </c>
    </row>
    <row r="915" spans="1:7">
      <c r="A915" s="220" t="s">
        <v>830</v>
      </c>
      <c r="B915" s="221">
        <v>0</v>
      </c>
      <c r="C915" s="221">
        <v>395</v>
      </c>
      <c r="D915" s="221">
        <v>25.25</v>
      </c>
      <c r="E915" s="221">
        <v>56.101806776855739</v>
      </c>
      <c r="F915" s="221">
        <v>10.996343343421518</v>
      </c>
      <c r="G915" s="222" t="s">
        <v>2942</v>
      </c>
    </row>
    <row r="916" spans="1:7">
      <c r="A916" s="220" t="s">
        <v>831</v>
      </c>
      <c r="B916" s="221">
        <v>0</v>
      </c>
      <c r="C916" s="221">
        <v>525</v>
      </c>
      <c r="D916" s="221">
        <v>25.25</v>
      </c>
      <c r="E916" s="221">
        <v>60.192306776855737</v>
      </c>
      <c r="F916" s="221">
        <v>10.996343343421518</v>
      </c>
      <c r="G916" s="222" t="s">
        <v>2942</v>
      </c>
    </row>
    <row r="917" spans="1:7">
      <c r="A917" s="220" t="s">
        <v>832</v>
      </c>
      <c r="B917" s="221">
        <v>0</v>
      </c>
      <c r="C917" s="221">
        <v>785</v>
      </c>
      <c r="D917" s="221">
        <v>25.25</v>
      </c>
      <c r="E917" s="221">
        <v>76.554306776855725</v>
      </c>
      <c r="F917" s="221">
        <v>10.996343343421518</v>
      </c>
      <c r="G917" s="222" t="s">
        <v>2942</v>
      </c>
    </row>
    <row r="918" spans="1:7">
      <c r="A918" s="220" t="s">
        <v>833</v>
      </c>
      <c r="B918" s="221">
        <v>0</v>
      </c>
      <c r="C918" s="221">
        <v>920</v>
      </c>
      <c r="D918" s="221">
        <v>25.25</v>
      </c>
      <c r="E918" s="221">
        <v>92.916306776855734</v>
      </c>
      <c r="F918" s="221">
        <v>10.996343343421518</v>
      </c>
      <c r="G918" s="222" t="s">
        <v>2942</v>
      </c>
    </row>
    <row r="919" spans="1:7">
      <c r="A919" s="220" t="s">
        <v>834</v>
      </c>
      <c r="B919" s="221">
        <v>0</v>
      </c>
      <c r="C919" s="221">
        <v>1005</v>
      </c>
      <c r="D919" s="221">
        <v>25.25</v>
      </c>
      <c r="E919" s="221">
        <v>101.09730677685572</v>
      </c>
      <c r="F919" s="221">
        <v>10.996343343421518</v>
      </c>
      <c r="G919" s="222" t="s">
        <v>2942</v>
      </c>
    </row>
    <row r="920" spans="1:7">
      <c r="A920" s="220" t="s">
        <v>835</v>
      </c>
      <c r="B920" s="221">
        <v>0</v>
      </c>
      <c r="C920" s="221">
        <v>1230</v>
      </c>
      <c r="D920" s="221">
        <v>25.25</v>
      </c>
      <c r="E920" s="221">
        <v>142.00230677685573</v>
      </c>
      <c r="F920" s="221">
        <v>10.996343343421518</v>
      </c>
      <c r="G920" s="222" t="s">
        <v>2942</v>
      </c>
    </row>
    <row r="921" spans="1:7">
      <c r="A921" s="220" t="s">
        <v>836</v>
      </c>
      <c r="B921" s="221">
        <v>0</v>
      </c>
      <c r="C921" s="221">
        <v>1330</v>
      </c>
      <c r="D921" s="221">
        <v>25.25</v>
      </c>
      <c r="E921" s="221">
        <v>162.45480677685575</v>
      </c>
      <c r="F921" s="221">
        <v>10.996343343421518</v>
      </c>
      <c r="G921" s="222" t="s">
        <v>2942</v>
      </c>
    </row>
    <row r="922" spans="1:7">
      <c r="A922" s="220" t="s">
        <v>837</v>
      </c>
      <c r="B922" s="221">
        <v>0</v>
      </c>
      <c r="C922" s="221">
        <v>1530</v>
      </c>
      <c r="D922" s="221">
        <v>25.25</v>
      </c>
      <c r="E922" s="221">
        <v>199.26930677685573</v>
      </c>
      <c r="F922" s="221">
        <v>10.996343343421518</v>
      </c>
      <c r="G922" s="222" t="s">
        <v>2942</v>
      </c>
    </row>
    <row r="923" spans="1:7">
      <c r="A923" s="220" t="s">
        <v>838</v>
      </c>
      <c r="B923" s="221">
        <v>0</v>
      </c>
      <c r="C923" s="221">
        <v>1680</v>
      </c>
      <c r="D923" s="221">
        <v>25.25</v>
      </c>
      <c r="E923" s="221">
        <v>223.81230677685573</v>
      </c>
      <c r="F923" s="221">
        <v>10.996343343421518</v>
      </c>
      <c r="G923" s="222" t="s">
        <v>2942</v>
      </c>
    </row>
    <row r="924" spans="1:7">
      <c r="A924" s="220" t="s">
        <v>839</v>
      </c>
      <c r="B924" s="221">
        <v>0</v>
      </c>
      <c r="C924" s="221">
        <v>1775</v>
      </c>
      <c r="D924" s="221">
        <v>25.25</v>
      </c>
      <c r="E924" s="221">
        <v>244.26480677685575</v>
      </c>
      <c r="F924" s="221">
        <v>10.996343343421518</v>
      </c>
      <c r="G924" s="222" t="s">
        <v>2942</v>
      </c>
    </row>
    <row r="925" spans="1:7">
      <c r="A925" s="220" t="s">
        <v>840</v>
      </c>
      <c r="B925" s="221">
        <v>0</v>
      </c>
      <c r="C925" s="221">
        <v>95</v>
      </c>
      <c r="D925" s="221">
        <v>25.25</v>
      </c>
      <c r="E925" s="221">
        <v>25.746613280285008</v>
      </c>
      <c r="F925" s="221">
        <v>6.8616963171138705</v>
      </c>
      <c r="G925" s="222" t="s">
        <v>2942</v>
      </c>
    </row>
    <row r="926" spans="1:7">
      <c r="A926" s="220" t="s">
        <v>841</v>
      </c>
      <c r="B926" s="221">
        <v>0</v>
      </c>
      <c r="C926" s="221">
        <v>95</v>
      </c>
      <c r="D926" s="221">
        <v>25.25</v>
      </c>
      <c r="E926" s="221">
        <v>29.019013280285012</v>
      </c>
      <c r="F926" s="221">
        <v>6.8616963171138705</v>
      </c>
      <c r="G926" s="222" t="s">
        <v>2942</v>
      </c>
    </row>
    <row r="927" spans="1:7">
      <c r="A927" s="220" t="s">
        <v>842</v>
      </c>
      <c r="B927" s="221">
        <v>0</v>
      </c>
      <c r="C927" s="221">
        <v>100</v>
      </c>
      <c r="D927" s="221">
        <v>25.25</v>
      </c>
      <c r="E927" s="221">
        <v>42.926713280285007</v>
      </c>
      <c r="F927" s="221">
        <v>6.8616963171138705</v>
      </c>
      <c r="G927" s="222" t="s">
        <v>2942</v>
      </c>
    </row>
    <row r="928" spans="1:7">
      <c r="A928" s="220" t="s">
        <v>843</v>
      </c>
      <c r="B928" s="221">
        <v>0</v>
      </c>
      <c r="C928" s="221">
        <v>130</v>
      </c>
      <c r="D928" s="221">
        <v>25.25</v>
      </c>
      <c r="E928" s="221">
        <v>60.924913280285004</v>
      </c>
      <c r="F928" s="221">
        <v>6.8616963171138705</v>
      </c>
      <c r="G928" s="222" t="s">
        <v>2942</v>
      </c>
    </row>
    <row r="929" spans="1:7">
      <c r="A929" s="220" t="s">
        <v>844</v>
      </c>
      <c r="B929" s="221">
        <v>0</v>
      </c>
      <c r="C929" s="221">
        <v>130</v>
      </c>
      <c r="D929" s="221">
        <v>25.25</v>
      </c>
      <c r="E929" s="221">
        <v>65.833513280285018</v>
      </c>
      <c r="F929" s="221">
        <v>6.8616963171138705</v>
      </c>
      <c r="G929" s="222" t="s">
        <v>2942</v>
      </c>
    </row>
    <row r="930" spans="1:7">
      <c r="A930" s="220" t="s">
        <v>845</v>
      </c>
      <c r="B930" s="221">
        <v>0</v>
      </c>
      <c r="C930" s="221">
        <v>145</v>
      </c>
      <c r="D930" s="221">
        <v>25.25</v>
      </c>
      <c r="E930" s="221">
        <v>70.742113280285011</v>
      </c>
      <c r="F930" s="221">
        <v>6.8616963171138705</v>
      </c>
      <c r="G930" s="222" t="s">
        <v>2942</v>
      </c>
    </row>
    <row r="931" spans="1:7">
      <c r="A931" s="220" t="s">
        <v>846</v>
      </c>
      <c r="B931" s="221">
        <v>0</v>
      </c>
      <c r="C931" s="221">
        <v>155</v>
      </c>
      <c r="D931" s="221">
        <v>25.25</v>
      </c>
      <c r="E931" s="221">
        <v>74.832613280285017</v>
      </c>
      <c r="F931" s="221">
        <v>6.8616963171138705</v>
      </c>
      <c r="G931" s="222" t="s">
        <v>2942</v>
      </c>
    </row>
    <row r="932" spans="1:7">
      <c r="A932" s="220" t="s">
        <v>847</v>
      </c>
      <c r="B932" s="221">
        <v>0</v>
      </c>
      <c r="C932" s="221">
        <v>170</v>
      </c>
      <c r="D932" s="221">
        <v>25.25</v>
      </c>
      <c r="E932" s="221">
        <v>79.74121328028501</v>
      </c>
      <c r="F932" s="221">
        <v>6.8616963171138705</v>
      </c>
      <c r="G932" s="222" t="s">
        <v>2942</v>
      </c>
    </row>
    <row r="933" spans="1:7">
      <c r="A933" s="220" t="s">
        <v>848</v>
      </c>
      <c r="B933" s="221">
        <v>0</v>
      </c>
      <c r="C933" s="221">
        <v>210</v>
      </c>
      <c r="D933" s="221">
        <v>25.25</v>
      </c>
      <c r="E933" s="221">
        <v>105.102313280285</v>
      </c>
      <c r="F933" s="221">
        <v>6.8616963171138705</v>
      </c>
      <c r="G933" s="222" t="s">
        <v>2942</v>
      </c>
    </row>
    <row r="934" spans="1:7">
      <c r="A934" s="220" t="s">
        <v>849</v>
      </c>
      <c r="B934" s="221">
        <v>0</v>
      </c>
      <c r="C934" s="221">
        <v>220</v>
      </c>
      <c r="D934" s="221">
        <v>25.25</v>
      </c>
      <c r="E934" s="221">
        <v>113.283313280285</v>
      </c>
      <c r="F934" s="221">
        <v>6.8616963171138705</v>
      </c>
      <c r="G934" s="222" t="s">
        <v>2942</v>
      </c>
    </row>
    <row r="935" spans="1:7">
      <c r="A935" s="220" t="s">
        <v>850</v>
      </c>
      <c r="B935" s="221">
        <v>0</v>
      </c>
      <c r="C935" s="221">
        <v>260</v>
      </c>
      <c r="D935" s="221">
        <v>25.25</v>
      </c>
      <c r="E935" s="221">
        <v>137.82631328028501</v>
      </c>
      <c r="F935" s="221">
        <v>6.8616963171138705</v>
      </c>
      <c r="G935" s="222" t="s">
        <v>2942</v>
      </c>
    </row>
    <row r="936" spans="1:7">
      <c r="A936" s="220" t="s">
        <v>851</v>
      </c>
      <c r="B936" s="221">
        <v>0</v>
      </c>
      <c r="C936" s="221">
        <v>325</v>
      </c>
      <c r="D936" s="221">
        <v>25.25</v>
      </c>
      <c r="E936" s="221">
        <v>162.36931328028501</v>
      </c>
      <c r="F936" s="221">
        <v>6.8616963171138705</v>
      </c>
      <c r="G936" s="222" t="s">
        <v>2942</v>
      </c>
    </row>
    <row r="937" spans="1:7">
      <c r="A937" s="220" t="s">
        <v>852</v>
      </c>
      <c r="B937" s="221">
        <v>0</v>
      </c>
      <c r="C937" s="221">
        <v>375</v>
      </c>
      <c r="D937" s="221">
        <v>25.25</v>
      </c>
      <c r="E937" s="221">
        <v>191.00281328028501</v>
      </c>
      <c r="F937" s="221">
        <v>6.8616963171138705</v>
      </c>
      <c r="G937" s="222" t="s">
        <v>2942</v>
      </c>
    </row>
    <row r="938" spans="1:7">
      <c r="A938" s="220" t="s">
        <v>853</v>
      </c>
      <c r="B938" s="221">
        <v>0</v>
      </c>
      <c r="C938" s="221">
        <v>420</v>
      </c>
      <c r="D938" s="221">
        <v>25.25</v>
      </c>
      <c r="E938" s="221">
        <v>211.45531328028503</v>
      </c>
      <c r="F938" s="221">
        <v>6.8616963171138705</v>
      </c>
      <c r="G938" s="222" t="s">
        <v>2942</v>
      </c>
    </row>
    <row r="939" spans="1:7">
      <c r="A939" s="220" t="s">
        <v>854</v>
      </c>
      <c r="B939" s="221">
        <v>0</v>
      </c>
      <c r="C939" s="221">
        <v>445</v>
      </c>
      <c r="D939" s="221">
        <v>25.25</v>
      </c>
      <c r="E939" s="221">
        <v>252.36031328028503</v>
      </c>
      <c r="F939" s="221">
        <v>6.8616963171138705</v>
      </c>
      <c r="G939" s="222" t="s">
        <v>2942</v>
      </c>
    </row>
    <row r="940" spans="1:7">
      <c r="A940" s="220" t="s">
        <v>855</v>
      </c>
      <c r="B940" s="221">
        <v>0</v>
      </c>
      <c r="C940" s="221">
        <v>510</v>
      </c>
      <c r="D940" s="221">
        <v>25.25</v>
      </c>
      <c r="E940" s="221">
        <v>293.265313280285</v>
      </c>
      <c r="F940" s="221">
        <v>6.8616963171138705</v>
      </c>
      <c r="G940" s="222" t="s">
        <v>2942</v>
      </c>
    </row>
    <row r="941" spans="1:7">
      <c r="A941" s="220" t="s">
        <v>856</v>
      </c>
      <c r="B941" s="221">
        <v>0</v>
      </c>
      <c r="C941" s="221">
        <v>610</v>
      </c>
      <c r="D941" s="221">
        <v>25.25</v>
      </c>
      <c r="E941" s="221">
        <v>354.62281328028502</v>
      </c>
      <c r="F941" s="221">
        <v>6.8616963171138705</v>
      </c>
      <c r="G941" s="222" t="s">
        <v>2942</v>
      </c>
    </row>
    <row r="942" spans="1:7">
      <c r="A942" s="220" t="s">
        <v>857</v>
      </c>
      <c r="B942" s="221">
        <v>0</v>
      </c>
      <c r="C942" s="221">
        <v>695</v>
      </c>
      <c r="D942" s="221">
        <v>25.25</v>
      </c>
      <c r="E942" s="221">
        <v>395.52781328028499</v>
      </c>
      <c r="F942" s="221">
        <v>6.8616963171138705</v>
      </c>
      <c r="G942" s="222" t="s">
        <v>2942</v>
      </c>
    </row>
    <row r="943" spans="1:7">
      <c r="A943" s="220" t="s">
        <v>858</v>
      </c>
      <c r="B943" s="221">
        <v>0</v>
      </c>
      <c r="C943" s="221">
        <v>755</v>
      </c>
      <c r="D943" s="221">
        <v>25.25</v>
      </c>
      <c r="E943" s="221">
        <v>436.43281328028502</v>
      </c>
      <c r="F943" s="221">
        <v>6.8616963171138705</v>
      </c>
      <c r="G943" s="222" t="s">
        <v>2942</v>
      </c>
    </row>
    <row r="944" spans="1:7">
      <c r="A944" s="220" t="s">
        <v>859</v>
      </c>
      <c r="B944" s="221">
        <v>0</v>
      </c>
      <c r="C944" s="221">
        <v>140</v>
      </c>
      <c r="D944" s="221">
        <v>25.25</v>
      </c>
      <c r="E944" s="221">
        <v>25.746613280285008</v>
      </c>
      <c r="F944" s="221">
        <v>6.8616963171138705</v>
      </c>
      <c r="G944" s="222" t="s">
        <v>2942</v>
      </c>
    </row>
    <row r="945" spans="1:7">
      <c r="A945" s="220" t="s">
        <v>860</v>
      </c>
      <c r="B945" s="221">
        <v>0</v>
      </c>
      <c r="C945" s="221">
        <v>140</v>
      </c>
      <c r="D945" s="221">
        <v>25.25</v>
      </c>
      <c r="E945" s="221">
        <v>29.019013280285012</v>
      </c>
      <c r="F945" s="221">
        <v>6.8616963171138705</v>
      </c>
      <c r="G945" s="222" t="s">
        <v>2942</v>
      </c>
    </row>
    <row r="946" spans="1:7">
      <c r="A946" s="220" t="s">
        <v>861</v>
      </c>
      <c r="B946" s="221">
        <v>0</v>
      </c>
      <c r="C946" s="221">
        <v>170</v>
      </c>
      <c r="D946" s="221">
        <v>25.25</v>
      </c>
      <c r="E946" s="221">
        <v>42.926713280285007</v>
      </c>
      <c r="F946" s="221">
        <v>6.8616963171138705</v>
      </c>
      <c r="G946" s="222" t="s">
        <v>2942</v>
      </c>
    </row>
    <row r="947" spans="1:7">
      <c r="A947" s="220" t="s">
        <v>862</v>
      </c>
      <c r="B947" s="221">
        <v>0</v>
      </c>
      <c r="C947" s="221">
        <v>250</v>
      </c>
      <c r="D947" s="221">
        <v>25.25</v>
      </c>
      <c r="E947" s="221">
        <v>60.924913280285004</v>
      </c>
      <c r="F947" s="221">
        <v>6.8616963171138705</v>
      </c>
      <c r="G947" s="222" t="s">
        <v>2942</v>
      </c>
    </row>
    <row r="948" spans="1:7">
      <c r="A948" s="220" t="s">
        <v>863</v>
      </c>
      <c r="B948" s="221">
        <v>0</v>
      </c>
      <c r="C948" s="221">
        <v>250</v>
      </c>
      <c r="D948" s="221">
        <v>25.25</v>
      </c>
      <c r="E948" s="221">
        <v>65.833513280285018</v>
      </c>
      <c r="F948" s="221">
        <v>6.8616963171138705</v>
      </c>
      <c r="G948" s="222" t="s">
        <v>2942</v>
      </c>
    </row>
    <row r="949" spans="1:7">
      <c r="A949" s="220" t="s">
        <v>864</v>
      </c>
      <c r="B949" s="221">
        <v>0</v>
      </c>
      <c r="C949" s="221">
        <v>345</v>
      </c>
      <c r="D949" s="221">
        <v>25.25</v>
      </c>
      <c r="E949" s="221">
        <v>70.742113280285011</v>
      </c>
      <c r="F949" s="221">
        <v>6.8616963171138705</v>
      </c>
      <c r="G949" s="222" t="s">
        <v>2942</v>
      </c>
    </row>
    <row r="950" spans="1:7">
      <c r="A950" s="220" t="s">
        <v>865</v>
      </c>
      <c r="B950" s="221">
        <v>0</v>
      </c>
      <c r="C950" s="221">
        <v>405</v>
      </c>
      <c r="D950" s="221">
        <v>25.25</v>
      </c>
      <c r="E950" s="221">
        <v>74.832613280285017</v>
      </c>
      <c r="F950" s="221">
        <v>6.8616963171138705</v>
      </c>
      <c r="G950" s="222" t="s">
        <v>2942</v>
      </c>
    </row>
    <row r="951" spans="1:7">
      <c r="A951" s="220" t="s">
        <v>866</v>
      </c>
      <c r="B951" s="221">
        <v>0</v>
      </c>
      <c r="C951" s="221">
        <v>440</v>
      </c>
      <c r="D951" s="221">
        <v>25.25</v>
      </c>
      <c r="E951" s="221">
        <v>79.74121328028501</v>
      </c>
      <c r="F951" s="221">
        <v>6.8616963171138705</v>
      </c>
      <c r="G951" s="222" t="s">
        <v>2942</v>
      </c>
    </row>
    <row r="952" spans="1:7">
      <c r="A952" s="220" t="s">
        <v>867</v>
      </c>
      <c r="B952" s="221">
        <v>0</v>
      </c>
      <c r="C952" s="221">
        <v>475</v>
      </c>
      <c r="D952" s="221">
        <v>25.25</v>
      </c>
      <c r="E952" s="221">
        <v>105.102313280285</v>
      </c>
      <c r="F952" s="221">
        <v>6.8616963171138705</v>
      </c>
      <c r="G952" s="222" t="s">
        <v>2942</v>
      </c>
    </row>
    <row r="953" spans="1:7">
      <c r="A953" s="220" t="s">
        <v>868</v>
      </c>
      <c r="B953" s="221">
        <v>0</v>
      </c>
      <c r="C953" s="221">
        <v>535</v>
      </c>
      <c r="D953" s="221">
        <v>25.25</v>
      </c>
      <c r="E953" s="221">
        <v>113.283313280285</v>
      </c>
      <c r="F953" s="221">
        <v>6.8616963171138705</v>
      </c>
      <c r="G953" s="222" t="s">
        <v>2942</v>
      </c>
    </row>
    <row r="954" spans="1:7">
      <c r="A954" s="220" t="s">
        <v>869</v>
      </c>
      <c r="B954" s="221">
        <v>0</v>
      </c>
      <c r="C954" s="221">
        <v>610</v>
      </c>
      <c r="D954" s="221">
        <v>25.25</v>
      </c>
      <c r="E954" s="221">
        <v>137.82631328028501</v>
      </c>
      <c r="F954" s="221">
        <v>6.8616963171138705</v>
      </c>
      <c r="G954" s="222" t="s">
        <v>2942</v>
      </c>
    </row>
    <row r="955" spans="1:7">
      <c r="A955" s="220" t="s">
        <v>870</v>
      </c>
      <c r="B955" s="221">
        <v>0</v>
      </c>
      <c r="C955" s="221">
        <v>780</v>
      </c>
      <c r="D955" s="221">
        <v>25.25</v>
      </c>
      <c r="E955" s="221">
        <v>162.36931328028501</v>
      </c>
      <c r="F955" s="221">
        <v>6.8616963171138705</v>
      </c>
      <c r="G955" s="222" t="s">
        <v>2942</v>
      </c>
    </row>
    <row r="956" spans="1:7">
      <c r="A956" s="220" t="s">
        <v>871</v>
      </c>
      <c r="B956" s="221">
        <v>0</v>
      </c>
      <c r="C956" s="221">
        <v>820</v>
      </c>
      <c r="D956" s="221">
        <v>25.25</v>
      </c>
      <c r="E956" s="221">
        <v>191.00281328028501</v>
      </c>
      <c r="F956" s="221">
        <v>6.8616963171138705</v>
      </c>
      <c r="G956" s="222" t="s">
        <v>2942</v>
      </c>
    </row>
    <row r="957" spans="1:7">
      <c r="A957" s="220" t="s">
        <v>872</v>
      </c>
      <c r="B957" s="221">
        <v>0</v>
      </c>
      <c r="C957" s="221">
        <v>845</v>
      </c>
      <c r="D957" s="221">
        <v>25.25</v>
      </c>
      <c r="E957" s="221">
        <v>211.45531328028503</v>
      </c>
      <c r="F957" s="221">
        <v>6.8616963171138705</v>
      </c>
      <c r="G957" s="222" t="s">
        <v>2942</v>
      </c>
    </row>
    <row r="958" spans="1:7">
      <c r="A958" s="220" t="s">
        <v>873</v>
      </c>
      <c r="B958" s="221">
        <v>0</v>
      </c>
      <c r="C958" s="221">
        <v>1040</v>
      </c>
      <c r="D958" s="221">
        <v>25.25</v>
      </c>
      <c r="E958" s="221">
        <v>252.36031328028503</v>
      </c>
      <c r="F958" s="221">
        <v>6.8616963171138705</v>
      </c>
      <c r="G958" s="222" t="s">
        <v>2942</v>
      </c>
    </row>
    <row r="959" spans="1:7">
      <c r="A959" s="220" t="s">
        <v>874</v>
      </c>
      <c r="B959" s="221">
        <v>0</v>
      </c>
      <c r="C959" s="221">
        <v>1165</v>
      </c>
      <c r="D959" s="221">
        <v>25.25</v>
      </c>
      <c r="E959" s="221">
        <v>293.265313280285</v>
      </c>
      <c r="F959" s="221">
        <v>6.8616963171138705</v>
      </c>
      <c r="G959" s="222" t="s">
        <v>2942</v>
      </c>
    </row>
    <row r="960" spans="1:7">
      <c r="A960" s="220" t="s">
        <v>875</v>
      </c>
      <c r="B960" s="221">
        <v>0</v>
      </c>
      <c r="C960" s="221">
        <v>1250</v>
      </c>
      <c r="D960" s="221">
        <v>25.25</v>
      </c>
      <c r="E960" s="221">
        <v>354.62281328028502</v>
      </c>
      <c r="F960" s="221">
        <v>6.8616963171138705</v>
      </c>
      <c r="G960" s="222" t="s">
        <v>2942</v>
      </c>
    </row>
    <row r="961" spans="1:7">
      <c r="A961" s="220" t="s">
        <v>876</v>
      </c>
      <c r="B961" s="221">
        <v>0</v>
      </c>
      <c r="C961" s="221">
        <v>1360</v>
      </c>
      <c r="D961" s="221">
        <v>25.25</v>
      </c>
      <c r="E961" s="221">
        <v>395.52781328028499</v>
      </c>
      <c r="F961" s="221">
        <v>6.8616963171138705</v>
      </c>
      <c r="G961" s="222" t="s">
        <v>2942</v>
      </c>
    </row>
    <row r="962" spans="1:7">
      <c r="A962" s="220" t="s">
        <v>877</v>
      </c>
      <c r="B962" s="221">
        <v>0</v>
      </c>
      <c r="C962" s="221">
        <v>1405</v>
      </c>
      <c r="D962" s="221">
        <v>25.25</v>
      </c>
      <c r="E962" s="221">
        <v>436.43281328028502</v>
      </c>
      <c r="F962" s="221">
        <v>6.8616963171138705</v>
      </c>
      <c r="G962" s="222" t="s">
        <v>2942</v>
      </c>
    </row>
    <row r="963" spans="1:7">
      <c r="A963" s="220" t="s">
        <v>878</v>
      </c>
      <c r="B963" s="221">
        <v>0</v>
      </c>
      <c r="C963" s="221">
        <v>179</v>
      </c>
      <c r="D963" s="221">
        <v>25.25</v>
      </c>
      <c r="E963" s="221">
        <v>29.922606776855734</v>
      </c>
      <c r="F963" s="221">
        <v>10.996343343421518</v>
      </c>
      <c r="G963" s="222" t="s">
        <v>2942</v>
      </c>
    </row>
    <row r="964" spans="1:7">
      <c r="A964" s="220" t="s">
        <v>879</v>
      </c>
      <c r="B964" s="221">
        <v>0</v>
      </c>
      <c r="C964" s="221">
        <v>179</v>
      </c>
      <c r="D964" s="221">
        <v>25.25</v>
      </c>
      <c r="E964" s="221">
        <v>33.195006776855735</v>
      </c>
      <c r="F964" s="221">
        <v>10.996343343421518</v>
      </c>
      <c r="G964" s="222" t="s">
        <v>2942</v>
      </c>
    </row>
    <row r="965" spans="1:7">
      <c r="A965" s="220" t="s">
        <v>880</v>
      </c>
      <c r="B965" s="221">
        <v>0</v>
      </c>
      <c r="C965" s="221">
        <v>189</v>
      </c>
      <c r="D965" s="221">
        <v>25.25</v>
      </c>
      <c r="E965" s="221">
        <v>47.102706776855733</v>
      </c>
      <c r="F965" s="221">
        <v>10.996343343421518</v>
      </c>
      <c r="G965" s="222" t="s">
        <v>2942</v>
      </c>
    </row>
    <row r="966" spans="1:7">
      <c r="A966" s="220" t="s">
        <v>881</v>
      </c>
      <c r="B966" s="221">
        <v>0</v>
      </c>
      <c r="C966" s="221">
        <v>385</v>
      </c>
      <c r="D966" s="221">
        <v>25.25</v>
      </c>
      <c r="E966" s="221">
        <v>65.100906776855737</v>
      </c>
      <c r="F966" s="221">
        <v>10.996343343421518</v>
      </c>
      <c r="G966" s="222" t="s">
        <v>2942</v>
      </c>
    </row>
    <row r="967" spans="1:7">
      <c r="A967" s="220" t="s">
        <v>882</v>
      </c>
      <c r="B967" s="221">
        <v>0</v>
      </c>
      <c r="C967" s="221">
        <v>385</v>
      </c>
      <c r="D967" s="221">
        <v>25.25</v>
      </c>
      <c r="E967" s="221">
        <v>70.009506776855744</v>
      </c>
      <c r="F967" s="221">
        <v>10.996343343421518</v>
      </c>
      <c r="G967" s="222" t="s">
        <v>2942</v>
      </c>
    </row>
    <row r="968" spans="1:7">
      <c r="A968" s="220" t="s">
        <v>883</v>
      </c>
      <c r="B968" s="221">
        <v>0</v>
      </c>
      <c r="C968" s="221">
        <v>545</v>
      </c>
      <c r="D968" s="221">
        <v>25.25</v>
      </c>
      <c r="E968" s="221">
        <v>74.918106776855737</v>
      </c>
      <c r="F968" s="221">
        <v>10.996343343421518</v>
      </c>
      <c r="G968" s="222" t="s">
        <v>2942</v>
      </c>
    </row>
    <row r="969" spans="1:7">
      <c r="A969" s="220" t="s">
        <v>884</v>
      </c>
      <c r="B969" s="221">
        <v>0</v>
      </c>
      <c r="C969" s="221">
        <v>655</v>
      </c>
      <c r="D969" s="221">
        <v>25.25</v>
      </c>
      <c r="E969" s="221">
        <v>79.008606776855729</v>
      </c>
      <c r="F969" s="221">
        <v>10.996343343421518</v>
      </c>
      <c r="G969" s="222" t="s">
        <v>2942</v>
      </c>
    </row>
    <row r="970" spans="1:7">
      <c r="A970" s="220" t="s">
        <v>885</v>
      </c>
      <c r="B970" s="221">
        <v>0</v>
      </c>
      <c r="C970" s="221">
        <v>715</v>
      </c>
      <c r="D970" s="221">
        <v>25.25</v>
      </c>
      <c r="E970" s="221">
        <v>83.917206776855735</v>
      </c>
      <c r="F970" s="221">
        <v>10.996343343421518</v>
      </c>
      <c r="G970" s="222" t="s">
        <v>2942</v>
      </c>
    </row>
    <row r="971" spans="1:7">
      <c r="A971" s="220" t="s">
        <v>886</v>
      </c>
      <c r="B971" s="221">
        <v>0</v>
      </c>
      <c r="C971" s="221">
        <v>790</v>
      </c>
      <c r="D971" s="221">
        <v>25.25</v>
      </c>
      <c r="E971" s="221">
        <v>109.27830677685573</v>
      </c>
      <c r="F971" s="221">
        <v>10.996343343421518</v>
      </c>
      <c r="G971" s="222" t="s">
        <v>2942</v>
      </c>
    </row>
    <row r="972" spans="1:7">
      <c r="A972" s="220" t="s">
        <v>887</v>
      </c>
      <c r="B972" s="221">
        <v>0</v>
      </c>
      <c r="C972" s="221">
        <v>865</v>
      </c>
      <c r="D972" s="221">
        <v>25.25</v>
      </c>
      <c r="E972" s="221">
        <v>117.45930677685573</v>
      </c>
      <c r="F972" s="221">
        <v>10.996343343421518</v>
      </c>
      <c r="G972" s="222" t="s">
        <v>2942</v>
      </c>
    </row>
    <row r="973" spans="1:7">
      <c r="A973" s="220" t="s">
        <v>888</v>
      </c>
      <c r="B973" s="221">
        <v>0</v>
      </c>
      <c r="C973" s="221">
        <v>970</v>
      </c>
      <c r="D973" s="221">
        <v>25.25</v>
      </c>
      <c r="E973" s="221">
        <v>142.00230677685573</v>
      </c>
      <c r="F973" s="221">
        <v>10.996343343421518</v>
      </c>
      <c r="G973" s="222" t="s">
        <v>2942</v>
      </c>
    </row>
    <row r="974" spans="1:7">
      <c r="A974" s="220" t="s">
        <v>889</v>
      </c>
      <c r="B974" s="221">
        <v>0</v>
      </c>
      <c r="C974" s="221">
        <v>1155</v>
      </c>
      <c r="D974" s="221">
        <v>25.25</v>
      </c>
      <c r="E974" s="221">
        <v>166.54530677685574</v>
      </c>
      <c r="F974" s="221">
        <v>10.996343343421518</v>
      </c>
      <c r="G974" s="222" t="s">
        <v>2942</v>
      </c>
    </row>
    <row r="975" spans="1:7">
      <c r="A975" s="220" t="s">
        <v>890</v>
      </c>
      <c r="B975" s="221">
        <v>0</v>
      </c>
      <c r="C975" s="221">
        <v>1230</v>
      </c>
      <c r="D975" s="221">
        <v>25.25</v>
      </c>
      <c r="E975" s="221">
        <v>195.17880677685574</v>
      </c>
      <c r="F975" s="221">
        <v>10.996343343421518</v>
      </c>
      <c r="G975" s="222" t="s">
        <v>2942</v>
      </c>
    </row>
    <row r="976" spans="1:7">
      <c r="A976" s="220" t="s">
        <v>891</v>
      </c>
      <c r="B976" s="221">
        <v>0</v>
      </c>
      <c r="C976" s="221">
        <v>1280</v>
      </c>
      <c r="D976" s="221">
        <v>25.25</v>
      </c>
      <c r="E976" s="221">
        <v>215.63130677685575</v>
      </c>
      <c r="F976" s="221">
        <v>10.996343343421518</v>
      </c>
      <c r="G976" s="222" t="s">
        <v>2942</v>
      </c>
    </row>
    <row r="977" spans="1:7">
      <c r="A977" s="220" t="s">
        <v>892</v>
      </c>
      <c r="B977" s="221">
        <v>0</v>
      </c>
      <c r="C977" s="221">
        <v>1560</v>
      </c>
      <c r="D977" s="221">
        <v>25.25</v>
      </c>
      <c r="E977" s="221">
        <v>256.53630677685572</v>
      </c>
      <c r="F977" s="221">
        <v>10.996343343421518</v>
      </c>
      <c r="G977" s="222" t="s">
        <v>2942</v>
      </c>
    </row>
    <row r="978" spans="1:7">
      <c r="A978" s="220" t="s">
        <v>893</v>
      </c>
      <c r="B978" s="221">
        <v>0</v>
      </c>
      <c r="C978" s="221">
        <v>1640</v>
      </c>
      <c r="D978" s="221">
        <v>25.25</v>
      </c>
      <c r="E978" s="221">
        <v>297.44130677685575</v>
      </c>
      <c r="F978" s="221">
        <v>10.996343343421518</v>
      </c>
      <c r="G978" s="222" t="s">
        <v>2942</v>
      </c>
    </row>
    <row r="979" spans="1:7">
      <c r="A979" s="220" t="s">
        <v>894</v>
      </c>
      <c r="B979" s="221">
        <v>0</v>
      </c>
      <c r="C979" s="221">
        <v>1880</v>
      </c>
      <c r="D979" s="221">
        <v>25.25</v>
      </c>
      <c r="E979" s="221">
        <v>358.79880677685577</v>
      </c>
      <c r="F979" s="221">
        <v>10.996343343421518</v>
      </c>
      <c r="G979" s="222" t="s">
        <v>2942</v>
      </c>
    </row>
    <row r="980" spans="1:7">
      <c r="A980" s="220" t="s">
        <v>895</v>
      </c>
      <c r="B980" s="221">
        <v>0</v>
      </c>
      <c r="C980" s="221">
        <v>2025</v>
      </c>
      <c r="D980" s="221">
        <v>25.25</v>
      </c>
      <c r="E980" s="221">
        <v>399.70380677685574</v>
      </c>
      <c r="F980" s="221">
        <v>10.996343343421518</v>
      </c>
      <c r="G980" s="222" t="s">
        <v>2942</v>
      </c>
    </row>
    <row r="981" spans="1:7">
      <c r="A981" s="220" t="s">
        <v>896</v>
      </c>
      <c r="B981" s="221">
        <v>0</v>
      </c>
      <c r="C981" s="221">
        <v>2145</v>
      </c>
      <c r="D981" s="221">
        <v>25.25</v>
      </c>
      <c r="E981" s="221">
        <v>440.60880677685577</v>
      </c>
      <c r="F981" s="221">
        <v>10.996343343421518</v>
      </c>
      <c r="G981" s="222" t="s">
        <v>2942</v>
      </c>
    </row>
    <row r="982" spans="1:7">
      <c r="A982" s="220" t="s">
        <v>1125</v>
      </c>
      <c r="B982" s="221">
        <v>0</v>
      </c>
      <c r="C982" s="221">
        <v>70</v>
      </c>
      <c r="D982" s="221">
        <v>25.25</v>
      </c>
      <c r="E982" s="221">
        <v>30.655213280285011</v>
      </c>
      <c r="F982" s="221">
        <v>6.8616963171138705</v>
      </c>
      <c r="G982" s="222" t="s">
        <v>2942</v>
      </c>
    </row>
    <row r="983" spans="1:7">
      <c r="A983" s="220" t="s">
        <v>1126</v>
      </c>
      <c r="B983" s="221">
        <v>0</v>
      </c>
      <c r="C983" s="221">
        <v>70</v>
      </c>
      <c r="D983" s="221">
        <v>25.25</v>
      </c>
      <c r="E983" s="221">
        <v>33.927613280285001</v>
      </c>
      <c r="F983" s="221">
        <v>6.8616963171138705</v>
      </c>
      <c r="G983" s="222" t="s">
        <v>2942</v>
      </c>
    </row>
    <row r="984" spans="1:7">
      <c r="A984" s="220" t="s">
        <v>1127</v>
      </c>
      <c r="B984" s="221">
        <v>0</v>
      </c>
      <c r="C984" s="221">
        <v>80</v>
      </c>
      <c r="D984" s="221">
        <v>25.25</v>
      </c>
      <c r="E984" s="221">
        <v>38.018113280285007</v>
      </c>
      <c r="F984" s="221">
        <v>6.8616963171138705</v>
      </c>
      <c r="G984" s="222" t="s">
        <v>2942</v>
      </c>
    </row>
    <row r="985" spans="1:7">
      <c r="A985" s="220" t="s">
        <v>1128</v>
      </c>
      <c r="B985" s="221">
        <v>0</v>
      </c>
      <c r="C985" s="221">
        <v>90</v>
      </c>
      <c r="D985" s="221">
        <v>25.25</v>
      </c>
      <c r="E985" s="221">
        <v>38.018113280285007</v>
      </c>
      <c r="F985" s="221">
        <v>6.8616963171138705</v>
      </c>
      <c r="G985" s="222" t="s">
        <v>2942</v>
      </c>
    </row>
    <row r="986" spans="1:7">
      <c r="A986" s="220" t="s">
        <v>1129</v>
      </c>
      <c r="B986" s="221">
        <v>0</v>
      </c>
      <c r="C986" s="221">
        <v>90</v>
      </c>
      <c r="D986" s="221">
        <v>25.25</v>
      </c>
      <c r="E986" s="221">
        <v>38.018113280285007</v>
      </c>
      <c r="F986" s="221">
        <v>6.8616963171138705</v>
      </c>
      <c r="G986" s="222" t="s">
        <v>2942</v>
      </c>
    </row>
    <row r="987" spans="1:7">
      <c r="A987" s="220" t="s">
        <v>1130</v>
      </c>
      <c r="B987" s="221">
        <v>0</v>
      </c>
      <c r="C987" s="221">
        <v>95</v>
      </c>
      <c r="D987" s="221">
        <v>25.25</v>
      </c>
      <c r="E987" s="221">
        <v>38.018113280285007</v>
      </c>
      <c r="F987" s="221">
        <v>6.8616963171138705</v>
      </c>
      <c r="G987" s="222" t="s">
        <v>2942</v>
      </c>
    </row>
    <row r="988" spans="1:7">
      <c r="A988" s="220" t="s">
        <v>1131</v>
      </c>
      <c r="B988" s="221">
        <v>0</v>
      </c>
      <c r="C988" s="221">
        <v>100</v>
      </c>
      <c r="D988" s="221">
        <v>25.25</v>
      </c>
      <c r="E988" s="221">
        <v>38.018113280285007</v>
      </c>
      <c r="F988" s="221">
        <v>6.8616963171138705</v>
      </c>
      <c r="G988" s="222" t="s">
        <v>2942</v>
      </c>
    </row>
    <row r="989" spans="1:7">
      <c r="A989" s="220" t="s">
        <v>1132</v>
      </c>
      <c r="B989" s="221">
        <v>0</v>
      </c>
      <c r="C989" s="221">
        <v>115</v>
      </c>
      <c r="D989" s="221">
        <v>25.25</v>
      </c>
      <c r="E989" s="221">
        <v>38.018113280285007</v>
      </c>
      <c r="F989" s="221">
        <v>6.8616963171138705</v>
      </c>
      <c r="G989" s="222" t="s">
        <v>2942</v>
      </c>
    </row>
    <row r="990" spans="1:7">
      <c r="A990" s="220" t="s">
        <v>1133</v>
      </c>
      <c r="B990" s="221">
        <v>0</v>
      </c>
      <c r="C990" s="221">
        <v>120</v>
      </c>
      <c r="D990" s="221">
        <v>25.25</v>
      </c>
      <c r="E990" s="221">
        <v>42.926713280285007</v>
      </c>
      <c r="F990" s="221">
        <v>6.8616963171138705</v>
      </c>
      <c r="G990" s="222" t="s">
        <v>2942</v>
      </c>
    </row>
    <row r="991" spans="1:7">
      <c r="A991" s="220" t="s">
        <v>1134</v>
      </c>
      <c r="B991" s="221">
        <v>0</v>
      </c>
      <c r="C991" s="221">
        <v>130</v>
      </c>
      <c r="D991" s="221">
        <v>25.25</v>
      </c>
      <c r="E991" s="221">
        <v>51.925813280285013</v>
      </c>
      <c r="F991" s="221">
        <v>6.8616963171138705</v>
      </c>
      <c r="G991" s="222" t="s">
        <v>2942</v>
      </c>
    </row>
    <row r="992" spans="1:7">
      <c r="A992" s="220" t="s">
        <v>1135</v>
      </c>
      <c r="B992" s="221">
        <v>0</v>
      </c>
      <c r="C992" s="221">
        <v>145</v>
      </c>
      <c r="D992" s="221">
        <v>25.25</v>
      </c>
      <c r="E992" s="221">
        <v>56.016313280285011</v>
      </c>
      <c r="F992" s="221">
        <v>6.8616963171138705</v>
      </c>
      <c r="G992" s="222" t="s">
        <v>2942</v>
      </c>
    </row>
    <row r="993" spans="1:7">
      <c r="A993" s="220" t="s">
        <v>1136</v>
      </c>
      <c r="B993" s="221">
        <v>0</v>
      </c>
      <c r="C993" s="221">
        <v>175</v>
      </c>
      <c r="D993" s="221">
        <v>25.25</v>
      </c>
      <c r="E993" s="221">
        <v>72.378313280284999</v>
      </c>
      <c r="F993" s="221">
        <v>6.8616963171138705</v>
      </c>
      <c r="G993" s="222" t="s">
        <v>2942</v>
      </c>
    </row>
    <row r="994" spans="1:7">
      <c r="A994" s="220" t="s">
        <v>1137</v>
      </c>
      <c r="B994" s="221">
        <v>0</v>
      </c>
      <c r="C994" s="221">
        <v>210</v>
      </c>
      <c r="D994" s="221">
        <v>25.25</v>
      </c>
      <c r="E994" s="221">
        <v>88.740313280285008</v>
      </c>
      <c r="F994" s="221">
        <v>6.8616963171138705</v>
      </c>
      <c r="G994" s="222" t="s">
        <v>2942</v>
      </c>
    </row>
    <row r="995" spans="1:7">
      <c r="A995" s="220" t="s">
        <v>1138</v>
      </c>
      <c r="B995" s="221">
        <v>0</v>
      </c>
      <c r="C995" s="221">
        <v>230</v>
      </c>
      <c r="D995" s="221">
        <v>25.25</v>
      </c>
      <c r="E995" s="221">
        <v>96.921313280285005</v>
      </c>
      <c r="F995" s="221">
        <v>6.8616963171138705</v>
      </c>
      <c r="G995" s="222" t="s">
        <v>2942</v>
      </c>
    </row>
    <row r="996" spans="1:7">
      <c r="A996" s="220" t="s">
        <v>1139</v>
      </c>
      <c r="B996" s="221">
        <v>0</v>
      </c>
      <c r="C996" s="221">
        <v>285</v>
      </c>
      <c r="D996" s="221">
        <v>25.25</v>
      </c>
      <c r="E996" s="221">
        <v>137.82631328028501</v>
      </c>
      <c r="F996" s="221">
        <v>6.8616963171138705</v>
      </c>
      <c r="G996" s="222" t="s">
        <v>2942</v>
      </c>
    </row>
    <row r="997" spans="1:7">
      <c r="A997" s="220" t="s">
        <v>1140</v>
      </c>
      <c r="B997" s="221">
        <v>0</v>
      </c>
      <c r="C997" s="221">
        <v>300</v>
      </c>
      <c r="D997" s="221">
        <v>25.25</v>
      </c>
      <c r="E997" s="221">
        <v>158.27881328028502</v>
      </c>
      <c r="F997" s="221">
        <v>6.8616963171138705</v>
      </c>
      <c r="G997" s="222" t="s">
        <v>2942</v>
      </c>
    </row>
    <row r="998" spans="1:7">
      <c r="A998" s="220" t="s">
        <v>1141</v>
      </c>
      <c r="B998" s="221">
        <v>0</v>
      </c>
      <c r="C998" s="221">
        <v>350</v>
      </c>
      <c r="D998" s="221">
        <v>25.25</v>
      </c>
      <c r="E998" s="221">
        <v>195.093313280285</v>
      </c>
      <c r="F998" s="221">
        <v>6.8616963171138705</v>
      </c>
      <c r="G998" s="222" t="s">
        <v>2942</v>
      </c>
    </row>
    <row r="999" spans="1:7">
      <c r="A999" s="220" t="s">
        <v>1142</v>
      </c>
      <c r="B999" s="221">
        <v>0</v>
      </c>
      <c r="C999" s="221">
        <v>405</v>
      </c>
      <c r="D999" s="221">
        <v>25.25</v>
      </c>
      <c r="E999" s="221">
        <v>219.63631328028501</v>
      </c>
      <c r="F999" s="221">
        <v>6.8616963171138705</v>
      </c>
      <c r="G999" s="222" t="s">
        <v>2942</v>
      </c>
    </row>
    <row r="1000" spans="1:7">
      <c r="A1000" s="220" t="s">
        <v>1143</v>
      </c>
      <c r="B1000" s="221">
        <v>0</v>
      </c>
      <c r="C1000" s="221">
        <v>450</v>
      </c>
      <c r="D1000" s="221">
        <v>25.25</v>
      </c>
      <c r="E1000" s="221">
        <v>240.08881328028502</v>
      </c>
      <c r="F1000" s="221">
        <v>6.8616963171138705</v>
      </c>
      <c r="G1000" s="222" t="s">
        <v>2942</v>
      </c>
    </row>
    <row r="1001" spans="1:7">
      <c r="A1001" s="220" t="s">
        <v>1144</v>
      </c>
      <c r="B1001" s="221">
        <v>0</v>
      </c>
      <c r="C1001" s="221">
        <v>75</v>
      </c>
      <c r="D1001" s="221">
        <v>25.25</v>
      </c>
      <c r="E1001" s="221">
        <v>30.655213280285011</v>
      </c>
      <c r="F1001" s="221">
        <v>6.8616963171138705</v>
      </c>
      <c r="G1001" s="222" t="s">
        <v>2942</v>
      </c>
    </row>
    <row r="1002" spans="1:7">
      <c r="A1002" s="220" t="s">
        <v>1145</v>
      </c>
      <c r="B1002" s="221">
        <v>0</v>
      </c>
      <c r="C1002" s="221">
        <v>75</v>
      </c>
      <c r="D1002" s="221">
        <v>25.25</v>
      </c>
      <c r="E1002" s="221">
        <v>33.927613280285001</v>
      </c>
      <c r="F1002" s="221">
        <v>6.8616963171138705</v>
      </c>
      <c r="G1002" s="222" t="s">
        <v>2942</v>
      </c>
    </row>
    <row r="1003" spans="1:7">
      <c r="A1003" s="220" t="s">
        <v>1146</v>
      </c>
      <c r="B1003" s="221">
        <v>0</v>
      </c>
      <c r="C1003" s="221">
        <v>85</v>
      </c>
      <c r="D1003" s="221">
        <v>25.25</v>
      </c>
      <c r="E1003" s="221">
        <v>38.018113280285007</v>
      </c>
      <c r="F1003" s="221">
        <v>6.8616963171138705</v>
      </c>
      <c r="G1003" s="222" t="s">
        <v>2942</v>
      </c>
    </row>
    <row r="1004" spans="1:7">
      <c r="A1004" s="220" t="s">
        <v>1147</v>
      </c>
      <c r="B1004" s="221">
        <v>0</v>
      </c>
      <c r="C1004" s="221">
        <v>120</v>
      </c>
      <c r="D1004" s="221">
        <v>25.25</v>
      </c>
      <c r="E1004" s="221">
        <v>38.018113280285007</v>
      </c>
      <c r="F1004" s="221">
        <v>6.8616963171138705</v>
      </c>
      <c r="G1004" s="222" t="s">
        <v>2942</v>
      </c>
    </row>
    <row r="1005" spans="1:7">
      <c r="A1005" s="220" t="s">
        <v>1148</v>
      </c>
      <c r="B1005" s="221">
        <v>0</v>
      </c>
      <c r="C1005" s="221">
        <v>120</v>
      </c>
      <c r="D1005" s="221">
        <v>25.25</v>
      </c>
      <c r="E1005" s="221">
        <v>38.018113280285007</v>
      </c>
      <c r="F1005" s="221">
        <v>6.8616963171138705</v>
      </c>
      <c r="G1005" s="222" t="s">
        <v>2942</v>
      </c>
    </row>
    <row r="1006" spans="1:7">
      <c r="A1006" s="220" t="s">
        <v>1149</v>
      </c>
      <c r="B1006" s="221">
        <v>0</v>
      </c>
      <c r="C1006" s="221">
        <v>125</v>
      </c>
      <c r="D1006" s="221">
        <v>25.25</v>
      </c>
      <c r="E1006" s="221">
        <v>38.018113280285007</v>
      </c>
      <c r="F1006" s="221">
        <v>6.8616963171138705</v>
      </c>
      <c r="G1006" s="222" t="s">
        <v>2942</v>
      </c>
    </row>
    <row r="1007" spans="1:7">
      <c r="A1007" s="220" t="s">
        <v>1150</v>
      </c>
      <c r="B1007" s="221">
        <v>0</v>
      </c>
      <c r="C1007" s="221">
        <v>145</v>
      </c>
      <c r="D1007" s="221">
        <v>25.25</v>
      </c>
      <c r="E1007" s="221">
        <v>38.018113280285007</v>
      </c>
      <c r="F1007" s="221">
        <v>6.8616963171138705</v>
      </c>
      <c r="G1007" s="222" t="s">
        <v>2942</v>
      </c>
    </row>
    <row r="1008" spans="1:7">
      <c r="A1008" s="220" t="s">
        <v>1151</v>
      </c>
      <c r="B1008" s="221">
        <v>0</v>
      </c>
      <c r="C1008" s="221">
        <v>150</v>
      </c>
      <c r="D1008" s="221">
        <v>25.25</v>
      </c>
      <c r="E1008" s="221">
        <v>38.018113280285007</v>
      </c>
      <c r="F1008" s="221">
        <v>6.8616963171138705</v>
      </c>
      <c r="G1008" s="222" t="s">
        <v>2942</v>
      </c>
    </row>
    <row r="1009" spans="1:7">
      <c r="A1009" s="220" t="s">
        <v>1152</v>
      </c>
      <c r="B1009" s="221">
        <v>0</v>
      </c>
      <c r="C1009" s="221">
        <v>225</v>
      </c>
      <c r="D1009" s="221">
        <v>25.25</v>
      </c>
      <c r="E1009" s="221">
        <v>42.926713280285007</v>
      </c>
      <c r="F1009" s="221">
        <v>6.8616963171138705</v>
      </c>
      <c r="G1009" s="222" t="s">
        <v>2942</v>
      </c>
    </row>
    <row r="1010" spans="1:7">
      <c r="A1010" s="220" t="s">
        <v>1153</v>
      </c>
      <c r="B1010" s="221">
        <v>0</v>
      </c>
      <c r="C1010" s="221">
        <v>260</v>
      </c>
      <c r="D1010" s="221">
        <v>25.25</v>
      </c>
      <c r="E1010" s="221">
        <v>51.925813280285013</v>
      </c>
      <c r="F1010" s="221">
        <v>6.8616963171138705</v>
      </c>
      <c r="G1010" s="222" t="s">
        <v>2942</v>
      </c>
    </row>
    <row r="1011" spans="1:7">
      <c r="A1011" s="220" t="s">
        <v>1154</v>
      </c>
      <c r="B1011" s="221">
        <v>0</v>
      </c>
      <c r="C1011" s="221">
        <v>345</v>
      </c>
      <c r="D1011" s="221">
        <v>25.25</v>
      </c>
      <c r="E1011" s="221">
        <v>56.016313280285011</v>
      </c>
      <c r="F1011" s="221">
        <v>6.8616963171138705</v>
      </c>
      <c r="G1011" s="222" t="s">
        <v>2942</v>
      </c>
    </row>
    <row r="1012" spans="1:7">
      <c r="A1012" s="220" t="s">
        <v>1155</v>
      </c>
      <c r="B1012" s="221">
        <v>0</v>
      </c>
      <c r="C1012" s="221">
        <v>520</v>
      </c>
      <c r="D1012" s="221">
        <v>25.25</v>
      </c>
      <c r="E1012" s="221">
        <v>72.378313280284999</v>
      </c>
      <c r="F1012" s="221">
        <v>6.8616963171138705</v>
      </c>
      <c r="G1012" s="222" t="s">
        <v>2942</v>
      </c>
    </row>
    <row r="1013" spans="1:7">
      <c r="A1013" s="220" t="s">
        <v>1156</v>
      </c>
      <c r="B1013" s="221">
        <v>0</v>
      </c>
      <c r="C1013" s="221">
        <v>610</v>
      </c>
      <c r="D1013" s="221">
        <v>25.25</v>
      </c>
      <c r="E1013" s="221">
        <v>88.740313280285008</v>
      </c>
      <c r="F1013" s="221">
        <v>6.8616963171138705</v>
      </c>
      <c r="G1013" s="222" t="s">
        <v>2942</v>
      </c>
    </row>
    <row r="1014" spans="1:7">
      <c r="A1014" s="220" t="s">
        <v>1157</v>
      </c>
      <c r="B1014" s="221">
        <v>0</v>
      </c>
      <c r="C1014" s="221">
        <v>670</v>
      </c>
      <c r="D1014" s="221">
        <v>25.25</v>
      </c>
      <c r="E1014" s="221">
        <v>96.921313280285005</v>
      </c>
      <c r="F1014" s="221">
        <v>6.8616963171138705</v>
      </c>
      <c r="G1014" s="222" t="s">
        <v>2942</v>
      </c>
    </row>
    <row r="1015" spans="1:7">
      <c r="A1015" s="220" t="s">
        <v>1158</v>
      </c>
      <c r="B1015" s="221">
        <v>0</v>
      </c>
      <c r="C1015" s="221">
        <v>820</v>
      </c>
      <c r="D1015" s="221">
        <v>25.25</v>
      </c>
      <c r="E1015" s="221">
        <v>137.82631328028501</v>
      </c>
      <c r="F1015" s="221">
        <v>6.8616963171138705</v>
      </c>
      <c r="G1015" s="222" t="s">
        <v>2942</v>
      </c>
    </row>
    <row r="1016" spans="1:7">
      <c r="A1016" s="220" t="s">
        <v>1159</v>
      </c>
      <c r="B1016" s="221">
        <v>0</v>
      </c>
      <c r="C1016" s="221">
        <v>890</v>
      </c>
      <c r="D1016" s="221">
        <v>25.25</v>
      </c>
      <c r="E1016" s="221">
        <v>158.27881328028502</v>
      </c>
      <c r="F1016" s="221">
        <v>6.8616963171138705</v>
      </c>
      <c r="G1016" s="222" t="s">
        <v>2942</v>
      </c>
    </row>
    <row r="1017" spans="1:7">
      <c r="A1017" s="220" t="s">
        <v>1160</v>
      </c>
      <c r="B1017" s="221">
        <v>0</v>
      </c>
      <c r="C1017" s="221">
        <v>1020</v>
      </c>
      <c r="D1017" s="221">
        <v>25.25</v>
      </c>
      <c r="E1017" s="221">
        <v>195.093313280285</v>
      </c>
      <c r="F1017" s="221">
        <v>6.8616963171138705</v>
      </c>
      <c r="G1017" s="222" t="s">
        <v>2942</v>
      </c>
    </row>
    <row r="1018" spans="1:7">
      <c r="A1018" s="220" t="s">
        <v>1161</v>
      </c>
      <c r="B1018" s="221">
        <v>0</v>
      </c>
      <c r="C1018" s="221">
        <v>1120</v>
      </c>
      <c r="D1018" s="221">
        <v>25.25</v>
      </c>
      <c r="E1018" s="221">
        <v>219.63631328028501</v>
      </c>
      <c r="F1018" s="221">
        <v>6.8616963171138705</v>
      </c>
      <c r="G1018" s="222" t="s">
        <v>2942</v>
      </c>
    </row>
    <row r="1019" spans="1:7">
      <c r="A1019" s="220" t="s">
        <v>1162</v>
      </c>
      <c r="B1019" s="221">
        <v>0</v>
      </c>
      <c r="C1019" s="221">
        <v>1185</v>
      </c>
      <c r="D1019" s="221">
        <v>25.25</v>
      </c>
      <c r="E1019" s="221">
        <v>240.08881328028502</v>
      </c>
      <c r="F1019" s="221">
        <v>6.8616963171138705</v>
      </c>
      <c r="G1019" s="222" t="s">
        <v>2942</v>
      </c>
    </row>
    <row r="1020" spans="1:7">
      <c r="A1020" s="220" t="s">
        <v>1163</v>
      </c>
      <c r="B1020" s="221">
        <v>0</v>
      </c>
      <c r="C1020" s="221">
        <v>80</v>
      </c>
      <c r="D1020" s="221">
        <v>25.25</v>
      </c>
      <c r="E1020" s="221">
        <v>34.831206776855737</v>
      </c>
      <c r="F1020" s="221">
        <v>10.996343343421518</v>
      </c>
      <c r="G1020" s="222" t="s">
        <v>2942</v>
      </c>
    </row>
    <row r="1021" spans="1:7">
      <c r="A1021" s="220" t="s">
        <v>1164</v>
      </c>
      <c r="B1021" s="221">
        <v>0</v>
      </c>
      <c r="C1021" s="221">
        <v>80</v>
      </c>
      <c r="D1021" s="221">
        <v>25.25</v>
      </c>
      <c r="E1021" s="221">
        <v>38.103606776855734</v>
      </c>
      <c r="F1021" s="221">
        <v>10.996343343421518</v>
      </c>
      <c r="G1021" s="222" t="s">
        <v>2942</v>
      </c>
    </row>
    <row r="1022" spans="1:7">
      <c r="A1022" s="220" t="s">
        <v>1165</v>
      </c>
      <c r="B1022" s="221">
        <v>0</v>
      </c>
      <c r="C1022" s="221">
        <v>90</v>
      </c>
      <c r="D1022" s="221">
        <v>25.25</v>
      </c>
      <c r="E1022" s="221">
        <v>42.194106776855733</v>
      </c>
      <c r="F1022" s="221">
        <v>10.996343343421518</v>
      </c>
      <c r="G1022" s="222" t="s">
        <v>2942</v>
      </c>
    </row>
    <row r="1023" spans="1:7">
      <c r="A1023" s="220" t="s">
        <v>1166</v>
      </c>
      <c r="B1023" s="221">
        <v>0</v>
      </c>
      <c r="C1023" s="221">
        <v>150</v>
      </c>
      <c r="D1023" s="221">
        <v>25.25</v>
      </c>
      <c r="E1023" s="221">
        <v>42.194106776855733</v>
      </c>
      <c r="F1023" s="221">
        <v>10.996343343421518</v>
      </c>
      <c r="G1023" s="222" t="s">
        <v>2942</v>
      </c>
    </row>
    <row r="1024" spans="1:7">
      <c r="A1024" s="220" t="s">
        <v>1167</v>
      </c>
      <c r="B1024" s="221">
        <v>0</v>
      </c>
      <c r="C1024" s="221">
        <v>150</v>
      </c>
      <c r="D1024" s="221">
        <v>25.25</v>
      </c>
      <c r="E1024" s="221">
        <v>42.194106776855733</v>
      </c>
      <c r="F1024" s="221">
        <v>10.996343343421518</v>
      </c>
      <c r="G1024" s="222" t="s">
        <v>2942</v>
      </c>
    </row>
    <row r="1025" spans="1:7">
      <c r="A1025" s="220" t="s">
        <v>1168</v>
      </c>
      <c r="B1025" s="221">
        <v>0</v>
      </c>
      <c r="C1025" s="221">
        <v>155</v>
      </c>
      <c r="D1025" s="221">
        <v>25.25</v>
      </c>
      <c r="E1025" s="221">
        <v>42.194106776855733</v>
      </c>
      <c r="F1025" s="221">
        <v>10.996343343421518</v>
      </c>
      <c r="G1025" s="222" t="s">
        <v>2942</v>
      </c>
    </row>
    <row r="1026" spans="1:7">
      <c r="A1026" s="220" t="s">
        <v>1169</v>
      </c>
      <c r="B1026" s="221">
        <v>0</v>
      </c>
      <c r="C1026" s="221">
        <v>215</v>
      </c>
      <c r="D1026" s="221">
        <v>25.25</v>
      </c>
      <c r="E1026" s="221">
        <v>42.194106776855733</v>
      </c>
      <c r="F1026" s="221">
        <v>10.996343343421518</v>
      </c>
      <c r="G1026" s="222" t="s">
        <v>2942</v>
      </c>
    </row>
    <row r="1027" spans="1:7">
      <c r="A1027" s="220" t="s">
        <v>1170</v>
      </c>
      <c r="B1027" s="221">
        <v>0</v>
      </c>
      <c r="C1027" s="221">
        <v>240</v>
      </c>
      <c r="D1027" s="221">
        <v>25.25</v>
      </c>
      <c r="E1027" s="221">
        <v>42.194106776855733</v>
      </c>
      <c r="F1027" s="221">
        <v>10.996343343421518</v>
      </c>
      <c r="G1027" s="222" t="s">
        <v>2942</v>
      </c>
    </row>
    <row r="1028" spans="1:7">
      <c r="A1028" s="220" t="s">
        <v>1171</v>
      </c>
      <c r="B1028" s="221">
        <v>0</v>
      </c>
      <c r="C1028" s="221">
        <v>340</v>
      </c>
      <c r="D1028" s="221">
        <v>25.25</v>
      </c>
      <c r="E1028" s="221">
        <v>47.102706776855733</v>
      </c>
      <c r="F1028" s="221">
        <v>10.996343343421518</v>
      </c>
      <c r="G1028" s="222" t="s">
        <v>2942</v>
      </c>
    </row>
    <row r="1029" spans="1:7">
      <c r="A1029" s="220" t="s">
        <v>1172</v>
      </c>
      <c r="B1029" s="221">
        <v>0</v>
      </c>
      <c r="C1029" s="221">
        <v>395</v>
      </c>
      <c r="D1029" s="221">
        <v>25.25</v>
      </c>
      <c r="E1029" s="221">
        <v>56.101806776855739</v>
      </c>
      <c r="F1029" s="221">
        <v>10.996343343421518</v>
      </c>
      <c r="G1029" s="222" t="s">
        <v>2942</v>
      </c>
    </row>
    <row r="1030" spans="1:7">
      <c r="A1030" s="220" t="s">
        <v>1173</v>
      </c>
      <c r="B1030" s="221">
        <v>0</v>
      </c>
      <c r="C1030" s="221">
        <v>525</v>
      </c>
      <c r="D1030" s="221">
        <v>25.25</v>
      </c>
      <c r="E1030" s="221">
        <v>60.192306776855737</v>
      </c>
      <c r="F1030" s="221">
        <v>10.996343343421518</v>
      </c>
      <c r="G1030" s="222" t="s">
        <v>2942</v>
      </c>
    </row>
    <row r="1031" spans="1:7">
      <c r="A1031" s="220" t="s">
        <v>1174</v>
      </c>
      <c r="B1031" s="221">
        <v>0</v>
      </c>
      <c r="C1031" s="221">
        <v>785</v>
      </c>
      <c r="D1031" s="221">
        <v>25.25</v>
      </c>
      <c r="E1031" s="221">
        <v>76.554306776855725</v>
      </c>
      <c r="F1031" s="221">
        <v>10.996343343421518</v>
      </c>
      <c r="G1031" s="222" t="s">
        <v>2942</v>
      </c>
    </row>
    <row r="1032" spans="1:7">
      <c r="A1032" s="220" t="s">
        <v>1175</v>
      </c>
      <c r="B1032" s="221">
        <v>0</v>
      </c>
      <c r="C1032" s="221">
        <v>920</v>
      </c>
      <c r="D1032" s="221">
        <v>25.25</v>
      </c>
      <c r="E1032" s="221">
        <v>92.916306776855734</v>
      </c>
      <c r="F1032" s="221">
        <v>10.996343343421518</v>
      </c>
      <c r="G1032" s="222" t="s">
        <v>2942</v>
      </c>
    </row>
    <row r="1033" spans="1:7">
      <c r="A1033" s="220" t="s">
        <v>1176</v>
      </c>
      <c r="B1033" s="221">
        <v>0</v>
      </c>
      <c r="C1033" s="221">
        <v>1005</v>
      </c>
      <c r="D1033" s="221">
        <v>25.25</v>
      </c>
      <c r="E1033" s="221">
        <v>101.09730677685572</v>
      </c>
      <c r="F1033" s="221">
        <v>10.996343343421518</v>
      </c>
      <c r="G1033" s="222" t="s">
        <v>2942</v>
      </c>
    </row>
    <row r="1034" spans="1:7">
      <c r="A1034" s="220" t="s">
        <v>1177</v>
      </c>
      <c r="B1034" s="221">
        <v>0</v>
      </c>
      <c r="C1034" s="221">
        <v>1230</v>
      </c>
      <c r="D1034" s="221">
        <v>25.25</v>
      </c>
      <c r="E1034" s="221">
        <v>142.00230677685573</v>
      </c>
      <c r="F1034" s="221">
        <v>10.996343343421518</v>
      </c>
      <c r="G1034" s="222" t="s">
        <v>2942</v>
      </c>
    </row>
    <row r="1035" spans="1:7">
      <c r="A1035" s="220" t="s">
        <v>1178</v>
      </c>
      <c r="B1035" s="221">
        <v>0</v>
      </c>
      <c r="C1035" s="221">
        <v>1330</v>
      </c>
      <c r="D1035" s="221">
        <v>25.25</v>
      </c>
      <c r="E1035" s="221">
        <v>162.45480677685575</v>
      </c>
      <c r="F1035" s="221">
        <v>10.996343343421518</v>
      </c>
      <c r="G1035" s="222" t="s">
        <v>2942</v>
      </c>
    </row>
    <row r="1036" spans="1:7">
      <c r="A1036" s="220" t="s">
        <v>1179</v>
      </c>
      <c r="B1036" s="221">
        <v>0</v>
      </c>
      <c r="C1036" s="221">
        <v>1530</v>
      </c>
      <c r="D1036" s="221">
        <v>25.25</v>
      </c>
      <c r="E1036" s="221">
        <v>199.26930677685573</v>
      </c>
      <c r="F1036" s="221">
        <v>10.996343343421518</v>
      </c>
      <c r="G1036" s="222" t="s">
        <v>2942</v>
      </c>
    </row>
    <row r="1037" spans="1:7">
      <c r="A1037" s="220" t="s">
        <v>1180</v>
      </c>
      <c r="B1037" s="221">
        <v>0</v>
      </c>
      <c r="C1037" s="221">
        <v>1680</v>
      </c>
      <c r="D1037" s="221">
        <v>25.25</v>
      </c>
      <c r="E1037" s="221">
        <v>223.81230677685573</v>
      </c>
      <c r="F1037" s="221">
        <v>10.996343343421518</v>
      </c>
      <c r="G1037" s="222" t="s">
        <v>2942</v>
      </c>
    </row>
    <row r="1038" spans="1:7">
      <c r="A1038" s="220" t="s">
        <v>1181</v>
      </c>
      <c r="B1038" s="221">
        <v>0</v>
      </c>
      <c r="C1038" s="221">
        <v>1775</v>
      </c>
      <c r="D1038" s="221">
        <v>25.25</v>
      </c>
      <c r="E1038" s="221">
        <v>244.26480677685575</v>
      </c>
      <c r="F1038" s="221">
        <v>10.996343343421518</v>
      </c>
      <c r="G1038" s="222" t="s">
        <v>2942</v>
      </c>
    </row>
    <row r="1039" spans="1:7">
      <c r="A1039" s="220" t="s">
        <v>1182</v>
      </c>
      <c r="B1039" s="221">
        <v>0</v>
      </c>
      <c r="C1039" s="221">
        <v>95</v>
      </c>
      <c r="D1039" s="221">
        <v>25.25</v>
      </c>
      <c r="E1039" s="221">
        <v>25.746613280285008</v>
      </c>
      <c r="F1039" s="221">
        <v>6.8616963171138705</v>
      </c>
      <c r="G1039" s="222" t="s">
        <v>2942</v>
      </c>
    </row>
    <row r="1040" spans="1:7">
      <c r="A1040" s="220" t="s">
        <v>1183</v>
      </c>
      <c r="B1040" s="221">
        <v>0</v>
      </c>
      <c r="C1040" s="221">
        <v>95</v>
      </c>
      <c r="D1040" s="221">
        <v>25.25</v>
      </c>
      <c r="E1040" s="221">
        <v>29.019013280285012</v>
      </c>
      <c r="F1040" s="221">
        <v>6.8616963171138705</v>
      </c>
      <c r="G1040" s="222" t="s">
        <v>2942</v>
      </c>
    </row>
    <row r="1041" spans="1:7">
      <c r="A1041" s="220" t="s">
        <v>1184</v>
      </c>
      <c r="B1041" s="221">
        <v>0</v>
      </c>
      <c r="C1041" s="221">
        <v>100</v>
      </c>
      <c r="D1041" s="221">
        <v>25.25</v>
      </c>
      <c r="E1041" s="221">
        <v>42.926713280285007</v>
      </c>
      <c r="F1041" s="221">
        <v>6.8616963171138705</v>
      </c>
      <c r="G1041" s="222" t="s">
        <v>2942</v>
      </c>
    </row>
    <row r="1042" spans="1:7">
      <c r="A1042" s="220" t="s">
        <v>1185</v>
      </c>
      <c r="B1042" s="221">
        <v>0</v>
      </c>
      <c r="C1042" s="221">
        <v>130</v>
      </c>
      <c r="D1042" s="221">
        <v>25.25</v>
      </c>
      <c r="E1042" s="221">
        <v>60.924913280285004</v>
      </c>
      <c r="F1042" s="221">
        <v>6.8616963171138705</v>
      </c>
      <c r="G1042" s="222" t="s">
        <v>2942</v>
      </c>
    </row>
    <row r="1043" spans="1:7">
      <c r="A1043" s="220" t="s">
        <v>1186</v>
      </c>
      <c r="B1043" s="221">
        <v>0</v>
      </c>
      <c r="C1043" s="221">
        <v>130</v>
      </c>
      <c r="D1043" s="221">
        <v>25.25</v>
      </c>
      <c r="E1043" s="221">
        <v>65.833513280285018</v>
      </c>
      <c r="F1043" s="221">
        <v>6.8616963171138705</v>
      </c>
      <c r="G1043" s="222" t="s">
        <v>2942</v>
      </c>
    </row>
    <row r="1044" spans="1:7">
      <c r="A1044" s="220" t="s">
        <v>1187</v>
      </c>
      <c r="B1044" s="221">
        <v>0</v>
      </c>
      <c r="C1044" s="221">
        <v>145</v>
      </c>
      <c r="D1044" s="221">
        <v>25.25</v>
      </c>
      <c r="E1044" s="221">
        <v>70.742113280285011</v>
      </c>
      <c r="F1044" s="221">
        <v>6.8616963171138705</v>
      </c>
      <c r="G1044" s="222" t="s">
        <v>2942</v>
      </c>
    </row>
    <row r="1045" spans="1:7">
      <c r="A1045" s="220" t="s">
        <v>1188</v>
      </c>
      <c r="B1045" s="221">
        <v>0</v>
      </c>
      <c r="C1045" s="221">
        <v>155</v>
      </c>
      <c r="D1045" s="221">
        <v>25.25</v>
      </c>
      <c r="E1045" s="221">
        <v>74.832613280285017</v>
      </c>
      <c r="F1045" s="221">
        <v>6.8616963171138705</v>
      </c>
      <c r="G1045" s="222" t="s">
        <v>2942</v>
      </c>
    </row>
    <row r="1046" spans="1:7">
      <c r="A1046" s="220" t="s">
        <v>1189</v>
      </c>
      <c r="B1046" s="221">
        <v>0</v>
      </c>
      <c r="C1046" s="221">
        <v>170</v>
      </c>
      <c r="D1046" s="221">
        <v>25.25</v>
      </c>
      <c r="E1046" s="221">
        <v>79.74121328028501</v>
      </c>
      <c r="F1046" s="221">
        <v>6.8616963171138705</v>
      </c>
      <c r="G1046" s="222" t="s">
        <v>2942</v>
      </c>
    </row>
    <row r="1047" spans="1:7">
      <c r="A1047" s="220" t="s">
        <v>1190</v>
      </c>
      <c r="B1047" s="221">
        <v>0</v>
      </c>
      <c r="C1047" s="221">
        <v>210</v>
      </c>
      <c r="D1047" s="221">
        <v>25.25</v>
      </c>
      <c r="E1047" s="221">
        <v>105.102313280285</v>
      </c>
      <c r="F1047" s="221">
        <v>6.8616963171138705</v>
      </c>
      <c r="G1047" s="222" t="s">
        <v>2942</v>
      </c>
    </row>
    <row r="1048" spans="1:7">
      <c r="A1048" s="220" t="s">
        <v>1191</v>
      </c>
      <c r="B1048" s="221">
        <v>0</v>
      </c>
      <c r="C1048" s="221">
        <v>220</v>
      </c>
      <c r="D1048" s="221">
        <v>25.25</v>
      </c>
      <c r="E1048" s="221">
        <v>113.283313280285</v>
      </c>
      <c r="F1048" s="221">
        <v>6.8616963171138705</v>
      </c>
      <c r="G1048" s="222" t="s">
        <v>2942</v>
      </c>
    </row>
    <row r="1049" spans="1:7">
      <c r="A1049" s="220" t="s">
        <v>1192</v>
      </c>
      <c r="B1049" s="221">
        <v>0</v>
      </c>
      <c r="C1049" s="221">
        <v>260</v>
      </c>
      <c r="D1049" s="221">
        <v>25.25</v>
      </c>
      <c r="E1049" s="221">
        <v>137.82631328028501</v>
      </c>
      <c r="F1049" s="221">
        <v>6.8616963171138705</v>
      </c>
      <c r="G1049" s="222" t="s">
        <v>2942</v>
      </c>
    </row>
    <row r="1050" spans="1:7">
      <c r="A1050" s="220" t="s">
        <v>1193</v>
      </c>
      <c r="B1050" s="221">
        <v>0</v>
      </c>
      <c r="C1050" s="221">
        <v>325</v>
      </c>
      <c r="D1050" s="221">
        <v>25.25</v>
      </c>
      <c r="E1050" s="221">
        <v>162.36931328028501</v>
      </c>
      <c r="F1050" s="221">
        <v>6.8616963171138705</v>
      </c>
      <c r="G1050" s="222" t="s">
        <v>2942</v>
      </c>
    </row>
    <row r="1051" spans="1:7">
      <c r="A1051" s="220" t="s">
        <v>1194</v>
      </c>
      <c r="B1051" s="221">
        <v>0</v>
      </c>
      <c r="C1051" s="221">
        <v>375</v>
      </c>
      <c r="D1051" s="221">
        <v>25.25</v>
      </c>
      <c r="E1051" s="221">
        <v>191.00281328028501</v>
      </c>
      <c r="F1051" s="221">
        <v>6.8616963171138705</v>
      </c>
      <c r="G1051" s="222" t="s">
        <v>2942</v>
      </c>
    </row>
    <row r="1052" spans="1:7">
      <c r="A1052" s="220" t="s">
        <v>1195</v>
      </c>
      <c r="B1052" s="221">
        <v>0</v>
      </c>
      <c r="C1052" s="221">
        <v>420</v>
      </c>
      <c r="D1052" s="221">
        <v>25.25</v>
      </c>
      <c r="E1052" s="221">
        <v>211.45531328028503</v>
      </c>
      <c r="F1052" s="221">
        <v>6.8616963171138705</v>
      </c>
      <c r="G1052" s="222" t="s">
        <v>2942</v>
      </c>
    </row>
    <row r="1053" spans="1:7">
      <c r="A1053" s="220" t="s">
        <v>1196</v>
      </c>
      <c r="B1053" s="221">
        <v>0</v>
      </c>
      <c r="C1053" s="221">
        <v>445</v>
      </c>
      <c r="D1053" s="221">
        <v>25.25</v>
      </c>
      <c r="E1053" s="221">
        <v>252.36031328028503</v>
      </c>
      <c r="F1053" s="221">
        <v>6.8616963171138705</v>
      </c>
      <c r="G1053" s="222" t="s">
        <v>2942</v>
      </c>
    </row>
    <row r="1054" spans="1:7">
      <c r="A1054" s="220" t="s">
        <v>1197</v>
      </c>
      <c r="B1054" s="221">
        <v>0</v>
      </c>
      <c r="C1054" s="221">
        <v>510</v>
      </c>
      <c r="D1054" s="221">
        <v>25.25</v>
      </c>
      <c r="E1054" s="221">
        <v>293.265313280285</v>
      </c>
      <c r="F1054" s="221">
        <v>6.8616963171138705</v>
      </c>
      <c r="G1054" s="222" t="s">
        <v>2942</v>
      </c>
    </row>
    <row r="1055" spans="1:7">
      <c r="A1055" s="220" t="s">
        <v>1198</v>
      </c>
      <c r="B1055" s="221">
        <v>0</v>
      </c>
      <c r="C1055" s="221">
        <v>610</v>
      </c>
      <c r="D1055" s="221">
        <v>25.25</v>
      </c>
      <c r="E1055" s="221">
        <v>354.62281328028502</v>
      </c>
      <c r="F1055" s="221">
        <v>6.8616963171138705</v>
      </c>
      <c r="G1055" s="222" t="s">
        <v>2942</v>
      </c>
    </row>
    <row r="1056" spans="1:7">
      <c r="A1056" s="220" t="s">
        <v>1199</v>
      </c>
      <c r="B1056" s="221">
        <v>0</v>
      </c>
      <c r="C1056" s="221">
        <v>695</v>
      </c>
      <c r="D1056" s="221">
        <v>25.25</v>
      </c>
      <c r="E1056" s="221">
        <v>395.52781328028499</v>
      </c>
      <c r="F1056" s="221">
        <v>6.8616963171138705</v>
      </c>
      <c r="G1056" s="222" t="s">
        <v>2942</v>
      </c>
    </row>
    <row r="1057" spans="1:7">
      <c r="A1057" s="220" t="s">
        <v>1200</v>
      </c>
      <c r="B1057" s="221">
        <v>0</v>
      </c>
      <c r="C1057" s="221">
        <v>755</v>
      </c>
      <c r="D1057" s="221">
        <v>25.25</v>
      </c>
      <c r="E1057" s="221">
        <v>436.43281328028502</v>
      </c>
      <c r="F1057" s="221">
        <v>6.8616963171138705</v>
      </c>
      <c r="G1057" s="222" t="s">
        <v>2942</v>
      </c>
    </row>
    <row r="1058" spans="1:7">
      <c r="A1058" s="220" t="s">
        <v>1201</v>
      </c>
      <c r="B1058" s="221">
        <v>0</v>
      </c>
      <c r="C1058" s="221">
        <v>140</v>
      </c>
      <c r="D1058" s="221">
        <v>25.25</v>
      </c>
      <c r="E1058" s="221">
        <v>25.746613280285008</v>
      </c>
      <c r="F1058" s="221">
        <v>6.8616963171138705</v>
      </c>
      <c r="G1058" s="222" t="s">
        <v>2942</v>
      </c>
    </row>
    <row r="1059" spans="1:7">
      <c r="A1059" s="220" t="s">
        <v>1202</v>
      </c>
      <c r="B1059" s="221">
        <v>0</v>
      </c>
      <c r="C1059" s="221">
        <v>140</v>
      </c>
      <c r="D1059" s="221">
        <v>25.25</v>
      </c>
      <c r="E1059" s="221">
        <v>29.019013280285012</v>
      </c>
      <c r="F1059" s="221">
        <v>6.8616963171138705</v>
      </c>
      <c r="G1059" s="222" t="s">
        <v>2942</v>
      </c>
    </row>
    <row r="1060" spans="1:7">
      <c r="A1060" s="220" t="s">
        <v>1203</v>
      </c>
      <c r="B1060" s="221">
        <v>0</v>
      </c>
      <c r="C1060" s="221">
        <v>170</v>
      </c>
      <c r="D1060" s="221">
        <v>25.25</v>
      </c>
      <c r="E1060" s="221">
        <v>42.926713280285007</v>
      </c>
      <c r="F1060" s="221">
        <v>6.8616963171138705</v>
      </c>
      <c r="G1060" s="222" t="s">
        <v>2942</v>
      </c>
    </row>
    <row r="1061" spans="1:7">
      <c r="A1061" s="220" t="s">
        <v>1204</v>
      </c>
      <c r="B1061" s="221">
        <v>0</v>
      </c>
      <c r="C1061" s="221">
        <v>250</v>
      </c>
      <c r="D1061" s="221">
        <v>25.25</v>
      </c>
      <c r="E1061" s="221">
        <v>60.924913280285004</v>
      </c>
      <c r="F1061" s="221">
        <v>6.8616963171138705</v>
      </c>
      <c r="G1061" s="222" t="s">
        <v>2942</v>
      </c>
    </row>
    <row r="1062" spans="1:7">
      <c r="A1062" s="220" t="s">
        <v>1205</v>
      </c>
      <c r="B1062" s="221">
        <v>0</v>
      </c>
      <c r="C1062" s="221">
        <v>250</v>
      </c>
      <c r="D1062" s="221">
        <v>25.25</v>
      </c>
      <c r="E1062" s="221">
        <v>65.833513280285018</v>
      </c>
      <c r="F1062" s="221">
        <v>6.8616963171138705</v>
      </c>
      <c r="G1062" s="222" t="s">
        <v>2942</v>
      </c>
    </row>
    <row r="1063" spans="1:7">
      <c r="A1063" s="220" t="s">
        <v>1206</v>
      </c>
      <c r="B1063" s="221">
        <v>0</v>
      </c>
      <c r="C1063" s="221">
        <v>345</v>
      </c>
      <c r="D1063" s="221">
        <v>25.25</v>
      </c>
      <c r="E1063" s="221">
        <v>70.742113280285011</v>
      </c>
      <c r="F1063" s="221">
        <v>6.8616963171138705</v>
      </c>
      <c r="G1063" s="222" t="s">
        <v>2942</v>
      </c>
    </row>
    <row r="1064" spans="1:7">
      <c r="A1064" s="220" t="s">
        <v>1207</v>
      </c>
      <c r="B1064" s="221">
        <v>0</v>
      </c>
      <c r="C1064" s="221">
        <v>405</v>
      </c>
      <c r="D1064" s="221">
        <v>25.25</v>
      </c>
      <c r="E1064" s="221">
        <v>74.832613280285017</v>
      </c>
      <c r="F1064" s="221">
        <v>6.8616963171138705</v>
      </c>
      <c r="G1064" s="222" t="s">
        <v>2942</v>
      </c>
    </row>
    <row r="1065" spans="1:7">
      <c r="A1065" s="220" t="s">
        <v>1208</v>
      </c>
      <c r="B1065" s="221">
        <v>0</v>
      </c>
      <c r="C1065" s="221">
        <v>440</v>
      </c>
      <c r="D1065" s="221">
        <v>25.25</v>
      </c>
      <c r="E1065" s="221">
        <v>79.74121328028501</v>
      </c>
      <c r="F1065" s="221">
        <v>6.8616963171138705</v>
      </c>
      <c r="G1065" s="222" t="s">
        <v>2942</v>
      </c>
    </row>
    <row r="1066" spans="1:7">
      <c r="A1066" s="220" t="s">
        <v>1209</v>
      </c>
      <c r="B1066" s="221">
        <v>0</v>
      </c>
      <c r="C1066" s="221">
        <v>475</v>
      </c>
      <c r="D1066" s="221">
        <v>25.25</v>
      </c>
      <c r="E1066" s="221">
        <v>105.102313280285</v>
      </c>
      <c r="F1066" s="221">
        <v>6.8616963171138705</v>
      </c>
      <c r="G1066" s="222" t="s">
        <v>2942</v>
      </c>
    </row>
    <row r="1067" spans="1:7">
      <c r="A1067" s="220" t="s">
        <v>1210</v>
      </c>
      <c r="B1067" s="221">
        <v>0</v>
      </c>
      <c r="C1067" s="221">
        <v>535</v>
      </c>
      <c r="D1067" s="221">
        <v>25.25</v>
      </c>
      <c r="E1067" s="221">
        <v>113.283313280285</v>
      </c>
      <c r="F1067" s="221">
        <v>6.8616963171138705</v>
      </c>
      <c r="G1067" s="222" t="s">
        <v>2942</v>
      </c>
    </row>
    <row r="1068" spans="1:7">
      <c r="A1068" s="220" t="s">
        <v>1211</v>
      </c>
      <c r="B1068" s="221">
        <v>0</v>
      </c>
      <c r="C1068" s="221">
        <v>610</v>
      </c>
      <c r="D1068" s="221">
        <v>25.25</v>
      </c>
      <c r="E1068" s="221">
        <v>137.82631328028501</v>
      </c>
      <c r="F1068" s="221">
        <v>6.8616963171138705</v>
      </c>
      <c r="G1068" s="222" t="s">
        <v>2942</v>
      </c>
    </row>
    <row r="1069" spans="1:7">
      <c r="A1069" s="220" t="s">
        <v>1212</v>
      </c>
      <c r="B1069" s="221">
        <v>0</v>
      </c>
      <c r="C1069" s="221">
        <v>780</v>
      </c>
      <c r="D1069" s="221">
        <v>25.25</v>
      </c>
      <c r="E1069" s="221">
        <v>162.36931328028501</v>
      </c>
      <c r="F1069" s="221">
        <v>6.8616963171138705</v>
      </c>
      <c r="G1069" s="222" t="s">
        <v>2942</v>
      </c>
    </row>
    <row r="1070" spans="1:7">
      <c r="A1070" s="220" t="s">
        <v>1213</v>
      </c>
      <c r="B1070" s="221">
        <v>0</v>
      </c>
      <c r="C1070" s="221">
        <v>820</v>
      </c>
      <c r="D1070" s="221">
        <v>25.25</v>
      </c>
      <c r="E1070" s="221">
        <v>191.00281328028501</v>
      </c>
      <c r="F1070" s="221">
        <v>6.8616963171138705</v>
      </c>
      <c r="G1070" s="222" t="s">
        <v>2942</v>
      </c>
    </row>
    <row r="1071" spans="1:7">
      <c r="A1071" s="220" t="s">
        <v>1214</v>
      </c>
      <c r="B1071" s="221">
        <v>0</v>
      </c>
      <c r="C1071" s="221">
        <v>845</v>
      </c>
      <c r="D1071" s="221">
        <v>25.25</v>
      </c>
      <c r="E1071" s="221">
        <v>211.45531328028503</v>
      </c>
      <c r="F1071" s="221">
        <v>6.8616963171138705</v>
      </c>
      <c r="G1071" s="222" t="s">
        <v>2942</v>
      </c>
    </row>
    <row r="1072" spans="1:7">
      <c r="A1072" s="220" t="s">
        <v>1215</v>
      </c>
      <c r="B1072" s="221">
        <v>0</v>
      </c>
      <c r="C1072" s="221">
        <v>1040</v>
      </c>
      <c r="D1072" s="221">
        <v>25.25</v>
      </c>
      <c r="E1072" s="221">
        <v>252.36031328028503</v>
      </c>
      <c r="F1072" s="221">
        <v>6.8616963171138705</v>
      </c>
      <c r="G1072" s="222" t="s">
        <v>2942</v>
      </c>
    </row>
    <row r="1073" spans="1:7">
      <c r="A1073" s="220" t="s">
        <v>1216</v>
      </c>
      <c r="B1073" s="221">
        <v>0</v>
      </c>
      <c r="C1073" s="221">
        <v>1165</v>
      </c>
      <c r="D1073" s="221">
        <v>25.25</v>
      </c>
      <c r="E1073" s="221">
        <v>293.265313280285</v>
      </c>
      <c r="F1073" s="221">
        <v>6.8616963171138705</v>
      </c>
      <c r="G1073" s="222" t="s">
        <v>2942</v>
      </c>
    </row>
    <row r="1074" spans="1:7">
      <c r="A1074" s="220" t="s">
        <v>1217</v>
      </c>
      <c r="B1074" s="221">
        <v>0</v>
      </c>
      <c r="C1074" s="221">
        <v>1250</v>
      </c>
      <c r="D1074" s="221">
        <v>25.25</v>
      </c>
      <c r="E1074" s="221">
        <v>354.62281328028502</v>
      </c>
      <c r="F1074" s="221">
        <v>6.8616963171138705</v>
      </c>
      <c r="G1074" s="222" t="s">
        <v>2942</v>
      </c>
    </row>
    <row r="1075" spans="1:7">
      <c r="A1075" s="220" t="s">
        <v>1218</v>
      </c>
      <c r="B1075" s="221">
        <v>0</v>
      </c>
      <c r="C1075" s="221">
        <v>1360</v>
      </c>
      <c r="D1075" s="221">
        <v>25.25</v>
      </c>
      <c r="E1075" s="221">
        <v>395.52781328028499</v>
      </c>
      <c r="F1075" s="221">
        <v>6.8616963171138705</v>
      </c>
      <c r="G1075" s="222" t="s">
        <v>2942</v>
      </c>
    </row>
    <row r="1076" spans="1:7">
      <c r="A1076" s="220" t="s">
        <v>1219</v>
      </c>
      <c r="B1076" s="221">
        <v>0</v>
      </c>
      <c r="C1076" s="221">
        <v>1405</v>
      </c>
      <c r="D1076" s="221">
        <v>25.25</v>
      </c>
      <c r="E1076" s="221">
        <v>436.43281328028502</v>
      </c>
      <c r="F1076" s="221">
        <v>6.8616963171138705</v>
      </c>
      <c r="G1076" s="222" t="s">
        <v>2942</v>
      </c>
    </row>
    <row r="1077" spans="1:7">
      <c r="A1077" s="220" t="s">
        <v>1220</v>
      </c>
      <c r="B1077" s="221">
        <v>0</v>
      </c>
      <c r="C1077" s="221">
        <v>179</v>
      </c>
      <c r="D1077" s="221">
        <v>25.25</v>
      </c>
      <c r="E1077" s="221">
        <v>29.922606776855734</v>
      </c>
      <c r="F1077" s="221">
        <v>10.996343343421518</v>
      </c>
      <c r="G1077" s="222" t="s">
        <v>2942</v>
      </c>
    </row>
    <row r="1078" spans="1:7">
      <c r="A1078" s="220" t="s">
        <v>1221</v>
      </c>
      <c r="B1078" s="221">
        <v>0</v>
      </c>
      <c r="C1078" s="221">
        <v>179</v>
      </c>
      <c r="D1078" s="221">
        <v>25.25</v>
      </c>
      <c r="E1078" s="221">
        <v>33.195006776855735</v>
      </c>
      <c r="F1078" s="221">
        <v>10.996343343421518</v>
      </c>
      <c r="G1078" s="222" t="s">
        <v>2942</v>
      </c>
    </row>
    <row r="1079" spans="1:7">
      <c r="A1079" s="220" t="s">
        <v>1222</v>
      </c>
      <c r="B1079" s="221">
        <v>0</v>
      </c>
      <c r="C1079" s="221">
        <v>189</v>
      </c>
      <c r="D1079" s="221">
        <v>25.25</v>
      </c>
      <c r="E1079" s="221">
        <v>47.102706776855733</v>
      </c>
      <c r="F1079" s="221">
        <v>10.996343343421518</v>
      </c>
      <c r="G1079" s="222" t="s">
        <v>2942</v>
      </c>
    </row>
    <row r="1080" spans="1:7">
      <c r="A1080" s="220" t="s">
        <v>1223</v>
      </c>
      <c r="B1080" s="221">
        <v>0</v>
      </c>
      <c r="C1080" s="221">
        <v>385</v>
      </c>
      <c r="D1080" s="221">
        <v>25.25</v>
      </c>
      <c r="E1080" s="221">
        <v>65.100906776855737</v>
      </c>
      <c r="F1080" s="221">
        <v>10.996343343421518</v>
      </c>
      <c r="G1080" s="222" t="s">
        <v>2942</v>
      </c>
    </row>
    <row r="1081" spans="1:7">
      <c r="A1081" s="220" t="s">
        <v>1224</v>
      </c>
      <c r="B1081" s="221">
        <v>0</v>
      </c>
      <c r="C1081" s="221">
        <v>385</v>
      </c>
      <c r="D1081" s="221">
        <v>25.25</v>
      </c>
      <c r="E1081" s="221">
        <v>70.009506776855744</v>
      </c>
      <c r="F1081" s="221">
        <v>10.996343343421518</v>
      </c>
      <c r="G1081" s="222" t="s">
        <v>2942</v>
      </c>
    </row>
    <row r="1082" spans="1:7">
      <c r="A1082" s="220" t="s">
        <v>1225</v>
      </c>
      <c r="B1082" s="221">
        <v>0</v>
      </c>
      <c r="C1082" s="221">
        <v>545</v>
      </c>
      <c r="D1082" s="221">
        <v>25.25</v>
      </c>
      <c r="E1082" s="221">
        <v>74.918106776855737</v>
      </c>
      <c r="F1082" s="221">
        <v>10.996343343421518</v>
      </c>
      <c r="G1082" s="222" t="s">
        <v>2942</v>
      </c>
    </row>
    <row r="1083" spans="1:7">
      <c r="A1083" s="220" t="s">
        <v>1226</v>
      </c>
      <c r="B1083" s="221">
        <v>0</v>
      </c>
      <c r="C1083" s="221">
        <v>655</v>
      </c>
      <c r="D1083" s="221">
        <v>25.25</v>
      </c>
      <c r="E1083" s="221">
        <v>79.008606776855729</v>
      </c>
      <c r="F1083" s="221">
        <v>10.996343343421518</v>
      </c>
      <c r="G1083" s="222" t="s">
        <v>2942</v>
      </c>
    </row>
    <row r="1084" spans="1:7">
      <c r="A1084" s="220" t="s">
        <v>1227</v>
      </c>
      <c r="B1084" s="221">
        <v>0</v>
      </c>
      <c r="C1084" s="221">
        <v>715</v>
      </c>
      <c r="D1084" s="221">
        <v>25.25</v>
      </c>
      <c r="E1084" s="221">
        <v>83.917206776855735</v>
      </c>
      <c r="F1084" s="221">
        <v>10.996343343421518</v>
      </c>
      <c r="G1084" s="222" t="s">
        <v>2942</v>
      </c>
    </row>
    <row r="1085" spans="1:7">
      <c r="A1085" s="220" t="s">
        <v>1228</v>
      </c>
      <c r="B1085" s="221">
        <v>0</v>
      </c>
      <c r="C1085" s="221">
        <v>790</v>
      </c>
      <c r="D1085" s="221">
        <v>25.25</v>
      </c>
      <c r="E1085" s="221">
        <v>109.27830677685573</v>
      </c>
      <c r="F1085" s="221">
        <v>10.996343343421518</v>
      </c>
      <c r="G1085" s="222" t="s">
        <v>2942</v>
      </c>
    </row>
    <row r="1086" spans="1:7">
      <c r="A1086" s="220" t="s">
        <v>1229</v>
      </c>
      <c r="B1086" s="221">
        <v>0</v>
      </c>
      <c r="C1086" s="221">
        <v>865</v>
      </c>
      <c r="D1086" s="221">
        <v>25.25</v>
      </c>
      <c r="E1086" s="221">
        <v>117.45930677685573</v>
      </c>
      <c r="F1086" s="221">
        <v>10.996343343421518</v>
      </c>
      <c r="G1086" s="222" t="s">
        <v>2942</v>
      </c>
    </row>
    <row r="1087" spans="1:7">
      <c r="A1087" s="220" t="s">
        <v>1230</v>
      </c>
      <c r="B1087" s="221">
        <v>0</v>
      </c>
      <c r="C1087" s="221">
        <v>970</v>
      </c>
      <c r="D1087" s="221">
        <v>25.25</v>
      </c>
      <c r="E1087" s="221">
        <v>142.00230677685573</v>
      </c>
      <c r="F1087" s="221">
        <v>10.996343343421518</v>
      </c>
      <c r="G1087" s="222" t="s">
        <v>2942</v>
      </c>
    </row>
    <row r="1088" spans="1:7">
      <c r="A1088" s="220" t="s">
        <v>1231</v>
      </c>
      <c r="B1088" s="221">
        <v>0</v>
      </c>
      <c r="C1088" s="221">
        <v>1155</v>
      </c>
      <c r="D1088" s="221">
        <v>25.25</v>
      </c>
      <c r="E1088" s="221">
        <v>166.54530677685574</v>
      </c>
      <c r="F1088" s="221">
        <v>10.996343343421518</v>
      </c>
      <c r="G1088" s="222" t="s">
        <v>2942</v>
      </c>
    </row>
    <row r="1089" spans="1:7">
      <c r="A1089" s="220" t="s">
        <v>1232</v>
      </c>
      <c r="B1089" s="221">
        <v>0</v>
      </c>
      <c r="C1089" s="221">
        <v>1230</v>
      </c>
      <c r="D1089" s="221">
        <v>25.25</v>
      </c>
      <c r="E1089" s="221">
        <v>195.17880677685574</v>
      </c>
      <c r="F1089" s="221">
        <v>10.996343343421518</v>
      </c>
      <c r="G1089" s="222" t="s">
        <v>2942</v>
      </c>
    </row>
    <row r="1090" spans="1:7">
      <c r="A1090" s="220" t="s">
        <v>1233</v>
      </c>
      <c r="B1090" s="221">
        <v>0</v>
      </c>
      <c r="C1090" s="221">
        <v>1280</v>
      </c>
      <c r="D1090" s="221">
        <v>25.25</v>
      </c>
      <c r="E1090" s="221">
        <v>215.63130677685575</v>
      </c>
      <c r="F1090" s="221">
        <v>10.996343343421518</v>
      </c>
      <c r="G1090" s="222" t="s">
        <v>2942</v>
      </c>
    </row>
    <row r="1091" spans="1:7">
      <c r="A1091" s="220" t="s">
        <v>1234</v>
      </c>
      <c r="B1091" s="221">
        <v>0</v>
      </c>
      <c r="C1091" s="221">
        <v>1560</v>
      </c>
      <c r="D1091" s="221">
        <v>25.25</v>
      </c>
      <c r="E1091" s="221">
        <v>256.53630677685572</v>
      </c>
      <c r="F1091" s="221">
        <v>10.996343343421518</v>
      </c>
      <c r="G1091" s="222" t="s">
        <v>2942</v>
      </c>
    </row>
    <row r="1092" spans="1:7">
      <c r="A1092" s="220" t="s">
        <v>1235</v>
      </c>
      <c r="B1092" s="221">
        <v>0</v>
      </c>
      <c r="C1092" s="221">
        <v>1640</v>
      </c>
      <c r="D1092" s="221">
        <v>25.25</v>
      </c>
      <c r="E1092" s="221">
        <v>297.44130677685575</v>
      </c>
      <c r="F1092" s="221">
        <v>10.996343343421518</v>
      </c>
      <c r="G1092" s="222" t="s">
        <v>2942</v>
      </c>
    </row>
    <row r="1093" spans="1:7">
      <c r="A1093" s="220" t="s">
        <v>1236</v>
      </c>
      <c r="B1093" s="221">
        <v>0</v>
      </c>
      <c r="C1093" s="221">
        <v>1880</v>
      </c>
      <c r="D1093" s="221">
        <v>25.25</v>
      </c>
      <c r="E1093" s="221">
        <v>358.79880677685577</v>
      </c>
      <c r="F1093" s="221">
        <v>10.996343343421518</v>
      </c>
      <c r="G1093" s="222" t="s">
        <v>2942</v>
      </c>
    </row>
    <row r="1094" spans="1:7">
      <c r="A1094" s="220" t="s">
        <v>1237</v>
      </c>
      <c r="B1094" s="221">
        <v>0</v>
      </c>
      <c r="C1094" s="221">
        <v>2025</v>
      </c>
      <c r="D1094" s="221">
        <v>25.25</v>
      </c>
      <c r="E1094" s="221">
        <v>399.70380677685574</v>
      </c>
      <c r="F1094" s="221">
        <v>10.996343343421518</v>
      </c>
      <c r="G1094" s="222" t="s">
        <v>2942</v>
      </c>
    </row>
    <row r="1095" spans="1:7">
      <c r="A1095" s="220" t="s">
        <v>1238</v>
      </c>
      <c r="B1095" s="221">
        <v>0</v>
      </c>
      <c r="C1095" s="221">
        <v>2145</v>
      </c>
      <c r="D1095" s="221">
        <v>25.25</v>
      </c>
      <c r="E1095" s="221">
        <v>440.60880677685577</v>
      </c>
      <c r="F1095" s="221">
        <v>10.996343343421518</v>
      </c>
      <c r="G1095" s="222" t="s">
        <v>2942</v>
      </c>
    </row>
    <row r="1096" spans="1:7">
      <c r="A1096" s="220" t="s">
        <v>1467</v>
      </c>
      <c r="B1096" s="221">
        <v>0</v>
      </c>
      <c r="C1096" s="221">
        <v>70</v>
      </c>
      <c r="D1096" s="221">
        <v>25.250000000000004</v>
      </c>
      <c r="E1096" s="221">
        <v>30.655213280285011</v>
      </c>
      <c r="F1096" s="221">
        <v>6.8616963171138705</v>
      </c>
      <c r="G1096" s="222" t="s">
        <v>2942</v>
      </c>
    </row>
    <row r="1097" spans="1:7">
      <c r="A1097" s="220" t="s">
        <v>1468</v>
      </c>
      <c r="B1097" s="221">
        <v>0</v>
      </c>
      <c r="C1097" s="221">
        <v>70</v>
      </c>
      <c r="D1097" s="221">
        <v>25.250000000000004</v>
      </c>
      <c r="E1097" s="221">
        <v>33.927613280285001</v>
      </c>
      <c r="F1097" s="221">
        <v>6.8616963171138705</v>
      </c>
      <c r="G1097" s="222" t="s">
        <v>2942</v>
      </c>
    </row>
    <row r="1098" spans="1:7">
      <c r="A1098" s="220" t="s">
        <v>1469</v>
      </c>
      <c r="B1098" s="221">
        <v>0</v>
      </c>
      <c r="C1098" s="221">
        <v>80</v>
      </c>
      <c r="D1098" s="221">
        <v>25.250000000000004</v>
      </c>
      <c r="E1098" s="221">
        <v>38.018113280285007</v>
      </c>
      <c r="F1098" s="221">
        <v>6.8616963171138705</v>
      </c>
      <c r="G1098" s="222" t="s">
        <v>2942</v>
      </c>
    </row>
    <row r="1099" spans="1:7">
      <c r="A1099" s="220" t="s">
        <v>1470</v>
      </c>
      <c r="B1099" s="221">
        <v>0</v>
      </c>
      <c r="C1099" s="221">
        <v>90</v>
      </c>
      <c r="D1099" s="221">
        <v>25.250000000000004</v>
      </c>
      <c r="E1099" s="221">
        <v>38.018113280285007</v>
      </c>
      <c r="F1099" s="221">
        <v>6.8616963171138705</v>
      </c>
      <c r="G1099" s="222" t="s">
        <v>2942</v>
      </c>
    </row>
    <row r="1100" spans="1:7">
      <c r="A1100" s="220" t="s">
        <v>1471</v>
      </c>
      <c r="B1100" s="221">
        <v>0</v>
      </c>
      <c r="C1100" s="221">
        <v>90</v>
      </c>
      <c r="D1100" s="221">
        <v>25.250000000000004</v>
      </c>
      <c r="E1100" s="221">
        <v>38.018113280285007</v>
      </c>
      <c r="F1100" s="221">
        <v>6.8616963171138705</v>
      </c>
      <c r="G1100" s="222" t="s">
        <v>2942</v>
      </c>
    </row>
    <row r="1101" spans="1:7">
      <c r="A1101" s="220" t="s">
        <v>1472</v>
      </c>
      <c r="B1101" s="221">
        <v>0</v>
      </c>
      <c r="C1101" s="221">
        <v>95</v>
      </c>
      <c r="D1101" s="221">
        <v>25.250000000000004</v>
      </c>
      <c r="E1101" s="221">
        <v>38.018113280285007</v>
      </c>
      <c r="F1101" s="221">
        <v>6.8616963171138705</v>
      </c>
      <c r="G1101" s="222" t="s">
        <v>2942</v>
      </c>
    </row>
    <row r="1102" spans="1:7">
      <c r="A1102" s="220" t="s">
        <v>1473</v>
      </c>
      <c r="B1102" s="221">
        <v>0</v>
      </c>
      <c r="C1102" s="221">
        <v>100</v>
      </c>
      <c r="D1102" s="221">
        <v>25.250000000000004</v>
      </c>
      <c r="E1102" s="221">
        <v>38.018113280285007</v>
      </c>
      <c r="F1102" s="221">
        <v>6.8616963171138705</v>
      </c>
      <c r="G1102" s="222" t="s">
        <v>2942</v>
      </c>
    </row>
    <row r="1103" spans="1:7">
      <c r="A1103" s="220" t="s">
        <v>1474</v>
      </c>
      <c r="B1103" s="221">
        <v>0</v>
      </c>
      <c r="C1103" s="221">
        <v>115</v>
      </c>
      <c r="D1103" s="221">
        <v>25.250000000000004</v>
      </c>
      <c r="E1103" s="221">
        <v>38.018113280285007</v>
      </c>
      <c r="F1103" s="221">
        <v>6.8616963171138705</v>
      </c>
      <c r="G1103" s="222" t="s">
        <v>2942</v>
      </c>
    </row>
    <row r="1104" spans="1:7">
      <c r="A1104" s="220" t="s">
        <v>1475</v>
      </c>
      <c r="B1104" s="221">
        <v>0</v>
      </c>
      <c r="C1104" s="221">
        <v>120</v>
      </c>
      <c r="D1104" s="221">
        <v>25.250000000000004</v>
      </c>
      <c r="E1104" s="221">
        <v>42.926713280285007</v>
      </c>
      <c r="F1104" s="221">
        <v>6.8616963171138705</v>
      </c>
      <c r="G1104" s="222" t="s">
        <v>2942</v>
      </c>
    </row>
    <row r="1105" spans="1:7">
      <c r="A1105" s="220" t="s">
        <v>1476</v>
      </c>
      <c r="B1105" s="221">
        <v>0</v>
      </c>
      <c r="C1105" s="221">
        <v>130</v>
      </c>
      <c r="D1105" s="221">
        <v>25.250000000000004</v>
      </c>
      <c r="E1105" s="221">
        <v>51.925813280285013</v>
      </c>
      <c r="F1105" s="221">
        <v>6.8616963171138705</v>
      </c>
      <c r="G1105" s="222" t="s">
        <v>2942</v>
      </c>
    </row>
    <row r="1106" spans="1:7">
      <c r="A1106" s="220" t="s">
        <v>1477</v>
      </c>
      <c r="B1106" s="221">
        <v>0</v>
      </c>
      <c r="C1106" s="221">
        <v>145</v>
      </c>
      <c r="D1106" s="221">
        <v>25.250000000000004</v>
      </c>
      <c r="E1106" s="221">
        <v>56.016313280285011</v>
      </c>
      <c r="F1106" s="221">
        <v>6.8616963171138705</v>
      </c>
      <c r="G1106" s="222" t="s">
        <v>2942</v>
      </c>
    </row>
    <row r="1107" spans="1:7">
      <c r="A1107" s="220" t="s">
        <v>1478</v>
      </c>
      <c r="B1107" s="221">
        <v>0</v>
      </c>
      <c r="C1107" s="221">
        <v>175</v>
      </c>
      <c r="D1107" s="221">
        <v>25.250000000000004</v>
      </c>
      <c r="E1107" s="221">
        <v>72.378313280284999</v>
      </c>
      <c r="F1107" s="221">
        <v>6.8616963171138705</v>
      </c>
      <c r="G1107" s="222" t="s">
        <v>2942</v>
      </c>
    </row>
    <row r="1108" spans="1:7">
      <c r="A1108" s="220" t="s">
        <v>1479</v>
      </c>
      <c r="B1108" s="221">
        <v>0</v>
      </c>
      <c r="C1108" s="221">
        <v>210</v>
      </c>
      <c r="D1108" s="221">
        <v>25.250000000000004</v>
      </c>
      <c r="E1108" s="221">
        <v>88.740313280285008</v>
      </c>
      <c r="F1108" s="221">
        <v>6.8616963171138705</v>
      </c>
      <c r="G1108" s="222" t="s">
        <v>2942</v>
      </c>
    </row>
    <row r="1109" spans="1:7">
      <c r="A1109" s="220" t="s">
        <v>1480</v>
      </c>
      <c r="B1109" s="221">
        <v>0</v>
      </c>
      <c r="C1109" s="221">
        <v>230</v>
      </c>
      <c r="D1109" s="221">
        <v>25.250000000000004</v>
      </c>
      <c r="E1109" s="221">
        <v>96.921313280285005</v>
      </c>
      <c r="F1109" s="221">
        <v>6.8616963171138705</v>
      </c>
      <c r="G1109" s="222" t="s">
        <v>2942</v>
      </c>
    </row>
    <row r="1110" spans="1:7">
      <c r="A1110" s="220" t="s">
        <v>1481</v>
      </c>
      <c r="B1110" s="221">
        <v>0</v>
      </c>
      <c r="C1110" s="221">
        <v>285</v>
      </c>
      <c r="D1110" s="221">
        <v>25.250000000000004</v>
      </c>
      <c r="E1110" s="221">
        <v>137.82631328028501</v>
      </c>
      <c r="F1110" s="221">
        <v>6.8616963171138705</v>
      </c>
      <c r="G1110" s="222" t="s">
        <v>2942</v>
      </c>
    </row>
    <row r="1111" spans="1:7">
      <c r="A1111" s="220" t="s">
        <v>1482</v>
      </c>
      <c r="B1111" s="221">
        <v>0</v>
      </c>
      <c r="C1111" s="221">
        <v>300</v>
      </c>
      <c r="D1111" s="221">
        <v>25.250000000000004</v>
      </c>
      <c r="E1111" s="221">
        <v>158.27881328028502</v>
      </c>
      <c r="F1111" s="221">
        <v>6.8616963171138705</v>
      </c>
      <c r="G1111" s="222" t="s">
        <v>2942</v>
      </c>
    </row>
    <row r="1112" spans="1:7">
      <c r="A1112" s="220" t="s">
        <v>1483</v>
      </c>
      <c r="B1112" s="221">
        <v>0</v>
      </c>
      <c r="C1112" s="221">
        <v>350</v>
      </c>
      <c r="D1112" s="221">
        <v>25.250000000000004</v>
      </c>
      <c r="E1112" s="221">
        <v>195.093313280285</v>
      </c>
      <c r="F1112" s="221">
        <v>6.8616963171138705</v>
      </c>
      <c r="G1112" s="222" t="s">
        <v>2942</v>
      </c>
    </row>
    <row r="1113" spans="1:7">
      <c r="A1113" s="220" t="s">
        <v>1484</v>
      </c>
      <c r="B1113" s="221">
        <v>0</v>
      </c>
      <c r="C1113" s="221">
        <v>405</v>
      </c>
      <c r="D1113" s="221">
        <v>25.250000000000004</v>
      </c>
      <c r="E1113" s="221">
        <v>219.63631328028501</v>
      </c>
      <c r="F1113" s="221">
        <v>6.8616963171138705</v>
      </c>
      <c r="G1113" s="222" t="s">
        <v>2942</v>
      </c>
    </row>
    <row r="1114" spans="1:7">
      <c r="A1114" s="220" t="s">
        <v>1485</v>
      </c>
      <c r="B1114" s="221">
        <v>0</v>
      </c>
      <c r="C1114" s="221">
        <v>450</v>
      </c>
      <c r="D1114" s="221">
        <v>25.250000000000004</v>
      </c>
      <c r="E1114" s="221">
        <v>240.08881328028502</v>
      </c>
      <c r="F1114" s="221">
        <v>6.8616963171138705</v>
      </c>
      <c r="G1114" s="222" t="s">
        <v>2942</v>
      </c>
    </row>
    <row r="1115" spans="1:7">
      <c r="A1115" s="220" t="s">
        <v>1486</v>
      </c>
      <c r="B1115" s="221">
        <v>0</v>
      </c>
      <c r="C1115" s="221">
        <v>75</v>
      </c>
      <c r="D1115" s="221">
        <v>25.250000000000004</v>
      </c>
      <c r="E1115" s="221">
        <v>30.655213280285011</v>
      </c>
      <c r="F1115" s="221">
        <v>6.8616963171138705</v>
      </c>
      <c r="G1115" s="222" t="s">
        <v>2942</v>
      </c>
    </row>
    <row r="1116" spans="1:7">
      <c r="A1116" s="220" t="s">
        <v>1487</v>
      </c>
      <c r="B1116" s="221">
        <v>0</v>
      </c>
      <c r="C1116" s="221">
        <v>75</v>
      </c>
      <c r="D1116" s="221">
        <v>25.250000000000004</v>
      </c>
      <c r="E1116" s="221">
        <v>33.927613280285001</v>
      </c>
      <c r="F1116" s="221">
        <v>6.8616963171138705</v>
      </c>
      <c r="G1116" s="222" t="s">
        <v>2942</v>
      </c>
    </row>
    <row r="1117" spans="1:7">
      <c r="A1117" s="220" t="s">
        <v>1488</v>
      </c>
      <c r="B1117" s="221">
        <v>0</v>
      </c>
      <c r="C1117" s="221">
        <v>85</v>
      </c>
      <c r="D1117" s="221">
        <v>25.250000000000004</v>
      </c>
      <c r="E1117" s="221">
        <v>38.018113280285007</v>
      </c>
      <c r="F1117" s="221">
        <v>6.8616963171138705</v>
      </c>
      <c r="G1117" s="222" t="s">
        <v>2942</v>
      </c>
    </row>
    <row r="1118" spans="1:7">
      <c r="A1118" s="220" t="s">
        <v>1489</v>
      </c>
      <c r="B1118" s="221">
        <v>0</v>
      </c>
      <c r="C1118" s="221">
        <v>120</v>
      </c>
      <c r="D1118" s="221">
        <v>25.250000000000004</v>
      </c>
      <c r="E1118" s="221">
        <v>38.018113280285007</v>
      </c>
      <c r="F1118" s="221">
        <v>6.8616963171138705</v>
      </c>
      <c r="G1118" s="222" t="s">
        <v>2942</v>
      </c>
    </row>
    <row r="1119" spans="1:7">
      <c r="A1119" s="220" t="s">
        <v>1490</v>
      </c>
      <c r="B1119" s="221">
        <v>0</v>
      </c>
      <c r="C1119" s="221">
        <v>120</v>
      </c>
      <c r="D1119" s="221">
        <v>25.250000000000004</v>
      </c>
      <c r="E1119" s="221">
        <v>38.018113280285007</v>
      </c>
      <c r="F1119" s="221">
        <v>6.8616963171138705</v>
      </c>
      <c r="G1119" s="222" t="s">
        <v>2942</v>
      </c>
    </row>
    <row r="1120" spans="1:7">
      <c r="A1120" s="220" t="s">
        <v>1491</v>
      </c>
      <c r="B1120" s="221">
        <v>0</v>
      </c>
      <c r="C1120" s="221">
        <v>125</v>
      </c>
      <c r="D1120" s="221">
        <v>25.250000000000004</v>
      </c>
      <c r="E1120" s="221">
        <v>38.018113280285007</v>
      </c>
      <c r="F1120" s="221">
        <v>6.8616963171138705</v>
      </c>
      <c r="G1120" s="222" t="s">
        <v>2942</v>
      </c>
    </row>
    <row r="1121" spans="1:7">
      <c r="A1121" s="220" t="s">
        <v>1492</v>
      </c>
      <c r="B1121" s="221">
        <v>0</v>
      </c>
      <c r="C1121" s="221">
        <v>145</v>
      </c>
      <c r="D1121" s="221">
        <v>25.250000000000004</v>
      </c>
      <c r="E1121" s="221">
        <v>38.018113280285007</v>
      </c>
      <c r="F1121" s="221">
        <v>6.8616963171138705</v>
      </c>
      <c r="G1121" s="222" t="s">
        <v>2942</v>
      </c>
    </row>
    <row r="1122" spans="1:7">
      <c r="A1122" s="220" t="s">
        <v>1493</v>
      </c>
      <c r="B1122" s="221">
        <v>0</v>
      </c>
      <c r="C1122" s="221">
        <v>150</v>
      </c>
      <c r="D1122" s="221">
        <v>25.250000000000004</v>
      </c>
      <c r="E1122" s="221">
        <v>38.018113280285007</v>
      </c>
      <c r="F1122" s="221">
        <v>6.8616963171138705</v>
      </c>
      <c r="G1122" s="222" t="s">
        <v>2942</v>
      </c>
    </row>
    <row r="1123" spans="1:7">
      <c r="A1123" s="220" t="s">
        <v>1494</v>
      </c>
      <c r="B1123" s="221">
        <v>0</v>
      </c>
      <c r="C1123" s="221">
        <v>225</v>
      </c>
      <c r="D1123" s="221">
        <v>25.250000000000004</v>
      </c>
      <c r="E1123" s="221">
        <v>42.926713280285007</v>
      </c>
      <c r="F1123" s="221">
        <v>6.8616963171138705</v>
      </c>
      <c r="G1123" s="222" t="s">
        <v>2942</v>
      </c>
    </row>
    <row r="1124" spans="1:7">
      <c r="A1124" s="220" t="s">
        <v>1495</v>
      </c>
      <c r="B1124" s="221">
        <v>0</v>
      </c>
      <c r="C1124" s="221">
        <v>260</v>
      </c>
      <c r="D1124" s="221">
        <v>25.250000000000004</v>
      </c>
      <c r="E1124" s="221">
        <v>51.925813280285013</v>
      </c>
      <c r="F1124" s="221">
        <v>6.8616963171138705</v>
      </c>
      <c r="G1124" s="222" t="s">
        <v>2942</v>
      </c>
    </row>
    <row r="1125" spans="1:7">
      <c r="A1125" s="220" t="s">
        <v>1496</v>
      </c>
      <c r="B1125" s="221">
        <v>0</v>
      </c>
      <c r="C1125" s="221">
        <v>345</v>
      </c>
      <c r="D1125" s="221">
        <v>25.250000000000004</v>
      </c>
      <c r="E1125" s="221">
        <v>56.016313280285011</v>
      </c>
      <c r="F1125" s="221">
        <v>6.8616963171138705</v>
      </c>
      <c r="G1125" s="222" t="s">
        <v>2942</v>
      </c>
    </row>
    <row r="1126" spans="1:7">
      <c r="A1126" s="220" t="s">
        <v>1497</v>
      </c>
      <c r="B1126" s="221">
        <v>0</v>
      </c>
      <c r="C1126" s="221">
        <v>520</v>
      </c>
      <c r="D1126" s="221">
        <v>25.250000000000004</v>
      </c>
      <c r="E1126" s="221">
        <v>72.378313280284999</v>
      </c>
      <c r="F1126" s="221">
        <v>6.8616963171138705</v>
      </c>
      <c r="G1126" s="222" t="s">
        <v>2942</v>
      </c>
    </row>
    <row r="1127" spans="1:7">
      <c r="A1127" s="220" t="s">
        <v>1498</v>
      </c>
      <c r="B1127" s="221">
        <v>0</v>
      </c>
      <c r="C1127" s="221">
        <v>610</v>
      </c>
      <c r="D1127" s="221">
        <v>25.250000000000004</v>
      </c>
      <c r="E1127" s="221">
        <v>88.740313280285008</v>
      </c>
      <c r="F1127" s="221">
        <v>6.8616963171138705</v>
      </c>
      <c r="G1127" s="222" t="s">
        <v>2942</v>
      </c>
    </row>
    <row r="1128" spans="1:7">
      <c r="A1128" s="220" t="s">
        <v>1499</v>
      </c>
      <c r="B1128" s="221">
        <v>0</v>
      </c>
      <c r="C1128" s="221">
        <v>670</v>
      </c>
      <c r="D1128" s="221">
        <v>25.250000000000004</v>
      </c>
      <c r="E1128" s="221">
        <v>96.921313280285005</v>
      </c>
      <c r="F1128" s="221">
        <v>6.8616963171138705</v>
      </c>
      <c r="G1128" s="222" t="s">
        <v>2942</v>
      </c>
    </row>
    <row r="1129" spans="1:7">
      <c r="A1129" s="220" t="s">
        <v>1500</v>
      </c>
      <c r="B1129" s="221">
        <v>0</v>
      </c>
      <c r="C1129" s="221">
        <v>820</v>
      </c>
      <c r="D1129" s="221">
        <v>25.250000000000004</v>
      </c>
      <c r="E1129" s="221">
        <v>137.82631328028501</v>
      </c>
      <c r="F1129" s="221">
        <v>6.8616963171138705</v>
      </c>
      <c r="G1129" s="222" t="s">
        <v>2942</v>
      </c>
    </row>
    <row r="1130" spans="1:7">
      <c r="A1130" s="220" t="s">
        <v>1501</v>
      </c>
      <c r="B1130" s="221">
        <v>0</v>
      </c>
      <c r="C1130" s="221">
        <v>890</v>
      </c>
      <c r="D1130" s="221">
        <v>25.250000000000004</v>
      </c>
      <c r="E1130" s="221">
        <v>158.27881328028502</v>
      </c>
      <c r="F1130" s="221">
        <v>6.8616963171138705</v>
      </c>
      <c r="G1130" s="222" t="s">
        <v>2942</v>
      </c>
    </row>
    <row r="1131" spans="1:7">
      <c r="A1131" s="220" t="s">
        <v>1502</v>
      </c>
      <c r="B1131" s="221">
        <v>0</v>
      </c>
      <c r="C1131" s="221">
        <v>1020</v>
      </c>
      <c r="D1131" s="221">
        <v>25.250000000000004</v>
      </c>
      <c r="E1131" s="221">
        <v>195.093313280285</v>
      </c>
      <c r="F1131" s="221">
        <v>6.8616963171138705</v>
      </c>
      <c r="G1131" s="222" t="s">
        <v>2942</v>
      </c>
    </row>
    <row r="1132" spans="1:7">
      <c r="A1132" s="220" t="s">
        <v>1503</v>
      </c>
      <c r="B1132" s="221">
        <v>0</v>
      </c>
      <c r="C1132" s="221">
        <v>1120</v>
      </c>
      <c r="D1132" s="221">
        <v>25.250000000000004</v>
      </c>
      <c r="E1132" s="221">
        <v>219.63631328028501</v>
      </c>
      <c r="F1132" s="221">
        <v>6.8616963171138705</v>
      </c>
      <c r="G1132" s="222" t="s">
        <v>2942</v>
      </c>
    </row>
    <row r="1133" spans="1:7">
      <c r="A1133" s="220" t="s">
        <v>1504</v>
      </c>
      <c r="B1133" s="221">
        <v>0</v>
      </c>
      <c r="C1133" s="221">
        <v>1185</v>
      </c>
      <c r="D1133" s="221">
        <v>25.250000000000004</v>
      </c>
      <c r="E1133" s="221">
        <v>240.08881328028502</v>
      </c>
      <c r="F1133" s="221">
        <v>6.8616963171138705</v>
      </c>
      <c r="G1133" s="222" t="s">
        <v>2942</v>
      </c>
    </row>
    <row r="1134" spans="1:7">
      <c r="A1134" s="220" t="s">
        <v>1505</v>
      </c>
      <c r="B1134" s="221">
        <v>0</v>
      </c>
      <c r="C1134" s="221">
        <v>80</v>
      </c>
      <c r="D1134" s="221">
        <v>25.250000000000004</v>
      </c>
      <c r="E1134" s="221">
        <v>34.831206776855737</v>
      </c>
      <c r="F1134" s="221">
        <v>10.996343343421518</v>
      </c>
      <c r="G1134" s="222" t="s">
        <v>2942</v>
      </c>
    </row>
    <row r="1135" spans="1:7">
      <c r="A1135" s="220" t="s">
        <v>1506</v>
      </c>
      <c r="B1135" s="221">
        <v>0</v>
      </c>
      <c r="C1135" s="221">
        <v>80</v>
      </c>
      <c r="D1135" s="221">
        <v>25.250000000000004</v>
      </c>
      <c r="E1135" s="221">
        <v>38.103606776855734</v>
      </c>
      <c r="F1135" s="221">
        <v>10.996343343421518</v>
      </c>
      <c r="G1135" s="222" t="s">
        <v>2942</v>
      </c>
    </row>
    <row r="1136" spans="1:7">
      <c r="A1136" s="220" t="s">
        <v>1507</v>
      </c>
      <c r="B1136" s="221">
        <v>0</v>
      </c>
      <c r="C1136" s="221">
        <v>90</v>
      </c>
      <c r="D1136" s="221">
        <v>25.250000000000004</v>
      </c>
      <c r="E1136" s="221">
        <v>42.194106776855733</v>
      </c>
      <c r="F1136" s="221">
        <v>10.996343343421518</v>
      </c>
      <c r="G1136" s="222" t="s">
        <v>2942</v>
      </c>
    </row>
    <row r="1137" spans="1:7">
      <c r="A1137" s="220" t="s">
        <v>1508</v>
      </c>
      <c r="B1137" s="221">
        <v>0</v>
      </c>
      <c r="C1137" s="221">
        <v>150</v>
      </c>
      <c r="D1137" s="221">
        <v>25.250000000000004</v>
      </c>
      <c r="E1137" s="221">
        <v>42.194106776855733</v>
      </c>
      <c r="F1137" s="221">
        <v>10.996343343421518</v>
      </c>
      <c r="G1137" s="222" t="s">
        <v>2942</v>
      </c>
    </row>
    <row r="1138" spans="1:7">
      <c r="A1138" s="220" t="s">
        <v>1509</v>
      </c>
      <c r="B1138" s="221">
        <v>0</v>
      </c>
      <c r="C1138" s="221">
        <v>150</v>
      </c>
      <c r="D1138" s="221">
        <v>25.250000000000004</v>
      </c>
      <c r="E1138" s="221">
        <v>42.194106776855733</v>
      </c>
      <c r="F1138" s="221">
        <v>10.996343343421518</v>
      </c>
      <c r="G1138" s="222" t="s">
        <v>2942</v>
      </c>
    </row>
    <row r="1139" spans="1:7">
      <c r="A1139" s="220" t="s">
        <v>1510</v>
      </c>
      <c r="B1139" s="221">
        <v>0</v>
      </c>
      <c r="C1139" s="221">
        <v>155</v>
      </c>
      <c r="D1139" s="221">
        <v>25.250000000000004</v>
      </c>
      <c r="E1139" s="221">
        <v>42.194106776855733</v>
      </c>
      <c r="F1139" s="221">
        <v>10.996343343421518</v>
      </c>
      <c r="G1139" s="222" t="s">
        <v>2942</v>
      </c>
    </row>
    <row r="1140" spans="1:7">
      <c r="A1140" s="220" t="s">
        <v>1511</v>
      </c>
      <c r="B1140" s="221">
        <v>0</v>
      </c>
      <c r="C1140" s="221">
        <v>215</v>
      </c>
      <c r="D1140" s="221">
        <v>25.250000000000004</v>
      </c>
      <c r="E1140" s="221">
        <v>42.194106776855733</v>
      </c>
      <c r="F1140" s="221">
        <v>10.996343343421518</v>
      </c>
      <c r="G1140" s="222" t="s">
        <v>2942</v>
      </c>
    </row>
    <row r="1141" spans="1:7">
      <c r="A1141" s="220" t="s">
        <v>1512</v>
      </c>
      <c r="B1141" s="221">
        <v>0</v>
      </c>
      <c r="C1141" s="221">
        <v>240</v>
      </c>
      <c r="D1141" s="221">
        <v>25.250000000000004</v>
      </c>
      <c r="E1141" s="221">
        <v>42.194106776855733</v>
      </c>
      <c r="F1141" s="221">
        <v>10.996343343421518</v>
      </c>
      <c r="G1141" s="222" t="s">
        <v>2942</v>
      </c>
    </row>
    <row r="1142" spans="1:7">
      <c r="A1142" s="220" t="s">
        <v>1513</v>
      </c>
      <c r="B1142" s="221">
        <v>0</v>
      </c>
      <c r="C1142" s="221">
        <v>340</v>
      </c>
      <c r="D1142" s="221">
        <v>25.250000000000004</v>
      </c>
      <c r="E1142" s="221">
        <v>47.102706776855733</v>
      </c>
      <c r="F1142" s="221">
        <v>10.996343343421518</v>
      </c>
      <c r="G1142" s="222" t="s">
        <v>2942</v>
      </c>
    </row>
    <row r="1143" spans="1:7">
      <c r="A1143" s="220" t="s">
        <v>1514</v>
      </c>
      <c r="B1143" s="221">
        <v>0</v>
      </c>
      <c r="C1143" s="221">
        <v>395</v>
      </c>
      <c r="D1143" s="221">
        <v>25.250000000000004</v>
      </c>
      <c r="E1143" s="221">
        <v>56.101806776855739</v>
      </c>
      <c r="F1143" s="221">
        <v>10.996343343421518</v>
      </c>
      <c r="G1143" s="222" t="s">
        <v>2942</v>
      </c>
    </row>
    <row r="1144" spans="1:7">
      <c r="A1144" s="220" t="s">
        <v>1515</v>
      </c>
      <c r="B1144" s="221">
        <v>0</v>
      </c>
      <c r="C1144" s="221">
        <v>525</v>
      </c>
      <c r="D1144" s="221">
        <v>25.250000000000004</v>
      </c>
      <c r="E1144" s="221">
        <v>60.192306776855737</v>
      </c>
      <c r="F1144" s="221">
        <v>10.996343343421518</v>
      </c>
      <c r="G1144" s="222" t="s">
        <v>2942</v>
      </c>
    </row>
    <row r="1145" spans="1:7">
      <c r="A1145" s="220" t="s">
        <v>1516</v>
      </c>
      <c r="B1145" s="221">
        <v>0</v>
      </c>
      <c r="C1145" s="221">
        <v>785</v>
      </c>
      <c r="D1145" s="221">
        <v>25.250000000000004</v>
      </c>
      <c r="E1145" s="221">
        <v>76.554306776855725</v>
      </c>
      <c r="F1145" s="221">
        <v>10.996343343421518</v>
      </c>
      <c r="G1145" s="222" t="s">
        <v>2942</v>
      </c>
    </row>
    <row r="1146" spans="1:7">
      <c r="A1146" s="220" t="s">
        <v>1517</v>
      </c>
      <c r="B1146" s="221">
        <v>0</v>
      </c>
      <c r="C1146" s="221">
        <v>920</v>
      </c>
      <c r="D1146" s="221">
        <v>25.250000000000004</v>
      </c>
      <c r="E1146" s="221">
        <v>92.916306776855734</v>
      </c>
      <c r="F1146" s="221">
        <v>10.996343343421518</v>
      </c>
      <c r="G1146" s="222" t="s">
        <v>2942</v>
      </c>
    </row>
    <row r="1147" spans="1:7">
      <c r="A1147" s="220" t="s">
        <v>1518</v>
      </c>
      <c r="B1147" s="221">
        <v>0</v>
      </c>
      <c r="C1147" s="221">
        <v>1005</v>
      </c>
      <c r="D1147" s="221">
        <v>25.250000000000004</v>
      </c>
      <c r="E1147" s="221">
        <v>101.09730677685572</v>
      </c>
      <c r="F1147" s="221">
        <v>10.996343343421518</v>
      </c>
      <c r="G1147" s="222" t="s">
        <v>2942</v>
      </c>
    </row>
    <row r="1148" spans="1:7">
      <c r="A1148" s="220" t="s">
        <v>1519</v>
      </c>
      <c r="B1148" s="221">
        <v>0</v>
      </c>
      <c r="C1148" s="221">
        <v>1230</v>
      </c>
      <c r="D1148" s="221">
        <v>25.250000000000004</v>
      </c>
      <c r="E1148" s="221">
        <v>142.00230677685573</v>
      </c>
      <c r="F1148" s="221">
        <v>10.996343343421518</v>
      </c>
      <c r="G1148" s="222" t="s">
        <v>2942</v>
      </c>
    </row>
    <row r="1149" spans="1:7">
      <c r="A1149" s="220" t="s">
        <v>1520</v>
      </c>
      <c r="B1149" s="221">
        <v>0</v>
      </c>
      <c r="C1149" s="221">
        <v>1330</v>
      </c>
      <c r="D1149" s="221">
        <v>25.250000000000004</v>
      </c>
      <c r="E1149" s="221">
        <v>162.45480677685575</v>
      </c>
      <c r="F1149" s="221">
        <v>10.996343343421518</v>
      </c>
      <c r="G1149" s="222" t="s">
        <v>2942</v>
      </c>
    </row>
    <row r="1150" spans="1:7">
      <c r="A1150" s="220" t="s">
        <v>1521</v>
      </c>
      <c r="B1150" s="221">
        <v>0</v>
      </c>
      <c r="C1150" s="221">
        <v>1530</v>
      </c>
      <c r="D1150" s="221">
        <v>25.250000000000004</v>
      </c>
      <c r="E1150" s="221">
        <v>199.26930677685573</v>
      </c>
      <c r="F1150" s="221">
        <v>10.996343343421518</v>
      </c>
      <c r="G1150" s="222" t="s">
        <v>2942</v>
      </c>
    </row>
    <row r="1151" spans="1:7">
      <c r="A1151" s="220" t="s">
        <v>1522</v>
      </c>
      <c r="B1151" s="221">
        <v>0</v>
      </c>
      <c r="C1151" s="221">
        <v>1680</v>
      </c>
      <c r="D1151" s="221">
        <v>25.250000000000004</v>
      </c>
      <c r="E1151" s="221">
        <v>223.81230677685573</v>
      </c>
      <c r="F1151" s="221">
        <v>10.996343343421518</v>
      </c>
      <c r="G1151" s="222" t="s">
        <v>2942</v>
      </c>
    </row>
    <row r="1152" spans="1:7">
      <c r="A1152" s="220" t="s">
        <v>1523</v>
      </c>
      <c r="B1152" s="221">
        <v>0</v>
      </c>
      <c r="C1152" s="221">
        <v>1775</v>
      </c>
      <c r="D1152" s="221">
        <v>25.250000000000004</v>
      </c>
      <c r="E1152" s="221">
        <v>244.26480677685575</v>
      </c>
      <c r="F1152" s="221">
        <v>10.996343343421518</v>
      </c>
      <c r="G1152" s="222" t="s">
        <v>2942</v>
      </c>
    </row>
    <row r="1153" spans="1:7">
      <c r="A1153" s="220" t="s">
        <v>1524</v>
      </c>
      <c r="B1153" s="221">
        <v>0</v>
      </c>
      <c r="C1153" s="221">
        <v>95</v>
      </c>
      <c r="D1153" s="221">
        <v>25.250000000000004</v>
      </c>
      <c r="E1153" s="221">
        <v>25.746613280285008</v>
      </c>
      <c r="F1153" s="221">
        <v>6.8616963171138705</v>
      </c>
      <c r="G1153" s="222" t="s">
        <v>2942</v>
      </c>
    </row>
    <row r="1154" spans="1:7">
      <c r="A1154" s="220" t="s">
        <v>1525</v>
      </c>
      <c r="B1154" s="221">
        <v>0</v>
      </c>
      <c r="C1154" s="221">
        <v>95</v>
      </c>
      <c r="D1154" s="221">
        <v>25.250000000000004</v>
      </c>
      <c r="E1154" s="221">
        <v>29.019013280285012</v>
      </c>
      <c r="F1154" s="221">
        <v>6.8616963171138705</v>
      </c>
      <c r="G1154" s="222" t="s">
        <v>2942</v>
      </c>
    </row>
    <row r="1155" spans="1:7">
      <c r="A1155" s="220" t="s">
        <v>1526</v>
      </c>
      <c r="B1155" s="221">
        <v>0</v>
      </c>
      <c r="C1155" s="221">
        <v>100</v>
      </c>
      <c r="D1155" s="221">
        <v>25.250000000000004</v>
      </c>
      <c r="E1155" s="221">
        <v>42.926713280285007</v>
      </c>
      <c r="F1155" s="221">
        <v>6.8616963171138705</v>
      </c>
      <c r="G1155" s="222" t="s">
        <v>2942</v>
      </c>
    </row>
    <row r="1156" spans="1:7">
      <c r="A1156" s="220" t="s">
        <v>1527</v>
      </c>
      <c r="B1156" s="221">
        <v>0</v>
      </c>
      <c r="C1156" s="221">
        <v>130</v>
      </c>
      <c r="D1156" s="221">
        <v>25.250000000000004</v>
      </c>
      <c r="E1156" s="221">
        <v>60.924913280285004</v>
      </c>
      <c r="F1156" s="221">
        <v>6.8616963171138705</v>
      </c>
      <c r="G1156" s="222" t="s">
        <v>2942</v>
      </c>
    </row>
    <row r="1157" spans="1:7">
      <c r="A1157" s="220" t="s">
        <v>1528</v>
      </c>
      <c r="B1157" s="221">
        <v>0</v>
      </c>
      <c r="C1157" s="221">
        <v>130</v>
      </c>
      <c r="D1157" s="221">
        <v>25.250000000000004</v>
      </c>
      <c r="E1157" s="221">
        <v>65.833513280285018</v>
      </c>
      <c r="F1157" s="221">
        <v>6.8616963171138705</v>
      </c>
      <c r="G1157" s="222" t="s">
        <v>2942</v>
      </c>
    </row>
    <row r="1158" spans="1:7">
      <c r="A1158" s="220" t="s">
        <v>1529</v>
      </c>
      <c r="B1158" s="221">
        <v>0</v>
      </c>
      <c r="C1158" s="221">
        <v>145</v>
      </c>
      <c r="D1158" s="221">
        <v>25.250000000000004</v>
      </c>
      <c r="E1158" s="221">
        <v>70.742113280285011</v>
      </c>
      <c r="F1158" s="221">
        <v>6.8616963171138705</v>
      </c>
      <c r="G1158" s="222" t="s">
        <v>2942</v>
      </c>
    </row>
    <row r="1159" spans="1:7">
      <c r="A1159" s="220" t="s">
        <v>1530</v>
      </c>
      <c r="B1159" s="221">
        <v>0</v>
      </c>
      <c r="C1159" s="221">
        <v>155</v>
      </c>
      <c r="D1159" s="221">
        <v>25.250000000000004</v>
      </c>
      <c r="E1159" s="221">
        <v>74.832613280285017</v>
      </c>
      <c r="F1159" s="221">
        <v>6.8616963171138705</v>
      </c>
      <c r="G1159" s="222" t="s">
        <v>2942</v>
      </c>
    </row>
    <row r="1160" spans="1:7">
      <c r="A1160" s="220" t="s">
        <v>1531</v>
      </c>
      <c r="B1160" s="221">
        <v>0</v>
      </c>
      <c r="C1160" s="221">
        <v>170</v>
      </c>
      <c r="D1160" s="221">
        <v>25.250000000000004</v>
      </c>
      <c r="E1160" s="221">
        <v>79.74121328028501</v>
      </c>
      <c r="F1160" s="221">
        <v>6.8616963171138705</v>
      </c>
      <c r="G1160" s="222" t="s">
        <v>2942</v>
      </c>
    </row>
    <row r="1161" spans="1:7">
      <c r="A1161" s="220" t="s">
        <v>1532</v>
      </c>
      <c r="B1161" s="221">
        <v>0</v>
      </c>
      <c r="C1161" s="221">
        <v>210</v>
      </c>
      <c r="D1161" s="221">
        <v>25.250000000000004</v>
      </c>
      <c r="E1161" s="221">
        <v>105.102313280285</v>
      </c>
      <c r="F1161" s="221">
        <v>6.8616963171138705</v>
      </c>
      <c r="G1161" s="222" t="s">
        <v>2942</v>
      </c>
    </row>
    <row r="1162" spans="1:7">
      <c r="A1162" s="220" t="s">
        <v>1533</v>
      </c>
      <c r="B1162" s="221">
        <v>0</v>
      </c>
      <c r="C1162" s="221">
        <v>220</v>
      </c>
      <c r="D1162" s="221">
        <v>25.250000000000004</v>
      </c>
      <c r="E1162" s="221">
        <v>113.283313280285</v>
      </c>
      <c r="F1162" s="221">
        <v>6.8616963171138705</v>
      </c>
      <c r="G1162" s="222" t="s">
        <v>2942</v>
      </c>
    </row>
    <row r="1163" spans="1:7">
      <c r="A1163" s="220" t="s">
        <v>1534</v>
      </c>
      <c r="B1163" s="221">
        <v>0</v>
      </c>
      <c r="C1163" s="221">
        <v>260</v>
      </c>
      <c r="D1163" s="221">
        <v>25.250000000000004</v>
      </c>
      <c r="E1163" s="221">
        <v>137.82631328028501</v>
      </c>
      <c r="F1163" s="221">
        <v>6.8616963171138705</v>
      </c>
      <c r="G1163" s="222" t="s">
        <v>2942</v>
      </c>
    </row>
    <row r="1164" spans="1:7">
      <c r="A1164" s="220" t="s">
        <v>1535</v>
      </c>
      <c r="B1164" s="221">
        <v>0</v>
      </c>
      <c r="C1164" s="221">
        <v>325</v>
      </c>
      <c r="D1164" s="221">
        <v>25.250000000000004</v>
      </c>
      <c r="E1164" s="221">
        <v>162.36931328028501</v>
      </c>
      <c r="F1164" s="221">
        <v>6.8616963171138705</v>
      </c>
      <c r="G1164" s="222" t="s">
        <v>2942</v>
      </c>
    </row>
    <row r="1165" spans="1:7">
      <c r="A1165" s="220" t="s">
        <v>1536</v>
      </c>
      <c r="B1165" s="221">
        <v>0</v>
      </c>
      <c r="C1165" s="221">
        <v>375</v>
      </c>
      <c r="D1165" s="221">
        <v>25.250000000000004</v>
      </c>
      <c r="E1165" s="221">
        <v>191.00281328028501</v>
      </c>
      <c r="F1165" s="221">
        <v>6.8616963171138705</v>
      </c>
      <c r="G1165" s="222" t="s">
        <v>2942</v>
      </c>
    </row>
    <row r="1166" spans="1:7">
      <c r="A1166" s="220" t="s">
        <v>1537</v>
      </c>
      <c r="B1166" s="221">
        <v>0</v>
      </c>
      <c r="C1166" s="221">
        <v>420</v>
      </c>
      <c r="D1166" s="221">
        <v>25.250000000000004</v>
      </c>
      <c r="E1166" s="221">
        <v>211.45531328028503</v>
      </c>
      <c r="F1166" s="221">
        <v>6.8616963171138705</v>
      </c>
      <c r="G1166" s="222" t="s">
        <v>2942</v>
      </c>
    </row>
    <row r="1167" spans="1:7">
      <c r="A1167" s="220" t="s">
        <v>1538</v>
      </c>
      <c r="B1167" s="221">
        <v>0</v>
      </c>
      <c r="C1167" s="221">
        <v>445</v>
      </c>
      <c r="D1167" s="221">
        <v>25.250000000000004</v>
      </c>
      <c r="E1167" s="221">
        <v>252.36031328028503</v>
      </c>
      <c r="F1167" s="221">
        <v>6.8616963171138705</v>
      </c>
      <c r="G1167" s="222" t="s">
        <v>2942</v>
      </c>
    </row>
    <row r="1168" spans="1:7">
      <c r="A1168" s="220" t="s">
        <v>1539</v>
      </c>
      <c r="B1168" s="221">
        <v>0</v>
      </c>
      <c r="C1168" s="221">
        <v>510</v>
      </c>
      <c r="D1168" s="221">
        <v>25.250000000000004</v>
      </c>
      <c r="E1168" s="221">
        <v>293.265313280285</v>
      </c>
      <c r="F1168" s="221">
        <v>6.8616963171138705</v>
      </c>
      <c r="G1168" s="222" t="s">
        <v>2942</v>
      </c>
    </row>
    <row r="1169" spans="1:7">
      <c r="A1169" s="220" t="s">
        <v>1540</v>
      </c>
      <c r="B1169" s="221">
        <v>0</v>
      </c>
      <c r="C1169" s="221">
        <v>610</v>
      </c>
      <c r="D1169" s="221">
        <v>25.250000000000004</v>
      </c>
      <c r="E1169" s="221">
        <v>354.62281328028502</v>
      </c>
      <c r="F1169" s="221">
        <v>6.8616963171138705</v>
      </c>
      <c r="G1169" s="222" t="s">
        <v>2942</v>
      </c>
    </row>
    <row r="1170" spans="1:7">
      <c r="A1170" s="220" t="s">
        <v>1541</v>
      </c>
      <c r="B1170" s="221">
        <v>0</v>
      </c>
      <c r="C1170" s="221">
        <v>695</v>
      </c>
      <c r="D1170" s="221">
        <v>25.250000000000004</v>
      </c>
      <c r="E1170" s="221">
        <v>395.52781328028499</v>
      </c>
      <c r="F1170" s="221">
        <v>6.8616963171138705</v>
      </c>
      <c r="G1170" s="222" t="s">
        <v>2942</v>
      </c>
    </row>
    <row r="1171" spans="1:7">
      <c r="A1171" s="220" t="s">
        <v>1542</v>
      </c>
      <c r="B1171" s="221">
        <v>0</v>
      </c>
      <c r="C1171" s="221">
        <v>755</v>
      </c>
      <c r="D1171" s="221">
        <v>25.250000000000004</v>
      </c>
      <c r="E1171" s="221">
        <v>436.43281328028502</v>
      </c>
      <c r="F1171" s="221">
        <v>6.8616963171138705</v>
      </c>
      <c r="G1171" s="222" t="s">
        <v>2942</v>
      </c>
    </row>
    <row r="1172" spans="1:7">
      <c r="A1172" s="220" t="s">
        <v>1543</v>
      </c>
      <c r="B1172" s="221">
        <v>0</v>
      </c>
      <c r="C1172" s="221">
        <v>140</v>
      </c>
      <c r="D1172" s="221">
        <v>25.250000000000004</v>
      </c>
      <c r="E1172" s="221">
        <v>25.746613280285008</v>
      </c>
      <c r="F1172" s="221">
        <v>6.8616963171138705</v>
      </c>
      <c r="G1172" s="222" t="s">
        <v>2942</v>
      </c>
    </row>
    <row r="1173" spans="1:7">
      <c r="A1173" s="220" t="s">
        <v>1544</v>
      </c>
      <c r="B1173" s="221">
        <v>0</v>
      </c>
      <c r="C1173" s="221">
        <v>140</v>
      </c>
      <c r="D1173" s="221">
        <v>25.250000000000004</v>
      </c>
      <c r="E1173" s="221">
        <v>29.019013280285012</v>
      </c>
      <c r="F1173" s="221">
        <v>6.8616963171138705</v>
      </c>
      <c r="G1173" s="222" t="s">
        <v>2942</v>
      </c>
    </row>
    <row r="1174" spans="1:7">
      <c r="A1174" s="220" t="s">
        <v>1545</v>
      </c>
      <c r="B1174" s="221">
        <v>0</v>
      </c>
      <c r="C1174" s="221">
        <v>170</v>
      </c>
      <c r="D1174" s="221">
        <v>25.250000000000004</v>
      </c>
      <c r="E1174" s="221">
        <v>42.926713280285007</v>
      </c>
      <c r="F1174" s="221">
        <v>6.8616963171138705</v>
      </c>
      <c r="G1174" s="222" t="s">
        <v>2942</v>
      </c>
    </row>
    <row r="1175" spans="1:7">
      <c r="A1175" s="220" t="s">
        <v>1546</v>
      </c>
      <c r="B1175" s="221">
        <v>0</v>
      </c>
      <c r="C1175" s="221">
        <v>250</v>
      </c>
      <c r="D1175" s="221">
        <v>25.250000000000004</v>
      </c>
      <c r="E1175" s="221">
        <v>60.924913280285004</v>
      </c>
      <c r="F1175" s="221">
        <v>6.8616963171138705</v>
      </c>
      <c r="G1175" s="222" t="s">
        <v>2942</v>
      </c>
    </row>
    <row r="1176" spans="1:7">
      <c r="A1176" s="220" t="s">
        <v>1547</v>
      </c>
      <c r="B1176" s="221">
        <v>0</v>
      </c>
      <c r="C1176" s="221">
        <v>250</v>
      </c>
      <c r="D1176" s="221">
        <v>25.250000000000004</v>
      </c>
      <c r="E1176" s="221">
        <v>65.833513280285018</v>
      </c>
      <c r="F1176" s="221">
        <v>6.8616963171138705</v>
      </c>
      <c r="G1176" s="222" t="s">
        <v>2942</v>
      </c>
    </row>
    <row r="1177" spans="1:7">
      <c r="A1177" s="220" t="s">
        <v>1548</v>
      </c>
      <c r="B1177" s="221">
        <v>0</v>
      </c>
      <c r="C1177" s="221">
        <v>345</v>
      </c>
      <c r="D1177" s="221">
        <v>25.250000000000004</v>
      </c>
      <c r="E1177" s="221">
        <v>70.742113280285011</v>
      </c>
      <c r="F1177" s="221">
        <v>6.8616963171138705</v>
      </c>
      <c r="G1177" s="222" t="s">
        <v>2942</v>
      </c>
    </row>
    <row r="1178" spans="1:7">
      <c r="A1178" s="220" t="s">
        <v>1549</v>
      </c>
      <c r="B1178" s="221">
        <v>0</v>
      </c>
      <c r="C1178" s="221">
        <v>405</v>
      </c>
      <c r="D1178" s="221">
        <v>25.250000000000004</v>
      </c>
      <c r="E1178" s="221">
        <v>74.832613280285017</v>
      </c>
      <c r="F1178" s="221">
        <v>6.8616963171138705</v>
      </c>
      <c r="G1178" s="222" t="s">
        <v>2942</v>
      </c>
    </row>
    <row r="1179" spans="1:7">
      <c r="A1179" s="220" t="s">
        <v>1550</v>
      </c>
      <c r="B1179" s="221">
        <v>0</v>
      </c>
      <c r="C1179" s="221">
        <v>440</v>
      </c>
      <c r="D1179" s="221">
        <v>25.250000000000004</v>
      </c>
      <c r="E1179" s="221">
        <v>79.74121328028501</v>
      </c>
      <c r="F1179" s="221">
        <v>6.8616963171138705</v>
      </c>
      <c r="G1179" s="222" t="s">
        <v>2942</v>
      </c>
    </row>
    <row r="1180" spans="1:7">
      <c r="A1180" s="220" t="s">
        <v>1551</v>
      </c>
      <c r="B1180" s="221">
        <v>0</v>
      </c>
      <c r="C1180" s="221">
        <v>475</v>
      </c>
      <c r="D1180" s="221">
        <v>25.250000000000004</v>
      </c>
      <c r="E1180" s="221">
        <v>105.102313280285</v>
      </c>
      <c r="F1180" s="221">
        <v>6.8616963171138705</v>
      </c>
      <c r="G1180" s="222" t="s">
        <v>2942</v>
      </c>
    </row>
    <row r="1181" spans="1:7">
      <c r="A1181" s="220" t="s">
        <v>1552</v>
      </c>
      <c r="B1181" s="221">
        <v>0</v>
      </c>
      <c r="C1181" s="221">
        <v>535</v>
      </c>
      <c r="D1181" s="221">
        <v>25.250000000000004</v>
      </c>
      <c r="E1181" s="221">
        <v>113.283313280285</v>
      </c>
      <c r="F1181" s="221">
        <v>6.8616963171138705</v>
      </c>
      <c r="G1181" s="222" t="s">
        <v>2942</v>
      </c>
    </row>
    <row r="1182" spans="1:7">
      <c r="A1182" s="220" t="s">
        <v>1553</v>
      </c>
      <c r="B1182" s="221">
        <v>0</v>
      </c>
      <c r="C1182" s="221">
        <v>610</v>
      </c>
      <c r="D1182" s="221">
        <v>25.250000000000004</v>
      </c>
      <c r="E1182" s="221">
        <v>137.82631328028501</v>
      </c>
      <c r="F1182" s="221">
        <v>6.8616963171138705</v>
      </c>
      <c r="G1182" s="222" t="s">
        <v>2942</v>
      </c>
    </row>
    <row r="1183" spans="1:7">
      <c r="A1183" s="220" t="s">
        <v>1554</v>
      </c>
      <c r="B1183" s="221">
        <v>0</v>
      </c>
      <c r="C1183" s="221">
        <v>780</v>
      </c>
      <c r="D1183" s="221">
        <v>25.250000000000004</v>
      </c>
      <c r="E1183" s="221">
        <v>162.36931328028501</v>
      </c>
      <c r="F1183" s="221">
        <v>6.8616963171138705</v>
      </c>
      <c r="G1183" s="222" t="s">
        <v>2942</v>
      </c>
    </row>
    <row r="1184" spans="1:7">
      <c r="A1184" s="220" t="s">
        <v>1555</v>
      </c>
      <c r="B1184" s="221">
        <v>0</v>
      </c>
      <c r="C1184" s="221">
        <v>820</v>
      </c>
      <c r="D1184" s="221">
        <v>25.250000000000004</v>
      </c>
      <c r="E1184" s="221">
        <v>191.00281328028501</v>
      </c>
      <c r="F1184" s="221">
        <v>6.8616963171138705</v>
      </c>
      <c r="G1184" s="222" t="s">
        <v>2942</v>
      </c>
    </row>
    <row r="1185" spans="1:7">
      <c r="A1185" s="220" t="s">
        <v>1556</v>
      </c>
      <c r="B1185" s="221">
        <v>0</v>
      </c>
      <c r="C1185" s="221">
        <v>845</v>
      </c>
      <c r="D1185" s="221">
        <v>25.250000000000004</v>
      </c>
      <c r="E1185" s="221">
        <v>211.45531328028503</v>
      </c>
      <c r="F1185" s="221">
        <v>6.8616963171138705</v>
      </c>
      <c r="G1185" s="222" t="s">
        <v>2942</v>
      </c>
    </row>
    <row r="1186" spans="1:7">
      <c r="A1186" s="220" t="s">
        <v>1557</v>
      </c>
      <c r="B1186" s="221">
        <v>0</v>
      </c>
      <c r="C1186" s="221">
        <v>1040</v>
      </c>
      <c r="D1186" s="221">
        <v>25.250000000000004</v>
      </c>
      <c r="E1186" s="221">
        <v>252.36031328028503</v>
      </c>
      <c r="F1186" s="221">
        <v>6.8616963171138705</v>
      </c>
      <c r="G1186" s="222" t="s">
        <v>2942</v>
      </c>
    </row>
    <row r="1187" spans="1:7">
      <c r="A1187" s="220" t="s">
        <v>1558</v>
      </c>
      <c r="B1187" s="221">
        <v>0</v>
      </c>
      <c r="C1187" s="221">
        <v>1165</v>
      </c>
      <c r="D1187" s="221">
        <v>25.250000000000004</v>
      </c>
      <c r="E1187" s="221">
        <v>293.265313280285</v>
      </c>
      <c r="F1187" s="221">
        <v>6.8616963171138705</v>
      </c>
      <c r="G1187" s="222" t="s">
        <v>2942</v>
      </c>
    </row>
    <row r="1188" spans="1:7">
      <c r="A1188" s="220" t="s">
        <v>1559</v>
      </c>
      <c r="B1188" s="221">
        <v>0</v>
      </c>
      <c r="C1188" s="221">
        <v>1250</v>
      </c>
      <c r="D1188" s="221">
        <v>25.250000000000004</v>
      </c>
      <c r="E1188" s="221">
        <v>354.62281328028502</v>
      </c>
      <c r="F1188" s="221">
        <v>6.8616963171138705</v>
      </c>
      <c r="G1188" s="222" t="s">
        <v>2942</v>
      </c>
    </row>
    <row r="1189" spans="1:7">
      <c r="A1189" s="220" t="s">
        <v>1560</v>
      </c>
      <c r="B1189" s="221">
        <v>0</v>
      </c>
      <c r="C1189" s="221">
        <v>1360</v>
      </c>
      <c r="D1189" s="221">
        <v>25.250000000000004</v>
      </c>
      <c r="E1189" s="221">
        <v>395.52781328028499</v>
      </c>
      <c r="F1189" s="221">
        <v>6.8616963171138705</v>
      </c>
      <c r="G1189" s="222" t="s">
        <v>2942</v>
      </c>
    </row>
    <row r="1190" spans="1:7">
      <c r="A1190" s="220" t="s">
        <v>1561</v>
      </c>
      <c r="B1190" s="221">
        <v>0</v>
      </c>
      <c r="C1190" s="221">
        <v>1405</v>
      </c>
      <c r="D1190" s="221">
        <v>25.250000000000004</v>
      </c>
      <c r="E1190" s="221">
        <v>436.43281328028502</v>
      </c>
      <c r="F1190" s="221">
        <v>6.8616963171138705</v>
      </c>
      <c r="G1190" s="222" t="s">
        <v>2942</v>
      </c>
    </row>
    <row r="1191" spans="1:7">
      <c r="A1191" s="220" t="s">
        <v>1562</v>
      </c>
      <c r="B1191" s="221">
        <v>0</v>
      </c>
      <c r="C1191" s="221">
        <v>179</v>
      </c>
      <c r="D1191" s="221">
        <v>25.250000000000004</v>
      </c>
      <c r="E1191" s="221">
        <v>29.922606776855734</v>
      </c>
      <c r="F1191" s="221">
        <v>10.996343343421518</v>
      </c>
      <c r="G1191" s="222" t="s">
        <v>2942</v>
      </c>
    </row>
    <row r="1192" spans="1:7">
      <c r="A1192" s="220" t="s">
        <v>1563</v>
      </c>
      <c r="B1192" s="221">
        <v>0</v>
      </c>
      <c r="C1192" s="221">
        <v>179</v>
      </c>
      <c r="D1192" s="221">
        <v>25.250000000000004</v>
      </c>
      <c r="E1192" s="221">
        <v>33.195006776855735</v>
      </c>
      <c r="F1192" s="221">
        <v>10.996343343421518</v>
      </c>
      <c r="G1192" s="222" t="s">
        <v>2942</v>
      </c>
    </row>
    <row r="1193" spans="1:7">
      <c r="A1193" s="220" t="s">
        <v>1564</v>
      </c>
      <c r="B1193" s="221">
        <v>0</v>
      </c>
      <c r="C1193" s="221">
        <v>189</v>
      </c>
      <c r="D1193" s="221">
        <v>25.250000000000004</v>
      </c>
      <c r="E1193" s="221">
        <v>47.102706776855733</v>
      </c>
      <c r="F1193" s="221">
        <v>10.996343343421518</v>
      </c>
      <c r="G1193" s="222" t="s">
        <v>2942</v>
      </c>
    </row>
    <row r="1194" spans="1:7">
      <c r="A1194" s="220" t="s">
        <v>1565</v>
      </c>
      <c r="B1194" s="221">
        <v>0</v>
      </c>
      <c r="C1194" s="221">
        <v>385</v>
      </c>
      <c r="D1194" s="221">
        <v>25.250000000000004</v>
      </c>
      <c r="E1194" s="221">
        <v>65.100906776855737</v>
      </c>
      <c r="F1194" s="221">
        <v>10.996343343421518</v>
      </c>
      <c r="G1194" s="222" t="s">
        <v>2942</v>
      </c>
    </row>
    <row r="1195" spans="1:7">
      <c r="A1195" s="220" t="s">
        <v>1566</v>
      </c>
      <c r="B1195" s="221">
        <v>0</v>
      </c>
      <c r="C1195" s="221">
        <v>385</v>
      </c>
      <c r="D1195" s="221">
        <v>25.250000000000004</v>
      </c>
      <c r="E1195" s="221">
        <v>70.009506776855744</v>
      </c>
      <c r="F1195" s="221">
        <v>10.996343343421518</v>
      </c>
      <c r="G1195" s="222" t="s">
        <v>2942</v>
      </c>
    </row>
    <row r="1196" spans="1:7">
      <c r="A1196" s="220" t="s">
        <v>1567</v>
      </c>
      <c r="B1196" s="221">
        <v>0</v>
      </c>
      <c r="C1196" s="221">
        <v>545</v>
      </c>
      <c r="D1196" s="221">
        <v>25.250000000000004</v>
      </c>
      <c r="E1196" s="221">
        <v>74.918106776855737</v>
      </c>
      <c r="F1196" s="221">
        <v>10.996343343421518</v>
      </c>
      <c r="G1196" s="222" t="s">
        <v>2942</v>
      </c>
    </row>
    <row r="1197" spans="1:7">
      <c r="A1197" s="220" t="s">
        <v>1568</v>
      </c>
      <c r="B1197" s="221">
        <v>0</v>
      </c>
      <c r="C1197" s="221">
        <v>655</v>
      </c>
      <c r="D1197" s="221">
        <v>25.250000000000004</v>
      </c>
      <c r="E1197" s="221">
        <v>79.008606776855729</v>
      </c>
      <c r="F1197" s="221">
        <v>10.996343343421518</v>
      </c>
      <c r="G1197" s="222" t="s">
        <v>2942</v>
      </c>
    </row>
    <row r="1198" spans="1:7">
      <c r="A1198" s="220" t="s">
        <v>1569</v>
      </c>
      <c r="B1198" s="221">
        <v>0</v>
      </c>
      <c r="C1198" s="221">
        <v>715</v>
      </c>
      <c r="D1198" s="221">
        <v>25.250000000000004</v>
      </c>
      <c r="E1198" s="221">
        <v>83.917206776855735</v>
      </c>
      <c r="F1198" s="221">
        <v>10.996343343421518</v>
      </c>
      <c r="G1198" s="222" t="s">
        <v>2942</v>
      </c>
    </row>
    <row r="1199" spans="1:7">
      <c r="A1199" s="220" t="s">
        <v>1570</v>
      </c>
      <c r="B1199" s="221">
        <v>0</v>
      </c>
      <c r="C1199" s="221">
        <v>790</v>
      </c>
      <c r="D1199" s="221">
        <v>25.250000000000004</v>
      </c>
      <c r="E1199" s="221">
        <v>109.27830677685573</v>
      </c>
      <c r="F1199" s="221">
        <v>10.996343343421518</v>
      </c>
      <c r="G1199" s="222" t="s">
        <v>2942</v>
      </c>
    </row>
    <row r="1200" spans="1:7">
      <c r="A1200" s="220" t="s">
        <v>1571</v>
      </c>
      <c r="B1200" s="221">
        <v>0</v>
      </c>
      <c r="C1200" s="221">
        <v>865</v>
      </c>
      <c r="D1200" s="221">
        <v>25.250000000000004</v>
      </c>
      <c r="E1200" s="221">
        <v>117.45930677685573</v>
      </c>
      <c r="F1200" s="221">
        <v>10.996343343421518</v>
      </c>
      <c r="G1200" s="222" t="s">
        <v>2942</v>
      </c>
    </row>
    <row r="1201" spans="1:7">
      <c r="A1201" s="220" t="s">
        <v>1572</v>
      </c>
      <c r="B1201" s="221">
        <v>0</v>
      </c>
      <c r="C1201" s="221">
        <v>970</v>
      </c>
      <c r="D1201" s="221">
        <v>25.250000000000004</v>
      </c>
      <c r="E1201" s="221">
        <v>142.00230677685573</v>
      </c>
      <c r="F1201" s="221">
        <v>10.996343343421518</v>
      </c>
      <c r="G1201" s="222" t="s">
        <v>2942</v>
      </c>
    </row>
    <row r="1202" spans="1:7">
      <c r="A1202" s="220" t="s">
        <v>1573</v>
      </c>
      <c r="B1202" s="221">
        <v>0</v>
      </c>
      <c r="C1202" s="221">
        <v>1155</v>
      </c>
      <c r="D1202" s="221">
        <v>25.250000000000004</v>
      </c>
      <c r="E1202" s="221">
        <v>166.54530677685574</v>
      </c>
      <c r="F1202" s="221">
        <v>10.996343343421518</v>
      </c>
      <c r="G1202" s="222" t="s">
        <v>2942</v>
      </c>
    </row>
    <row r="1203" spans="1:7">
      <c r="A1203" s="220" t="s">
        <v>1574</v>
      </c>
      <c r="B1203" s="221">
        <v>0</v>
      </c>
      <c r="C1203" s="221">
        <v>1230</v>
      </c>
      <c r="D1203" s="221">
        <v>25.250000000000004</v>
      </c>
      <c r="E1203" s="221">
        <v>195.17880677685574</v>
      </c>
      <c r="F1203" s="221">
        <v>10.996343343421518</v>
      </c>
      <c r="G1203" s="222" t="s">
        <v>2942</v>
      </c>
    </row>
    <row r="1204" spans="1:7">
      <c r="A1204" s="220" t="s">
        <v>1575</v>
      </c>
      <c r="B1204" s="221">
        <v>0</v>
      </c>
      <c r="C1204" s="221">
        <v>1280</v>
      </c>
      <c r="D1204" s="221">
        <v>25.250000000000004</v>
      </c>
      <c r="E1204" s="221">
        <v>215.63130677685575</v>
      </c>
      <c r="F1204" s="221">
        <v>10.996343343421518</v>
      </c>
      <c r="G1204" s="222" t="s">
        <v>2942</v>
      </c>
    </row>
    <row r="1205" spans="1:7">
      <c r="A1205" s="220" t="s">
        <v>1576</v>
      </c>
      <c r="B1205" s="221">
        <v>0</v>
      </c>
      <c r="C1205" s="221">
        <v>1560</v>
      </c>
      <c r="D1205" s="221">
        <v>25.250000000000004</v>
      </c>
      <c r="E1205" s="221">
        <v>256.53630677685572</v>
      </c>
      <c r="F1205" s="221">
        <v>10.996343343421518</v>
      </c>
      <c r="G1205" s="222" t="s">
        <v>2942</v>
      </c>
    </row>
    <row r="1206" spans="1:7">
      <c r="A1206" s="220" t="s">
        <v>1577</v>
      </c>
      <c r="B1206" s="221">
        <v>0</v>
      </c>
      <c r="C1206" s="221">
        <v>1640</v>
      </c>
      <c r="D1206" s="221">
        <v>25.250000000000004</v>
      </c>
      <c r="E1206" s="221">
        <v>297.44130677685575</v>
      </c>
      <c r="F1206" s="221">
        <v>10.996343343421518</v>
      </c>
      <c r="G1206" s="222" t="s">
        <v>2942</v>
      </c>
    </row>
    <row r="1207" spans="1:7">
      <c r="A1207" s="220" t="s">
        <v>1578</v>
      </c>
      <c r="B1207" s="221">
        <v>0</v>
      </c>
      <c r="C1207" s="221">
        <v>1880</v>
      </c>
      <c r="D1207" s="221">
        <v>25.250000000000004</v>
      </c>
      <c r="E1207" s="221">
        <v>358.79880677685577</v>
      </c>
      <c r="F1207" s="221">
        <v>10.996343343421518</v>
      </c>
      <c r="G1207" s="222" t="s">
        <v>2942</v>
      </c>
    </row>
    <row r="1208" spans="1:7">
      <c r="A1208" s="220" t="s">
        <v>1579</v>
      </c>
      <c r="B1208" s="221">
        <v>0</v>
      </c>
      <c r="C1208" s="221">
        <v>2025</v>
      </c>
      <c r="D1208" s="221">
        <v>25.250000000000004</v>
      </c>
      <c r="E1208" s="221">
        <v>399.70380677685574</v>
      </c>
      <c r="F1208" s="221">
        <v>10.996343343421518</v>
      </c>
      <c r="G1208" s="222" t="s">
        <v>2942</v>
      </c>
    </row>
    <row r="1209" spans="1:7">
      <c r="A1209" s="220" t="s">
        <v>1580</v>
      </c>
      <c r="B1209" s="221">
        <v>0</v>
      </c>
      <c r="C1209" s="221">
        <v>2145</v>
      </c>
      <c r="D1209" s="221">
        <v>25.250000000000004</v>
      </c>
      <c r="E1209" s="221">
        <v>440.60880677685577</v>
      </c>
      <c r="F1209" s="221">
        <v>10.996343343421518</v>
      </c>
      <c r="G1209" s="222" t="s">
        <v>2942</v>
      </c>
    </row>
    <row r="1210" spans="1:7">
      <c r="A1210" s="220" t="s">
        <v>1809</v>
      </c>
      <c r="B1210" s="221">
        <v>0</v>
      </c>
      <c r="C1210" s="221">
        <v>70</v>
      </c>
      <c r="D1210" s="221">
        <v>25.25</v>
      </c>
      <c r="E1210" s="221">
        <v>30.655213280285011</v>
      </c>
      <c r="F1210" s="221">
        <v>6.8616963171138705</v>
      </c>
      <c r="G1210" s="222" t="s">
        <v>2942</v>
      </c>
    </row>
    <row r="1211" spans="1:7">
      <c r="A1211" s="220" t="s">
        <v>1810</v>
      </c>
      <c r="B1211" s="221">
        <v>0</v>
      </c>
      <c r="C1211" s="221">
        <v>70</v>
      </c>
      <c r="D1211" s="221">
        <v>25.25</v>
      </c>
      <c r="E1211" s="221">
        <v>33.927613280285001</v>
      </c>
      <c r="F1211" s="221">
        <v>6.8616963171138705</v>
      </c>
      <c r="G1211" s="222" t="s">
        <v>2942</v>
      </c>
    </row>
    <row r="1212" spans="1:7">
      <c r="A1212" s="220" t="s">
        <v>1811</v>
      </c>
      <c r="B1212" s="221">
        <v>0</v>
      </c>
      <c r="C1212" s="221">
        <v>80</v>
      </c>
      <c r="D1212" s="221">
        <v>25.25</v>
      </c>
      <c r="E1212" s="221">
        <v>38.018113280285007</v>
      </c>
      <c r="F1212" s="221">
        <v>6.8616963171138705</v>
      </c>
      <c r="G1212" s="222" t="s">
        <v>2942</v>
      </c>
    </row>
    <row r="1213" spans="1:7">
      <c r="A1213" s="220" t="s">
        <v>1812</v>
      </c>
      <c r="B1213" s="221">
        <v>0</v>
      </c>
      <c r="C1213" s="221">
        <v>90</v>
      </c>
      <c r="D1213" s="221">
        <v>25.25</v>
      </c>
      <c r="E1213" s="221">
        <v>38.018113280285007</v>
      </c>
      <c r="F1213" s="221">
        <v>6.8616963171138705</v>
      </c>
      <c r="G1213" s="222" t="s">
        <v>2942</v>
      </c>
    </row>
    <row r="1214" spans="1:7">
      <c r="A1214" s="220" t="s">
        <v>1813</v>
      </c>
      <c r="B1214" s="221">
        <v>0</v>
      </c>
      <c r="C1214" s="221">
        <v>90</v>
      </c>
      <c r="D1214" s="221">
        <v>25.25</v>
      </c>
      <c r="E1214" s="221">
        <v>38.018113280285007</v>
      </c>
      <c r="F1214" s="221">
        <v>6.8616963171138705</v>
      </c>
      <c r="G1214" s="222" t="s">
        <v>2942</v>
      </c>
    </row>
    <row r="1215" spans="1:7">
      <c r="A1215" s="220" t="s">
        <v>1814</v>
      </c>
      <c r="B1215" s="221">
        <v>0</v>
      </c>
      <c r="C1215" s="221">
        <v>95</v>
      </c>
      <c r="D1215" s="221">
        <v>25.25</v>
      </c>
      <c r="E1215" s="221">
        <v>38.018113280285007</v>
      </c>
      <c r="F1215" s="221">
        <v>6.8616963171138705</v>
      </c>
      <c r="G1215" s="222" t="s">
        <v>2942</v>
      </c>
    </row>
    <row r="1216" spans="1:7">
      <c r="A1216" s="220" t="s">
        <v>1815</v>
      </c>
      <c r="B1216" s="221">
        <v>0</v>
      </c>
      <c r="C1216" s="221">
        <v>100</v>
      </c>
      <c r="D1216" s="221">
        <v>25.25</v>
      </c>
      <c r="E1216" s="221">
        <v>38.018113280285007</v>
      </c>
      <c r="F1216" s="221">
        <v>6.8616963171138705</v>
      </c>
      <c r="G1216" s="222" t="s">
        <v>2942</v>
      </c>
    </row>
    <row r="1217" spans="1:7">
      <c r="A1217" s="220" t="s">
        <v>1816</v>
      </c>
      <c r="B1217" s="221">
        <v>0</v>
      </c>
      <c r="C1217" s="221">
        <v>115</v>
      </c>
      <c r="D1217" s="221">
        <v>25.25</v>
      </c>
      <c r="E1217" s="221">
        <v>38.018113280285007</v>
      </c>
      <c r="F1217" s="221">
        <v>6.8616963171138705</v>
      </c>
      <c r="G1217" s="222" t="s">
        <v>2942</v>
      </c>
    </row>
    <row r="1218" spans="1:7">
      <c r="A1218" s="220" t="s">
        <v>1817</v>
      </c>
      <c r="B1218" s="221">
        <v>0</v>
      </c>
      <c r="C1218" s="221">
        <v>120</v>
      </c>
      <c r="D1218" s="221">
        <v>25.25</v>
      </c>
      <c r="E1218" s="221">
        <v>42.926713280285007</v>
      </c>
      <c r="F1218" s="221">
        <v>6.8616963171138705</v>
      </c>
      <c r="G1218" s="222" t="s">
        <v>2942</v>
      </c>
    </row>
    <row r="1219" spans="1:7">
      <c r="A1219" s="220" t="s">
        <v>1818</v>
      </c>
      <c r="B1219" s="221">
        <v>0</v>
      </c>
      <c r="C1219" s="221">
        <v>130</v>
      </c>
      <c r="D1219" s="221">
        <v>25.25</v>
      </c>
      <c r="E1219" s="221">
        <v>51.925813280285013</v>
      </c>
      <c r="F1219" s="221">
        <v>6.8616963171138705</v>
      </c>
      <c r="G1219" s="222" t="s">
        <v>2942</v>
      </c>
    </row>
    <row r="1220" spans="1:7">
      <c r="A1220" s="220" t="s">
        <v>1819</v>
      </c>
      <c r="B1220" s="221">
        <v>0</v>
      </c>
      <c r="C1220" s="221">
        <v>145</v>
      </c>
      <c r="D1220" s="221">
        <v>25.25</v>
      </c>
      <c r="E1220" s="221">
        <v>56.016313280285011</v>
      </c>
      <c r="F1220" s="221">
        <v>6.8616963171138705</v>
      </c>
      <c r="G1220" s="222" t="s">
        <v>2942</v>
      </c>
    </row>
    <row r="1221" spans="1:7">
      <c r="A1221" s="220" t="s">
        <v>1820</v>
      </c>
      <c r="B1221" s="221">
        <v>0</v>
      </c>
      <c r="C1221" s="221">
        <v>175</v>
      </c>
      <c r="D1221" s="221">
        <v>25.25</v>
      </c>
      <c r="E1221" s="221">
        <v>72.378313280284999</v>
      </c>
      <c r="F1221" s="221">
        <v>6.8616963171138705</v>
      </c>
      <c r="G1221" s="222" t="s">
        <v>2942</v>
      </c>
    </row>
    <row r="1222" spans="1:7">
      <c r="A1222" s="220" t="s">
        <v>1821</v>
      </c>
      <c r="B1222" s="221">
        <v>0</v>
      </c>
      <c r="C1222" s="221">
        <v>210</v>
      </c>
      <c r="D1222" s="221">
        <v>25.25</v>
      </c>
      <c r="E1222" s="221">
        <v>88.740313280285008</v>
      </c>
      <c r="F1222" s="221">
        <v>6.8616963171138705</v>
      </c>
      <c r="G1222" s="222" t="s">
        <v>2942</v>
      </c>
    </row>
    <row r="1223" spans="1:7">
      <c r="A1223" s="220" t="s">
        <v>1822</v>
      </c>
      <c r="B1223" s="221">
        <v>0</v>
      </c>
      <c r="C1223" s="221">
        <v>230</v>
      </c>
      <c r="D1223" s="221">
        <v>25.25</v>
      </c>
      <c r="E1223" s="221">
        <v>96.921313280285005</v>
      </c>
      <c r="F1223" s="221">
        <v>6.8616963171138705</v>
      </c>
      <c r="G1223" s="222" t="s">
        <v>2942</v>
      </c>
    </row>
    <row r="1224" spans="1:7">
      <c r="A1224" s="220" t="s">
        <v>1823</v>
      </c>
      <c r="B1224" s="221">
        <v>0</v>
      </c>
      <c r="C1224" s="221">
        <v>285</v>
      </c>
      <c r="D1224" s="221">
        <v>25.25</v>
      </c>
      <c r="E1224" s="221">
        <v>137.82631328028501</v>
      </c>
      <c r="F1224" s="221">
        <v>6.8616963171138705</v>
      </c>
      <c r="G1224" s="222" t="s">
        <v>2942</v>
      </c>
    </row>
    <row r="1225" spans="1:7">
      <c r="A1225" s="220" t="s">
        <v>1824</v>
      </c>
      <c r="B1225" s="221">
        <v>0</v>
      </c>
      <c r="C1225" s="221">
        <v>300</v>
      </c>
      <c r="D1225" s="221">
        <v>25.25</v>
      </c>
      <c r="E1225" s="221">
        <v>158.27881328028502</v>
      </c>
      <c r="F1225" s="221">
        <v>6.8616963171138705</v>
      </c>
      <c r="G1225" s="222" t="s">
        <v>2942</v>
      </c>
    </row>
    <row r="1226" spans="1:7">
      <c r="A1226" s="220" t="s">
        <v>1825</v>
      </c>
      <c r="B1226" s="221">
        <v>0</v>
      </c>
      <c r="C1226" s="221">
        <v>350</v>
      </c>
      <c r="D1226" s="221">
        <v>25.25</v>
      </c>
      <c r="E1226" s="221">
        <v>195.093313280285</v>
      </c>
      <c r="F1226" s="221">
        <v>6.8616963171138705</v>
      </c>
      <c r="G1226" s="222" t="s">
        <v>2942</v>
      </c>
    </row>
    <row r="1227" spans="1:7">
      <c r="A1227" s="220" t="s">
        <v>1826</v>
      </c>
      <c r="B1227" s="221">
        <v>0</v>
      </c>
      <c r="C1227" s="221">
        <v>405</v>
      </c>
      <c r="D1227" s="221">
        <v>25.25</v>
      </c>
      <c r="E1227" s="221">
        <v>219.63631328028501</v>
      </c>
      <c r="F1227" s="221">
        <v>6.8616963171138705</v>
      </c>
      <c r="G1227" s="222" t="s">
        <v>2942</v>
      </c>
    </row>
    <row r="1228" spans="1:7">
      <c r="A1228" s="220" t="s">
        <v>1827</v>
      </c>
      <c r="B1228" s="221">
        <v>0</v>
      </c>
      <c r="C1228" s="221">
        <v>450</v>
      </c>
      <c r="D1228" s="221">
        <v>25.25</v>
      </c>
      <c r="E1228" s="221">
        <v>240.08881328028502</v>
      </c>
      <c r="F1228" s="221">
        <v>6.8616963171138705</v>
      </c>
      <c r="G1228" s="222" t="s">
        <v>2942</v>
      </c>
    </row>
    <row r="1229" spans="1:7">
      <c r="A1229" s="220" t="s">
        <v>1828</v>
      </c>
      <c r="B1229" s="221">
        <v>0</v>
      </c>
      <c r="C1229" s="221">
        <v>75</v>
      </c>
      <c r="D1229" s="221">
        <v>25.25</v>
      </c>
      <c r="E1229" s="221">
        <v>30.655213280285011</v>
      </c>
      <c r="F1229" s="221">
        <v>6.8616963171138705</v>
      </c>
      <c r="G1229" s="222" t="s">
        <v>2942</v>
      </c>
    </row>
    <row r="1230" spans="1:7">
      <c r="A1230" s="220" t="s">
        <v>1829</v>
      </c>
      <c r="B1230" s="221">
        <v>0</v>
      </c>
      <c r="C1230" s="221">
        <v>75</v>
      </c>
      <c r="D1230" s="221">
        <v>25.25</v>
      </c>
      <c r="E1230" s="221">
        <v>33.927613280285001</v>
      </c>
      <c r="F1230" s="221">
        <v>6.8616963171138705</v>
      </c>
      <c r="G1230" s="222" t="s">
        <v>2942</v>
      </c>
    </row>
    <row r="1231" spans="1:7">
      <c r="A1231" s="220" t="s">
        <v>1830</v>
      </c>
      <c r="B1231" s="221">
        <v>0</v>
      </c>
      <c r="C1231" s="221">
        <v>85</v>
      </c>
      <c r="D1231" s="221">
        <v>25.25</v>
      </c>
      <c r="E1231" s="221">
        <v>38.018113280285007</v>
      </c>
      <c r="F1231" s="221">
        <v>6.8616963171138705</v>
      </c>
      <c r="G1231" s="222" t="s">
        <v>2942</v>
      </c>
    </row>
    <row r="1232" spans="1:7">
      <c r="A1232" s="220" t="s">
        <v>1831</v>
      </c>
      <c r="B1232" s="221">
        <v>0</v>
      </c>
      <c r="C1232" s="221">
        <v>120</v>
      </c>
      <c r="D1232" s="221">
        <v>25.25</v>
      </c>
      <c r="E1232" s="221">
        <v>38.018113280285007</v>
      </c>
      <c r="F1232" s="221">
        <v>6.8616963171138705</v>
      </c>
      <c r="G1232" s="222" t="s">
        <v>2942</v>
      </c>
    </row>
    <row r="1233" spans="1:7">
      <c r="A1233" s="220" t="s">
        <v>1832</v>
      </c>
      <c r="B1233" s="221">
        <v>0</v>
      </c>
      <c r="C1233" s="221">
        <v>120</v>
      </c>
      <c r="D1233" s="221">
        <v>25.25</v>
      </c>
      <c r="E1233" s="221">
        <v>38.018113280285007</v>
      </c>
      <c r="F1233" s="221">
        <v>6.8616963171138705</v>
      </c>
      <c r="G1233" s="222" t="s">
        <v>2942</v>
      </c>
    </row>
    <row r="1234" spans="1:7">
      <c r="A1234" s="220" t="s">
        <v>1833</v>
      </c>
      <c r="B1234" s="221">
        <v>0</v>
      </c>
      <c r="C1234" s="221">
        <v>125</v>
      </c>
      <c r="D1234" s="221">
        <v>25.25</v>
      </c>
      <c r="E1234" s="221">
        <v>38.018113280285007</v>
      </c>
      <c r="F1234" s="221">
        <v>6.8616963171138705</v>
      </c>
      <c r="G1234" s="222" t="s">
        <v>2942</v>
      </c>
    </row>
    <row r="1235" spans="1:7">
      <c r="A1235" s="220" t="s">
        <v>1834</v>
      </c>
      <c r="B1235" s="221">
        <v>0</v>
      </c>
      <c r="C1235" s="221">
        <v>145</v>
      </c>
      <c r="D1235" s="221">
        <v>25.25</v>
      </c>
      <c r="E1235" s="221">
        <v>38.018113280285007</v>
      </c>
      <c r="F1235" s="221">
        <v>6.8616963171138705</v>
      </c>
      <c r="G1235" s="222" t="s">
        <v>2942</v>
      </c>
    </row>
    <row r="1236" spans="1:7">
      <c r="A1236" s="220" t="s">
        <v>1835</v>
      </c>
      <c r="B1236" s="221">
        <v>0</v>
      </c>
      <c r="C1236" s="221">
        <v>150</v>
      </c>
      <c r="D1236" s="221">
        <v>25.25</v>
      </c>
      <c r="E1236" s="221">
        <v>38.018113280285007</v>
      </c>
      <c r="F1236" s="221">
        <v>6.8616963171138705</v>
      </c>
      <c r="G1236" s="222" t="s">
        <v>2942</v>
      </c>
    </row>
    <row r="1237" spans="1:7">
      <c r="A1237" s="220" t="s">
        <v>1836</v>
      </c>
      <c r="B1237" s="221">
        <v>0</v>
      </c>
      <c r="C1237" s="221">
        <v>225</v>
      </c>
      <c r="D1237" s="221">
        <v>25.25</v>
      </c>
      <c r="E1237" s="221">
        <v>42.926713280285007</v>
      </c>
      <c r="F1237" s="221">
        <v>6.8616963171138705</v>
      </c>
      <c r="G1237" s="222" t="s">
        <v>2942</v>
      </c>
    </row>
    <row r="1238" spans="1:7">
      <c r="A1238" s="220" t="s">
        <v>1837</v>
      </c>
      <c r="B1238" s="221">
        <v>0</v>
      </c>
      <c r="C1238" s="221">
        <v>260</v>
      </c>
      <c r="D1238" s="221">
        <v>25.25</v>
      </c>
      <c r="E1238" s="221">
        <v>51.925813280285013</v>
      </c>
      <c r="F1238" s="221">
        <v>6.8616963171138705</v>
      </c>
      <c r="G1238" s="222" t="s">
        <v>2942</v>
      </c>
    </row>
    <row r="1239" spans="1:7">
      <c r="A1239" s="220" t="s">
        <v>1838</v>
      </c>
      <c r="B1239" s="221">
        <v>0</v>
      </c>
      <c r="C1239" s="221">
        <v>345</v>
      </c>
      <c r="D1239" s="221">
        <v>25.25</v>
      </c>
      <c r="E1239" s="221">
        <v>56.016313280285011</v>
      </c>
      <c r="F1239" s="221">
        <v>6.8616963171138705</v>
      </c>
      <c r="G1239" s="222" t="s">
        <v>2942</v>
      </c>
    </row>
    <row r="1240" spans="1:7">
      <c r="A1240" s="220" t="s">
        <v>1839</v>
      </c>
      <c r="B1240" s="221">
        <v>0</v>
      </c>
      <c r="C1240" s="221">
        <v>520</v>
      </c>
      <c r="D1240" s="221">
        <v>25.25</v>
      </c>
      <c r="E1240" s="221">
        <v>72.378313280284999</v>
      </c>
      <c r="F1240" s="221">
        <v>6.8616963171138705</v>
      </c>
      <c r="G1240" s="222" t="s">
        <v>2942</v>
      </c>
    </row>
    <row r="1241" spans="1:7">
      <c r="A1241" s="220" t="s">
        <v>1840</v>
      </c>
      <c r="B1241" s="221">
        <v>0</v>
      </c>
      <c r="C1241" s="221">
        <v>610</v>
      </c>
      <c r="D1241" s="221">
        <v>25.25</v>
      </c>
      <c r="E1241" s="221">
        <v>88.740313280285008</v>
      </c>
      <c r="F1241" s="221">
        <v>6.8616963171138705</v>
      </c>
      <c r="G1241" s="222" t="s">
        <v>2942</v>
      </c>
    </row>
    <row r="1242" spans="1:7">
      <c r="A1242" s="220" t="s">
        <v>1841</v>
      </c>
      <c r="B1242" s="221">
        <v>0</v>
      </c>
      <c r="C1242" s="221">
        <v>670</v>
      </c>
      <c r="D1242" s="221">
        <v>25.25</v>
      </c>
      <c r="E1242" s="221">
        <v>96.921313280285005</v>
      </c>
      <c r="F1242" s="221">
        <v>6.8616963171138705</v>
      </c>
      <c r="G1242" s="222" t="s">
        <v>2942</v>
      </c>
    </row>
    <row r="1243" spans="1:7">
      <c r="A1243" s="220" t="s">
        <v>1842</v>
      </c>
      <c r="B1243" s="221">
        <v>0</v>
      </c>
      <c r="C1243" s="221">
        <v>820</v>
      </c>
      <c r="D1243" s="221">
        <v>25.25</v>
      </c>
      <c r="E1243" s="221">
        <v>137.82631328028501</v>
      </c>
      <c r="F1243" s="221">
        <v>6.8616963171138705</v>
      </c>
      <c r="G1243" s="222" t="s">
        <v>2942</v>
      </c>
    </row>
    <row r="1244" spans="1:7">
      <c r="A1244" s="220" t="s">
        <v>1843</v>
      </c>
      <c r="B1244" s="221">
        <v>0</v>
      </c>
      <c r="C1244" s="221">
        <v>890</v>
      </c>
      <c r="D1244" s="221">
        <v>25.25</v>
      </c>
      <c r="E1244" s="221">
        <v>158.27881328028502</v>
      </c>
      <c r="F1244" s="221">
        <v>6.8616963171138705</v>
      </c>
      <c r="G1244" s="222" t="s">
        <v>2942</v>
      </c>
    </row>
    <row r="1245" spans="1:7">
      <c r="A1245" s="220" t="s">
        <v>1844</v>
      </c>
      <c r="B1245" s="221">
        <v>0</v>
      </c>
      <c r="C1245" s="221">
        <v>1020</v>
      </c>
      <c r="D1245" s="221">
        <v>25.25</v>
      </c>
      <c r="E1245" s="221">
        <v>195.093313280285</v>
      </c>
      <c r="F1245" s="221">
        <v>6.8616963171138705</v>
      </c>
      <c r="G1245" s="222" t="s">
        <v>2942</v>
      </c>
    </row>
    <row r="1246" spans="1:7">
      <c r="A1246" s="220" t="s">
        <v>1845</v>
      </c>
      <c r="B1246" s="221">
        <v>0</v>
      </c>
      <c r="C1246" s="221">
        <v>1120</v>
      </c>
      <c r="D1246" s="221">
        <v>25.25</v>
      </c>
      <c r="E1246" s="221">
        <v>219.63631328028501</v>
      </c>
      <c r="F1246" s="221">
        <v>6.8616963171138705</v>
      </c>
      <c r="G1246" s="222" t="s">
        <v>2942</v>
      </c>
    </row>
    <row r="1247" spans="1:7">
      <c r="A1247" s="220" t="s">
        <v>1846</v>
      </c>
      <c r="B1247" s="221">
        <v>0</v>
      </c>
      <c r="C1247" s="221">
        <v>1185</v>
      </c>
      <c r="D1247" s="221">
        <v>25.25</v>
      </c>
      <c r="E1247" s="221">
        <v>240.08881328028502</v>
      </c>
      <c r="F1247" s="221">
        <v>6.8616963171138705</v>
      </c>
      <c r="G1247" s="222" t="s">
        <v>2942</v>
      </c>
    </row>
    <row r="1248" spans="1:7">
      <c r="A1248" s="220" t="s">
        <v>1847</v>
      </c>
      <c r="B1248" s="221">
        <v>0</v>
      </c>
      <c r="C1248" s="221">
        <v>80</v>
      </c>
      <c r="D1248" s="221">
        <v>25.25</v>
      </c>
      <c r="E1248" s="221">
        <v>34.831206776855737</v>
      </c>
      <c r="F1248" s="221">
        <v>10.996343343421518</v>
      </c>
      <c r="G1248" s="222" t="s">
        <v>2942</v>
      </c>
    </row>
    <row r="1249" spans="1:7">
      <c r="A1249" s="220" t="s">
        <v>1848</v>
      </c>
      <c r="B1249" s="221">
        <v>0</v>
      </c>
      <c r="C1249" s="221">
        <v>80</v>
      </c>
      <c r="D1249" s="221">
        <v>25.25</v>
      </c>
      <c r="E1249" s="221">
        <v>38.103606776855734</v>
      </c>
      <c r="F1249" s="221">
        <v>10.996343343421518</v>
      </c>
      <c r="G1249" s="222" t="s">
        <v>2942</v>
      </c>
    </row>
    <row r="1250" spans="1:7">
      <c r="A1250" s="220" t="s">
        <v>1849</v>
      </c>
      <c r="B1250" s="221">
        <v>0</v>
      </c>
      <c r="C1250" s="221">
        <v>90</v>
      </c>
      <c r="D1250" s="221">
        <v>25.25</v>
      </c>
      <c r="E1250" s="221">
        <v>42.194106776855733</v>
      </c>
      <c r="F1250" s="221">
        <v>10.996343343421518</v>
      </c>
      <c r="G1250" s="222" t="s">
        <v>2942</v>
      </c>
    </row>
    <row r="1251" spans="1:7">
      <c r="A1251" s="220" t="s">
        <v>1850</v>
      </c>
      <c r="B1251" s="221">
        <v>0</v>
      </c>
      <c r="C1251" s="221">
        <v>150</v>
      </c>
      <c r="D1251" s="221">
        <v>25.25</v>
      </c>
      <c r="E1251" s="221">
        <v>42.194106776855733</v>
      </c>
      <c r="F1251" s="221">
        <v>10.996343343421518</v>
      </c>
      <c r="G1251" s="222" t="s">
        <v>2942</v>
      </c>
    </row>
    <row r="1252" spans="1:7">
      <c r="A1252" s="220" t="s">
        <v>1851</v>
      </c>
      <c r="B1252" s="221">
        <v>0</v>
      </c>
      <c r="C1252" s="221">
        <v>150</v>
      </c>
      <c r="D1252" s="221">
        <v>25.25</v>
      </c>
      <c r="E1252" s="221">
        <v>42.194106776855733</v>
      </c>
      <c r="F1252" s="221">
        <v>10.996343343421518</v>
      </c>
      <c r="G1252" s="222" t="s">
        <v>2942</v>
      </c>
    </row>
    <row r="1253" spans="1:7">
      <c r="A1253" s="220" t="s">
        <v>1852</v>
      </c>
      <c r="B1253" s="221">
        <v>0</v>
      </c>
      <c r="C1253" s="221">
        <v>155</v>
      </c>
      <c r="D1253" s="221">
        <v>25.25</v>
      </c>
      <c r="E1253" s="221">
        <v>42.194106776855733</v>
      </c>
      <c r="F1253" s="221">
        <v>10.996343343421518</v>
      </c>
      <c r="G1253" s="222" t="s">
        <v>2942</v>
      </c>
    </row>
    <row r="1254" spans="1:7">
      <c r="A1254" s="220" t="s">
        <v>1853</v>
      </c>
      <c r="B1254" s="221">
        <v>0</v>
      </c>
      <c r="C1254" s="221">
        <v>215</v>
      </c>
      <c r="D1254" s="221">
        <v>25.25</v>
      </c>
      <c r="E1254" s="221">
        <v>42.194106776855733</v>
      </c>
      <c r="F1254" s="221">
        <v>10.996343343421518</v>
      </c>
      <c r="G1254" s="222" t="s">
        <v>2942</v>
      </c>
    </row>
    <row r="1255" spans="1:7">
      <c r="A1255" s="220" t="s">
        <v>1854</v>
      </c>
      <c r="B1255" s="221">
        <v>0</v>
      </c>
      <c r="C1255" s="221">
        <v>240</v>
      </c>
      <c r="D1255" s="221">
        <v>25.25</v>
      </c>
      <c r="E1255" s="221">
        <v>42.194106776855733</v>
      </c>
      <c r="F1255" s="221">
        <v>10.996343343421518</v>
      </c>
      <c r="G1255" s="222" t="s">
        <v>2942</v>
      </c>
    </row>
    <row r="1256" spans="1:7">
      <c r="A1256" s="220" t="s">
        <v>1855</v>
      </c>
      <c r="B1256" s="221">
        <v>0</v>
      </c>
      <c r="C1256" s="221">
        <v>340</v>
      </c>
      <c r="D1256" s="221">
        <v>25.25</v>
      </c>
      <c r="E1256" s="221">
        <v>47.102706776855733</v>
      </c>
      <c r="F1256" s="221">
        <v>10.996343343421518</v>
      </c>
      <c r="G1256" s="222" t="s">
        <v>2942</v>
      </c>
    </row>
    <row r="1257" spans="1:7">
      <c r="A1257" s="220" t="s">
        <v>1856</v>
      </c>
      <c r="B1257" s="221">
        <v>0</v>
      </c>
      <c r="C1257" s="221">
        <v>395</v>
      </c>
      <c r="D1257" s="221">
        <v>25.25</v>
      </c>
      <c r="E1257" s="221">
        <v>56.101806776855739</v>
      </c>
      <c r="F1257" s="221">
        <v>10.996343343421518</v>
      </c>
      <c r="G1257" s="222" t="s">
        <v>2942</v>
      </c>
    </row>
    <row r="1258" spans="1:7">
      <c r="A1258" s="220" t="s">
        <v>1857</v>
      </c>
      <c r="B1258" s="221">
        <v>0</v>
      </c>
      <c r="C1258" s="221">
        <v>525</v>
      </c>
      <c r="D1258" s="221">
        <v>25.25</v>
      </c>
      <c r="E1258" s="221">
        <v>60.192306776855737</v>
      </c>
      <c r="F1258" s="221">
        <v>10.996343343421518</v>
      </c>
      <c r="G1258" s="222" t="s">
        <v>2942</v>
      </c>
    </row>
    <row r="1259" spans="1:7">
      <c r="A1259" s="220" t="s">
        <v>1858</v>
      </c>
      <c r="B1259" s="221">
        <v>0</v>
      </c>
      <c r="C1259" s="221">
        <v>785</v>
      </c>
      <c r="D1259" s="221">
        <v>25.25</v>
      </c>
      <c r="E1259" s="221">
        <v>76.554306776855725</v>
      </c>
      <c r="F1259" s="221">
        <v>10.996343343421518</v>
      </c>
      <c r="G1259" s="222" t="s">
        <v>2942</v>
      </c>
    </row>
    <row r="1260" spans="1:7">
      <c r="A1260" s="220" t="s">
        <v>1859</v>
      </c>
      <c r="B1260" s="221">
        <v>0</v>
      </c>
      <c r="C1260" s="221">
        <v>920</v>
      </c>
      <c r="D1260" s="221">
        <v>25.25</v>
      </c>
      <c r="E1260" s="221">
        <v>92.916306776855734</v>
      </c>
      <c r="F1260" s="221">
        <v>10.996343343421518</v>
      </c>
      <c r="G1260" s="222" t="s">
        <v>2942</v>
      </c>
    </row>
    <row r="1261" spans="1:7">
      <c r="A1261" s="220" t="s">
        <v>1860</v>
      </c>
      <c r="B1261" s="221">
        <v>0</v>
      </c>
      <c r="C1261" s="221">
        <v>1005</v>
      </c>
      <c r="D1261" s="221">
        <v>25.25</v>
      </c>
      <c r="E1261" s="221">
        <v>101.09730677685572</v>
      </c>
      <c r="F1261" s="221">
        <v>10.996343343421518</v>
      </c>
      <c r="G1261" s="222" t="s">
        <v>2942</v>
      </c>
    </row>
    <row r="1262" spans="1:7">
      <c r="A1262" s="220" t="s">
        <v>1861</v>
      </c>
      <c r="B1262" s="221">
        <v>0</v>
      </c>
      <c r="C1262" s="221">
        <v>1230</v>
      </c>
      <c r="D1262" s="221">
        <v>25.25</v>
      </c>
      <c r="E1262" s="221">
        <v>142.00230677685573</v>
      </c>
      <c r="F1262" s="221">
        <v>10.996343343421518</v>
      </c>
      <c r="G1262" s="222" t="s">
        <v>2942</v>
      </c>
    </row>
    <row r="1263" spans="1:7">
      <c r="A1263" s="220" t="s">
        <v>1862</v>
      </c>
      <c r="B1263" s="221">
        <v>0</v>
      </c>
      <c r="C1263" s="221">
        <v>1330</v>
      </c>
      <c r="D1263" s="221">
        <v>25.25</v>
      </c>
      <c r="E1263" s="221">
        <v>162.45480677685575</v>
      </c>
      <c r="F1263" s="221">
        <v>10.996343343421518</v>
      </c>
      <c r="G1263" s="222" t="s">
        <v>2942</v>
      </c>
    </row>
    <row r="1264" spans="1:7">
      <c r="A1264" s="220" t="s">
        <v>1863</v>
      </c>
      <c r="B1264" s="221">
        <v>0</v>
      </c>
      <c r="C1264" s="221">
        <v>1530</v>
      </c>
      <c r="D1264" s="221">
        <v>25.25</v>
      </c>
      <c r="E1264" s="221">
        <v>199.26930677685573</v>
      </c>
      <c r="F1264" s="221">
        <v>10.996343343421518</v>
      </c>
      <c r="G1264" s="222" t="s">
        <v>2942</v>
      </c>
    </row>
    <row r="1265" spans="1:7">
      <c r="A1265" s="220" t="s">
        <v>1864</v>
      </c>
      <c r="B1265" s="221">
        <v>0</v>
      </c>
      <c r="C1265" s="221">
        <v>1680</v>
      </c>
      <c r="D1265" s="221">
        <v>25.25</v>
      </c>
      <c r="E1265" s="221">
        <v>223.81230677685573</v>
      </c>
      <c r="F1265" s="221">
        <v>10.996343343421518</v>
      </c>
      <c r="G1265" s="222" t="s">
        <v>2942</v>
      </c>
    </row>
    <row r="1266" spans="1:7">
      <c r="A1266" s="220" t="s">
        <v>1865</v>
      </c>
      <c r="B1266" s="221">
        <v>0</v>
      </c>
      <c r="C1266" s="221">
        <v>1775</v>
      </c>
      <c r="D1266" s="221">
        <v>25.25</v>
      </c>
      <c r="E1266" s="221">
        <v>244.26480677685575</v>
      </c>
      <c r="F1266" s="221">
        <v>10.996343343421518</v>
      </c>
      <c r="G1266" s="222" t="s">
        <v>2942</v>
      </c>
    </row>
    <row r="1267" spans="1:7">
      <c r="A1267" s="220" t="s">
        <v>1866</v>
      </c>
      <c r="B1267" s="221">
        <v>0</v>
      </c>
      <c r="C1267" s="221">
        <v>95</v>
      </c>
      <c r="D1267" s="221">
        <v>25.25</v>
      </c>
      <c r="E1267" s="221">
        <v>25.746613280285008</v>
      </c>
      <c r="F1267" s="221">
        <v>6.8616963171138705</v>
      </c>
      <c r="G1267" s="222" t="s">
        <v>2942</v>
      </c>
    </row>
    <row r="1268" spans="1:7">
      <c r="A1268" s="220" t="s">
        <v>1867</v>
      </c>
      <c r="B1268" s="221">
        <v>0</v>
      </c>
      <c r="C1268" s="221">
        <v>95</v>
      </c>
      <c r="D1268" s="221">
        <v>25.25</v>
      </c>
      <c r="E1268" s="221">
        <v>29.019013280285012</v>
      </c>
      <c r="F1268" s="221">
        <v>6.8616963171138705</v>
      </c>
      <c r="G1268" s="222" t="s">
        <v>2942</v>
      </c>
    </row>
    <row r="1269" spans="1:7">
      <c r="A1269" s="220" t="s">
        <v>1868</v>
      </c>
      <c r="B1269" s="221">
        <v>0</v>
      </c>
      <c r="C1269" s="221">
        <v>100</v>
      </c>
      <c r="D1269" s="221">
        <v>25.25</v>
      </c>
      <c r="E1269" s="221">
        <v>42.926713280285007</v>
      </c>
      <c r="F1269" s="221">
        <v>6.8616963171138705</v>
      </c>
      <c r="G1269" s="222" t="s">
        <v>2942</v>
      </c>
    </row>
    <row r="1270" spans="1:7">
      <c r="A1270" s="220" t="s">
        <v>1869</v>
      </c>
      <c r="B1270" s="221">
        <v>0</v>
      </c>
      <c r="C1270" s="221">
        <v>130</v>
      </c>
      <c r="D1270" s="221">
        <v>25.25</v>
      </c>
      <c r="E1270" s="221">
        <v>60.924913280285004</v>
      </c>
      <c r="F1270" s="221">
        <v>6.8616963171138705</v>
      </c>
      <c r="G1270" s="222" t="s">
        <v>2942</v>
      </c>
    </row>
    <row r="1271" spans="1:7">
      <c r="A1271" s="220" t="s">
        <v>1870</v>
      </c>
      <c r="B1271" s="221">
        <v>0</v>
      </c>
      <c r="C1271" s="221">
        <v>130</v>
      </c>
      <c r="D1271" s="221">
        <v>25.25</v>
      </c>
      <c r="E1271" s="221">
        <v>65.833513280285018</v>
      </c>
      <c r="F1271" s="221">
        <v>6.8616963171138705</v>
      </c>
      <c r="G1271" s="222" t="s">
        <v>2942</v>
      </c>
    </row>
    <row r="1272" spans="1:7">
      <c r="A1272" s="220" t="s">
        <v>1871</v>
      </c>
      <c r="B1272" s="221">
        <v>0</v>
      </c>
      <c r="C1272" s="221">
        <v>145</v>
      </c>
      <c r="D1272" s="221">
        <v>25.25</v>
      </c>
      <c r="E1272" s="221">
        <v>70.742113280285011</v>
      </c>
      <c r="F1272" s="221">
        <v>6.8616963171138705</v>
      </c>
      <c r="G1272" s="222" t="s">
        <v>2942</v>
      </c>
    </row>
    <row r="1273" spans="1:7">
      <c r="A1273" s="220" t="s">
        <v>1872</v>
      </c>
      <c r="B1273" s="221">
        <v>0</v>
      </c>
      <c r="C1273" s="221">
        <v>155</v>
      </c>
      <c r="D1273" s="221">
        <v>25.25</v>
      </c>
      <c r="E1273" s="221">
        <v>74.832613280285017</v>
      </c>
      <c r="F1273" s="221">
        <v>6.8616963171138705</v>
      </c>
      <c r="G1273" s="222" t="s">
        <v>2942</v>
      </c>
    </row>
    <row r="1274" spans="1:7">
      <c r="A1274" s="220" t="s">
        <v>1873</v>
      </c>
      <c r="B1274" s="221">
        <v>0</v>
      </c>
      <c r="C1274" s="221">
        <v>170</v>
      </c>
      <c r="D1274" s="221">
        <v>25.25</v>
      </c>
      <c r="E1274" s="221">
        <v>79.74121328028501</v>
      </c>
      <c r="F1274" s="221">
        <v>6.8616963171138705</v>
      </c>
      <c r="G1274" s="222" t="s">
        <v>2942</v>
      </c>
    </row>
    <row r="1275" spans="1:7">
      <c r="A1275" s="220" t="s">
        <v>1874</v>
      </c>
      <c r="B1275" s="221">
        <v>0</v>
      </c>
      <c r="C1275" s="221">
        <v>210</v>
      </c>
      <c r="D1275" s="221">
        <v>25.25</v>
      </c>
      <c r="E1275" s="221">
        <v>105.102313280285</v>
      </c>
      <c r="F1275" s="221">
        <v>6.8616963171138705</v>
      </c>
      <c r="G1275" s="222" t="s">
        <v>2942</v>
      </c>
    </row>
    <row r="1276" spans="1:7">
      <c r="A1276" s="220" t="s">
        <v>1875</v>
      </c>
      <c r="B1276" s="221">
        <v>0</v>
      </c>
      <c r="C1276" s="221">
        <v>220</v>
      </c>
      <c r="D1276" s="221">
        <v>25.25</v>
      </c>
      <c r="E1276" s="221">
        <v>113.283313280285</v>
      </c>
      <c r="F1276" s="221">
        <v>6.8616963171138705</v>
      </c>
      <c r="G1276" s="222" t="s">
        <v>2942</v>
      </c>
    </row>
    <row r="1277" spans="1:7">
      <c r="A1277" s="220" t="s">
        <v>1876</v>
      </c>
      <c r="B1277" s="221">
        <v>0</v>
      </c>
      <c r="C1277" s="221">
        <v>260</v>
      </c>
      <c r="D1277" s="221">
        <v>25.25</v>
      </c>
      <c r="E1277" s="221">
        <v>137.82631328028501</v>
      </c>
      <c r="F1277" s="221">
        <v>6.8616963171138705</v>
      </c>
      <c r="G1277" s="222" t="s">
        <v>2942</v>
      </c>
    </row>
    <row r="1278" spans="1:7">
      <c r="A1278" s="220" t="s">
        <v>1877</v>
      </c>
      <c r="B1278" s="221">
        <v>0</v>
      </c>
      <c r="C1278" s="221">
        <v>325</v>
      </c>
      <c r="D1278" s="221">
        <v>25.25</v>
      </c>
      <c r="E1278" s="221">
        <v>162.36931328028501</v>
      </c>
      <c r="F1278" s="221">
        <v>6.8616963171138705</v>
      </c>
      <c r="G1278" s="222" t="s">
        <v>2942</v>
      </c>
    </row>
    <row r="1279" spans="1:7">
      <c r="A1279" s="220" t="s">
        <v>1878</v>
      </c>
      <c r="B1279" s="221">
        <v>0</v>
      </c>
      <c r="C1279" s="221">
        <v>375</v>
      </c>
      <c r="D1279" s="221">
        <v>25.25</v>
      </c>
      <c r="E1279" s="221">
        <v>191.00281328028501</v>
      </c>
      <c r="F1279" s="221">
        <v>6.8616963171138705</v>
      </c>
      <c r="G1279" s="222" t="s">
        <v>2942</v>
      </c>
    </row>
    <row r="1280" spans="1:7">
      <c r="A1280" s="220" t="s">
        <v>1879</v>
      </c>
      <c r="B1280" s="221">
        <v>0</v>
      </c>
      <c r="C1280" s="221">
        <v>420</v>
      </c>
      <c r="D1280" s="221">
        <v>25.25</v>
      </c>
      <c r="E1280" s="221">
        <v>211.45531328028503</v>
      </c>
      <c r="F1280" s="221">
        <v>6.8616963171138705</v>
      </c>
      <c r="G1280" s="222" t="s">
        <v>2942</v>
      </c>
    </row>
    <row r="1281" spans="1:7">
      <c r="A1281" s="220" t="s">
        <v>1880</v>
      </c>
      <c r="B1281" s="221">
        <v>0</v>
      </c>
      <c r="C1281" s="221">
        <v>445</v>
      </c>
      <c r="D1281" s="221">
        <v>25.25</v>
      </c>
      <c r="E1281" s="221">
        <v>252.36031328028503</v>
      </c>
      <c r="F1281" s="221">
        <v>6.8616963171138705</v>
      </c>
      <c r="G1281" s="222" t="s">
        <v>2942</v>
      </c>
    </row>
    <row r="1282" spans="1:7">
      <c r="A1282" s="220" t="s">
        <v>1881</v>
      </c>
      <c r="B1282" s="221">
        <v>0</v>
      </c>
      <c r="C1282" s="221">
        <v>510</v>
      </c>
      <c r="D1282" s="221">
        <v>25.25</v>
      </c>
      <c r="E1282" s="221">
        <v>293.265313280285</v>
      </c>
      <c r="F1282" s="221">
        <v>6.8616963171138705</v>
      </c>
      <c r="G1282" s="222" t="s">
        <v>2942</v>
      </c>
    </row>
    <row r="1283" spans="1:7">
      <c r="A1283" s="220" t="s">
        <v>1882</v>
      </c>
      <c r="B1283" s="221">
        <v>0</v>
      </c>
      <c r="C1283" s="221">
        <v>610</v>
      </c>
      <c r="D1283" s="221">
        <v>25.25</v>
      </c>
      <c r="E1283" s="221">
        <v>354.62281328028502</v>
      </c>
      <c r="F1283" s="221">
        <v>6.8616963171138705</v>
      </c>
      <c r="G1283" s="222" t="s">
        <v>2942</v>
      </c>
    </row>
    <row r="1284" spans="1:7">
      <c r="A1284" s="220" t="s">
        <v>1883</v>
      </c>
      <c r="B1284" s="221">
        <v>0</v>
      </c>
      <c r="C1284" s="221">
        <v>695</v>
      </c>
      <c r="D1284" s="221">
        <v>25.25</v>
      </c>
      <c r="E1284" s="221">
        <v>395.52781328028499</v>
      </c>
      <c r="F1284" s="221">
        <v>6.8616963171138705</v>
      </c>
      <c r="G1284" s="222" t="s">
        <v>2942</v>
      </c>
    </row>
    <row r="1285" spans="1:7">
      <c r="A1285" s="220" t="s">
        <v>1884</v>
      </c>
      <c r="B1285" s="221">
        <v>0</v>
      </c>
      <c r="C1285" s="221">
        <v>755</v>
      </c>
      <c r="D1285" s="221">
        <v>25.25</v>
      </c>
      <c r="E1285" s="221">
        <v>436.43281328028502</v>
      </c>
      <c r="F1285" s="221">
        <v>6.8616963171138705</v>
      </c>
      <c r="G1285" s="222" t="s">
        <v>2942</v>
      </c>
    </row>
    <row r="1286" spans="1:7">
      <c r="A1286" s="220" t="s">
        <v>1885</v>
      </c>
      <c r="B1286" s="221">
        <v>0</v>
      </c>
      <c r="C1286" s="221">
        <v>140</v>
      </c>
      <c r="D1286" s="221">
        <v>25.25</v>
      </c>
      <c r="E1286" s="221">
        <v>25.746613280285008</v>
      </c>
      <c r="F1286" s="221">
        <v>6.8616963171138705</v>
      </c>
      <c r="G1286" s="222" t="s">
        <v>2942</v>
      </c>
    </row>
    <row r="1287" spans="1:7">
      <c r="A1287" s="220" t="s">
        <v>1886</v>
      </c>
      <c r="B1287" s="221">
        <v>0</v>
      </c>
      <c r="C1287" s="221">
        <v>140</v>
      </c>
      <c r="D1287" s="221">
        <v>25.25</v>
      </c>
      <c r="E1287" s="221">
        <v>29.019013280285012</v>
      </c>
      <c r="F1287" s="221">
        <v>6.8616963171138705</v>
      </c>
      <c r="G1287" s="222" t="s">
        <v>2942</v>
      </c>
    </row>
    <row r="1288" spans="1:7">
      <c r="A1288" s="220" t="s">
        <v>1887</v>
      </c>
      <c r="B1288" s="221">
        <v>0</v>
      </c>
      <c r="C1288" s="221">
        <v>170</v>
      </c>
      <c r="D1288" s="221">
        <v>25.25</v>
      </c>
      <c r="E1288" s="221">
        <v>42.926713280285007</v>
      </c>
      <c r="F1288" s="221">
        <v>6.8616963171138705</v>
      </c>
      <c r="G1288" s="222" t="s">
        <v>2942</v>
      </c>
    </row>
    <row r="1289" spans="1:7">
      <c r="A1289" s="220" t="s">
        <v>1888</v>
      </c>
      <c r="B1289" s="221">
        <v>0</v>
      </c>
      <c r="C1289" s="221">
        <v>250</v>
      </c>
      <c r="D1289" s="221">
        <v>25.25</v>
      </c>
      <c r="E1289" s="221">
        <v>60.924913280285004</v>
      </c>
      <c r="F1289" s="221">
        <v>6.8616963171138705</v>
      </c>
      <c r="G1289" s="222" t="s">
        <v>2942</v>
      </c>
    </row>
    <row r="1290" spans="1:7">
      <c r="A1290" s="220" t="s">
        <v>1889</v>
      </c>
      <c r="B1290" s="221">
        <v>0</v>
      </c>
      <c r="C1290" s="221">
        <v>250</v>
      </c>
      <c r="D1290" s="221">
        <v>25.25</v>
      </c>
      <c r="E1290" s="221">
        <v>65.833513280285018</v>
      </c>
      <c r="F1290" s="221">
        <v>6.8616963171138705</v>
      </c>
      <c r="G1290" s="222" t="s">
        <v>2942</v>
      </c>
    </row>
    <row r="1291" spans="1:7">
      <c r="A1291" s="220" t="s">
        <v>1890</v>
      </c>
      <c r="B1291" s="221">
        <v>0</v>
      </c>
      <c r="C1291" s="221">
        <v>345</v>
      </c>
      <c r="D1291" s="221">
        <v>25.25</v>
      </c>
      <c r="E1291" s="221">
        <v>70.742113280285011</v>
      </c>
      <c r="F1291" s="221">
        <v>6.8616963171138705</v>
      </c>
      <c r="G1291" s="222" t="s">
        <v>2942</v>
      </c>
    </row>
    <row r="1292" spans="1:7">
      <c r="A1292" s="220" t="s">
        <v>1891</v>
      </c>
      <c r="B1292" s="221">
        <v>0</v>
      </c>
      <c r="C1292" s="221">
        <v>405</v>
      </c>
      <c r="D1292" s="221">
        <v>25.25</v>
      </c>
      <c r="E1292" s="221">
        <v>74.832613280285017</v>
      </c>
      <c r="F1292" s="221">
        <v>6.8616963171138705</v>
      </c>
      <c r="G1292" s="222" t="s">
        <v>2942</v>
      </c>
    </row>
    <row r="1293" spans="1:7">
      <c r="A1293" s="220" t="s">
        <v>1892</v>
      </c>
      <c r="B1293" s="221">
        <v>0</v>
      </c>
      <c r="C1293" s="221">
        <v>440</v>
      </c>
      <c r="D1293" s="221">
        <v>25.25</v>
      </c>
      <c r="E1293" s="221">
        <v>79.74121328028501</v>
      </c>
      <c r="F1293" s="221">
        <v>6.8616963171138705</v>
      </c>
      <c r="G1293" s="222" t="s">
        <v>2942</v>
      </c>
    </row>
    <row r="1294" spans="1:7">
      <c r="A1294" s="220" t="s">
        <v>1893</v>
      </c>
      <c r="B1294" s="221">
        <v>0</v>
      </c>
      <c r="C1294" s="221">
        <v>475</v>
      </c>
      <c r="D1294" s="221">
        <v>25.25</v>
      </c>
      <c r="E1294" s="221">
        <v>105.102313280285</v>
      </c>
      <c r="F1294" s="221">
        <v>6.8616963171138705</v>
      </c>
      <c r="G1294" s="222" t="s">
        <v>2942</v>
      </c>
    </row>
    <row r="1295" spans="1:7">
      <c r="A1295" s="220" t="s">
        <v>1894</v>
      </c>
      <c r="B1295" s="221">
        <v>0</v>
      </c>
      <c r="C1295" s="221">
        <v>535</v>
      </c>
      <c r="D1295" s="221">
        <v>25.25</v>
      </c>
      <c r="E1295" s="221">
        <v>113.283313280285</v>
      </c>
      <c r="F1295" s="221">
        <v>6.8616963171138705</v>
      </c>
      <c r="G1295" s="222" t="s">
        <v>2942</v>
      </c>
    </row>
    <row r="1296" spans="1:7">
      <c r="A1296" s="220" t="s">
        <v>1895</v>
      </c>
      <c r="B1296" s="221">
        <v>0</v>
      </c>
      <c r="C1296" s="221">
        <v>610</v>
      </c>
      <c r="D1296" s="221">
        <v>25.25</v>
      </c>
      <c r="E1296" s="221">
        <v>137.82631328028501</v>
      </c>
      <c r="F1296" s="221">
        <v>6.8616963171138705</v>
      </c>
      <c r="G1296" s="222" t="s">
        <v>2942</v>
      </c>
    </row>
    <row r="1297" spans="1:7">
      <c r="A1297" s="220" t="s">
        <v>1896</v>
      </c>
      <c r="B1297" s="221">
        <v>0</v>
      </c>
      <c r="C1297" s="221">
        <v>780</v>
      </c>
      <c r="D1297" s="221">
        <v>25.25</v>
      </c>
      <c r="E1297" s="221">
        <v>162.36931328028501</v>
      </c>
      <c r="F1297" s="221">
        <v>6.8616963171138705</v>
      </c>
      <c r="G1297" s="222" t="s">
        <v>2942</v>
      </c>
    </row>
    <row r="1298" spans="1:7">
      <c r="A1298" s="220" t="s">
        <v>1897</v>
      </c>
      <c r="B1298" s="221">
        <v>0</v>
      </c>
      <c r="C1298" s="221">
        <v>820</v>
      </c>
      <c r="D1298" s="221">
        <v>25.25</v>
      </c>
      <c r="E1298" s="221">
        <v>191.00281328028501</v>
      </c>
      <c r="F1298" s="221">
        <v>6.8616963171138705</v>
      </c>
      <c r="G1298" s="222" t="s">
        <v>2942</v>
      </c>
    </row>
    <row r="1299" spans="1:7">
      <c r="A1299" s="220" t="s">
        <v>1898</v>
      </c>
      <c r="B1299" s="221">
        <v>0</v>
      </c>
      <c r="C1299" s="221">
        <v>845</v>
      </c>
      <c r="D1299" s="221">
        <v>25.25</v>
      </c>
      <c r="E1299" s="221">
        <v>211.45531328028503</v>
      </c>
      <c r="F1299" s="221">
        <v>6.8616963171138705</v>
      </c>
      <c r="G1299" s="222" t="s">
        <v>2942</v>
      </c>
    </row>
    <row r="1300" spans="1:7">
      <c r="A1300" s="220" t="s">
        <v>1899</v>
      </c>
      <c r="B1300" s="221">
        <v>0</v>
      </c>
      <c r="C1300" s="221">
        <v>1040</v>
      </c>
      <c r="D1300" s="221">
        <v>25.25</v>
      </c>
      <c r="E1300" s="221">
        <v>252.36031328028503</v>
      </c>
      <c r="F1300" s="221">
        <v>6.8616963171138705</v>
      </c>
      <c r="G1300" s="222" t="s">
        <v>2942</v>
      </c>
    </row>
    <row r="1301" spans="1:7">
      <c r="A1301" s="220" t="s">
        <v>1900</v>
      </c>
      <c r="B1301" s="221">
        <v>0</v>
      </c>
      <c r="C1301" s="221">
        <v>1165</v>
      </c>
      <c r="D1301" s="221">
        <v>25.25</v>
      </c>
      <c r="E1301" s="221">
        <v>293.265313280285</v>
      </c>
      <c r="F1301" s="221">
        <v>6.8616963171138705</v>
      </c>
      <c r="G1301" s="222" t="s">
        <v>2942</v>
      </c>
    </row>
    <row r="1302" spans="1:7">
      <c r="A1302" s="220" t="s">
        <v>1901</v>
      </c>
      <c r="B1302" s="221">
        <v>0</v>
      </c>
      <c r="C1302" s="221">
        <v>1250</v>
      </c>
      <c r="D1302" s="221">
        <v>25.25</v>
      </c>
      <c r="E1302" s="221">
        <v>354.62281328028502</v>
      </c>
      <c r="F1302" s="221">
        <v>6.8616963171138705</v>
      </c>
      <c r="G1302" s="222" t="s">
        <v>2942</v>
      </c>
    </row>
    <row r="1303" spans="1:7">
      <c r="A1303" s="220" t="s">
        <v>1902</v>
      </c>
      <c r="B1303" s="221">
        <v>0</v>
      </c>
      <c r="C1303" s="221">
        <v>1360</v>
      </c>
      <c r="D1303" s="221">
        <v>25.25</v>
      </c>
      <c r="E1303" s="221">
        <v>395.52781328028499</v>
      </c>
      <c r="F1303" s="221">
        <v>6.8616963171138705</v>
      </c>
      <c r="G1303" s="222" t="s">
        <v>2942</v>
      </c>
    </row>
    <row r="1304" spans="1:7">
      <c r="A1304" s="220" t="s">
        <v>1903</v>
      </c>
      <c r="B1304" s="221">
        <v>0</v>
      </c>
      <c r="C1304" s="221">
        <v>1405</v>
      </c>
      <c r="D1304" s="221">
        <v>25.25</v>
      </c>
      <c r="E1304" s="221">
        <v>436.43281328028502</v>
      </c>
      <c r="F1304" s="221">
        <v>6.8616963171138705</v>
      </c>
      <c r="G1304" s="222" t="s">
        <v>2942</v>
      </c>
    </row>
    <row r="1305" spans="1:7">
      <c r="A1305" s="220" t="s">
        <v>1904</v>
      </c>
      <c r="B1305" s="221">
        <v>0</v>
      </c>
      <c r="C1305" s="221">
        <v>179</v>
      </c>
      <c r="D1305" s="221">
        <v>25.25</v>
      </c>
      <c r="E1305" s="221">
        <v>29.922606776855734</v>
      </c>
      <c r="F1305" s="221">
        <v>10.996343343421518</v>
      </c>
      <c r="G1305" s="222" t="s">
        <v>2942</v>
      </c>
    </row>
    <row r="1306" spans="1:7">
      <c r="A1306" s="220" t="s">
        <v>1905</v>
      </c>
      <c r="B1306" s="221">
        <v>0</v>
      </c>
      <c r="C1306" s="221">
        <v>179</v>
      </c>
      <c r="D1306" s="221">
        <v>25.25</v>
      </c>
      <c r="E1306" s="221">
        <v>33.195006776855735</v>
      </c>
      <c r="F1306" s="221">
        <v>10.996343343421518</v>
      </c>
      <c r="G1306" s="222" t="s">
        <v>2942</v>
      </c>
    </row>
    <row r="1307" spans="1:7">
      <c r="A1307" s="220" t="s">
        <v>1906</v>
      </c>
      <c r="B1307" s="221">
        <v>0</v>
      </c>
      <c r="C1307" s="221">
        <v>189</v>
      </c>
      <c r="D1307" s="221">
        <v>25.25</v>
      </c>
      <c r="E1307" s="221">
        <v>47.102706776855733</v>
      </c>
      <c r="F1307" s="221">
        <v>10.996343343421518</v>
      </c>
      <c r="G1307" s="222" t="s">
        <v>2942</v>
      </c>
    </row>
    <row r="1308" spans="1:7">
      <c r="A1308" s="220" t="s">
        <v>1907</v>
      </c>
      <c r="B1308" s="221">
        <v>0</v>
      </c>
      <c r="C1308" s="221">
        <v>385</v>
      </c>
      <c r="D1308" s="221">
        <v>25.25</v>
      </c>
      <c r="E1308" s="221">
        <v>65.100906776855737</v>
      </c>
      <c r="F1308" s="221">
        <v>10.996343343421518</v>
      </c>
      <c r="G1308" s="222" t="s">
        <v>2942</v>
      </c>
    </row>
    <row r="1309" spans="1:7">
      <c r="A1309" s="220" t="s">
        <v>1908</v>
      </c>
      <c r="B1309" s="221">
        <v>0</v>
      </c>
      <c r="C1309" s="221">
        <v>385</v>
      </c>
      <c r="D1309" s="221">
        <v>25.25</v>
      </c>
      <c r="E1309" s="221">
        <v>70.009506776855744</v>
      </c>
      <c r="F1309" s="221">
        <v>10.996343343421518</v>
      </c>
      <c r="G1309" s="222" t="s">
        <v>2942</v>
      </c>
    </row>
    <row r="1310" spans="1:7">
      <c r="A1310" s="220" t="s">
        <v>1909</v>
      </c>
      <c r="B1310" s="221">
        <v>0</v>
      </c>
      <c r="C1310" s="221">
        <v>545</v>
      </c>
      <c r="D1310" s="221">
        <v>25.25</v>
      </c>
      <c r="E1310" s="221">
        <v>74.918106776855737</v>
      </c>
      <c r="F1310" s="221">
        <v>10.996343343421518</v>
      </c>
      <c r="G1310" s="222" t="s">
        <v>2942</v>
      </c>
    </row>
    <row r="1311" spans="1:7">
      <c r="A1311" s="220" t="s">
        <v>1910</v>
      </c>
      <c r="B1311" s="221">
        <v>0</v>
      </c>
      <c r="C1311" s="221">
        <v>655</v>
      </c>
      <c r="D1311" s="221">
        <v>25.25</v>
      </c>
      <c r="E1311" s="221">
        <v>79.008606776855729</v>
      </c>
      <c r="F1311" s="221">
        <v>10.996343343421518</v>
      </c>
      <c r="G1311" s="222" t="s">
        <v>2942</v>
      </c>
    </row>
    <row r="1312" spans="1:7">
      <c r="A1312" s="220" t="s">
        <v>1911</v>
      </c>
      <c r="B1312" s="221">
        <v>0</v>
      </c>
      <c r="C1312" s="221">
        <v>715</v>
      </c>
      <c r="D1312" s="221">
        <v>25.25</v>
      </c>
      <c r="E1312" s="221">
        <v>83.917206776855735</v>
      </c>
      <c r="F1312" s="221">
        <v>10.996343343421518</v>
      </c>
      <c r="G1312" s="222" t="s">
        <v>2942</v>
      </c>
    </row>
    <row r="1313" spans="1:7">
      <c r="A1313" s="220" t="s">
        <v>1912</v>
      </c>
      <c r="B1313" s="221">
        <v>0</v>
      </c>
      <c r="C1313" s="221">
        <v>790</v>
      </c>
      <c r="D1313" s="221">
        <v>25.25</v>
      </c>
      <c r="E1313" s="221">
        <v>109.27830677685573</v>
      </c>
      <c r="F1313" s="221">
        <v>10.996343343421518</v>
      </c>
      <c r="G1313" s="222" t="s">
        <v>2942</v>
      </c>
    </row>
    <row r="1314" spans="1:7">
      <c r="A1314" s="220" t="s">
        <v>1913</v>
      </c>
      <c r="B1314" s="221">
        <v>0</v>
      </c>
      <c r="C1314" s="221">
        <v>865</v>
      </c>
      <c r="D1314" s="221">
        <v>25.25</v>
      </c>
      <c r="E1314" s="221">
        <v>117.45930677685573</v>
      </c>
      <c r="F1314" s="221">
        <v>10.996343343421518</v>
      </c>
      <c r="G1314" s="222" t="s">
        <v>2942</v>
      </c>
    </row>
    <row r="1315" spans="1:7">
      <c r="A1315" s="220" t="s">
        <v>1914</v>
      </c>
      <c r="B1315" s="221">
        <v>0</v>
      </c>
      <c r="C1315" s="221">
        <v>970</v>
      </c>
      <c r="D1315" s="221">
        <v>25.25</v>
      </c>
      <c r="E1315" s="221">
        <v>142.00230677685573</v>
      </c>
      <c r="F1315" s="221">
        <v>10.996343343421518</v>
      </c>
      <c r="G1315" s="222" t="s">
        <v>2942</v>
      </c>
    </row>
    <row r="1316" spans="1:7">
      <c r="A1316" s="220" t="s">
        <v>1915</v>
      </c>
      <c r="B1316" s="221">
        <v>0</v>
      </c>
      <c r="C1316" s="221">
        <v>1155</v>
      </c>
      <c r="D1316" s="221">
        <v>25.25</v>
      </c>
      <c r="E1316" s="221">
        <v>166.54530677685574</v>
      </c>
      <c r="F1316" s="221">
        <v>10.996343343421518</v>
      </c>
      <c r="G1316" s="222" t="s">
        <v>2942</v>
      </c>
    </row>
    <row r="1317" spans="1:7">
      <c r="A1317" s="220" t="s">
        <v>1916</v>
      </c>
      <c r="B1317" s="221">
        <v>0</v>
      </c>
      <c r="C1317" s="221">
        <v>1230</v>
      </c>
      <c r="D1317" s="221">
        <v>25.25</v>
      </c>
      <c r="E1317" s="221">
        <v>195.17880677685574</v>
      </c>
      <c r="F1317" s="221">
        <v>10.996343343421518</v>
      </c>
      <c r="G1317" s="222" t="s">
        <v>2942</v>
      </c>
    </row>
    <row r="1318" spans="1:7">
      <c r="A1318" s="220" t="s">
        <v>1917</v>
      </c>
      <c r="B1318" s="221">
        <v>0</v>
      </c>
      <c r="C1318" s="221">
        <v>1280</v>
      </c>
      <c r="D1318" s="221">
        <v>25.25</v>
      </c>
      <c r="E1318" s="221">
        <v>215.63130677685575</v>
      </c>
      <c r="F1318" s="221">
        <v>10.996343343421518</v>
      </c>
      <c r="G1318" s="222" t="s">
        <v>2942</v>
      </c>
    </row>
    <row r="1319" spans="1:7">
      <c r="A1319" s="220" t="s">
        <v>1918</v>
      </c>
      <c r="B1319" s="221">
        <v>0</v>
      </c>
      <c r="C1319" s="221">
        <v>1560</v>
      </c>
      <c r="D1319" s="221">
        <v>25.25</v>
      </c>
      <c r="E1319" s="221">
        <v>256.53630677685572</v>
      </c>
      <c r="F1319" s="221">
        <v>10.996343343421518</v>
      </c>
      <c r="G1319" s="222" t="s">
        <v>2942</v>
      </c>
    </row>
    <row r="1320" spans="1:7">
      <c r="A1320" s="220" t="s">
        <v>1919</v>
      </c>
      <c r="B1320" s="221">
        <v>0</v>
      </c>
      <c r="C1320" s="221">
        <v>1640</v>
      </c>
      <c r="D1320" s="221">
        <v>25.25</v>
      </c>
      <c r="E1320" s="221">
        <v>297.44130677685575</v>
      </c>
      <c r="F1320" s="221">
        <v>10.996343343421518</v>
      </c>
      <c r="G1320" s="222" t="s">
        <v>2942</v>
      </c>
    </row>
    <row r="1321" spans="1:7">
      <c r="A1321" s="220" t="s">
        <v>1920</v>
      </c>
      <c r="B1321" s="221">
        <v>0</v>
      </c>
      <c r="C1321" s="221">
        <v>1880</v>
      </c>
      <c r="D1321" s="221">
        <v>25.25</v>
      </c>
      <c r="E1321" s="221">
        <v>358.79880677685577</v>
      </c>
      <c r="F1321" s="221">
        <v>10.996343343421518</v>
      </c>
      <c r="G1321" s="222" t="s">
        <v>2942</v>
      </c>
    </row>
    <row r="1322" spans="1:7">
      <c r="A1322" s="220" t="s">
        <v>1921</v>
      </c>
      <c r="B1322" s="221">
        <v>0</v>
      </c>
      <c r="C1322" s="221">
        <v>2025</v>
      </c>
      <c r="D1322" s="221">
        <v>25.25</v>
      </c>
      <c r="E1322" s="221">
        <v>399.70380677685574</v>
      </c>
      <c r="F1322" s="221">
        <v>10.996343343421518</v>
      </c>
      <c r="G1322" s="222" t="s">
        <v>2942</v>
      </c>
    </row>
    <row r="1323" spans="1:7">
      <c r="A1323" s="220" t="s">
        <v>1922</v>
      </c>
      <c r="B1323" s="221">
        <v>0</v>
      </c>
      <c r="C1323" s="221">
        <v>2145</v>
      </c>
      <c r="D1323" s="221">
        <v>25.25</v>
      </c>
      <c r="E1323" s="221">
        <v>440.60880677685577</v>
      </c>
      <c r="F1323" s="221">
        <v>10.996343343421518</v>
      </c>
      <c r="G1323" s="222" t="s">
        <v>2942</v>
      </c>
    </row>
    <row r="1324" spans="1:7">
      <c r="A1324" s="220" t="s">
        <v>555</v>
      </c>
      <c r="B1324" s="221">
        <v>0</v>
      </c>
      <c r="C1324" s="221">
        <v>70</v>
      </c>
      <c r="D1324" s="221">
        <v>25.25</v>
      </c>
      <c r="E1324" s="221">
        <v>25.157889643782482</v>
      </c>
      <c r="F1324" s="221">
        <v>1.4188016275074058</v>
      </c>
      <c r="G1324" s="222" t="s">
        <v>2942</v>
      </c>
    </row>
    <row r="1325" spans="1:7">
      <c r="A1325" s="220" t="s">
        <v>556</v>
      </c>
      <c r="B1325" s="221">
        <v>0</v>
      </c>
      <c r="C1325" s="221">
        <v>70</v>
      </c>
      <c r="D1325" s="221">
        <v>25.25</v>
      </c>
      <c r="E1325" s="221">
        <v>28.430289643782476</v>
      </c>
      <c r="F1325" s="221">
        <v>1.4188016275074058</v>
      </c>
      <c r="G1325" s="222" t="s">
        <v>2942</v>
      </c>
    </row>
    <row r="1326" spans="1:7">
      <c r="A1326" s="220" t="s">
        <v>557</v>
      </c>
      <c r="B1326" s="221">
        <v>0</v>
      </c>
      <c r="C1326" s="221">
        <v>80</v>
      </c>
      <c r="D1326" s="221">
        <v>25.25</v>
      </c>
      <c r="E1326" s="221">
        <v>32.520789643782479</v>
      </c>
      <c r="F1326" s="221">
        <v>1.4188016275074058</v>
      </c>
      <c r="G1326" s="222" t="s">
        <v>2942</v>
      </c>
    </row>
    <row r="1327" spans="1:7">
      <c r="A1327" s="220" t="s">
        <v>558</v>
      </c>
      <c r="B1327" s="221">
        <v>0</v>
      </c>
      <c r="C1327" s="221">
        <v>90</v>
      </c>
      <c r="D1327" s="221">
        <v>25.25</v>
      </c>
      <c r="E1327" s="221">
        <v>32.520789643782479</v>
      </c>
      <c r="F1327" s="221">
        <v>1.4188016275074058</v>
      </c>
      <c r="G1327" s="222" t="s">
        <v>2942</v>
      </c>
    </row>
    <row r="1328" spans="1:7">
      <c r="A1328" s="220" t="s">
        <v>559</v>
      </c>
      <c r="B1328" s="221">
        <v>0</v>
      </c>
      <c r="C1328" s="221">
        <v>90</v>
      </c>
      <c r="D1328" s="221">
        <v>25.25</v>
      </c>
      <c r="E1328" s="221">
        <v>32.520789643782479</v>
      </c>
      <c r="F1328" s="221">
        <v>1.4188016275074058</v>
      </c>
      <c r="G1328" s="222" t="s">
        <v>2942</v>
      </c>
    </row>
    <row r="1329" spans="1:7">
      <c r="A1329" s="220" t="s">
        <v>560</v>
      </c>
      <c r="B1329" s="221">
        <v>0</v>
      </c>
      <c r="C1329" s="221">
        <v>95</v>
      </c>
      <c r="D1329" s="221">
        <v>25.25</v>
      </c>
      <c r="E1329" s="221">
        <v>32.520789643782479</v>
      </c>
      <c r="F1329" s="221">
        <v>1.4188016275074058</v>
      </c>
      <c r="G1329" s="222" t="s">
        <v>2942</v>
      </c>
    </row>
    <row r="1330" spans="1:7">
      <c r="A1330" s="220" t="s">
        <v>561</v>
      </c>
      <c r="B1330" s="221">
        <v>0</v>
      </c>
      <c r="C1330" s="221">
        <v>100</v>
      </c>
      <c r="D1330" s="221">
        <v>25.25</v>
      </c>
      <c r="E1330" s="221">
        <v>32.520789643782479</v>
      </c>
      <c r="F1330" s="221">
        <v>1.4188016275074058</v>
      </c>
      <c r="G1330" s="222" t="s">
        <v>2942</v>
      </c>
    </row>
    <row r="1331" spans="1:7">
      <c r="A1331" s="220" t="s">
        <v>562</v>
      </c>
      <c r="B1331" s="221">
        <v>0</v>
      </c>
      <c r="C1331" s="221">
        <v>115</v>
      </c>
      <c r="D1331" s="221">
        <v>25.25</v>
      </c>
      <c r="E1331" s="221">
        <v>32.520789643782479</v>
      </c>
      <c r="F1331" s="221">
        <v>1.4188016275074058</v>
      </c>
      <c r="G1331" s="222" t="s">
        <v>2942</v>
      </c>
    </row>
    <row r="1332" spans="1:7">
      <c r="A1332" s="220" t="s">
        <v>563</v>
      </c>
      <c r="B1332" s="221">
        <v>0</v>
      </c>
      <c r="C1332" s="221">
        <v>120</v>
      </c>
      <c r="D1332" s="221">
        <v>25.25</v>
      </c>
      <c r="E1332" s="221">
        <v>37.429389643782478</v>
      </c>
      <c r="F1332" s="221">
        <v>1.4188016275074058</v>
      </c>
      <c r="G1332" s="222" t="s">
        <v>2942</v>
      </c>
    </row>
    <row r="1333" spans="1:7">
      <c r="A1333" s="220" t="s">
        <v>564</v>
      </c>
      <c r="B1333" s="221">
        <v>0</v>
      </c>
      <c r="C1333" s="221">
        <v>130</v>
      </c>
      <c r="D1333" s="221">
        <v>25.25</v>
      </c>
      <c r="E1333" s="221">
        <v>46.428489643782484</v>
      </c>
      <c r="F1333" s="221">
        <v>1.4188016275074058</v>
      </c>
      <c r="G1333" s="222" t="s">
        <v>2942</v>
      </c>
    </row>
    <row r="1334" spans="1:7">
      <c r="A1334" s="220" t="s">
        <v>565</v>
      </c>
      <c r="B1334" s="221">
        <v>0</v>
      </c>
      <c r="C1334" s="221">
        <v>145</v>
      </c>
      <c r="D1334" s="221">
        <v>25.25</v>
      </c>
      <c r="E1334" s="221">
        <v>50.518989643782483</v>
      </c>
      <c r="F1334" s="221">
        <v>1.4188016275074058</v>
      </c>
      <c r="G1334" s="222" t="s">
        <v>2942</v>
      </c>
    </row>
    <row r="1335" spans="1:7">
      <c r="A1335" s="220" t="s">
        <v>566</v>
      </c>
      <c r="B1335" s="221">
        <v>0</v>
      </c>
      <c r="C1335" s="221">
        <v>175</v>
      </c>
      <c r="D1335" s="221">
        <v>25.25</v>
      </c>
      <c r="E1335" s="221">
        <v>66.88098964378247</v>
      </c>
      <c r="F1335" s="221">
        <v>1.4188016275074058</v>
      </c>
      <c r="G1335" s="222" t="s">
        <v>2942</v>
      </c>
    </row>
    <row r="1336" spans="1:7">
      <c r="A1336" s="220" t="s">
        <v>567</v>
      </c>
      <c r="B1336" s="221">
        <v>0</v>
      </c>
      <c r="C1336" s="221">
        <v>210</v>
      </c>
      <c r="D1336" s="221">
        <v>25.25</v>
      </c>
      <c r="E1336" s="221">
        <v>83.242989643782479</v>
      </c>
      <c r="F1336" s="221">
        <v>1.4188016275074058</v>
      </c>
      <c r="G1336" s="222" t="s">
        <v>2942</v>
      </c>
    </row>
    <row r="1337" spans="1:7">
      <c r="A1337" s="220" t="s">
        <v>568</v>
      </c>
      <c r="B1337" s="221">
        <v>0</v>
      </c>
      <c r="C1337" s="221">
        <v>230</v>
      </c>
      <c r="D1337" s="221">
        <v>25.25</v>
      </c>
      <c r="E1337" s="221">
        <v>91.423989643782477</v>
      </c>
      <c r="F1337" s="221">
        <v>1.4188016275074058</v>
      </c>
      <c r="G1337" s="222" t="s">
        <v>2942</v>
      </c>
    </row>
    <row r="1338" spans="1:7">
      <c r="A1338" s="220" t="s">
        <v>569</v>
      </c>
      <c r="B1338" s="221">
        <v>0</v>
      </c>
      <c r="C1338" s="221">
        <v>285</v>
      </c>
      <c r="D1338" s="221">
        <v>25.25</v>
      </c>
      <c r="E1338" s="221">
        <v>132.32898964378248</v>
      </c>
      <c r="F1338" s="221">
        <v>1.4188016275074058</v>
      </c>
      <c r="G1338" s="222" t="s">
        <v>2942</v>
      </c>
    </row>
    <row r="1339" spans="1:7">
      <c r="A1339" s="220" t="s">
        <v>570</v>
      </c>
      <c r="B1339" s="221">
        <v>0</v>
      </c>
      <c r="C1339" s="221">
        <v>300</v>
      </c>
      <c r="D1339" s="221">
        <v>25.25</v>
      </c>
      <c r="E1339" s="221">
        <v>152.78148964378246</v>
      </c>
      <c r="F1339" s="221">
        <v>1.4188016275074058</v>
      </c>
      <c r="G1339" s="222" t="s">
        <v>2942</v>
      </c>
    </row>
    <row r="1340" spans="1:7">
      <c r="A1340" s="220" t="s">
        <v>571</v>
      </c>
      <c r="B1340" s="221">
        <v>0</v>
      </c>
      <c r="C1340" s="221">
        <v>350</v>
      </c>
      <c r="D1340" s="221">
        <v>25.25</v>
      </c>
      <c r="E1340" s="221">
        <v>189.59598964378247</v>
      </c>
      <c r="F1340" s="221">
        <v>1.4188016275074058</v>
      </c>
      <c r="G1340" s="222" t="s">
        <v>2942</v>
      </c>
    </row>
    <row r="1341" spans="1:7">
      <c r="A1341" s="220" t="s">
        <v>572</v>
      </c>
      <c r="B1341" s="221">
        <v>0</v>
      </c>
      <c r="C1341" s="221">
        <v>405</v>
      </c>
      <c r="D1341" s="221">
        <v>25.25</v>
      </c>
      <c r="E1341" s="221">
        <v>214.13898964378248</v>
      </c>
      <c r="F1341" s="221">
        <v>1.4188016275074058</v>
      </c>
      <c r="G1341" s="222" t="s">
        <v>2942</v>
      </c>
    </row>
    <row r="1342" spans="1:7">
      <c r="A1342" s="220" t="s">
        <v>573</v>
      </c>
      <c r="B1342" s="221">
        <v>0</v>
      </c>
      <c r="C1342" s="221">
        <v>450</v>
      </c>
      <c r="D1342" s="221">
        <v>25.25</v>
      </c>
      <c r="E1342" s="221">
        <v>234.59148964378247</v>
      </c>
      <c r="F1342" s="221">
        <v>1.4188016275074058</v>
      </c>
      <c r="G1342" s="222" t="s">
        <v>2942</v>
      </c>
    </row>
    <row r="1343" spans="1:7">
      <c r="A1343" s="220" t="s">
        <v>574</v>
      </c>
      <c r="B1343" s="221">
        <v>0</v>
      </c>
      <c r="C1343" s="221">
        <v>75</v>
      </c>
      <c r="D1343" s="221">
        <v>25.25</v>
      </c>
      <c r="E1343" s="221">
        <v>25.157889643782482</v>
      </c>
      <c r="F1343" s="221">
        <v>1.4188016275074058</v>
      </c>
      <c r="G1343" s="222" t="s">
        <v>2942</v>
      </c>
    </row>
    <row r="1344" spans="1:7">
      <c r="A1344" s="220" t="s">
        <v>575</v>
      </c>
      <c r="B1344" s="221">
        <v>0</v>
      </c>
      <c r="C1344" s="221">
        <v>75</v>
      </c>
      <c r="D1344" s="221">
        <v>25.25</v>
      </c>
      <c r="E1344" s="221">
        <v>28.430289643782476</v>
      </c>
      <c r="F1344" s="221">
        <v>1.4188016275074058</v>
      </c>
      <c r="G1344" s="222" t="s">
        <v>2942</v>
      </c>
    </row>
    <row r="1345" spans="1:7">
      <c r="A1345" s="220" t="s">
        <v>576</v>
      </c>
      <c r="B1345" s="221">
        <v>0</v>
      </c>
      <c r="C1345" s="221">
        <v>85</v>
      </c>
      <c r="D1345" s="221">
        <v>25.25</v>
      </c>
      <c r="E1345" s="221">
        <v>32.520789643782479</v>
      </c>
      <c r="F1345" s="221">
        <v>1.4188016275074058</v>
      </c>
      <c r="G1345" s="222" t="s">
        <v>2942</v>
      </c>
    </row>
    <row r="1346" spans="1:7">
      <c r="A1346" s="220" t="s">
        <v>577</v>
      </c>
      <c r="B1346" s="221">
        <v>0</v>
      </c>
      <c r="C1346" s="221">
        <v>120</v>
      </c>
      <c r="D1346" s="221">
        <v>25.25</v>
      </c>
      <c r="E1346" s="221">
        <v>32.520789643782479</v>
      </c>
      <c r="F1346" s="221">
        <v>1.4188016275074058</v>
      </c>
      <c r="G1346" s="222" t="s">
        <v>2942</v>
      </c>
    </row>
    <row r="1347" spans="1:7">
      <c r="A1347" s="220" t="s">
        <v>578</v>
      </c>
      <c r="B1347" s="221">
        <v>0</v>
      </c>
      <c r="C1347" s="221">
        <v>120</v>
      </c>
      <c r="D1347" s="221">
        <v>25.25</v>
      </c>
      <c r="E1347" s="221">
        <v>32.520789643782479</v>
      </c>
      <c r="F1347" s="221">
        <v>1.4188016275074058</v>
      </c>
      <c r="G1347" s="222" t="s">
        <v>2942</v>
      </c>
    </row>
    <row r="1348" spans="1:7">
      <c r="A1348" s="220" t="s">
        <v>579</v>
      </c>
      <c r="B1348" s="221">
        <v>0</v>
      </c>
      <c r="C1348" s="221">
        <v>125</v>
      </c>
      <c r="D1348" s="221">
        <v>25.25</v>
      </c>
      <c r="E1348" s="221">
        <v>32.520789643782479</v>
      </c>
      <c r="F1348" s="221">
        <v>1.4188016275074058</v>
      </c>
      <c r="G1348" s="222" t="s">
        <v>2942</v>
      </c>
    </row>
    <row r="1349" spans="1:7">
      <c r="A1349" s="220" t="s">
        <v>580</v>
      </c>
      <c r="B1349" s="221">
        <v>0</v>
      </c>
      <c r="C1349" s="221">
        <v>145</v>
      </c>
      <c r="D1349" s="221">
        <v>25.25</v>
      </c>
      <c r="E1349" s="221">
        <v>32.520789643782479</v>
      </c>
      <c r="F1349" s="221">
        <v>1.4188016275074058</v>
      </c>
      <c r="G1349" s="222" t="s">
        <v>2942</v>
      </c>
    </row>
    <row r="1350" spans="1:7">
      <c r="A1350" s="220" t="s">
        <v>581</v>
      </c>
      <c r="B1350" s="221">
        <v>0</v>
      </c>
      <c r="C1350" s="221">
        <v>150</v>
      </c>
      <c r="D1350" s="221">
        <v>25.25</v>
      </c>
      <c r="E1350" s="221">
        <v>32.520789643782479</v>
      </c>
      <c r="F1350" s="221">
        <v>1.4188016275074058</v>
      </c>
      <c r="G1350" s="222" t="s">
        <v>2942</v>
      </c>
    </row>
    <row r="1351" spans="1:7">
      <c r="A1351" s="220" t="s">
        <v>582</v>
      </c>
      <c r="B1351" s="221">
        <v>0</v>
      </c>
      <c r="C1351" s="221">
        <v>225</v>
      </c>
      <c r="D1351" s="221">
        <v>25.25</v>
      </c>
      <c r="E1351" s="221">
        <v>37.429389643782478</v>
      </c>
      <c r="F1351" s="221">
        <v>1.4188016275074058</v>
      </c>
      <c r="G1351" s="222" t="s">
        <v>2942</v>
      </c>
    </row>
    <row r="1352" spans="1:7">
      <c r="A1352" s="220" t="s">
        <v>583</v>
      </c>
      <c r="B1352" s="221">
        <v>0</v>
      </c>
      <c r="C1352" s="221">
        <v>260</v>
      </c>
      <c r="D1352" s="221">
        <v>25.25</v>
      </c>
      <c r="E1352" s="221">
        <v>46.428489643782484</v>
      </c>
      <c r="F1352" s="221">
        <v>1.4188016275074058</v>
      </c>
      <c r="G1352" s="222" t="s">
        <v>2942</v>
      </c>
    </row>
    <row r="1353" spans="1:7">
      <c r="A1353" s="220" t="s">
        <v>584</v>
      </c>
      <c r="B1353" s="221">
        <v>0</v>
      </c>
      <c r="C1353" s="221">
        <v>345</v>
      </c>
      <c r="D1353" s="221">
        <v>25.25</v>
      </c>
      <c r="E1353" s="221">
        <v>50.518989643782483</v>
      </c>
      <c r="F1353" s="221">
        <v>1.4188016275074058</v>
      </c>
      <c r="G1353" s="222" t="s">
        <v>2942</v>
      </c>
    </row>
    <row r="1354" spans="1:7">
      <c r="A1354" s="220" t="s">
        <v>585</v>
      </c>
      <c r="B1354" s="221">
        <v>0</v>
      </c>
      <c r="C1354" s="221">
        <v>520</v>
      </c>
      <c r="D1354" s="221">
        <v>25.25</v>
      </c>
      <c r="E1354" s="221">
        <v>66.88098964378247</v>
      </c>
      <c r="F1354" s="221">
        <v>1.4188016275074058</v>
      </c>
      <c r="G1354" s="222" t="s">
        <v>2942</v>
      </c>
    </row>
    <row r="1355" spans="1:7">
      <c r="A1355" s="220" t="s">
        <v>586</v>
      </c>
      <c r="B1355" s="221">
        <v>0</v>
      </c>
      <c r="C1355" s="221">
        <v>610</v>
      </c>
      <c r="D1355" s="221">
        <v>25.25</v>
      </c>
      <c r="E1355" s="221">
        <v>83.242989643782479</v>
      </c>
      <c r="F1355" s="221">
        <v>1.4188016275074058</v>
      </c>
      <c r="G1355" s="222" t="s">
        <v>2942</v>
      </c>
    </row>
    <row r="1356" spans="1:7">
      <c r="A1356" s="220" t="s">
        <v>587</v>
      </c>
      <c r="B1356" s="221">
        <v>0</v>
      </c>
      <c r="C1356" s="221">
        <v>670</v>
      </c>
      <c r="D1356" s="221">
        <v>25.25</v>
      </c>
      <c r="E1356" s="221">
        <v>91.423989643782477</v>
      </c>
      <c r="F1356" s="221">
        <v>1.4188016275074058</v>
      </c>
      <c r="G1356" s="222" t="s">
        <v>2942</v>
      </c>
    </row>
    <row r="1357" spans="1:7">
      <c r="A1357" s="220" t="s">
        <v>588</v>
      </c>
      <c r="B1357" s="221">
        <v>0</v>
      </c>
      <c r="C1357" s="221">
        <v>820</v>
      </c>
      <c r="D1357" s="221">
        <v>25.25</v>
      </c>
      <c r="E1357" s="221">
        <v>132.32898964378248</v>
      </c>
      <c r="F1357" s="221">
        <v>1.4188016275074058</v>
      </c>
      <c r="G1357" s="222" t="s">
        <v>2942</v>
      </c>
    </row>
    <row r="1358" spans="1:7">
      <c r="A1358" s="220" t="s">
        <v>589</v>
      </c>
      <c r="B1358" s="221">
        <v>0</v>
      </c>
      <c r="C1358" s="221">
        <v>890</v>
      </c>
      <c r="D1358" s="221">
        <v>25.25</v>
      </c>
      <c r="E1358" s="221">
        <v>152.78148964378246</v>
      </c>
      <c r="F1358" s="221">
        <v>1.4188016275074058</v>
      </c>
      <c r="G1358" s="222" t="s">
        <v>2942</v>
      </c>
    </row>
    <row r="1359" spans="1:7">
      <c r="A1359" s="220" t="s">
        <v>590</v>
      </c>
      <c r="B1359" s="221">
        <v>0</v>
      </c>
      <c r="C1359" s="221">
        <v>1020</v>
      </c>
      <c r="D1359" s="221">
        <v>25.25</v>
      </c>
      <c r="E1359" s="221">
        <v>189.59598964378247</v>
      </c>
      <c r="F1359" s="221">
        <v>1.4188016275074058</v>
      </c>
      <c r="G1359" s="222" t="s">
        <v>2942</v>
      </c>
    </row>
    <row r="1360" spans="1:7">
      <c r="A1360" s="220" t="s">
        <v>591</v>
      </c>
      <c r="B1360" s="221">
        <v>0</v>
      </c>
      <c r="C1360" s="221">
        <v>1120</v>
      </c>
      <c r="D1360" s="221">
        <v>25.25</v>
      </c>
      <c r="E1360" s="221">
        <v>214.13898964378248</v>
      </c>
      <c r="F1360" s="221">
        <v>1.4188016275074058</v>
      </c>
      <c r="G1360" s="222" t="s">
        <v>2942</v>
      </c>
    </row>
    <row r="1361" spans="1:7">
      <c r="A1361" s="220" t="s">
        <v>592</v>
      </c>
      <c r="B1361" s="221">
        <v>0</v>
      </c>
      <c r="C1361" s="221">
        <v>1185</v>
      </c>
      <c r="D1361" s="221">
        <v>25.25</v>
      </c>
      <c r="E1361" s="221">
        <v>234.59148964378247</v>
      </c>
      <c r="F1361" s="221">
        <v>1.4188016275074058</v>
      </c>
      <c r="G1361" s="222" t="s">
        <v>2942</v>
      </c>
    </row>
    <row r="1362" spans="1:7">
      <c r="A1362" s="220" t="s">
        <v>593</v>
      </c>
      <c r="B1362" s="221">
        <v>0</v>
      </c>
      <c r="C1362" s="221">
        <v>80</v>
      </c>
      <c r="D1362" s="221">
        <v>25.25</v>
      </c>
      <c r="E1362" s="221">
        <v>26.327496749035536</v>
      </c>
      <c r="F1362" s="221">
        <v>2.5768284643916193</v>
      </c>
      <c r="G1362" s="222" t="s">
        <v>2942</v>
      </c>
    </row>
    <row r="1363" spans="1:7">
      <c r="A1363" s="220" t="s">
        <v>594</v>
      </c>
      <c r="B1363" s="221">
        <v>0</v>
      </c>
      <c r="C1363" s="221">
        <v>80</v>
      </c>
      <c r="D1363" s="221">
        <v>25.25</v>
      </c>
      <c r="E1363" s="221">
        <v>29.59989674903553</v>
      </c>
      <c r="F1363" s="221">
        <v>2.5768284643916193</v>
      </c>
      <c r="G1363" s="222" t="s">
        <v>2942</v>
      </c>
    </row>
    <row r="1364" spans="1:7">
      <c r="A1364" s="220" t="s">
        <v>595</v>
      </c>
      <c r="B1364" s="221">
        <v>0</v>
      </c>
      <c r="C1364" s="221">
        <v>90</v>
      </c>
      <c r="D1364" s="221">
        <v>25.25</v>
      </c>
      <c r="E1364" s="221">
        <v>33.690396749035536</v>
      </c>
      <c r="F1364" s="221">
        <v>2.5768284643916193</v>
      </c>
      <c r="G1364" s="222" t="s">
        <v>2942</v>
      </c>
    </row>
    <row r="1365" spans="1:7">
      <c r="A1365" s="220" t="s">
        <v>596</v>
      </c>
      <c r="B1365" s="221">
        <v>0</v>
      </c>
      <c r="C1365" s="221">
        <v>150</v>
      </c>
      <c r="D1365" s="221">
        <v>25.25</v>
      </c>
      <c r="E1365" s="221">
        <v>33.690396749035536</v>
      </c>
      <c r="F1365" s="221">
        <v>2.5768284643916193</v>
      </c>
      <c r="G1365" s="222" t="s">
        <v>2942</v>
      </c>
    </row>
    <row r="1366" spans="1:7">
      <c r="A1366" s="220" t="s">
        <v>597</v>
      </c>
      <c r="B1366" s="221">
        <v>0</v>
      </c>
      <c r="C1366" s="221">
        <v>150</v>
      </c>
      <c r="D1366" s="221">
        <v>25.25</v>
      </c>
      <c r="E1366" s="221">
        <v>33.690396749035536</v>
      </c>
      <c r="F1366" s="221">
        <v>2.5768284643916193</v>
      </c>
      <c r="G1366" s="222" t="s">
        <v>2942</v>
      </c>
    </row>
    <row r="1367" spans="1:7">
      <c r="A1367" s="220" t="s">
        <v>598</v>
      </c>
      <c r="B1367" s="221">
        <v>0</v>
      </c>
      <c r="C1367" s="221">
        <v>155</v>
      </c>
      <c r="D1367" s="221">
        <v>25.25</v>
      </c>
      <c r="E1367" s="221">
        <v>33.690396749035536</v>
      </c>
      <c r="F1367" s="221">
        <v>2.5768284643916193</v>
      </c>
      <c r="G1367" s="222" t="s">
        <v>2942</v>
      </c>
    </row>
    <row r="1368" spans="1:7">
      <c r="A1368" s="220" t="s">
        <v>599</v>
      </c>
      <c r="B1368" s="221">
        <v>0</v>
      </c>
      <c r="C1368" s="221">
        <v>215</v>
      </c>
      <c r="D1368" s="221">
        <v>25.25</v>
      </c>
      <c r="E1368" s="221">
        <v>33.690396749035536</v>
      </c>
      <c r="F1368" s="221">
        <v>2.5768284643916193</v>
      </c>
      <c r="G1368" s="222" t="s">
        <v>2942</v>
      </c>
    </row>
    <row r="1369" spans="1:7">
      <c r="A1369" s="220" t="s">
        <v>600</v>
      </c>
      <c r="B1369" s="221">
        <v>0</v>
      </c>
      <c r="C1369" s="221">
        <v>240</v>
      </c>
      <c r="D1369" s="221">
        <v>25.25</v>
      </c>
      <c r="E1369" s="221">
        <v>33.690396749035536</v>
      </c>
      <c r="F1369" s="221">
        <v>2.5768284643916193</v>
      </c>
      <c r="G1369" s="222" t="s">
        <v>2942</v>
      </c>
    </row>
    <row r="1370" spans="1:7">
      <c r="A1370" s="220" t="s">
        <v>601</v>
      </c>
      <c r="B1370" s="221">
        <v>0</v>
      </c>
      <c r="C1370" s="221">
        <v>340</v>
      </c>
      <c r="D1370" s="221">
        <v>25.25</v>
      </c>
      <c r="E1370" s="221">
        <v>38.598996749035535</v>
      </c>
      <c r="F1370" s="221">
        <v>2.5768284643916193</v>
      </c>
      <c r="G1370" s="222" t="s">
        <v>2942</v>
      </c>
    </row>
    <row r="1371" spans="1:7">
      <c r="A1371" s="220" t="s">
        <v>602</v>
      </c>
      <c r="B1371" s="221">
        <v>0</v>
      </c>
      <c r="C1371" s="221">
        <v>395</v>
      </c>
      <c r="D1371" s="221">
        <v>25.25</v>
      </c>
      <c r="E1371" s="221">
        <v>47.598096749035541</v>
      </c>
      <c r="F1371" s="221">
        <v>2.5768284643916193</v>
      </c>
      <c r="G1371" s="222" t="s">
        <v>2942</v>
      </c>
    </row>
    <row r="1372" spans="1:7">
      <c r="A1372" s="220" t="s">
        <v>603</v>
      </c>
      <c r="B1372" s="221">
        <v>0</v>
      </c>
      <c r="C1372" s="221">
        <v>525</v>
      </c>
      <c r="D1372" s="221">
        <v>25.25</v>
      </c>
      <c r="E1372" s="221">
        <v>51.688596749035533</v>
      </c>
      <c r="F1372" s="221">
        <v>2.5768284643916193</v>
      </c>
      <c r="G1372" s="222" t="s">
        <v>2942</v>
      </c>
    </row>
    <row r="1373" spans="1:7">
      <c r="A1373" s="220" t="s">
        <v>604</v>
      </c>
      <c r="B1373" s="221">
        <v>0</v>
      </c>
      <c r="C1373" s="221">
        <v>785</v>
      </c>
      <c r="D1373" s="221">
        <v>25.25</v>
      </c>
      <c r="E1373" s="221">
        <v>68.050596749035535</v>
      </c>
      <c r="F1373" s="221">
        <v>2.5768284643916193</v>
      </c>
      <c r="G1373" s="222" t="s">
        <v>2942</v>
      </c>
    </row>
    <row r="1374" spans="1:7">
      <c r="A1374" s="220" t="s">
        <v>605</v>
      </c>
      <c r="B1374" s="221">
        <v>0</v>
      </c>
      <c r="C1374" s="221">
        <v>920</v>
      </c>
      <c r="D1374" s="221">
        <v>25.25</v>
      </c>
      <c r="E1374" s="221">
        <v>84.412596749035544</v>
      </c>
      <c r="F1374" s="221">
        <v>2.5768284643916193</v>
      </c>
      <c r="G1374" s="222" t="s">
        <v>2942</v>
      </c>
    </row>
    <row r="1375" spans="1:7">
      <c r="A1375" s="220" t="s">
        <v>606</v>
      </c>
      <c r="B1375" s="221">
        <v>0</v>
      </c>
      <c r="C1375" s="221">
        <v>1005</v>
      </c>
      <c r="D1375" s="221">
        <v>25.25</v>
      </c>
      <c r="E1375" s="221">
        <v>92.593596749035541</v>
      </c>
      <c r="F1375" s="221">
        <v>2.5768284643916193</v>
      </c>
      <c r="G1375" s="222" t="s">
        <v>2942</v>
      </c>
    </row>
    <row r="1376" spans="1:7">
      <c r="A1376" s="220" t="s">
        <v>607</v>
      </c>
      <c r="B1376" s="221">
        <v>0</v>
      </c>
      <c r="C1376" s="221">
        <v>1230</v>
      </c>
      <c r="D1376" s="221">
        <v>25.25</v>
      </c>
      <c r="E1376" s="221">
        <v>133.49859674903553</v>
      </c>
      <c r="F1376" s="221">
        <v>2.5768284643916193</v>
      </c>
      <c r="G1376" s="222" t="s">
        <v>2942</v>
      </c>
    </row>
    <row r="1377" spans="1:7">
      <c r="A1377" s="220" t="s">
        <v>608</v>
      </c>
      <c r="B1377" s="221">
        <v>0</v>
      </c>
      <c r="C1377" s="221">
        <v>1330</v>
      </c>
      <c r="D1377" s="221">
        <v>25.25</v>
      </c>
      <c r="E1377" s="221">
        <v>153.95109674903551</v>
      </c>
      <c r="F1377" s="221">
        <v>2.5768284643916193</v>
      </c>
      <c r="G1377" s="222" t="s">
        <v>2942</v>
      </c>
    </row>
    <row r="1378" spans="1:7">
      <c r="A1378" s="220" t="s">
        <v>609</v>
      </c>
      <c r="B1378" s="221">
        <v>0</v>
      </c>
      <c r="C1378" s="221">
        <v>1530</v>
      </c>
      <c r="D1378" s="221">
        <v>25.25</v>
      </c>
      <c r="E1378" s="221">
        <v>190.7655967490355</v>
      </c>
      <c r="F1378" s="221">
        <v>2.5768284643916193</v>
      </c>
      <c r="G1378" s="222" t="s">
        <v>2942</v>
      </c>
    </row>
    <row r="1379" spans="1:7">
      <c r="A1379" s="220" t="s">
        <v>610</v>
      </c>
      <c r="B1379" s="221">
        <v>0</v>
      </c>
      <c r="C1379" s="221">
        <v>1680</v>
      </c>
      <c r="D1379" s="221">
        <v>25.25</v>
      </c>
      <c r="E1379" s="221">
        <v>215.30859674903553</v>
      </c>
      <c r="F1379" s="221">
        <v>2.5768284643916193</v>
      </c>
      <c r="G1379" s="222" t="s">
        <v>2942</v>
      </c>
    </row>
    <row r="1380" spans="1:7">
      <c r="A1380" s="220" t="s">
        <v>611</v>
      </c>
      <c r="B1380" s="221">
        <v>0</v>
      </c>
      <c r="C1380" s="221">
        <v>1775</v>
      </c>
      <c r="D1380" s="221">
        <v>25.25</v>
      </c>
      <c r="E1380" s="221">
        <v>235.76109674903552</v>
      </c>
      <c r="F1380" s="221">
        <v>2.5768284643916193</v>
      </c>
      <c r="G1380" s="222" t="s">
        <v>2942</v>
      </c>
    </row>
    <row r="1381" spans="1:7">
      <c r="A1381" s="220" t="s">
        <v>612</v>
      </c>
      <c r="B1381" s="221">
        <v>0</v>
      </c>
      <c r="C1381" s="221">
        <v>95</v>
      </c>
      <c r="D1381" s="221">
        <v>25.25</v>
      </c>
      <c r="E1381" s="221">
        <v>20.249289643782479</v>
      </c>
      <c r="F1381" s="221">
        <v>1.4188016275074058</v>
      </c>
      <c r="G1381" s="222" t="s">
        <v>2942</v>
      </c>
    </row>
    <row r="1382" spans="1:7">
      <c r="A1382" s="220" t="s">
        <v>613</v>
      </c>
      <c r="B1382" s="221">
        <v>0</v>
      </c>
      <c r="C1382" s="221">
        <v>95</v>
      </c>
      <c r="D1382" s="221">
        <v>25.25</v>
      </c>
      <c r="E1382" s="221">
        <v>23.52168964378248</v>
      </c>
      <c r="F1382" s="221">
        <v>1.4188016275074058</v>
      </c>
      <c r="G1382" s="222" t="s">
        <v>2942</v>
      </c>
    </row>
    <row r="1383" spans="1:7">
      <c r="A1383" s="220" t="s">
        <v>614</v>
      </c>
      <c r="B1383" s="221">
        <v>0</v>
      </c>
      <c r="C1383" s="221">
        <v>100</v>
      </c>
      <c r="D1383" s="221">
        <v>25.25</v>
      </c>
      <c r="E1383" s="221">
        <v>37.429389643782478</v>
      </c>
      <c r="F1383" s="221">
        <v>1.4188016275074058</v>
      </c>
      <c r="G1383" s="222" t="s">
        <v>2942</v>
      </c>
    </row>
    <row r="1384" spans="1:7">
      <c r="A1384" s="220" t="s">
        <v>615</v>
      </c>
      <c r="B1384" s="221">
        <v>0</v>
      </c>
      <c r="C1384" s="221">
        <v>130</v>
      </c>
      <c r="D1384" s="221">
        <v>25.25</v>
      </c>
      <c r="E1384" s="221">
        <v>55.427589643782483</v>
      </c>
      <c r="F1384" s="221">
        <v>1.4188016275074058</v>
      </c>
      <c r="G1384" s="222" t="s">
        <v>2942</v>
      </c>
    </row>
    <row r="1385" spans="1:7">
      <c r="A1385" s="220" t="s">
        <v>616</v>
      </c>
      <c r="B1385" s="221">
        <v>0</v>
      </c>
      <c r="C1385" s="221">
        <v>130</v>
      </c>
      <c r="D1385" s="221">
        <v>25.25</v>
      </c>
      <c r="E1385" s="221">
        <v>60.336189643782483</v>
      </c>
      <c r="F1385" s="221">
        <v>1.4188016275074058</v>
      </c>
      <c r="G1385" s="222" t="s">
        <v>2942</v>
      </c>
    </row>
    <row r="1386" spans="1:7">
      <c r="A1386" s="220" t="s">
        <v>617</v>
      </c>
      <c r="B1386" s="221">
        <v>0</v>
      </c>
      <c r="C1386" s="221">
        <v>145</v>
      </c>
      <c r="D1386" s="221">
        <v>25.25</v>
      </c>
      <c r="E1386" s="221">
        <v>65.244789643782468</v>
      </c>
      <c r="F1386" s="221">
        <v>1.4188016275074058</v>
      </c>
      <c r="G1386" s="222" t="s">
        <v>2942</v>
      </c>
    </row>
    <row r="1387" spans="1:7">
      <c r="A1387" s="220" t="s">
        <v>618</v>
      </c>
      <c r="B1387" s="221">
        <v>0</v>
      </c>
      <c r="C1387" s="221">
        <v>155</v>
      </c>
      <c r="D1387" s="221">
        <v>25.25</v>
      </c>
      <c r="E1387" s="221">
        <v>69.335289643782488</v>
      </c>
      <c r="F1387" s="221">
        <v>1.4188016275074058</v>
      </c>
      <c r="G1387" s="222" t="s">
        <v>2942</v>
      </c>
    </row>
    <row r="1388" spans="1:7">
      <c r="A1388" s="220" t="s">
        <v>619</v>
      </c>
      <c r="B1388" s="221">
        <v>0</v>
      </c>
      <c r="C1388" s="221">
        <v>170</v>
      </c>
      <c r="D1388" s="221">
        <v>25.25</v>
      </c>
      <c r="E1388" s="221">
        <v>74.243889643782481</v>
      </c>
      <c r="F1388" s="221">
        <v>1.4188016275074058</v>
      </c>
      <c r="G1388" s="222" t="s">
        <v>2942</v>
      </c>
    </row>
    <row r="1389" spans="1:7">
      <c r="A1389" s="220" t="s">
        <v>620</v>
      </c>
      <c r="B1389" s="221">
        <v>0</v>
      </c>
      <c r="C1389" s="221">
        <v>210</v>
      </c>
      <c r="D1389" s="221">
        <v>25.25</v>
      </c>
      <c r="E1389" s="221">
        <v>99.604989643782488</v>
      </c>
      <c r="F1389" s="221">
        <v>1.4188016275074058</v>
      </c>
      <c r="G1389" s="222" t="s">
        <v>2942</v>
      </c>
    </row>
    <row r="1390" spans="1:7">
      <c r="A1390" s="220" t="s">
        <v>621</v>
      </c>
      <c r="B1390" s="221">
        <v>0</v>
      </c>
      <c r="C1390" s="221">
        <v>220</v>
      </c>
      <c r="D1390" s="221">
        <v>25.25</v>
      </c>
      <c r="E1390" s="221">
        <v>107.78598964378247</v>
      </c>
      <c r="F1390" s="221">
        <v>1.4188016275074058</v>
      </c>
      <c r="G1390" s="222" t="s">
        <v>2942</v>
      </c>
    </row>
    <row r="1391" spans="1:7">
      <c r="A1391" s="220" t="s">
        <v>622</v>
      </c>
      <c r="B1391" s="221">
        <v>0</v>
      </c>
      <c r="C1391" s="221">
        <v>260</v>
      </c>
      <c r="D1391" s="221">
        <v>25.25</v>
      </c>
      <c r="E1391" s="221">
        <v>132.32898964378248</v>
      </c>
      <c r="F1391" s="221">
        <v>1.4188016275074058</v>
      </c>
      <c r="G1391" s="222" t="s">
        <v>2942</v>
      </c>
    </row>
    <row r="1392" spans="1:7">
      <c r="A1392" s="220" t="s">
        <v>623</v>
      </c>
      <c r="B1392" s="221">
        <v>0</v>
      </c>
      <c r="C1392" s="221">
        <v>325</v>
      </c>
      <c r="D1392" s="221">
        <v>25.25</v>
      </c>
      <c r="E1392" s="221">
        <v>156.87198964378248</v>
      </c>
      <c r="F1392" s="221">
        <v>1.4188016275074058</v>
      </c>
      <c r="G1392" s="222" t="s">
        <v>2942</v>
      </c>
    </row>
    <row r="1393" spans="1:7">
      <c r="A1393" s="220" t="s">
        <v>624</v>
      </c>
      <c r="B1393" s="221">
        <v>0</v>
      </c>
      <c r="C1393" s="221">
        <v>375</v>
      </c>
      <c r="D1393" s="221">
        <v>25.25</v>
      </c>
      <c r="E1393" s="221">
        <v>185.50548964378248</v>
      </c>
      <c r="F1393" s="221">
        <v>1.4188016275074058</v>
      </c>
      <c r="G1393" s="222" t="s">
        <v>2942</v>
      </c>
    </row>
    <row r="1394" spans="1:7">
      <c r="A1394" s="220" t="s">
        <v>625</v>
      </c>
      <c r="B1394" s="221">
        <v>0</v>
      </c>
      <c r="C1394" s="221">
        <v>420</v>
      </c>
      <c r="D1394" s="221">
        <v>25.25</v>
      </c>
      <c r="E1394" s="221">
        <v>205.95798964378247</v>
      </c>
      <c r="F1394" s="221">
        <v>1.4188016275074058</v>
      </c>
      <c r="G1394" s="222" t="s">
        <v>2942</v>
      </c>
    </row>
    <row r="1395" spans="1:7">
      <c r="A1395" s="220" t="s">
        <v>626</v>
      </c>
      <c r="B1395" s="221">
        <v>0</v>
      </c>
      <c r="C1395" s="221">
        <v>445</v>
      </c>
      <c r="D1395" s="221">
        <v>25.25</v>
      </c>
      <c r="E1395" s="221">
        <v>246.86298964378247</v>
      </c>
      <c r="F1395" s="221">
        <v>1.4188016275074058</v>
      </c>
      <c r="G1395" s="222" t="s">
        <v>2942</v>
      </c>
    </row>
    <row r="1396" spans="1:7">
      <c r="A1396" s="220" t="s">
        <v>627</v>
      </c>
      <c r="B1396" s="221">
        <v>0</v>
      </c>
      <c r="C1396" s="221">
        <v>510</v>
      </c>
      <c r="D1396" s="221">
        <v>25.25</v>
      </c>
      <c r="E1396" s="221">
        <v>287.76798964378247</v>
      </c>
      <c r="F1396" s="221">
        <v>1.4188016275074058</v>
      </c>
      <c r="G1396" s="222" t="s">
        <v>2942</v>
      </c>
    </row>
    <row r="1397" spans="1:7">
      <c r="A1397" s="220" t="s">
        <v>628</v>
      </c>
      <c r="B1397" s="221">
        <v>0</v>
      </c>
      <c r="C1397" s="221">
        <v>610</v>
      </c>
      <c r="D1397" s="221">
        <v>25.25</v>
      </c>
      <c r="E1397" s="221">
        <v>349.12548964378243</v>
      </c>
      <c r="F1397" s="221">
        <v>1.4188016275074058</v>
      </c>
      <c r="G1397" s="222" t="s">
        <v>2942</v>
      </c>
    </row>
    <row r="1398" spans="1:7">
      <c r="A1398" s="220" t="s">
        <v>629</v>
      </c>
      <c r="B1398" s="221">
        <v>0</v>
      </c>
      <c r="C1398" s="221">
        <v>695</v>
      </c>
      <c r="D1398" s="221">
        <v>25.25</v>
      </c>
      <c r="E1398" s="221">
        <v>390.03048964378246</v>
      </c>
      <c r="F1398" s="221">
        <v>1.4188016275074058</v>
      </c>
      <c r="G1398" s="222" t="s">
        <v>2942</v>
      </c>
    </row>
    <row r="1399" spans="1:7">
      <c r="A1399" s="220" t="s">
        <v>630</v>
      </c>
      <c r="B1399" s="221">
        <v>0</v>
      </c>
      <c r="C1399" s="221">
        <v>755</v>
      </c>
      <c r="D1399" s="221">
        <v>25.25</v>
      </c>
      <c r="E1399" s="221">
        <v>430.93548964378243</v>
      </c>
      <c r="F1399" s="221">
        <v>1.4188016275074058</v>
      </c>
      <c r="G1399" s="222" t="s">
        <v>2942</v>
      </c>
    </row>
    <row r="1400" spans="1:7">
      <c r="A1400" s="220" t="s">
        <v>631</v>
      </c>
      <c r="B1400" s="221">
        <v>0</v>
      </c>
      <c r="C1400" s="221">
        <v>140</v>
      </c>
      <c r="D1400" s="221">
        <v>25.25</v>
      </c>
      <c r="E1400" s="221">
        <v>20.249289643782479</v>
      </c>
      <c r="F1400" s="221">
        <v>1.4188016275074058</v>
      </c>
      <c r="G1400" s="222" t="s">
        <v>2942</v>
      </c>
    </row>
    <row r="1401" spans="1:7">
      <c r="A1401" s="220" t="s">
        <v>632</v>
      </c>
      <c r="B1401" s="221">
        <v>0</v>
      </c>
      <c r="C1401" s="221">
        <v>140</v>
      </c>
      <c r="D1401" s="221">
        <v>25.25</v>
      </c>
      <c r="E1401" s="221">
        <v>23.52168964378248</v>
      </c>
      <c r="F1401" s="221">
        <v>1.4188016275074058</v>
      </c>
      <c r="G1401" s="222" t="s">
        <v>2942</v>
      </c>
    </row>
    <row r="1402" spans="1:7">
      <c r="A1402" s="220" t="s">
        <v>633</v>
      </c>
      <c r="B1402" s="221">
        <v>0</v>
      </c>
      <c r="C1402" s="221">
        <v>170</v>
      </c>
      <c r="D1402" s="221">
        <v>25.25</v>
      </c>
      <c r="E1402" s="221">
        <v>37.429389643782478</v>
      </c>
      <c r="F1402" s="221">
        <v>1.4188016275074058</v>
      </c>
      <c r="G1402" s="222" t="s">
        <v>2942</v>
      </c>
    </row>
    <row r="1403" spans="1:7">
      <c r="A1403" s="220" t="s">
        <v>634</v>
      </c>
      <c r="B1403" s="221">
        <v>0</v>
      </c>
      <c r="C1403" s="221">
        <v>250</v>
      </c>
      <c r="D1403" s="221">
        <v>25.25</v>
      </c>
      <c r="E1403" s="221">
        <v>55.427589643782483</v>
      </c>
      <c r="F1403" s="221">
        <v>1.4188016275074058</v>
      </c>
      <c r="G1403" s="222" t="s">
        <v>2942</v>
      </c>
    </row>
    <row r="1404" spans="1:7">
      <c r="A1404" s="220" t="s">
        <v>635</v>
      </c>
      <c r="B1404" s="221">
        <v>0</v>
      </c>
      <c r="C1404" s="221">
        <v>250</v>
      </c>
      <c r="D1404" s="221">
        <v>25.25</v>
      </c>
      <c r="E1404" s="221">
        <v>60.336189643782483</v>
      </c>
      <c r="F1404" s="221">
        <v>1.4188016275074058</v>
      </c>
      <c r="G1404" s="222" t="s">
        <v>2942</v>
      </c>
    </row>
    <row r="1405" spans="1:7">
      <c r="A1405" s="220" t="s">
        <v>636</v>
      </c>
      <c r="B1405" s="221">
        <v>0</v>
      </c>
      <c r="C1405" s="221">
        <v>345</v>
      </c>
      <c r="D1405" s="221">
        <v>25.25</v>
      </c>
      <c r="E1405" s="221">
        <v>65.244789643782468</v>
      </c>
      <c r="F1405" s="221">
        <v>1.4188016275074058</v>
      </c>
      <c r="G1405" s="222" t="s">
        <v>2942</v>
      </c>
    </row>
    <row r="1406" spans="1:7">
      <c r="A1406" s="220" t="s">
        <v>637</v>
      </c>
      <c r="B1406" s="221">
        <v>0</v>
      </c>
      <c r="C1406" s="221">
        <v>405</v>
      </c>
      <c r="D1406" s="221">
        <v>25.25</v>
      </c>
      <c r="E1406" s="221">
        <v>69.335289643782488</v>
      </c>
      <c r="F1406" s="221">
        <v>1.4188016275074058</v>
      </c>
      <c r="G1406" s="222" t="s">
        <v>2942</v>
      </c>
    </row>
    <row r="1407" spans="1:7">
      <c r="A1407" s="220" t="s">
        <v>638</v>
      </c>
      <c r="B1407" s="221">
        <v>0</v>
      </c>
      <c r="C1407" s="221">
        <v>440</v>
      </c>
      <c r="D1407" s="221">
        <v>25.25</v>
      </c>
      <c r="E1407" s="221">
        <v>74.243889643782481</v>
      </c>
      <c r="F1407" s="221">
        <v>1.4188016275074058</v>
      </c>
      <c r="G1407" s="222" t="s">
        <v>2942</v>
      </c>
    </row>
    <row r="1408" spans="1:7">
      <c r="A1408" s="220" t="s">
        <v>639</v>
      </c>
      <c r="B1408" s="221">
        <v>0</v>
      </c>
      <c r="C1408" s="221">
        <v>475</v>
      </c>
      <c r="D1408" s="221">
        <v>25.25</v>
      </c>
      <c r="E1408" s="221">
        <v>99.604989643782488</v>
      </c>
      <c r="F1408" s="221">
        <v>1.4188016275074058</v>
      </c>
      <c r="G1408" s="222" t="s">
        <v>2942</v>
      </c>
    </row>
    <row r="1409" spans="1:7">
      <c r="A1409" s="220" t="s">
        <v>640</v>
      </c>
      <c r="B1409" s="221">
        <v>0</v>
      </c>
      <c r="C1409" s="221">
        <v>535</v>
      </c>
      <c r="D1409" s="221">
        <v>25.25</v>
      </c>
      <c r="E1409" s="221">
        <v>107.78598964378247</v>
      </c>
      <c r="F1409" s="221">
        <v>1.4188016275074058</v>
      </c>
      <c r="G1409" s="222" t="s">
        <v>2942</v>
      </c>
    </row>
    <row r="1410" spans="1:7">
      <c r="A1410" s="220" t="s">
        <v>641</v>
      </c>
      <c r="B1410" s="221">
        <v>0</v>
      </c>
      <c r="C1410" s="221">
        <v>610</v>
      </c>
      <c r="D1410" s="221">
        <v>25.25</v>
      </c>
      <c r="E1410" s="221">
        <v>132.32898964378248</v>
      </c>
      <c r="F1410" s="221">
        <v>1.4188016275074058</v>
      </c>
      <c r="G1410" s="222" t="s">
        <v>2942</v>
      </c>
    </row>
    <row r="1411" spans="1:7">
      <c r="A1411" s="220" t="s">
        <v>642</v>
      </c>
      <c r="B1411" s="221">
        <v>0</v>
      </c>
      <c r="C1411" s="221">
        <v>780</v>
      </c>
      <c r="D1411" s="221">
        <v>25.25</v>
      </c>
      <c r="E1411" s="221">
        <v>156.87198964378248</v>
      </c>
      <c r="F1411" s="221">
        <v>1.4188016275074058</v>
      </c>
      <c r="G1411" s="222" t="s">
        <v>2942</v>
      </c>
    </row>
    <row r="1412" spans="1:7">
      <c r="A1412" s="220" t="s">
        <v>643</v>
      </c>
      <c r="B1412" s="221">
        <v>0</v>
      </c>
      <c r="C1412" s="221">
        <v>820</v>
      </c>
      <c r="D1412" s="221">
        <v>25.25</v>
      </c>
      <c r="E1412" s="221">
        <v>185.50548964378248</v>
      </c>
      <c r="F1412" s="221">
        <v>1.4188016275074058</v>
      </c>
      <c r="G1412" s="222" t="s">
        <v>2942</v>
      </c>
    </row>
    <row r="1413" spans="1:7">
      <c r="A1413" s="220" t="s">
        <v>644</v>
      </c>
      <c r="B1413" s="221">
        <v>0</v>
      </c>
      <c r="C1413" s="221">
        <v>845</v>
      </c>
      <c r="D1413" s="221">
        <v>25.25</v>
      </c>
      <c r="E1413" s="221">
        <v>205.95798964378247</v>
      </c>
      <c r="F1413" s="221">
        <v>1.4188016275074058</v>
      </c>
      <c r="G1413" s="222" t="s">
        <v>2942</v>
      </c>
    </row>
    <row r="1414" spans="1:7">
      <c r="A1414" s="220" t="s">
        <v>645</v>
      </c>
      <c r="B1414" s="221">
        <v>0</v>
      </c>
      <c r="C1414" s="221">
        <v>1040</v>
      </c>
      <c r="D1414" s="221">
        <v>25.25</v>
      </c>
      <c r="E1414" s="221">
        <v>246.86298964378247</v>
      </c>
      <c r="F1414" s="221">
        <v>1.4188016275074058</v>
      </c>
      <c r="G1414" s="222" t="s">
        <v>2942</v>
      </c>
    </row>
    <row r="1415" spans="1:7">
      <c r="A1415" s="220" t="s">
        <v>646</v>
      </c>
      <c r="B1415" s="221">
        <v>0</v>
      </c>
      <c r="C1415" s="221">
        <v>1165</v>
      </c>
      <c r="D1415" s="221">
        <v>25.25</v>
      </c>
      <c r="E1415" s="221">
        <v>287.76798964378247</v>
      </c>
      <c r="F1415" s="221">
        <v>1.4188016275074058</v>
      </c>
      <c r="G1415" s="222" t="s">
        <v>2942</v>
      </c>
    </row>
    <row r="1416" spans="1:7">
      <c r="A1416" s="220" t="s">
        <v>647</v>
      </c>
      <c r="B1416" s="221">
        <v>0</v>
      </c>
      <c r="C1416" s="221">
        <v>1250</v>
      </c>
      <c r="D1416" s="221">
        <v>25.25</v>
      </c>
      <c r="E1416" s="221">
        <v>349.12548964378243</v>
      </c>
      <c r="F1416" s="221">
        <v>1.4188016275074058</v>
      </c>
      <c r="G1416" s="222" t="s">
        <v>2942</v>
      </c>
    </row>
    <row r="1417" spans="1:7">
      <c r="A1417" s="220" t="s">
        <v>648</v>
      </c>
      <c r="B1417" s="221">
        <v>0</v>
      </c>
      <c r="C1417" s="221">
        <v>1360</v>
      </c>
      <c r="D1417" s="221">
        <v>25.25</v>
      </c>
      <c r="E1417" s="221">
        <v>390.03048964378246</v>
      </c>
      <c r="F1417" s="221">
        <v>1.4188016275074058</v>
      </c>
      <c r="G1417" s="222" t="s">
        <v>2942</v>
      </c>
    </row>
    <row r="1418" spans="1:7">
      <c r="A1418" s="220" t="s">
        <v>649</v>
      </c>
      <c r="B1418" s="221">
        <v>0</v>
      </c>
      <c r="C1418" s="221">
        <v>1405</v>
      </c>
      <c r="D1418" s="221">
        <v>25.25</v>
      </c>
      <c r="E1418" s="221">
        <v>430.93548964378243</v>
      </c>
      <c r="F1418" s="221">
        <v>1.4188016275074058</v>
      </c>
      <c r="G1418" s="222" t="s">
        <v>2942</v>
      </c>
    </row>
    <row r="1419" spans="1:7">
      <c r="A1419" s="220" t="s">
        <v>650</v>
      </c>
      <c r="B1419" s="221">
        <v>0</v>
      </c>
      <c r="C1419" s="221">
        <v>179</v>
      </c>
      <c r="D1419" s="221">
        <v>25.25</v>
      </c>
      <c r="E1419" s="221">
        <v>21.418896749035536</v>
      </c>
      <c r="F1419" s="221">
        <v>2.5768284643916193</v>
      </c>
      <c r="G1419" s="222" t="s">
        <v>2942</v>
      </c>
    </row>
    <row r="1420" spans="1:7">
      <c r="A1420" s="220" t="s">
        <v>651</v>
      </c>
      <c r="B1420" s="221">
        <v>0</v>
      </c>
      <c r="C1420" s="221">
        <v>179</v>
      </c>
      <c r="D1420" s="221">
        <v>25.25</v>
      </c>
      <c r="E1420" s="221">
        <v>24.691296749035537</v>
      </c>
      <c r="F1420" s="221">
        <v>2.5768284643916193</v>
      </c>
      <c r="G1420" s="222" t="s">
        <v>2942</v>
      </c>
    </row>
    <row r="1421" spans="1:7">
      <c r="A1421" s="220" t="s">
        <v>652</v>
      </c>
      <c r="B1421" s="221">
        <v>0</v>
      </c>
      <c r="C1421" s="221">
        <v>189</v>
      </c>
      <c r="D1421" s="221">
        <v>25.25</v>
      </c>
      <c r="E1421" s="221">
        <v>38.598996749035535</v>
      </c>
      <c r="F1421" s="221">
        <v>2.5768284643916193</v>
      </c>
      <c r="G1421" s="222" t="s">
        <v>2942</v>
      </c>
    </row>
    <row r="1422" spans="1:7">
      <c r="A1422" s="220" t="s">
        <v>653</v>
      </c>
      <c r="B1422" s="221">
        <v>0</v>
      </c>
      <c r="C1422" s="221">
        <v>385</v>
      </c>
      <c r="D1422" s="221">
        <v>25.25</v>
      </c>
      <c r="E1422" s="221">
        <v>56.597196749035533</v>
      </c>
      <c r="F1422" s="221">
        <v>2.5768284643916193</v>
      </c>
      <c r="G1422" s="222" t="s">
        <v>2942</v>
      </c>
    </row>
    <row r="1423" spans="1:7">
      <c r="A1423" s="220" t="s">
        <v>654</v>
      </c>
      <c r="B1423" s="221">
        <v>0</v>
      </c>
      <c r="C1423" s="221">
        <v>385</v>
      </c>
      <c r="D1423" s="221">
        <v>25.25</v>
      </c>
      <c r="E1423" s="221">
        <v>61.505796749035532</v>
      </c>
      <c r="F1423" s="221">
        <v>2.5768284643916193</v>
      </c>
      <c r="G1423" s="222" t="s">
        <v>2942</v>
      </c>
    </row>
    <row r="1424" spans="1:7">
      <c r="A1424" s="220" t="s">
        <v>655</v>
      </c>
      <c r="B1424" s="221">
        <v>0</v>
      </c>
      <c r="C1424" s="221">
        <v>545</v>
      </c>
      <c r="D1424" s="221">
        <v>25.25</v>
      </c>
      <c r="E1424" s="221">
        <v>66.414396749035532</v>
      </c>
      <c r="F1424" s="221">
        <v>2.5768284643916193</v>
      </c>
      <c r="G1424" s="222" t="s">
        <v>2942</v>
      </c>
    </row>
    <row r="1425" spans="1:7">
      <c r="A1425" s="220" t="s">
        <v>656</v>
      </c>
      <c r="B1425" s="221">
        <v>0</v>
      </c>
      <c r="C1425" s="221">
        <v>655</v>
      </c>
      <c r="D1425" s="221">
        <v>25.25</v>
      </c>
      <c r="E1425" s="221">
        <v>70.504896749035538</v>
      </c>
      <c r="F1425" s="221">
        <v>2.5768284643916193</v>
      </c>
      <c r="G1425" s="222" t="s">
        <v>2942</v>
      </c>
    </row>
    <row r="1426" spans="1:7">
      <c r="A1426" s="220" t="s">
        <v>657</v>
      </c>
      <c r="B1426" s="221">
        <v>0</v>
      </c>
      <c r="C1426" s="221">
        <v>715</v>
      </c>
      <c r="D1426" s="221">
        <v>25.25</v>
      </c>
      <c r="E1426" s="221">
        <v>75.413496749035545</v>
      </c>
      <c r="F1426" s="221">
        <v>2.5768284643916193</v>
      </c>
      <c r="G1426" s="222" t="s">
        <v>2942</v>
      </c>
    </row>
    <row r="1427" spans="1:7">
      <c r="A1427" s="220" t="s">
        <v>658</v>
      </c>
      <c r="B1427" s="221">
        <v>0</v>
      </c>
      <c r="C1427" s="221">
        <v>790</v>
      </c>
      <c r="D1427" s="221">
        <v>25.25</v>
      </c>
      <c r="E1427" s="221">
        <v>100.77459674903554</v>
      </c>
      <c r="F1427" s="221">
        <v>2.5768284643916193</v>
      </c>
      <c r="G1427" s="222" t="s">
        <v>2942</v>
      </c>
    </row>
    <row r="1428" spans="1:7">
      <c r="A1428" s="220" t="s">
        <v>659</v>
      </c>
      <c r="B1428" s="221">
        <v>0</v>
      </c>
      <c r="C1428" s="221">
        <v>865</v>
      </c>
      <c r="D1428" s="221">
        <v>25.25</v>
      </c>
      <c r="E1428" s="221">
        <v>108.95559674903554</v>
      </c>
      <c r="F1428" s="221">
        <v>2.5768284643916193</v>
      </c>
      <c r="G1428" s="222" t="s">
        <v>2942</v>
      </c>
    </row>
    <row r="1429" spans="1:7">
      <c r="A1429" s="220" t="s">
        <v>660</v>
      </c>
      <c r="B1429" s="221">
        <v>0</v>
      </c>
      <c r="C1429" s="221">
        <v>970</v>
      </c>
      <c r="D1429" s="221">
        <v>25.25</v>
      </c>
      <c r="E1429" s="221">
        <v>133.49859674903553</v>
      </c>
      <c r="F1429" s="221">
        <v>2.5768284643916193</v>
      </c>
      <c r="G1429" s="222" t="s">
        <v>2942</v>
      </c>
    </row>
    <row r="1430" spans="1:7">
      <c r="A1430" s="220" t="s">
        <v>661</v>
      </c>
      <c r="B1430" s="221">
        <v>0</v>
      </c>
      <c r="C1430" s="221">
        <v>1155</v>
      </c>
      <c r="D1430" s="221">
        <v>25.25</v>
      </c>
      <c r="E1430" s="221">
        <v>158.04159674903553</v>
      </c>
      <c r="F1430" s="221">
        <v>2.5768284643916193</v>
      </c>
      <c r="G1430" s="222" t="s">
        <v>2942</v>
      </c>
    </row>
    <row r="1431" spans="1:7">
      <c r="A1431" s="220" t="s">
        <v>662</v>
      </c>
      <c r="B1431" s="221">
        <v>0</v>
      </c>
      <c r="C1431" s="221">
        <v>1230</v>
      </c>
      <c r="D1431" s="221">
        <v>25.25</v>
      </c>
      <c r="E1431" s="221">
        <v>186.67509674903553</v>
      </c>
      <c r="F1431" s="221">
        <v>2.5768284643916193</v>
      </c>
      <c r="G1431" s="222" t="s">
        <v>2942</v>
      </c>
    </row>
    <row r="1432" spans="1:7">
      <c r="A1432" s="220" t="s">
        <v>663</v>
      </c>
      <c r="B1432" s="221">
        <v>0</v>
      </c>
      <c r="C1432" s="221">
        <v>1280</v>
      </c>
      <c r="D1432" s="221">
        <v>25.25</v>
      </c>
      <c r="E1432" s="221">
        <v>207.12759674903552</v>
      </c>
      <c r="F1432" s="221">
        <v>2.5768284643916193</v>
      </c>
      <c r="G1432" s="222" t="s">
        <v>2942</v>
      </c>
    </row>
    <row r="1433" spans="1:7">
      <c r="A1433" s="220" t="s">
        <v>664</v>
      </c>
      <c r="B1433" s="221">
        <v>0</v>
      </c>
      <c r="C1433" s="221">
        <v>1560</v>
      </c>
      <c r="D1433" s="221">
        <v>25.25</v>
      </c>
      <c r="E1433" s="221">
        <v>248.03259674903552</v>
      </c>
      <c r="F1433" s="221">
        <v>2.5768284643916193</v>
      </c>
      <c r="G1433" s="222" t="s">
        <v>2942</v>
      </c>
    </row>
    <row r="1434" spans="1:7">
      <c r="A1434" s="220" t="s">
        <v>665</v>
      </c>
      <c r="B1434" s="221">
        <v>0</v>
      </c>
      <c r="C1434" s="221">
        <v>1640</v>
      </c>
      <c r="D1434" s="221">
        <v>25.25</v>
      </c>
      <c r="E1434" s="221">
        <v>288.93759674903555</v>
      </c>
      <c r="F1434" s="221">
        <v>2.5768284643916193</v>
      </c>
      <c r="G1434" s="222" t="s">
        <v>2942</v>
      </c>
    </row>
    <row r="1435" spans="1:7">
      <c r="A1435" s="220" t="s">
        <v>666</v>
      </c>
      <c r="B1435" s="221">
        <v>0</v>
      </c>
      <c r="C1435" s="221">
        <v>1880</v>
      </c>
      <c r="D1435" s="221">
        <v>25.25</v>
      </c>
      <c r="E1435" s="221">
        <v>350.29509674903551</v>
      </c>
      <c r="F1435" s="221">
        <v>2.5768284643916193</v>
      </c>
      <c r="G1435" s="222" t="s">
        <v>2942</v>
      </c>
    </row>
    <row r="1436" spans="1:7">
      <c r="A1436" s="220" t="s">
        <v>667</v>
      </c>
      <c r="B1436" s="221">
        <v>0</v>
      </c>
      <c r="C1436" s="221">
        <v>2025</v>
      </c>
      <c r="D1436" s="221">
        <v>25.25</v>
      </c>
      <c r="E1436" s="221">
        <v>391.20009674903554</v>
      </c>
      <c r="F1436" s="221">
        <v>2.5768284643916193</v>
      </c>
      <c r="G1436" s="222" t="s">
        <v>2942</v>
      </c>
    </row>
    <row r="1437" spans="1:7">
      <c r="A1437" s="220" t="s">
        <v>668</v>
      </c>
      <c r="B1437" s="221">
        <v>0</v>
      </c>
      <c r="C1437" s="221">
        <v>2145</v>
      </c>
      <c r="D1437" s="221">
        <v>25.25</v>
      </c>
      <c r="E1437" s="221">
        <v>432.10509674903551</v>
      </c>
      <c r="F1437" s="221">
        <v>2.5768284643916193</v>
      </c>
      <c r="G1437" s="222" t="s">
        <v>2942</v>
      </c>
    </row>
    <row r="1438" spans="1:7">
      <c r="A1438" s="220" t="s">
        <v>897</v>
      </c>
      <c r="B1438" s="221">
        <v>0</v>
      </c>
      <c r="C1438" s="221">
        <v>70</v>
      </c>
      <c r="D1438" s="221">
        <v>25.25</v>
      </c>
      <c r="E1438" s="221">
        <v>25.157889643782482</v>
      </c>
      <c r="F1438" s="221">
        <v>1.4188016275074058</v>
      </c>
      <c r="G1438" s="222" t="s">
        <v>2942</v>
      </c>
    </row>
    <row r="1439" spans="1:7">
      <c r="A1439" s="220" t="s">
        <v>898</v>
      </c>
      <c r="B1439" s="221">
        <v>0</v>
      </c>
      <c r="C1439" s="221">
        <v>70</v>
      </c>
      <c r="D1439" s="221">
        <v>25.25</v>
      </c>
      <c r="E1439" s="221">
        <v>28.430289643782476</v>
      </c>
      <c r="F1439" s="221">
        <v>1.4188016275074058</v>
      </c>
      <c r="G1439" s="222" t="s">
        <v>2942</v>
      </c>
    </row>
    <row r="1440" spans="1:7">
      <c r="A1440" s="220" t="s">
        <v>899</v>
      </c>
      <c r="B1440" s="221">
        <v>0</v>
      </c>
      <c r="C1440" s="221">
        <v>80</v>
      </c>
      <c r="D1440" s="221">
        <v>25.25</v>
      </c>
      <c r="E1440" s="221">
        <v>32.520789643782479</v>
      </c>
      <c r="F1440" s="221">
        <v>1.4188016275074058</v>
      </c>
      <c r="G1440" s="222" t="s">
        <v>2942</v>
      </c>
    </row>
    <row r="1441" spans="1:7">
      <c r="A1441" s="220" t="s">
        <v>900</v>
      </c>
      <c r="B1441" s="221">
        <v>0</v>
      </c>
      <c r="C1441" s="221">
        <v>90</v>
      </c>
      <c r="D1441" s="221">
        <v>25.25</v>
      </c>
      <c r="E1441" s="221">
        <v>32.520789643782479</v>
      </c>
      <c r="F1441" s="221">
        <v>1.4188016275074058</v>
      </c>
      <c r="G1441" s="222" t="s">
        <v>2942</v>
      </c>
    </row>
    <row r="1442" spans="1:7">
      <c r="A1442" s="220" t="s">
        <v>901</v>
      </c>
      <c r="B1442" s="221">
        <v>0</v>
      </c>
      <c r="C1442" s="221">
        <v>90</v>
      </c>
      <c r="D1442" s="221">
        <v>25.25</v>
      </c>
      <c r="E1442" s="221">
        <v>32.520789643782479</v>
      </c>
      <c r="F1442" s="221">
        <v>1.4188016275074058</v>
      </c>
      <c r="G1442" s="222" t="s">
        <v>2942</v>
      </c>
    </row>
    <row r="1443" spans="1:7">
      <c r="A1443" s="220" t="s">
        <v>902</v>
      </c>
      <c r="B1443" s="221">
        <v>0</v>
      </c>
      <c r="C1443" s="221">
        <v>95</v>
      </c>
      <c r="D1443" s="221">
        <v>25.25</v>
      </c>
      <c r="E1443" s="221">
        <v>32.520789643782479</v>
      </c>
      <c r="F1443" s="221">
        <v>1.4188016275074058</v>
      </c>
      <c r="G1443" s="222" t="s">
        <v>2942</v>
      </c>
    </row>
    <row r="1444" spans="1:7">
      <c r="A1444" s="220" t="s">
        <v>903</v>
      </c>
      <c r="B1444" s="221">
        <v>0</v>
      </c>
      <c r="C1444" s="221">
        <v>100</v>
      </c>
      <c r="D1444" s="221">
        <v>25.25</v>
      </c>
      <c r="E1444" s="221">
        <v>32.520789643782479</v>
      </c>
      <c r="F1444" s="221">
        <v>1.4188016275074058</v>
      </c>
      <c r="G1444" s="222" t="s">
        <v>2942</v>
      </c>
    </row>
    <row r="1445" spans="1:7">
      <c r="A1445" s="220" t="s">
        <v>904</v>
      </c>
      <c r="B1445" s="221">
        <v>0</v>
      </c>
      <c r="C1445" s="221">
        <v>115</v>
      </c>
      <c r="D1445" s="221">
        <v>25.25</v>
      </c>
      <c r="E1445" s="221">
        <v>32.520789643782479</v>
      </c>
      <c r="F1445" s="221">
        <v>1.4188016275074058</v>
      </c>
      <c r="G1445" s="222" t="s">
        <v>2942</v>
      </c>
    </row>
    <row r="1446" spans="1:7">
      <c r="A1446" s="220" t="s">
        <v>905</v>
      </c>
      <c r="B1446" s="221">
        <v>0</v>
      </c>
      <c r="C1446" s="221">
        <v>120</v>
      </c>
      <c r="D1446" s="221">
        <v>25.25</v>
      </c>
      <c r="E1446" s="221">
        <v>37.429389643782478</v>
      </c>
      <c r="F1446" s="221">
        <v>1.4188016275074058</v>
      </c>
      <c r="G1446" s="222" t="s">
        <v>2942</v>
      </c>
    </row>
    <row r="1447" spans="1:7">
      <c r="A1447" s="220" t="s">
        <v>906</v>
      </c>
      <c r="B1447" s="221">
        <v>0</v>
      </c>
      <c r="C1447" s="221">
        <v>130</v>
      </c>
      <c r="D1447" s="221">
        <v>25.25</v>
      </c>
      <c r="E1447" s="221">
        <v>46.428489643782484</v>
      </c>
      <c r="F1447" s="221">
        <v>1.4188016275074058</v>
      </c>
      <c r="G1447" s="222" t="s">
        <v>2942</v>
      </c>
    </row>
    <row r="1448" spans="1:7">
      <c r="A1448" s="220" t="s">
        <v>907</v>
      </c>
      <c r="B1448" s="221">
        <v>0</v>
      </c>
      <c r="C1448" s="221">
        <v>145</v>
      </c>
      <c r="D1448" s="221">
        <v>25.25</v>
      </c>
      <c r="E1448" s="221">
        <v>50.518989643782483</v>
      </c>
      <c r="F1448" s="221">
        <v>1.4188016275074058</v>
      </c>
      <c r="G1448" s="222" t="s">
        <v>2942</v>
      </c>
    </row>
    <row r="1449" spans="1:7">
      <c r="A1449" s="220" t="s">
        <v>908</v>
      </c>
      <c r="B1449" s="221">
        <v>0</v>
      </c>
      <c r="C1449" s="221">
        <v>175</v>
      </c>
      <c r="D1449" s="221">
        <v>25.25</v>
      </c>
      <c r="E1449" s="221">
        <v>66.88098964378247</v>
      </c>
      <c r="F1449" s="221">
        <v>1.4188016275074058</v>
      </c>
      <c r="G1449" s="222" t="s">
        <v>2942</v>
      </c>
    </row>
    <row r="1450" spans="1:7">
      <c r="A1450" s="220" t="s">
        <v>909</v>
      </c>
      <c r="B1450" s="221">
        <v>0</v>
      </c>
      <c r="C1450" s="221">
        <v>210</v>
      </c>
      <c r="D1450" s="221">
        <v>25.25</v>
      </c>
      <c r="E1450" s="221">
        <v>83.242989643782479</v>
      </c>
      <c r="F1450" s="221">
        <v>1.4188016275074058</v>
      </c>
      <c r="G1450" s="222" t="s">
        <v>2942</v>
      </c>
    </row>
    <row r="1451" spans="1:7">
      <c r="A1451" s="220" t="s">
        <v>910</v>
      </c>
      <c r="B1451" s="221">
        <v>0</v>
      </c>
      <c r="C1451" s="221">
        <v>230</v>
      </c>
      <c r="D1451" s="221">
        <v>25.25</v>
      </c>
      <c r="E1451" s="221">
        <v>91.423989643782477</v>
      </c>
      <c r="F1451" s="221">
        <v>1.4188016275074058</v>
      </c>
      <c r="G1451" s="222" t="s">
        <v>2942</v>
      </c>
    </row>
    <row r="1452" spans="1:7">
      <c r="A1452" s="220" t="s">
        <v>911</v>
      </c>
      <c r="B1452" s="221">
        <v>0</v>
      </c>
      <c r="C1452" s="221">
        <v>285</v>
      </c>
      <c r="D1452" s="221">
        <v>25.25</v>
      </c>
      <c r="E1452" s="221">
        <v>132.32898964378248</v>
      </c>
      <c r="F1452" s="221">
        <v>1.4188016275074058</v>
      </c>
      <c r="G1452" s="222" t="s">
        <v>2942</v>
      </c>
    </row>
    <row r="1453" spans="1:7">
      <c r="A1453" s="220" t="s">
        <v>912</v>
      </c>
      <c r="B1453" s="221">
        <v>0</v>
      </c>
      <c r="C1453" s="221">
        <v>300</v>
      </c>
      <c r="D1453" s="221">
        <v>25.25</v>
      </c>
      <c r="E1453" s="221">
        <v>152.78148964378246</v>
      </c>
      <c r="F1453" s="221">
        <v>1.4188016275074058</v>
      </c>
      <c r="G1453" s="222" t="s">
        <v>2942</v>
      </c>
    </row>
    <row r="1454" spans="1:7">
      <c r="A1454" s="220" t="s">
        <v>913</v>
      </c>
      <c r="B1454" s="221">
        <v>0</v>
      </c>
      <c r="C1454" s="221">
        <v>350</v>
      </c>
      <c r="D1454" s="221">
        <v>25.25</v>
      </c>
      <c r="E1454" s="221">
        <v>189.59598964378247</v>
      </c>
      <c r="F1454" s="221">
        <v>1.4188016275074058</v>
      </c>
      <c r="G1454" s="222" t="s">
        <v>2942</v>
      </c>
    </row>
    <row r="1455" spans="1:7">
      <c r="A1455" s="220" t="s">
        <v>914</v>
      </c>
      <c r="B1455" s="221">
        <v>0</v>
      </c>
      <c r="C1455" s="221">
        <v>405</v>
      </c>
      <c r="D1455" s="221">
        <v>25.25</v>
      </c>
      <c r="E1455" s="221">
        <v>214.13898964378248</v>
      </c>
      <c r="F1455" s="221">
        <v>1.4188016275074058</v>
      </c>
      <c r="G1455" s="222" t="s">
        <v>2942</v>
      </c>
    </row>
    <row r="1456" spans="1:7">
      <c r="A1456" s="220" t="s">
        <v>915</v>
      </c>
      <c r="B1456" s="221">
        <v>0</v>
      </c>
      <c r="C1456" s="221">
        <v>450</v>
      </c>
      <c r="D1456" s="221">
        <v>25.25</v>
      </c>
      <c r="E1456" s="221">
        <v>234.59148964378247</v>
      </c>
      <c r="F1456" s="221">
        <v>1.4188016275074058</v>
      </c>
      <c r="G1456" s="222" t="s">
        <v>2942</v>
      </c>
    </row>
    <row r="1457" spans="1:7">
      <c r="A1457" s="220" t="s">
        <v>916</v>
      </c>
      <c r="B1457" s="221">
        <v>0</v>
      </c>
      <c r="C1457" s="221">
        <v>75</v>
      </c>
      <c r="D1457" s="221">
        <v>25.25</v>
      </c>
      <c r="E1457" s="221">
        <v>25.157889643782482</v>
      </c>
      <c r="F1457" s="221">
        <v>1.4188016275074058</v>
      </c>
      <c r="G1457" s="222" t="s">
        <v>2942</v>
      </c>
    </row>
    <row r="1458" spans="1:7">
      <c r="A1458" s="220" t="s">
        <v>917</v>
      </c>
      <c r="B1458" s="221">
        <v>0</v>
      </c>
      <c r="C1458" s="221">
        <v>75</v>
      </c>
      <c r="D1458" s="221">
        <v>25.25</v>
      </c>
      <c r="E1458" s="221">
        <v>28.430289643782476</v>
      </c>
      <c r="F1458" s="221">
        <v>1.4188016275074058</v>
      </c>
      <c r="G1458" s="222" t="s">
        <v>2942</v>
      </c>
    </row>
    <row r="1459" spans="1:7">
      <c r="A1459" s="220" t="s">
        <v>918</v>
      </c>
      <c r="B1459" s="221">
        <v>0</v>
      </c>
      <c r="C1459" s="221">
        <v>85</v>
      </c>
      <c r="D1459" s="221">
        <v>25.25</v>
      </c>
      <c r="E1459" s="221">
        <v>32.520789643782479</v>
      </c>
      <c r="F1459" s="221">
        <v>1.4188016275074058</v>
      </c>
      <c r="G1459" s="222" t="s">
        <v>2942</v>
      </c>
    </row>
    <row r="1460" spans="1:7">
      <c r="A1460" s="220" t="s">
        <v>919</v>
      </c>
      <c r="B1460" s="221">
        <v>0</v>
      </c>
      <c r="C1460" s="221">
        <v>120</v>
      </c>
      <c r="D1460" s="221">
        <v>25.25</v>
      </c>
      <c r="E1460" s="221">
        <v>32.520789643782479</v>
      </c>
      <c r="F1460" s="221">
        <v>1.4188016275074058</v>
      </c>
      <c r="G1460" s="222" t="s">
        <v>2942</v>
      </c>
    </row>
    <row r="1461" spans="1:7">
      <c r="A1461" s="220" t="s">
        <v>920</v>
      </c>
      <c r="B1461" s="221">
        <v>0</v>
      </c>
      <c r="C1461" s="221">
        <v>120</v>
      </c>
      <c r="D1461" s="221">
        <v>25.25</v>
      </c>
      <c r="E1461" s="221">
        <v>32.520789643782479</v>
      </c>
      <c r="F1461" s="221">
        <v>1.4188016275074058</v>
      </c>
      <c r="G1461" s="222" t="s">
        <v>2942</v>
      </c>
    </row>
    <row r="1462" spans="1:7">
      <c r="A1462" s="220" t="s">
        <v>921</v>
      </c>
      <c r="B1462" s="221">
        <v>0</v>
      </c>
      <c r="C1462" s="221">
        <v>125</v>
      </c>
      <c r="D1462" s="221">
        <v>25.25</v>
      </c>
      <c r="E1462" s="221">
        <v>32.520789643782479</v>
      </c>
      <c r="F1462" s="221">
        <v>1.4188016275074058</v>
      </c>
      <c r="G1462" s="222" t="s">
        <v>2942</v>
      </c>
    </row>
    <row r="1463" spans="1:7">
      <c r="A1463" s="220" t="s">
        <v>922</v>
      </c>
      <c r="B1463" s="221">
        <v>0</v>
      </c>
      <c r="C1463" s="221">
        <v>145</v>
      </c>
      <c r="D1463" s="221">
        <v>25.25</v>
      </c>
      <c r="E1463" s="221">
        <v>32.520789643782479</v>
      </c>
      <c r="F1463" s="221">
        <v>1.4188016275074058</v>
      </c>
      <c r="G1463" s="222" t="s">
        <v>2942</v>
      </c>
    </row>
    <row r="1464" spans="1:7">
      <c r="A1464" s="220" t="s">
        <v>923</v>
      </c>
      <c r="B1464" s="221">
        <v>0</v>
      </c>
      <c r="C1464" s="221">
        <v>150</v>
      </c>
      <c r="D1464" s="221">
        <v>25.25</v>
      </c>
      <c r="E1464" s="221">
        <v>32.520789643782479</v>
      </c>
      <c r="F1464" s="221">
        <v>1.4188016275074058</v>
      </c>
      <c r="G1464" s="222" t="s">
        <v>2942</v>
      </c>
    </row>
    <row r="1465" spans="1:7">
      <c r="A1465" s="220" t="s">
        <v>924</v>
      </c>
      <c r="B1465" s="221">
        <v>0</v>
      </c>
      <c r="C1465" s="221">
        <v>225</v>
      </c>
      <c r="D1465" s="221">
        <v>25.25</v>
      </c>
      <c r="E1465" s="221">
        <v>37.429389643782478</v>
      </c>
      <c r="F1465" s="221">
        <v>1.4188016275074058</v>
      </c>
      <c r="G1465" s="222" t="s">
        <v>2942</v>
      </c>
    </row>
    <row r="1466" spans="1:7">
      <c r="A1466" s="220" t="s">
        <v>925</v>
      </c>
      <c r="B1466" s="221">
        <v>0</v>
      </c>
      <c r="C1466" s="221">
        <v>260</v>
      </c>
      <c r="D1466" s="221">
        <v>25.25</v>
      </c>
      <c r="E1466" s="221">
        <v>46.428489643782484</v>
      </c>
      <c r="F1466" s="221">
        <v>1.4188016275074058</v>
      </c>
      <c r="G1466" s="222" t="s">
        <v>2942</v>
      </c>
    </row>
    <row r="1467" spans="1:7">
      <c r="A1467" s="220" t="s">
        <v>926</v>
      </c>
      <c r="B1467" s="221">
        <v>0</v>
      </c>
      <c r="C1467" s="221">
        <v>345</v>
      </c>
      <c r="D1467" s="221">
        <v>25.25</v>
      </c>
      <c r="E1467" s="221">
        <v>50.518989643782483</v>
      </c>
      <c r="F1467" s="221">
        <v>1.4188016275074058</v>
      </c>
      <c r="G1467" s="222" t="s">
        <v>2942</v>
      </c>
    </row>
    <row r="1468" spans="1:7">
      <c r="A1468" s="220" t="s">
        <v>927</v>
      </c>
      <c r="B1468" s="221">
        <v>0</v>
      </c>
      <c r="C1468" s="221">
        <v>520</v>
      </c>
      <c r="D1468" s="221">
        <v>25.25</v>
      </c>
      <c r="E1468" s="221">
        <v>66.88098964378247</v>
      </c>
      <c r="F1468" s="221">
        <v>1.4188016275074058</v>
      </c>
      <c r="G1468" s="222" t="s">
        <v>2942</v>
      </c>
    </row>
    <row r="1469" spans="1:7">
      <c r="A1469" s="220" t="s">
        <v>928</v>
      </c>
      <c r="B1469" s="221">
        <v>0</v>
      </c>
      <c r="C1469" s="221">
        <v>610</v>
      </c>
      <c r="D1469" s="221">
        <v>25.25</v>
      </c>
      <c r="E1469" s="221">
        <v>83.242989643782479</v>
      </c>
      <c r="F1469" s="221">
        <v>1.4188016275074058</v>
      </c>
      <c r="G1469" s="222" t="s">
        <v>2942</v>
      </c>
    </row>
    <row r="1470" spans="1:7">
      <c r="A1470" s="220" t="s">
        <v>929</v>
      </c>
      <c r="B1470" s="221">
        <v>0</v>
      </c>
      <c r="C1470" s="221">
        <v>670</v>
      </c>
      <c r="D1470" s="221">
        <v>25.25</v>
      </c>
      <c r="E1470" s="221">
        <v>91.423989643782477</v>
      </c>
      <c r="F1470" s="221">
        <v>1.4188016275074058</v>
      </c>
      <c r="G1470" s="222" t="s">
        <v>2942</v>
      </c>
    </row>
    <row r="1471" spans="1:7">
      <c r="A1471" s="220" t="s">
        <v>930</v>
      </c>
      <c r="B1471" s="221">
        <v>0</v>
      </c>
      <c r="C1471" s="221">
        <v>820</v>
      </c>
      <c r="D1471" s="221">
        <v>25.25</v>
      </c>
      <c r="E1471" s="221">
        <v>132.32898964378248</v>
      </c>
      <c r="F1471" s="221">
        <v>1.4188016275074058</v>
      </c>
      <c r="G1471" s="222" t="s">
        <v>2942</v>
      </c>
    </row>
    <row r="1472" spans="1:7">
      <c r="A1472" s="220" t="s">
        <v>931</v>
      </c>
      <c r="B1472" s="221">
        <v>0</v>
      </c>
      <c r="C1472" s="221">
        <v>890</v>
      </c>
      <c r="D1472" s="221">
        <v>25.25</v>
      </c>
      <c r="E1472" s="221">
        <v>152.78148964378246</v>
      </c>
      <c r="F1472" s="221">
        <v>1.4188016275074058</v>
      </c>
      <c r="G1472" s="222" t="s">
        <v>2942</v>
      </c>
    </row>
    <row r="1473" spans="1:7">
      <c r="A1473" s="220" t="s">
        <v>932</v>
      </c>
      <c r="B1473" s="221">
        <v>0</v>
      </c>
      <c r="C1473" s="221">
        <v>1020</v>
      </c>
      <c r="D1473" s="221">
        <v>25.25</v>
      </c>
      <c r="E1473" s="221">
        <v>189.59598964378247</v>
      </c>
      <c r="F1473" s="221">
        <v>1.4188016275074058</v>
      </c>
      <c r="G1473" s="222" t="s">
        <v>2942</v>
      </c>
    </row>
    <row r="1474" spans="1:7">
      <c r="A1474" s="220" t="s">
        <v>933</v>
      </c>
      <c r="B1474" s="221">
        <v>0</v>
      </c>
      <c r="C1474" s="221">
        <v>1120</v>
      </c>
      <c r="D1474" s="221">
        <v>25.25</v>
      </c>
      <c r="E1474" s="221">
        <v>214.13898964378248</v>
      </c>
      <c r="F1474" s="221">
        <v>1.4188016275074058</v>
      </c>
      <c r="G1474" s="222" t="s">
        <v>2942</v>
      </c>
    </row>
    <row r="1475" spans="1:7">
      <c r="A1475" s="220" t="s">
        <v>934</v>
      </c>
      <c r="B1475" s="221">
        <v>0</v>
      </c>
      <c r="C1475" s="221">
        <v>1185</v>
      </c>
      <c r="D1475" s="221">
        <v>25.25</v>
      </c>
      <c r="E1475" s="221">
        <v>234.59148964378247</v>
      </c>
      <c r="F1475" s="221">
        <v>1.4188016275074058</v>
      </c>
      <c r="G1475" s="222" t="s">
        <v>2942</v>
      </c>
    </row>
    <row r="1476" spans="1:7">
      <c r="A1476" s="220" t="s">
        <v>935</v>
      </c>
      <c r="B1476" s="221">
        <v>0</v>
      </c>
      <c r="C1476" s="221">
        <v>80</v>
      </c>
      <c r="D1476" s="221">
        <v>25.25</v>
      </c>
      <c r="E1476" s="221">
        <v>26.327496749035536</v>
      </c>
      <c r="F1476" s="221">
        <v>2.5768284643916193</v>
      </c>
      <c r="G1476" s="222" t="s">
        <v>2942</v>
      </c>
    </row>
    <row r="1477" spans="1:7">
      <c r="A1477" s="220" t="s">
        <v>936</v>
      </c>
      <c r="B1477" s="221">
        <v>0</v>
      </c>
      <c r="C1477" s="221">
        <v>80</v>
      </c>
      <c r="D1477" s="221">
        <v>25.25</v>
      </c>
      <c r="E1477" s="221">
        <v>29.59989674903553</v>
      </c>
      <c r="F1477" s="221">
        <v>2.5768284643916193</v>
      </c>
      <c r="G1477" s="222" t="s">
        <v>2942</v>
      </c>
    </row>
    <row r="1478" spans="1:7">
      <c r="A1478" s="220" t="s">
        <v>937</v>
      </c>
      <c r="B1478" s="221">
        <v>0</v>
      </c>
      <c r="C1478" s="221">
        <v>90</v>
      </c>
      <c r="D1478" s="221">
        <v>25.25</v>
      </c>
      <c r="E1478" s="221">
        <v>33.690396749035536</v>
      </c>
      <c r="F1478" s="221">
        <v>2.5768284643916193</v>
      </c>
      <c r="G1478" s="222" t="s">
        <v>2942</v>
      </c>
    </row>
    <row r="1479" spans="1:7">
      <c r="A1479" s="220" t="s">
        <v>938</v>
      </c>
      <c r="B1479" s="221">
        <v>0</v>
      </c>
      <c r="C1479" s="221">
        <v>150</v>
      </c>
      <c r="D1479" s="221">
        <v>25.25</v>
      </c>
      <c r="E1479" s="221">
        <v>33.690396749035536</v>
      </c>
      <c r="F1479" s="221">
        <v>2.5768284643916193</v>
      </c>
      <c r="G1479" s="222" t="s">
        <v>2942</v>
      </c>
    </row>
    <row r="1480" spans="1:7">
      <c r="A1480" s="220" t="s">
        <v>939</v>
      </c>
      <c r="B1480" s="221">
        <v>0</v>
      </c>
      <c r="C1480" s="221">
        <v>150</v>
      </c>
      <c r="D1480" s="221">
        <v>25.25</v>
      </c>
      <c r="E1480" s="221">
        <v>33.690396749035536</v>
      </c>
      <c r="F1480" s="221">
        <v>2.5768284643916193</v>
      </c>
      <c r="G1480" s="222" t="s">
        <v>2942</v>
      </c>
    </row>
    <row r="1481" spans="1:7">
      <c r="A1481" s="220" t="s">
        <v>940</v>
      </c>
      <c r="B1481" s="221">
        <v>0</v>
      </c>
      <c r="C1481" s="221">
        <v>155</v>
      </c>
      <c r="D1481" s="221">
        <v>25.25</v>
      </c>
      <c r="E1481" s="221">
        <v>33.690396749035536</v>
      </c>
      <c r="F1481" s="221">
        <v>2.5768284643916193</v>
      </c>
      <c r="G1481" s="222" t="s">
        <v>2942</v>
      </c>
    </row>
    <row r="1482" spans="1:7">
      <c r="A1482" s="220" t="s">
        <v>941</v>
      </c>
      <c r="B1482" s="221">
        <v>0</v>
      </c>
      <c r="C1482" s="221">
        <v>215</v>
      </c>
      <c r="D1482" s="221">
        <v>25.25</v>
      </c>
      <c r="E1482" s="221">
        <v>33.690396749035536</v>
      </c>
      <c r="F1482" s="221">
        <v>2.5768284643916193</v>
      </c>
      <c r="G1482" s="222" t="s">
        <v>2942</v>
      </c>
    </row>
    <row r="1483" spans="1:7">
      <c r="A1483" s="220" t="s">
        <v>942</v>
      </c>
      <c r="B1483" s="221">
        <v>0</v>
      </c>
      <c r="C1483" s="221">
        <v>240</v>
      </c>
      <c r="D1483" s="221">
        <v>25.25</v>
      </c>
      <c r="E1483" s="221">
        <v>33.690396749035536</v>
      </c>
      <c r="F1483" s="221">
        <v>2.5768284643916193</v>
      </c>
      <c r="G1483" s="222" t="s">
        <v>2942</v>
      </c>
    </row>
    <row r="1484" spans="1:7">
      <c r="A1484" s="220" t="s">
        <v>943</v>
      </c>
      <c r="B1484" s="221">
        <v>0</v>
      </c>
      <c r="C1484" s="221">
        <v>340</v>
      </c>
      <c r="D1484" s="221">
        <v>25.25</v>
      </c>
      <c r="E1484" s="221">
        <v>38.598996749035535</v>
      </c>
      <c r="F1484" s="221">
        <v>2.5768284643916193</v>
      </c>
      <c r="G1484" s="222" t="s">
        <v>2942</v>
      </c>
    </row>
    <row r="1485" spans="1:7">
      <c r="A1485" s="220" t="s">
        <v>944</v>
      </c>
      <c r="B1485" s="221">
        <v>0</v>
      </c>
      <c r="C1485" s="221">
        <v>395</v>
      </c>
      <c r="D1485" s="221">
        <v>25.25</v>
      </c>
      <c r="E1485" s="221">
        <v>47.598096749035541</v>
      </c>
      <c r="F1485" s="221">
        <v>2.5768284643916193</v>
      </c>
      <c r="G1485" s="222" t="s">
        <v>2942</v>
      </c>
    </row>
    <row r="1486" spans="1:7">
      <c r="A1486" s="220" t="s">
        <v>945</v>
      </c>
      <c r="B1486" s="221">
        <v>0</v>
      </c>
      <c r="C1486" s="221">
        <v>525</v>
      </c>
      <c r="D1486" s="221">
        <v>25.25</v>
      </c>
      <c r="E1486" s="221">
        <v>51.688596749035533</v>
      </c>
      <c r="F1486" s="221">
        <v>2.5768284643916193</v>
      </c>
      <c r="G1486" s="222" t="s">
        <v>2942</v>
      </c>
    </row>
    <row r="1487" spans="1:7">
      <c r="A1487" s="220" t="s">
        <v>946</v>
      </c>
      <c r="B1487" s="221">
        <v>0</v>
      </c>
      <c r="C1487" s="221">
        <v>785</v>
      </c>
      <c r="D1487" s="221">
        <v>25.25</v>
      </c>
      <c r="E1487" s="221">
        <v>68.050596749035535</v>
      </c>
      <c r="F1487" s="221">
        <v>2.5768284643916193</v>
      </c>
      <c r="G1487" s="222" t="s">
        <v>2942</v>
      </c>
    </row>
    <row r="1488" spans="1:7">
      <c r="A1488" s="220" t="s">
        <v>947</v>
      </c>
      <c r="B1488" s="221">
        <v>0</v>
      </c>
      <c r="C1488" s="221">
        <v>920</v>
      </c>
      <c r="D1488" s="221">
        <v>25.25</v>
      </c>
      <c r="E1488" s="221">
        <v>84.412596749035544</v>
      </c>
      <c r="F1488" s="221">
        <v>2.5768284643916193</v>
      </c>
      <c r="G1488" s="222" t="s">
        <v>2942</v>
      </c>
    </row>
    <row r="1489" spans="1:7">
      <c r="A1489" s="220" t="s">
        <v>948</v>
      </c>
      <c r="B1489" s="221">
        <v>0</v>
      </c>
      <c r="C1489" s="221">
        <v>1005</v>
      </c>
      <c r="D1489" s="221">
        <v>25.25</v>
      </c>
      <c r="E1489" s="221">
        <v>92.593596749035541</v>
      </c>
      <c r="F1489" s="221">
        <v>2.5768284643916193</v>
      </c>
      <c r="G1489" s="222" t="s">
        <v>2942</v>
      </c>
    </row>
    <row r="1490" spans="1:7">
      <c r="A1490" s="220" t="s">
        <v>949</v>
      </c>
      <c r="B1490" s="221">
        <v>0</v>
      </c>
      <c r="C1490" s="221">
        <v>1230</v>
      </c>
      <c r="D1490" s="221">
        <v>25.25</v>
      </c>
      <c r="E1490" s="221">
        <v>133.49859674903553</v>
      </c>
      <c r="F1490" s="221">
        <v>2.5768284643916193</v>
      </c>
      <c r="G1490" s="222" t="s">
        <v>2942</v>
      </c>
    </row>
    <row r="1491" spans="1:7">
      <c r="A1491" s="220" t="s">
        <v>950</v>
      </c>
      <c r="B1491" s="221">
        <v>0</v>
      </c>
      <c r="C1491" s="221">
        <v>1330</v>
      </c>
      <c r="D1491" s="221">
        <v>25.25</v>
      </c>
      <c r="E1491" s="221">
        <v>153.95109674903551</v>
      </c>
      <c r="F1491" s="221">
        <v>2.5768284643916193</v>
      </c>
      <c r="G1491" s="222" t="s">
        <v>2942</v>
      </c>
    </row>
    <row r="1492" spans="1:7">
      <c r="A1492" s="220" t="s">
        <v>951</v>
      </c>
      <c r="B1492" s="221">
        <v>0</v>
      </c>
      <c r="C1492" s="221">
        <v>1530</v>
      </c>
      <c r="D1492" s="221">
        <v>25.25</v>
      </c>
      <c r="E1492" s="221">
        <v>190.7655967490355</v>
      </c>
      <c r="F1492" s="221">
        <v>2.5768284643916193</v>
      </c>
      <c r="G1492" s="222" t="s">
        <v>2942</v>
      </c>
    </row>
    <row r="1493" spans="1:7">
      <c r="A1493" s="220" t="s">
        <v>952</v>
      </c>
      <c r="B1493" s="221">
        <v>0</v>
      </c>
      <c r="C1493" s="221">
        <v>1680</v>
      </c>
      <c r="D1493" s="221">
        <v>25.25</v>
      </c>
      <c r="E1493" s="221">
        <v>215.30859674903553</v>
      </c>
      <c r="F1493" s="221">
        <v>2.5768284643916193</v>
      </c>
      <c r="G1493" s="222" t="s">
        <v>2942</v>
      </c>
    </row>
    <row r="1494" spans="1:7">
      <c r="A1494" s="220" t="s">
        <v>953</v>
      </c>
      <c r="B1494" s="221">
        <v>0</v>
      </c>
      <c r="C1494" s="221">
        <v>1775</v>
      </c>
      <c r="D1494" s="221">
        <v>25.25</v>
      </c>
      <c r="E1494" s="221">
        <v>235.76109674903552</v>
      </c>
      <c r="F1494" s="221">
        <v>2.5768284643916193</v>
      </c>
      <c r="G1494" s="222" t="s">
        <v>2942</v>
      </c>
    </row>
    <row r="1495" spans="1:7">
      <c r="A1495" s="220" t="s">
        <v>954</v>
      </c>
      <c r="B1495" s="221">
        <v>0</v>
      </c>
      <c r="C1495" s="221">
        <v>95</v>
      </c>
      <c r="D1495" s="221">
        <v>25.25</v>
      </c>
      <c r="E1495" s="221">
        <v>20.249289643782479</v>
      </c>
      <c r="F1495" s="221">
        <v>1.4188016275074058</v>
      </c>
      <c r="G1495" s="222" t="s">
        <v>2942</v>
      </c>
    </row>
    <row r="1496" spans="1:7">
      <c r="A1496" s="220" t="s">
        <v>955</v>
      </c>
      <c r="B1496" s="221">
        <v>0</v>
      </c>
      <c r="C1496" s="221">
        <v>95</v>
      </c>
      <c r="D1496" s="221">
        <v>25.25</v>
      </c>
      <c r="E1496" s="221">
        <v>23.52168964378248</v>
      </c>
      <c r="F1496" s="221">
        <v>1.4188016275074058</v>
      </c>
      <c r="G1496" s="222" t="s">
        <v>2942</v>
      </c>
    </row>
    <row r="1497" spans="1:7">
      <c r="A1497" s="220" t="s">
        <v>956</v>
      </c>
      <c r="B1497" s="221">
        <v>0</v>
      </c>
      <c r="C1497" s="221">
        <v>100</v>
      </c>
      <c r="D1497" s="221">
        <v>25.25</v>
      </c>
      <c r="E1497" s="221">
        <v>37.429389643782478</v>
      </c>
      <c r="F1497" s="221">
        <v>1.4188016275074058</v>
      </c>
      <c r="G1497" s="222" t="s">
        <v>2942</v>
      </c>
    </row>
    <row r="1498" spans="1:7">
      <c r="A1498" s="220" t="s">
        <v>957</v>
      </c>
      <c r="B1498" s="221">
        <v>0</v>
      </c>
      <c r="C1498" s="221">
        <v>130</v>
      </c>
      <c r="D1498" s="221">
        <v>25.25</v>
      </c>
      <c r="E1498" s="221">
        <v>55.427589643782483</v>
      </c>
      <c r="F1498" s="221">
        <v>1.4188016275074058</v>
      </c>
      <c r="G1498" s="222" t="s">
        <v>2942</v>
      </c>
    </row>
    <row r="1499" spans="1:7">
      <c r="A1499" s="220" t="s">
        <v>958</v>
      </c>
      <c r="B1499" s="221">
        <v>0</v>
      </c>
      <c r="C1499" s="221">
        <v>130</v>
      </c>
      <c r="D1499" s="221">
        <v>25.25</v>
      </c>
      <c r="E1499" s="221">
        <v>60.336189643782483</v>
      </c>
      <c r="F1499" s="221">
        <v>1.4188016275074058</v>
      </c>
      <c r="G1499" s="222" t="s">
        <v>2942</v>
      </c>
    </row>
    <row r="1500" spans="1:7">
      <c r="A1500" s="220" t="s">
        <v>959</v>
      </c>
      <c r="B1500" s="221">
        <v>0</v>
      </c>
      <c r="C1500" s="221">
        <v>145</v>
      </c>
      <c r="D1500" s="221">
        <v>25.25</v>
      </c>
      <c r="E1500" s="221">
        <v>65.244789643782468</v>
      </c>
      <c r="F1500" s="221">
        <v>1.4188016275074058</v>
      </c>
      <c r="G1500" s="222" t="s">
        <v>2942</v>
      </c>
    </row>
    <row r="1501" spans="1:7">
      <c r="A1501" s="220" t="s">
        <v>960</v>
      </c>
      <c r="B1501" s="221">
        <v>0</v>
      </c>
      <c r="C1501" s="221">
        <v>155</v>
      </c>
      <c r="D1501" s="221">
        <v>25.25</v>
      </c>
      <c r="E1501" s="221">
        <v>69.335289643782488</v>
      </c>
      <c r="F1501" s="221">
        <v>1.4188016275074058</v>
      </c>
      <c r="G1501" s="222" t="s">
        <v>2942</v>
      </c>
    </row>
    <row r="1502" spans="1:7">
      <c r="A1502" s="220" t="s">
        <v>961</v>
      </c>
      <c r="B1502" s="221">
        <v>0</v>
      </c>
      <c r="C1502" s="221">
        <v>170</v>
      </c>
      <c r="D1502" s="221">
        <v>25.25</v>
      </c>
      <c r="E1502" s="221">
        <v>74.243889643782481</v>
      </c>
      <c r="F1502" s="221">
        <v>1.4188016275074058</v>
      </c>
      <c r="G1502" s="222" t="s">
        <v>2942</v>
      </c>
    </row>
    <row r="1503" spans="1:7">
      <c r="A1503" s="220" t="s">
        <v>962</v>
      </c>
      <c r="B1503" s="221">
        <v>0</v>
      </c>
      <c r="C1503" s="221">
        <v>210</v>
      </c>
      <c r="D1503" s="221">
        <v>25.25</v>
      </c>
      <c r="E1503" s="221">
        <v>99.604989643782488</v>
      </c>
      <c r="F1503" s="221">
        <v>1.4188016275074058</v>
      </c>
      <c r="G1503" s="222" t="s">
        <v>2942</v>
      </c>
    </row>
    <row r="1504" spans="1:7">
      <c r="A1504" s="220" t="s">
        <v>963</v>
      </c>
      <c r="B1504" s="221">
        <v>0</v>
      </c>
      <c r="C1504" s="221">
        <v>220</v>
      </c>
      <c r="D1504" s="221">
        <v>25.25</v>
      </c>
      <c r="E1504" s="221">
        <v>107.78598964378247</v>
      </c>
      <c r="F1504" s="221">
        <v>1.4188016275074058</v>
      </c>
      <c r="G1504" s="222" t="s">
        <v>2942</v>
      </c>
    </row>
    <row r="1505" spans="1:7">
      <c r="A1505" s="220" t="s">
        <v>964</v>
      </c>
      <c r="B1505" s="221">
        <v>0</v>
      </c>
      <c r="C1505" s="221">
        <v>260</v>
      </c>
      <c r="D1505" s="221">
        <v>25.25</v>
      </c>
      <c r="E1505" s="221">
        <v>132.32898964378248</v>
      </c>
      <c r="F1505" s="221">
        <v>1.4188016275074058</v>
      </c>
      <c r="G1505" s="222" t="s">
        <v>2942</v>
      </c>
    </row>
    <row r="1506" spans="1:7">
      <c r="A1506" s="220" t="s">
        <v>965</v>
      </c>
      <c r="B1506" s="221">
        <v>0</v>
      </c>
      <c r="C1506" s="221">
        <v>325</v>
      </c>
      <c r="D1506" s="221">
        <v>25.25</v>
      </c>
      <c r="E1506" s="221">
        <v>156.87198964378248</v>
      </c>
      <c r="F1506" s="221">
        <v>1.4188016275074058</v>
      </c>
      <c r="G1506" s="222" t="s">
        <v>2942</v>
      </c>
    </row>
    <row r="1507" spans="1:7">
      <c r="A1507" s="220" t="s">
        <v>966</v>
      </c>
      <c r="B1507" s="221">
        <v>0</v>
      </c>
      <c r="C1507" s="221">
        <v>375</v>
      </c>
      <c r="D1507" s="221">
        <v>25.25</v>
      </c>
      <c r="E1507" s="221">
        <v>185.50548964378248</v>
      </c>
      <c r="F1507" s="221">
        <v>1.4188016275074058</v>
      </c>
      <c r="G1507" s="222" t="s">
        <v>2942</v>
      </c>
    </row>
    <row r="1508" spans="1:7">
      <c r="A1508" s="220" t="s">
        <v>967</v>
      </c>
      <c r="B1508" s="221">
        <v>0</v>
      </c>
      <c r="C1508" s="221">
        <v>420</v>
      </c>
      <c r="D1508" s="221">
        <v>25.25</v>
      </c>
      <c r="E1508" s="221">
        <v>205.95798964378247</v>
      </c>
      <c r="F1508" s="221">
        <v>1.4188016275074058</v>
      </c>
      <c r="G1508" s="222" t="s">
        <v>2942</v>
      </c>
    </row>
    <row r="1509" spans="1:7">
      <c r="A1509" s="220" t="s">
        <v>968</v>
      </c>
      <c r="B1509" s="221">
        <v>0</v>
      </c>
      <c r="C1509" s="221">
        <v>445</v>
      </c>
      <c r="D1509" s="221">
        <v>25.25</v>
      </c>
      <c r="E1509" s="221">
        <v>246.86298964378247</v>
      </c>
      <c r="F1509" s="221">
        <v>1.4188016275074058</v>
      </c>
      <c r="G1509" s="222" t="s">
        <v>2942</v>
      </c>
    </row>
    <row r="1510" spans="1:7">
      <c r="A1510" s="220" t="s">
        <v>969</v>
      </c>
      <c r="B1510" s="221">
        <v>0</v>
      </c>
      <c r="C1510" s="221">
        <v>510</v>
      </c>
      <c r="D1510" s="221">
        <v>25.25</v>
      </c>
      <c r="E1510" s="221">
        <v>287.76798964378247</v>
      </c>
      <c r="F1510" s="221">
        <v>1.4188016275074058</v>
      </c>
      <c r="G1510" s="222" t="s">
        <v>2942</v>
      </c>
    </row>
    <row r="1511" spans="1:7">
      <c r="A1511" s="220" t="s">
        <v>970</v>
      </c>
      <c r="B1511" s="221">
        <v>0</v>
      </c>
      <c r="C1511" s="221">
        <v>610</v>
      </c>
      <c r="D1511" s="221">
        <v>25.25</v>
      </c>
      <c r="E1511" s="221">
        <v>349.12548964378243</v>
      </c>
      <c r="F1511" s="221">
        <v>1.4188016275074058</v>
      </c>
      <c r="G1511" s="222" t="s">
        <v>2942</v>
      </c>
    </row>
    <row r="1512" spans="1:7">
      <c r="A1512" s="220" t="s">
        <v>971</v>
      </c>
      <c r="B1512" s="221">
        <v>0</v>
      </c>
      <c r="C1512" s="221">
        <v>695</v>
      </c>
      <c r="D1512" s="221">
        <v>25.25</v>
      </c>
      <c r="E1512" s="221">
        <v>390.03048964378246</v>
      </c>
      <c r="F1512" s="221">
        <v>1.4188016275074058</v>
      </c>
      <c r="G1512" s="222" t="s">
        <v>2942</v>
      </c>
    </row>
    <row r="1513" spans="1:7">
      <c r="A1513" s="220" t="s">
        <v>972</v>
      </c>
      <c r="B1513" s="221">
        <v>0</v>
      </c>
      <c r="C1513" s="221">
        <v>755</v>
      </c>
      <c r="D1513" s="221">
        <v>25.25</v>
      </c>
      <c r="E1513" s="221">
        <v>430.93548964378243</v>
      </c>
      <c r="F1513" s="221">
        <v>1.4188016275074058</v>
      </c>
      <c r="G1513" s="222" t="s">
        <v>2942</v>
      </c>
    </row>
    <row r="1514" spans="1:7">
      <c r="A1514" s="220" t="s">
        <v>973</v>
      </c>
      <c r="B1514" s="221">
        <v>0</v>
      </c>
      <c r="C1514" s="221">
        <v>140</v>
      </c>
      <c r="D1514" s="221">
        <v>25.25</v>
      </c>
      <c r="E1514" s="221">
        <v>20.249289643782479</v>
      </c>
      <c r="F1514" s="221">
        <v>1.4188016275074058</v>
      </c>
      <c r="G1514" s="222" t="s">
        <v>2942</v>
      </c>
    </row>
    <row r="1515" spans="1:7">
      <c r="A1515" s="220" t="s">
        <v>974</v>
      </c>
      <c r="B1515" s="221">
        <v>0</v>
      </c>
      <c r="C1515" s="221">
        <v>140</v>
      </c>
      <c r="D1515" s="221">
        <v>25.25</v>
      </c>
      <c r="E1515" s="221">
        <v>23.52168964378248</v>
      </c>
      <c r="F1515" s="221">
        <v>1.4188016275074058</v>
      </c>
      <c r="G1515" s="222" t="s">
        <v>2942</v>
      </c>
    </row>
    <row r="1516" spans="1:7">
      <c r="A1516" s="220" t="s">
        <v>975</v>
      </c>
      <c r="B1516" s="221">
        <v>0</v>
      </c>
      <c r="C1516" s="221">
        <v>170</v>
      </c>
      <c r="D1516" s="221">
        <v>25.25</v>
      </c>
      <c r="E1516" s="221">
        <v>37.429389643782478</v>
      </c>
      <c r="F1516" s="221">
        <v>1.4188016275074058</v>
      </c>
      <c r="G1516" s="222" t="s">
        <v>2942</v>
      </c>
    </row>
    <row r="1517" spans="1:7">
      <c r="A1517" s="220" t="s">
        <v>976</v>
      </c>
      <c r="B1517" s="221">
        <v>0</v>
      </c>
      <c r="C1517" s="221">
        <v>250</v>
      </c>
      <c r="D1517" s="221">
        <v>25.25</v>
      </c>
      <c r="E1517" s="221">
        <v>55.427589643782483</v>
      </c>
      <c r="F1517" s="221">
        <v>1.4188016275074058</v>
      </c>
      <c r="G1517" s="222" t="s">
        <v>2942</v>
      </c>
    </row>
    <row r="1518" spans="1:7">
      <c r="A1518" s="220" t="s">
        <v>977</v>
      </c>
      <c r="B1518" s="221">
        <v>0</v>
      </c>
      <c r="C1518" s="221">
        <v>250</v>
      </c>
      <c r="D1518" s="221">
        <v>25.25</v>
      </c>
      <c r="E1518" s="221">
        <v>60.336189643782483</v>
      </c>
      <c r="F1518" s="221">
        <v>1.4188016275074058</v>
      </c>
      <c r="G1518" s="222" t="s">
        <v>2942</v>
      </c>
    </row>
    <row r="1519" spans="1:7">
      <c r="A1519" s="220" t="s">
        <v>978</v>
      </c>
      <c r="B1519" s="221">
        <v>0</v>
      </c>
      <c r="C1519" s="221">
        <v>345</v>
      </c>
      <c r="D1519" s="221">
        <v>25.25</v>
      </c>
      <c r="E1519" s="221">
        <v>65.244789643782468</v>
      </c>
      <c r="F1519" s="221">
        <v>1.4188016275074058</v>
      </c>
      <c r="G1519" s="222" t="s">
        <v>2942</v>
      </c>
    </row>
    <row r="1520" spans="1:7">
      <c r="A1520" s="220" t="s">
        <v>979</v>
      </c>
      <c r="B1520" s="221">
        <v>0</v>
      </c>
      <c r="C1520" s="221">
        <v>405</v>
      </c>
      <c r="D1520" s="221">
        <v>25.25</v>
      </c>
      <c r="E1520" s="221">
        <v>69.335289643782488</v>
      </c>
      <c r="F1520" s="221">
        <v>1.4188016275074058</v>
      </c>
      <c r="G1520" s="222" t="s">
        <v>2942</v>
      </c>
    </row>
    <row r="1521" spans="1:7">
      <c r="A1521" s="220" t="s">
        <v>980</v>
      </c>
      <c r="B1521" s="221">
        <v>0</v>
      </c>
      <c r="C1521" s="221">
        <v>440</v>
      </c>
      <c r="D1521" s="221">
        <v>25.25</v>
      </c>
      <c r="E1521" s="221">
        <v>74.243889643782481</v>
      </c>
      <c r="F1521" s="221">
        <v>1.4188016275074058</v>
      </c>
      <c r="G1521" s="222" t="s">
        <v>2942</v>
      </c>
    </row>
    <row r="1522" spans="1:7">
      <c r="A1522" s="220" t="s">
        <v>981</v>
      </c>
      <c r="B1522" s="221">
        <v>0</v>
      </c>
      <c r="C1522" s="221">
        <v>475</v>
      </c>
      <c r="D1522" s="221">
        <v>25.25</v>
      </c>
      <c r="E1522" s="221">
        <v>99.604989643782488</v>
      </c>
      <c r="F1522" s="221">
        <v>1.4188016275074058</v>
      </c>
      <c r="G1522" s="222" t="s">
        <v>2942</v>
      </c>
    </row>
    <row r="1523" spans="1:7">
      <c r="A1523" s="220" t="s">
        <v>982</v>
      </c>
      <c r="B1523" s="221">
        <v>0</v>
      </c>
      <c r="C1523" s="221">
        <v>535</v>
      </c>
      <c r="D1523" s="221">
        <v>25.25</v>
      </c>
      <c r="E1523" s="221">
        <v>107.78598964378247</v>
      </c>
      <c r="F1523" s="221">
        <v>1.4188016275074058</v>
      </c>
      <c r="G1523" s="222" t="s">
        <v>2942</v>
      </c>
    </row>
    <row r="1524" spans="1:7">
      <c r="A1524" s="220" t="s">
        <v>983</v>
      </c>
      <c r="B1524" s="221">
        <v>0</v>
      </c>
      <c r="C1524" s="221">
        <v>610</v>
      </c>
      <c r="D1524" s="221">
        <v>25.25</v>
      </c>
      <c r="E1524" s="221">
        <v>132.32898964378248</v>
      </c>
      <c r="F1524" s="221">
        <v>1.4188016275074058</v>
      </c>
      <c r="G1524" s="222" t="s">
        <v>2942</v>
      </c>
    </row>
    <row r="1525" spans="1:7">
      <c r="A1525" s="220" t="s">
        <v>984</v>
      </c>
      <c r="B1525" s="221">
        <v>0</v>
      </c>
      <c r="C1525" s="221">
        <v>780</v>
      </c>
      <c r="D1525" s="221">
        <v>25.25</v>
      </c>
      <c r="E1525" s="221">
        <v>156.87198964378248</v>
      </c>
      <c r="F1525" s="221">
        <v>1.4188016275074058</v>
      </c>
      <c r="G1525" s="222" t="s">
        <v>2942</v>
      </c>
    </row>
    <row r="1526" spans="1:7">
      <c r="A1526" s="220" t="s">
        <v>985</v>
      </c>
      <c r="B1526" s="221">
        <v>0</v>
      </c>
      <c r="C1526" s="221">
        <v>820</v>
      </c>
      <c r="D1526" s="221">
        <v>25.25</v>
      </c>
      <c r="E1526" s="221">
        <v>185.50548964378248</v>
      </c>
      <c r="F1526" s="221">
        <v>1.4188016275074058</v>
      </c>
      <c r="G1526" s="222" t="s">
        <v>2942</v>
      </c>
    </row>
    <row r="1527" spans="1:7">
      <c r="A1527" s="220" t="s">
        <v>986</v>
      </c>
      <c r="B1527" s="221">
        <v>0</v>
      </c>
      <c r="C1527" s="221">
        <v>845</v>
      </c>
      <c r="D1527" s="221">
        <v>25.25</v>
      </c>
      <c r="E1527" s="221">
        <v>205.95798964378247</v>
      </c>
      <c r="F1527" s="221">
        <v>1.4188016275074058</v>
      </c>
      <c r="G1527" s="222" t="s">
        <v>2942</v>
      </c>
    </row>
    <row r="1528" spans="1:7">
      <c r="A1528" s="220" t="s">
        <v>987</v>
      </c>
      <c r="B1528" s="221">
        <v>0</v>
      </c>
      <c r="C1528" s="221">
        <v>1040</v>
      </c>
      <c r="D1528" s="221">
        <v>25.25</v>
      </c>
      <c r="E1528" s="221">
        <v>246.86298964378247</v>
      </c>
      <c r="F1528" s="221">
        <v>1.4188016275074058</v>
      </c>
      <c r="G1528" s="222" t="s">
        <v>2942</v>
      </c>
    </row>
    <row r="1529" spans="1:7">
      <c r="A1529" s="220" t="s">
        <v>988</v>
      </c>
      <c r="B1529" s="221">
        <v>0</v>
      </c>
      <c r="C1529" s="221">
        <v>1165</v>
      </c>
      <c r="D1529" s="221">
        <v>25.25</v>
      </c>
      <c r="E1529" s="221">
        <v>287.76798964378247</v>
      </c>
      <c r="F1529" s="221">
        <v>1.4188016275074058</v>
      </c>
      <c r="G1529" s="222" t="s">
        <v>2942</v>
      </c>
    </row>
    <row r="1530" spans="1:7">
      <c r="A1530" s="220" t="s">
        <v>989</v>
      </c>
      <c r="B1530" s="221">
        <v>0</v>
      </c>
      <c r="C1530" s="221">
        <v>1250</v>
      </c>
      <c r="D1530" s="221">
        <v>25.25</v>
      </c>
      <c r="E1530" s="221">
        <v>349.12548964378243</v>
      </c>
      <c r="F1530" s="221">
        <v>1.4188016275074058</v>
      </c>
      <c r="G1530" s="222" t="s">
        <v>2942</v>
      </c>
    </row>
    <row r="1531" spans="1:7">
      <c r="A1531" s="220" t="s">
        <v>990</v>
      </c>
      <c r="B1531" s="221">
        <v>0</v>
      </c>
      <c r="C1531" s="221">
        <v>1360</v>
      </c>
      <c r="D1531" s="221">
        <v>25.25</v>
      </c>
      <c r="E1531" s="221">
        <v>390.03048964378246</v>
      </c>
      <c r="F1531" s="221">
        <v>1.4188016275074058</v>
      </c>
      <c r="G1531" s="222" t="s">
        <v>2942</v>
      </c>
    </row>
    <row r="1532" spans="1:7">
      <c r="A1532" s="220" t="s">
        <v>991</v>
      </c>
      <c r="B1532" s="221">
        <v>0</v>
      </c>
      <c r="C1532" s="221">
        <v>1405</v>
      </c>
      <c r="D1532" s="221">
        <v>25.25</v>
      </c>
      <c r="E1532" s="221">
        <v>430.93548964378243</v>
      </c>
      <c r="F1532" s="221">
        <v>1.4188016275074058</v>
      </c>
      <c r="G1532" s="222" t="s">
        <v>2942</v>
      </c>
    </row>
    <row r="1533" spans="1:7">
      <c r="A1533" s="220" t="s">
        <v>992</v>
      </c>
      <c r="B1533" s="221">
        <v>0</v>
      </c>
      <c r="C1533" s="221">
        <v>179</v>
      </c>
      <c r="D1533" s="221">
        <v>25.25</v>
      </c>
      <c r="E1533" s="221">
        <v>21.418896749035536</v>
      </c>
      <c r="F1533" s="221">
        <v>2.5768284643916193</v>
      </c>
      <c r="G1533" s="222" t="s">
        <v>2942</v>
      </c>
    </row>
    <row r="1534" spans="1:7">
      <c r="A1534" s="220" t="s">
        <v>993</v>
      </c>
      <c r="B1534" s="221">
        <v>0</v>
      </c>
      <c r="C1534" s="221">
        <v>179</v>
      </c>
      <c r="D1534" s="221">
        <v>25.25</v>
      </c>
      <c r="E1534" s="221">
        <v>24.691296749035537</v>
      </c>
      <c r="F1534" s="221">
        <v>2.5768284643916193</v>
      </c>
      <c r="G1534" s="222" t="s">
        <v>2942</v>
      </c>
    </row>
    <row r="1535" spans="1:7">
      <c r="A1535" s="220" t="s">
        <v>994</v>
      </c>
      <c r="B1535" s="221">
        <v>0</v>
      </c>
      <c r="C1535" s="221">
        <v>189</v>
      </c>
      <c r="D1535" s="221">
        <v>25.25</v>
      </c>
      <c r="E1535" s="221">
        <v>38.598996749035535</v>
      </c>
      <c r="F1535" s="221">
        <v>2.5768284643916193</v>
      </c>
      <c r="G1535" s="222" t="s">
        <v>2942</v>
      </c>
    </row>
    <row r="1536" spans="1:7">
      <c r="A1536" s="220" t="s">
        <v>995</v>
      </c>
      <c r="B1536" s="221">
        <v>0</v>
      </c>
      <c r="C1536" s="221">
        <v>385</v>
      </c>
      <c r="D1536" s="221">
        <v>25.25</v>
      </c>
      <c r="E1536" s="221">
        <v>56.597196749035533</v>
      </c>
      <c r="F1536" s="221">
        <v>2.5768284643916193</v>
      </c>
      <c r="G1536" s="222" t="s">
        <v>2942</v>
      </c>
    </row>
    <row r="1537" spans="1:7">
      <c r="A1537" s="220" t="s">
        <v>996</v>
      </c>
      <c r="B1537" s="221">
        <v>0</v>
      </c>
      <c r="C1537" s="221">
        <v>385</v>
      </c>
      <c r="D1537" s="221">
        <v>25.25</v>
      </c>
      <c r="E1537" s="221">
        <v>61.505796749035532</v>
      </c>
      <c r="F1537" s="221">
        <v>2.5768284643916193</v>
      </c>
      <c r="G1537" s="222" t="s">
        <v>2942</v>
      </c>
    </row>
    <row r="1538" spans="1:7">
      <c r="A1538" s="220" t="s">
        <v>997</v>
      </c>
      <c r="B1538" s="221">
        <v>0</v>
      </c>
      <c r="C1538" s="221">
        <v>545</v>
      </c>
      <c r="D1538" s="221">
        <v>25.25</v>
      </c>
      <c r="E1538" s="221">
        <v>66.414396749035532</v>
      </c>
      <c r="F1538" s="221">
        <v>2.5768284643916193</v>
      </c>
      <c r="G1538" s="222" t="s">
        <v>2942</v>
      </c>
    </row>
    <row r="1539" spans="1:7">
      <c r="A1539" s="220" t="s">
        <v>998</v>
      </c>
      <c r="B1539" s="221">
        <v>0</v>
      </c>
      <c r="C1539" s="221">
        <v>655</v>
      </c>
      <c r="D1539" s="221">
        <v>25.25</v>
      </c>
      <c r="E1539" s="221">
        <v>70.504896749035538</v>
      </c>
      <c r="F1539" s="221">
        <v>2.5768284643916193</v>
      </c>
      <c r="G1539" s="222" t="s">
        <v>2942</v>
      </c>
    </row>
    <row r="1540" spans="1:7">
      <c r="A1540" s="220" t="s">
        <v>999</v>
      </c>
      <c r="B1540" s="221">
        <v>0</v>
      </c>
      <c r="C1540" s="221">
        <v>715</v>
      </c>
      <c r="D1540" s="221">
        <v>25.25</v>
      </c>
      <c r="E1540" s="221">
        <v>75.413496749035545</v>
      </c>
      <c r="F1540" s="221">
        <v>2.5768284643916193</v>
      </c>
      <c r="G1540" s="222" t="s">
        <v>2942</v>
      </c>
    </row>
    <row r="1541" spans="1:7">
      <c r="A1541" s="220" t="s">
        <v>1000</v>
      </c>
      <c r="B1541" s="221">
        <v>0</v>
      </c>
      <c r="C1541" s="221">
        <v>790</v>
      </c>
      <c r="D1541" s="221">
        <v>25.25</v>
      </c>
      <c r="E1541" s="221">
        <v>100.77459674903554</v>
      </c>
      <c r="F1541" s="221">
        <v>2.5768284643916193</v>
      </c>
      <c r="G1541" s="222" t="s">
        <v>2942</v>
      </c>
    </row>
    <row r="1542" spans="1:7">
      <c r="A1542" s="220" t="s">
        <v>1001</v>
      </c>
      <c r="B1542" s="221">
        <v>0</v>
      </c>
      <c r="C1542" s="221">
        <v>865</v>
      </c>
      <c r="D1542" s="221">
        <v>25.25</v>
      </c>
      <c r="E1542" s="221">
        <v>108.95559674903554</v>
      </c>
      <c r="F1542" s="221">
        <v>2.5768284643916193</v>
      </c>
      <c r="G1542" s="222" t="s">
        <v>2942</v>
      </c>
    </row>
    <row r="1543" spans="1:7">
      <c r="A1543" s="220" t="s">
        <v>1002</v>
      </c>
      <c r="B1543" s="221">
        <v>0</v>
      </c>
      <c r="C1543" s="221">
        <v>970</v>
      </c>
      <c r="D1543" s="221">
        <v>25.25</v>
      </c>
      <c r="E1543" s="221">
        <v>133.49859674903553</v>
      </c>
      <c r="F1543" s="221">
        <v>2.5768284643916193</v>
      </c>
      <c r="G1543" s="222" t="s">
        <v>2942</v>
      </c>
    </row>
    <row r="1544" spans="1:7">
      <c r="A1544" s="220" t="s">
        <v>1003</v>
      </c>
      <c r="B1544" s="221">
        <v>0</v>
      </c>
      <c r="C1544" s="221">
        <v>1155</v>
      </c>
      <c r="D1544" s="221">
        <v>25.25</v>
      </c>
      <c r="E1544" s="221">
        <v>158.04159674903553</v>
      </c>
      <c r="F1544" s="221">
        <v>2.5768284643916193</v>
      </c>
      <c r="G1544" s="222" t="s">
        <v>2942</v>
      </c>
    </row>
    <row r="1545" spans="1:7">
      <c r="A1545" s="220" t="s">
        <v>1004</v>
      </c>
      <c r="B1545" s="221">
        <v>0</v>
      </c>
      <c r="C1545" s="221">
        <v>1230</v>
      </c>
      <c r="D1545" s="221">
        <v>25.25</v>
      </c>
      <c r="E1545" s="221">
        <v>186.67509674903553</v>
      </c>
      <c r="F1545" s="221">
        <v>2.5768284643916193</v>
      </c>
      <c r="G1545" s="222" t="s">
        <v>2942</v>
      </c>
    </row>
    <row r="1546" spans="1:7">
      <c r="A1546" s="220" t="s">
        <v>1005</v>
      </c>
      <c r="B1546" s="221">
        <v>0</v>
      </c>
      <c r="C1546" s="221">
        <v>1280</v>
      </c>
      <c r="D1546" s="221">
        <v>25.25</v>
      </c>
      <c r="E1546" s="221">
        <v>207.12759674903552</v>
      </c>
      <c r="F1546" s="221">
        <v>2.5768284643916193</v>
      </c>
      <c r="G1546" s="222" t="s">
        <v>2942</v>
      </c>
    </row>
    <row r="1547" spans="1:7">
      <c r="A1547" s="220" t="s">
        <v>1006</v>
      </c>
      <c r="B1547" s="221">
        <v>0</v>
      </c>
      <c r="C1547" s="221">
        <v>1560</v>
      </c>
      <c r="D1547" s="221">
        <v>25.25</v>
      </c>
      <c r="E1547" s="221">
        <v>248.03259674903552</v>
      </c>
      <c r="F1547" s="221">
        <v>2.5768284643916193</v>
      </c>
      <c r="G1547" s="222" t="s">
        <v>2942</v>
      </c>
    </row>
    <row r="1548" spans="1:7">
      <c r="A1548" s="220" t="s">
        <v>1007</v>
      </c>
      <c r="B1548" s="221">
        <v>0</v>
      </c>
      <c r="C1548" s="221">
        <v>1640</v>
      </c>
      <c r="D1548" s="221">
        <v>25.25</v>
      </c>
      <c r="E1548" s="221">
        <v>288.93759674903555</v>
      </c>
      <c r="F1548" s="221">
        <v>2.5768284643916193</v>
      </c>
      <c r="G1548" s="222" t="s">
        <v>2942</v>
      </c>
    </row>
    <row r="1549" spans="1:7">
      <c r="A1549" s="220" t="s">
        <v>1008</v>
      </c>
      <c r="B1549" s="221">
        <v>0</v>
      </c>
      <c r="C1549" s="221">
        <v>1880</v>
      </c>
      <c r="D1549" s="221">
        <v>25.25</v>
      </c>
      <c r="E1549" s="221">
        <v>350.29509674903551</v>
      </c>
      <c r="F1549" s="221">
        <v>2.5768284643916193</v>
      </c>
      <c r="G1549" s="222" t="s">
        <v>2942</v>
      </c>
    </row>
    <row r="1550" spans="1:7">
      <c r="A1550" s="220" t="s">
        <v>1009</v>
      </c>
      <c r="B1550" s="221">
        <v>0</v>
      </c>
      <c r="C1550" s="221">
        <v>2025</v>
      </c>
      <c r="D1550" s="221">
        <v>25.25</v>
      </c>
      <c r="E1550" s="221">
        <v>391.20009674903554</v>
      </c>
      <c r="F1550" s="221">
        <v>2.5768284643916193</v>
      </c>
      <c r="G1550" s="222" t="s">
        <v>2942</v>
      </c>
    </row>
    <row r="1551" spans="1:7">
      <c r="A1551" s="220" t="s">
        <v>1010</v>
      </c>
      <c r="B1551" s="221">
        <v>0</v>
      </c>
      <c r="C1551" s="221">
        <v>2145</v>
      </c>
      <c r="D1551" s="221">
        <v>25.25</v>
      </c>
      <c r="E1551" s="221">
        <v>432.10509674903551</v>
      </c>
      <c r="F1551" s="221">
        <v>2.5768284643916193</v>
      </c>
      <c r="G1551" s="222" t="s">
        <v>2942</v>
      </c>
    </row>
    <row r="1552" spans="1:7">
      <c r="A1552" s="220" t="s">
        <v>1239</v>
      </c>
      <c r="B1552" s="221">
        <v>0</v>
      </c>
      <c r="C1552" s="221">
        <v>70</v>
      </c>
      <c r="D1552" s="221">
        <v>25.25</v>
      </c>
      <c r="E1552" s="221">
        <v>25.157889643782482</v>
      </c>
      <c r="F1552" s="221">
        <v>1.4188016275074058</v>
      </c>
      <c r="G1552" s="222" t="s">
        <v>2942</v>
      </c>
    </row>
    <row r="1553" spans="1:7">
      <c r="A1553" s="220" t="s">
        <v>1240</v>
      </c>
      <c r="B1553" s="221">
        <v>0</v>
      </c>
      <c r="C1553" s="221">
        <v>70</v>
      </c>
      <c r="D1553" s="221">
        <v>25.25</v>
      </c>
      <c r="E1553" s="221">
        <v>28.430289643782476</v>
      </c>
      <c r="F1553" s="221">
        <v>1.4188016275074058</v>
      </c>
      <c r="G1553" s="222" t="s">
        <v>2942</v>
      </c>
    </row>
    <row r="1554" spans="1:7">
      <c r="A1554" s="220" t="s">
        <v>1241</v>
      </c>
      <c r="B1554" s="221">
        <v>0</v>
      </c>
      <c r="C1554" s="221">
        <v>80</v>
      </c>
      <c r="D1554" s="221">
        <v>25.25</v>
      </c>
      <c r="E1554" s="221">
        <v>32.520789643782479</v>
      </c>
      <c r="F1554" s="221">
        <v>1.4188016275074058</v>
      </c>
      <c r="G1554" s="222" t="s">
        <v>2942</v>
      </c>
    </row>
    <row r="1555" spans="1:7">
      <c r="A1555" s="220" t="s">
        <v>1242</v>
      </c>
      <c r="B1555" s="221">
        <v>0</v>
      </c>
      <c r="C1555" s="221">
        <v>90</v>
      </c>
      <c r="D1555" s="221">
        <v>25.25</v>
      </c>
      <c r="E1555" s="221">
        <v>32.520789643782479</v>
      </c>
      <c r="F1555" s="221">
        <v>1.4188016275074058</v>
      </c>
      <c r="G1555" s="222" t="s">
        <v>2942</v>
      </c>
    </row>
    <row r="1556" spans="1:7">
      <c r="A1556" s="220" t="s">
        <v>1243</v>
      </c>
      <c r="B1556" s="221">
        <v>0</v>
      </c>
      <c r="C1556" s="221">
        <v>90</v>
      </c>
      <c r="D1556" s="221">
        <v>25.25</v>
      </c>
      <c r="E1556" s="221">
        <v>32.520789643782479</v>
      </c>
      <c r="F1556" s="221">
        <v>1.4188016275074058</v>
      </c>
      <c r="G1556" s="222" t="s">
        <v>2942</v>
      </c>
    </row>
    <row r="1557" spans="1:7">
      <c r="A1557" s="220" t="s">
        <v>1244</v>
      </c>
      <c r="B1557" s="221">
        <v>0</v>
      </c>
      <c r="C1557" s="221">
        <v>95</v>
      </c>
      <c r="D1557" s="221">
        <v>25.25</v>
      </c>
      <c r="E1557" s="221">
        <v>32.520789643782479</v>
      </c>
      <c r="F1557" s="221">
        <v>1.4188016275074058</v>
      </c>
      <c r="G1557" s="222" t="s">
        <v>2942</v>
      </c>
    </row>
    <row r="1558" spans="1:7">
      <c r="A1558" s="220" t="s">
        <v>1245</v>
      </c>
      <c r="B1558" s="221">
        <v>0</v>
      </c>
      <c r="C1558" s="221">
        <v>100</v>
      </c>
      <c r="D1558" s="221">
        <v>25.25</v>
      </c>
      <c r="E1558" s="221">
        <v>32.520789643782479</v>
      </c>
      <c r="F1558" s="221">
        <v>1.4188016275074058</v>
      </c>
      <c r="G1558" s="222" t="s">
        <v>2942</v>
      </c>
    </row>
    <row r="1559" spans="1:7">
      <c r="A1559" s="220" t="s">
        <v>1246</v>
      </c>
      <c r="B1559" s="221">
        <v>0</v>
      </c>
      <c r="C1559" s="221">
        <v>115</v>
      </c>
      <c r="D1559" s="221">
        <v>25.25</v>
      </c>
      <c r="E1559" s="221">
        <v>32.520789643782479</v>
      </c>
      <c r="F1559" s="221">
        <v>1.4188016275074058</v>
      </c>
      <c r="G1559" s="222" t="s">
        <v>2942</v>
      </c>
    </row>
    <row r="1560" spans="1:7">
      <c r="A1560" s="220" t="s">
        <v>1247</v>
      </c>
      <c r="B1560" s="221">
        <v>0</v>
      </c>
      <c r="C1560" s="221">
        <v>120</v>
      </c>
      <c r="D1560" s="221">
        <v>25.25</v>
      </c>
      <c r="E1560" s="221">
        <v>37.429389643782478</v>
      </c>
      <c r="F1560" s="221">
        <v>1.4188016275074058</v>
      </c>
      <c r="G1560" s="222" t="s">
        <v>2942</v>
      </c>
    </row>
    <row r="1561" spans="1:7">
      <c r="A1561" s="220" t="s">
        <v>1248</v>
      </c>
      <c r="B1561" s="221">
        <v>0</v>
      </c>
      <c r="C1561" s="221">
        <v>130</v>
      </c>
      <c r="D1561" s="221">
        <v>25.25</v>
      </c>
      <c r="E1561" s="221">
        <v>46.428489643782484</v>
      </c>
      <c r="F1561" s="221">
        <v>1.4188016275074058</v>
      </c>
      <c r="G1561" s="222" t="s">
        <v>2942</v>
      </c>
    </row>
    <row r="1562" spans="1:7">
      <c r="A1562" s="220" t="s">
        <v>1249</v>
      </c>
      <c r="B1562" s="221">
        <v>0</v>
      </c>
      <c r="C1562" s="221">
        <v>145</v>
      </c>
      <c r="D1562" s="221">
        <v>25.25</v>
      </c>
      <c r="E1562" s="221">
        <v>50.518989643782483</v>
      </c>
      <c r="F1562" s="221">
        <v>1.4188016275074058</v>
      </c>
      <c r="G1562" s="222" t="s">
        <v>2942</v>
      </c>
    </row>
    <row r="1563" spans="1:7">
      <c r="A1563" s="220" t="s">
        <v>1250</v>
      </c>
      <c r="B1563" s="221">
        <v>0</v>
      </c>
      <c r="C1563" s="221">
        <v>175</v>
      </c>
      <c r="D1563" s="221">
        <v>25.25</v>
      </c>
      <c r="E1563" s="221">
        <v>66.88098964378247</v>
      </c>
      <c r="F1563" s="221">
        <v>1.4188016275074058</v>
      </c>
      <c r="G1563" s="222" t="s">
        <v>2942</v>
      </c>
    </row>
    <row r="1564" spans="1:7">
      <c r="A1564" s="220" t="s">
        <v>1251</v>
      </c>
      <c r="B1564" s="221">
        <v>0</v>
      </c>
      <c r="C1564" s="221">
        <v>210</v>
      </c>
      <c r="D1564" s="221">
        <v>25.25</v>
      </c>
      <c r="E1564" s="221">
        <v>83.242989643782479</v>
      </c>
      <c r="F1564" s="221">
        <v>1.4188016275074058</v>
      </c>
      <c r="G1564" s="222" t="s">
        <v>2942</v>
      </c>
    </row>
    <row r="1565" spans="1:7">
      <c r="A1565" s="220" t="s">
        <v>1252</v>
      </c>
      <c r="B1565" s="221">
        <v>0</v>
      </c>
      <c r="C1565" s="221">
        <v>230</v>
      </c>
      <c r="D1565" s="221">
        <v>25.25</v>
      </c>
      <c r="E1565" s="221">
        <v>91.423989643782477</v>
      </c>
      <c r="F1565" s="221">
        <v>1.4188016275074058</v>
      </c>
      <c r="G1565" s="222" t="s">
        <v>2942</v>
      </c>
    </row>
    <row r="1566" spans="1:7">
      <c r="A1566" s="220" t="s">
        <v>1253</v>
      </c>
      <c r="B1566" s="221">
        <v>0</v>
      </c>
      <c r="C1566" s="221">
        <v>285</v>
      </c>
      <c r="D1566" s="221">
        <v>25.25</v>
      </c>
      <c r="E1566" s="221">
        <v>132.32898964378248</v>
      </c>
      <c r="F1566" s="221">
        <v>1.4188016275074058</v>
      </c>
      <c r="G1566" s="222" t="s">
        <v>2942</v>
      </c>
    </row>
    <row r="1567" spans="1:7">
      <c r="A1567" s="220" t="s">
        <v>1254</v>
      </c>
      <c r="B1567" s="221">
        <v>0</v>
      </c>
      <c r="C1567" s="221">
        <v>300</v>
      </c>
      <c r="D1567" s="221">
        <v>25.25</v>
      </c>
      <c r="E1567" s="221">
        <v>152.78148964378246</v>
      </c>
      <c r="F1567" s="221">
        <v>1.4188016275074058</v>
      </c>
      <c r="G1567" s="222" t="s">
        <v>2942</v>
      </c>
    </row>
    <row r="1568" spans="1:7">
      <c r="A1568" s="220" t="s">
        <v>1255</v>
      </c>
      <c r="B1568" s="221">
        <v>0</v>
      </c>
      <c r="C1568" s="221">
        <v>350</v>
      </c>
      <c r="D1568" s="221">
        <v>25.25</v>
      </c>
      <c r="E1568" s="221">
        <v>189.59598964378247</v>
      </c>
      <c r="F1568" s="221">
        <v>1.4188016275074058</v>
      </c>
      <c r="G1568" s="222" t="s">
        <v>2942</v>
      </c>
    </row>
    <row r="1569" spans="1:7">
      <c r="A1569" s="220" t="s">
        <v>1256</v>
      </c>
      <c r="B1569" s="221">
        <v>0</v>
      </c>
      <c r="C1569" s="221">
        <v>405</v>
      </c>
      <c r="D1569" s="221">
        <v>25.25</v>
      </c>
      <c r="E1569" s="221">
        <v>214.13898964378248</v>
      </c>
      <c r="F1569" s="221">
        <v>1.4188016275074058</v>
      </c>
      <c r="G1569" s="222" t="s">
        <v>2942</v>
      </c>
    </row>
    <row r="1570" spans="1:7">
      <c r="A1570" s="220" t="s">
        <v>1257</v>
      </c>
      <c r="B1570" s="221">
        <v>0</v>
      </c>
      <c r="C1570" s="221">
        <v>450</v>
      </c>
      <c r="D1570" s="221">
        <v>25.25</v>
      </c>
      <c r="E1570" s="221">
        <v>234.59148964378247</v>
      </c>
      <c r="F1570" s="221">
        <v>1.4188016275074058</v>
      </c>
      <c r="G1570" s="222" t="s">
        <v>2942</v>
      </c>
    </row>
    <row r="1571" spans="1:7">
      <c r="A1571" s="220" t="s">
        <v>1258</v>
      </c>
      <c r="B1571" s="221">
        <v>0</v>
      </c>
      <c r="C1571" s="221">
        <v>75</v>
      </c>
      <c r="D1571" s="221">
        <v>25.25</v>
      </c>
      <c r="E1571" s="221">
        <v>25.157889643782482</v>
      </c>
      <c r="F1571" s="221">
        <v>1.4188016275074058</v>
      </c>
      <c r="G1571" s="222" t="s">
        <v>2942</v>
      </c>
    </row>
    <row r="1572" spans="1:7">
      <c r="A1572" s="220" t="s">
        <v>1259</v>
      </c>
      <c r="B1572" s="221">
        <v>0</v>
      </c>
      <c r="C1572" s="221">
        <v>75</v>
      </c>
      <c r="D1572" s="221">
        <v>25.25</v>
      </c>
      <c r="E1572" s="221">
        <v>28.430289643782476</v>
      </c>
      <c r="F1572" s="221">
        <v>1.4188016275074058</v>
      </c>
      <c r="G1572" s="222" t="s">
        <v>2942</v>
      </c>
    </row>
    <row r="1573" spans="1:7">
      <c r="A1573" s="220" t="s">
        <v>1260</v>
      </c>
      <c r="B1573" s="221">
        <v>0</v>
      </c>
      <c r="C1573" s="221">
        <v>85</v>
      </c>
      <c r="D1573" s="221">
        <v>25.25</v>
      </c>
      <c r="E1573" s="221">
        <v>32.520789643782479</v>
      </c>
      <c r="F1573" s="221">
        <v>1.4188016275074058</v>
      </c>
      <c r="G1573" s="222" t="s">
        <v>2942</v>
      </c>
    </row>
    <row r="1574" spans="1:7">
      <c r="A1574" s="220" t="s">
        <v>1261</v>
      </c>
      <c r="B1574" s="221">
        <v>0</v>
      </c>
      <c r="C1574" s="221">
        <v>120</v>
      </c>
      <c r="D1574" s="221">
        <v>25.25</v>
      </c>
      <c r="E1574" s="221">
        <v>32.520789643782479</v>
      </c>
      <c r="F1574" s="221">
        <v>1.4188016275074058</v>
      </c>
      <c r="G1574" s="222" t="s">
        <v>2942</v>
      </c>
    </row>
    <row r="1575" spans="1:7">
      <c r="A1575" s="220" t="s">
        <v>1262</v>
      </c>
      <c r="B1575" s="221">
        <v>0</v>
      </c>
      <c r="C1575" s="221">
        <v>120</v>
      </c>
      <c r="D1575" s="221">
        <v>25.25</v>
      </c>
      <c r="E1575" s="221">
        <v>32.520789643782479</v>
      </c>
      <c r="F1575" s="221">
        <v>1.4188016275074058</v>
      </c>
      <c r="G1575" s="222" t="s">
        <v>2942</v>
      </c>
    </row>
    <row r="1576" spans="1:7">
      <c r="A1576" s="220" t="s">
        <v>1263</v>
      </c>
      <c r="B1576" s="221">
        <v>0</v>
      </c>
      <c r="C1576" s="221">
        <v>125</v>
      </c>
      <c r="D1576" s="221">
        <v>25.25</v>
      </c>
      <c r="E1576" s="221">
        <v>32.520789643782479</v>
      </c>
      <c r="F1576" s="221">
        <v>1.4188016275074058</v>
      </c>
      <c r="G1576" s="222" t="s">
        <v>2942</v>
      </c>
    </row>
    <row r="1577" spans="1:7">
      <c r="A1577" s="220" t="s">
        <v>1264</v>
      </c>
      <c r="B1577" s="221">
        <v>0</v>
      </c>
      <c r="C1577" s="221">
        <v>145</v>
      </c>
      <c r="D1577" s="221">
        <v>25.25</v>
      </c>
      <c r="E1577" s="221">
        <v>32.520789643782479</v>
      </c>
      <c r="F1577" s="221">
        <v>1.4188016275074058</v>
      </c>
      <c r="G1577" s="222" t="s">
        <v>2942</v>
      </c>
    </row>
    <row r="1578" spans="1:7">
      <c r="A1578" s="220" t="s">
        <v>1265</v>
      </c>
      <c r="B1578" s="221">
        <v>0</v>
      </c>
      <c r="C1578" s="221">
        <v>150</v>
      </c>
      <c r="D1578" s="221">
        <v>25.25</v>
      </c>
      <c r="E1578" s="221">
        <v>32.520789643782479</v>
      </c>
      <c r="F1578" s="221">
        <v>1.4188016275074058</v>
      </c>
      <c r="G1578" s="222" t="s">
        <v>2942</v>
      </c>
    </row>
    <row r="1579" spans="1:7">
      <c r="A1579" s="220" t="s">
        <v>1266</v>
      </c>
      <c r="B1579" s="221">
        <v>0</v>
      </c>
      <c r="C1579" s="221">
        <v>225</v>
      </c>
      <c r="D1579" s="221">
        <v>25.25</v>
      </c>
      <c r="E1579" s="221">
        <v>37.429389643782478</v>
      </c>
      <c r="F1579" s="221">
        <v>1.4188016275074058</v>
      </c>
      <c r="G1579" s="222" t="s">
        <v>2942</v>
      </c>
    </row>
    <row r="1580" spans="1:7">
      <c r="A1580" s="220" t="s">
        <v>1267</v>
      </c>
      <c r="B1580" s="221">
        <v>0</v>
      </c>
      <c r="C1580" s="221">
        <v>260</v>
      </c>
      <c r="D1580" s="221">
        <v>25.25</v>
      </c>
      <c r="E1580" s="221">
        <v>46.428489643782484</v>
      </c>
      <c r="F1580" s="221">
        <v>1.4188016275074058</v>
      </c>
      <c r="G1580" s="222" t="s">
        <v>2942</v>
      </c>
    </row>
    <row r="1581" spans="1:7">
      <c r="A1581" s="220" t="s">
        <v>1268</v>
      </c>
      <c r="B1581" s="221">
        <v>0</v>
      </c>
      <c r="C1581" s="221">
        <v>345</v>
      </c>
      <c r="D1581" s="221">
        <v>25.25</v>
      </c>
      <c r="E1581" s="221">
        <v>50.518989643782483</v>
      </c>
      <c r="F1581" s="221">
        <v>1.4188016275074058</v>
      </c>
      <c r="G1581" s="222" t="s">
        <v>2942</v>
      </c>
    </row>
    <row r="1582" spans="1:7">
      <c r="A1582" s="220" t="s">
        <v>1269</v>
      </c>
      <c r="B1582" s="221">
        <v>0</v>
      </c>
      <c r="C1582" s="221">
        <v>520</v>
      </c>
      <c r="D1582" s="221">
        <v>25.25</v>
      </c>
      <c r="E1582" s="221">
        <v>66.88098964378247</v>
      </c>
      <c r="F1582" s="221">
        <v>1.4188016275074058</v>
      </c>
      <c r="G1582" s="222" t="s">
        <v>2942</v>
      </c>
    </row>
    <row r="1583" spans="1:7">
      <c r="A1583" s="220" t="s">
        <v>1270</v>
      </c>
      <c r="B1583" s="221">
        <v>0</v>
      </c>
      <c r="C1583" s="221">
        <v>610</v>
      </c>
      <c r="D1583" s="221">
        <v>25.25</v>
      </c>
      <c r="E1583" s="221">
        <v>83.242989643782479</v>
      </c>
      <c r="F1583" s="221">
        <v>1.4188016275074058</v>
      </c>
      <c r="G1583" s="222" t="s">
        <v>2942</v>
      </c>
    </row>
    <row r="1584" spans="1:7">
      <c r="A1584" s="220" t="s">
        <v>1271</v>
      </c>
      <c r="B1584" s="221">
        <v>0</v>
      </c>
      <c r="C1584" s="221">
        <v>670</v>
      </c>
      <c r="D1584" s="221">
        <v>25.25</v>
      </c>
      <c r="E1584" s="221">
        <v>91.423989643782477</v>
      </c>
      <c r="F1584" s="221">
        <v>1.4188016275074058</v>
      </c>
      <c r="G1584" s="222" t="s">
        <v>2942</v>
      </c>
    </row>
    <row r="1585" spans="1:7">
      <c r="A1585" s="220" t="s">
        <v>1272</v>
      </c>
      <c r="B1585" s="221">
        <v>0</v>
      </c>
      <c r="C1585" s="221">
        <v>820</v>
      </c>
      <c r="D1585" s="221">
        <v>25.25</v>
      </c>
      <c r="E1585" s="221">
        <v>132.32898964378248</v>
      </c>
      <c r="F1585" s="221">
        <v>1.4188016275074058</v>
      </c>
      <c r="G1585" s="222" t="s">
        <v>2942</v>
      </c>
    </row>
    <row r="1586" spans="1:7">
      <c r="A1586" s="220" t="s">
        <v>1273</v>
      </c>
      <c r="B1586" s="221">
        <v>0</v>
      </c>
      <c r="C1586" s="221">
        <v>890</v>
      </c>
      <c r="D1586" s="221">
        <v>25.25</v>
      </c>
      <c r="E1586" s="221">
        <v>152.78148964378246</v>
      </c>
      <c r="F1586" s="221">
        <v>1.4188016275074058</v>
      </c>
      <c r="G1586" s="222" t="s">
        <v>2942</v>
      </c>
    </row>
    <row r="1587" spans="1:7">
      <c r="A1587" s="220" t="s">
        <v>1274</v>
      </c>
      <c r="B1587" s="221">
        <v>0</v>
      </c>
      <c r="C1587" s="221">
        <v>1020</v>
      </c>
      <c r="D1587" s="221">
        <v>25.25</v>
      </c>
      <c r="E1587" s="221">
        <v>189.59598964378247</v>
      </c>
      <c r="F1587" s="221">
        <v>1.4188016275074058</v>
      </c>
      <c r="G1587" s="222" t="s">
        <v>2942</v>
      </c>
    </row>
    <row r="1588" spans="1:7">
      <c r="A1588" s="220" t="s">
        <v>1275</v>
      </c>
      <c r="B1588" s="221">
        <v>0</v>
      </c>
      <c r="C1588" s="221">
        <v>1120</v>
      </c>
      <c r="D1588" s="221">
        <v>25.25</v>
      </c>
      <c r="E1588" s="221">
        <v>214.13898964378248</v>
      </c>
      <c r="F1588" s="221">
        <v>1.4188016275074058</v>
      </c>
      <c r="G1588" s="222" t="s">
        <v>2942</v>
      </c>
    </row>
    <row r="1589" spans="1:7">
      <c r="A1589" s="220" t="s">
        <v>1276</v>
      </c>
      <c r="B1589" s="221">
        <v>0</v>
      </c>
      <c r="C1589" s="221">
        <v>1185</v>
      </c>
      <c r="D1589" s="221">
        <v>25.25</v>
      </c>
      <c r="E1589" s="221">
        <v>234.59148964378247</v>
      </c>
      <c r="F1589" s="221">
        <v>1.4188016275074058</v>
      </c>
      <c r="G1589" s="222" t="s">
        <v>2942</v>
      </c>
    </row>
    <row r="1590" spans="1:7">
      <c r="A1590" s="220" t="s">
        <v>1277</v>
      </c>
      <c r="B1590" s="221">
        <v>0</v>
      </c>
      <c r="C1590" s="221">
        <v>80</v>
      </c>
      <c r="D1590" s="221">
        <v>25.25</v>
      </c>
      <c r="E1590" s="221">
        <v>26.327496749035536</v>
      </c>
      <c r="F1590" s="221">
        <v>2.5768284643916193</v>
      </c>
      <c r="G1590" s="222" t="s">
        <v>2942</v>
      </c>
    </row>
    <row r="1591" spans="1:7">
      <c r="A1591" s="220" t="s">
        <v>1278</v>
      </c>
      <c r="B1591" s="221">
        <v>0</v>
      </c>
      <c r="C1591" s="221">
        <v>80</v>
      </c>
      <c r="D1591" s="221">
        <v>25.25</v>
      </c>
      <c r="E1591" s="221">
        <v>29.59989674903553</v>
      </c>
      <c r="F1591" s="221">
        <v>2.5768284643916193</v>
      </c>
      <c r="G1591" s="222" t="s">
        <v>2942</v>
      </c>
    </row>
    <row r="1592" spans="1:7">
      <c r="A1592" s="220" t="s">
        <v>1279</v>
      </c>
      <c r="B1592" s="221">
        <v>0</v>
      </c>
      <c r="C1592" s="221">
        <v>90</v>
      </c>
      <c r="D1592" s="221">
        <v>25.25</v>
      </c>
      <c r="E1592" s="221">
        <v>33.690396749035536</v>
      </c>
      <c r="F1592" s="221">
        <v>2.5768284643916193</v>
      </c>
      <c r="G1592" s="222" t="s">
        <v>2942</v>
      </c>
    </row>
    <row r="1593" spans="1:7">
      <c r="A1593" s="220" t="s">
        <v>1280</v>
      </c>
      <c r="B1593" s="221">
        <v>0</v>
      </c>
      <c r="C1593" s="221">
        <v>150</v>
      </c>
      <c r="D1593" s="221">
        <v>25.25</v>
      </c>
      <c r="E1593" s="221">
        <v>33.690396749035536</v>
      </c>
      <c r="F1593" s="221">
        <v>2.5768284643916193</v>
      </c>
      <c r="G1593" s="222" t="s">
        <v>2942</v>
      </c>
    </row>
    <row r="1594" spans="1:7">
      <c r="A1594" s="220" t="s">
        <v>1281</v>
      </c>
      <c r="B1594" s="221">
        <v>0</v>
      </c>
      <c r="C1594" s="221">
        <v>150</v>
      </c>
      <c r="D1594" s="221">
        <v>25.25</v>
      </c>
      <c r="E1594" s="221">
        <v>33.690396749035536</v>
      </c>
      <c r="F1594" s="221">
        <v>2.5768284643916193</v>
      </c>
      <c r="G1594" s="222" t="s">
        <v>2942</v>
      </c>
    </row>
    <row r="1595" spans="1:7">
      <c r="A1595" s="220" t="s">
        <v>1282</v>
      </c>
      <c r="B1595" s="221">
        <v>0</v>
      </c>
      <c r="C1595" s="221">
        <v>155</v>
      </c>
      <c r="D1595" s="221">
        <v>25.25</v>
      </c>
      <c r="E1595" s="221">
        <v>33.690396749035536</v>
      </c>
      <c r="F1595" s="221">
        <v>2.5768284643916193</v>
      </c>
      <c r="G1595" s="222" t="s">
        <v>2942</v>
      </c>
    </row>
    <row r="1596" spans="1:7">
      <c r="A1596" s="220" t="s">
        <v>1283</v>
      </c>
      <c r="B1596" s="221">
        <v>0</v>
      </c>
      <c r="C1596" s="221">
        <v>215</v>
      </c>
      <c r="D1596" s="221">
        <v>25.25</v>
      </c>
      <c r="E1596" s="221">
        <v>33.690396749035536</v>
      </c>
      <c r="F1596" s="221">
        <v>2.5768284643916193</v>
      </c>
      <c r="G1596" s="222" t="s">
        <v>2942</v>
      </c>
    </row>
    <row r="1597" spans="1:7">
      <c r="A1597" s="220" t="s">
        <v>1284</v>
      </c>
      <c r="B1597" s="221">
        <v>0</v>
      </c>
      <c r="C1597" s="221">
        <v>240</v>
      </c>
      <c r="D1597" s="221">
        <v>25.25</v>
      </c>
      <c r="E1597" s="221">
        <v>33.690396749035536</v>
      </c>
      <c r="F1597" s="221">
        <v>2.5768284643916193</v>
      </c>
      <c r="G1597" s="222" t="s">
        <v>2942</v>
      </c>
    </row>
    <row r="1598" spans="1:7">
      <c r="A1598" s="220" t="s">
        <v>1285</v>
      </c>
      <c r="B1598" s="221">
        <v>0</v>
      </c>
      <c r="C1598" s="221">
        <v>340</v>
      </c>
      <c r="D1598" s="221">
        <v>25.25</v>
      </c>
      <c r="E1598" s="221">
        <v>38.598996749035535</v>
      </c>
      <c r="F1598" s="221">
        <v>2.5768284643916193</v>
      </c>
      <c r="G1598" s="222" t="s">
        <v>2942</v>
      </c>
    </row>
    <row r="1599" spans="1:7">
      <c r="A1599" s="220" t="s">
        <v>1286</v>
      </c>
      <c r="B1599" s="221">
        <v>0</v>
      </c>
      <c r="C1599" s="221">
        <v>395</v>
      </c>
      <c r="D1599" s="221">
        <v>25.25</v>
      </c>
      <c r="E1599" s="221">
        <v>47.598096749035541</v>
      </c>
      <c r="F1599" s="221">
        <v>2.5768284643916193</v>
      </c>
      <c r="G1599" s="222" t="s">
        <v>2942</v>
      </c>
    </row>
    <row r="1600" spans="1:7">
      <c r="A1600" s="220" t="s">
        <v>1287</v>
      </c>
      <c r="B1600" s="221">
        <v>0</v>
      </c>
      <c r="C1600" s="221">
        <v>525</v>
      </c>
      <c r="D1600" s="221">
        <v>25.25</v>
      </c>
      <c r="E1600" s="221">
        <v>51.688596749035533</v>
      </c>
      <c r="F1600" s="221">
        <v>2.5768284643916193</v>
      </c>
      <c r="G1600" s="222" t="s">
        <v>2942</v>
      </c>
    </row>
    <row r="1601" spans="1:7">
      <c r="A1601" s="220" t="s">
        <v>1288</v>
      </c>
      <c r="B1601" s="221">
        <v>0</v>
      </c>
      <c r="C1601" s="221">
        <v>785</v>
      </c>
      <c r="D1601" s="221">
        <v>25.25</v>
      </c>
      <c r="E1601" s="221">
        <v>68.050596749035535</v>
      </c>
      <c r="F1601" s="221">
        <v>2.5768284643916193</v>
      </c>
      <c r="G1601" s="222" t="s">
        <v>2942</v>
      </c>
    </row>
    <row r="1602" spans="1:7">
      <c r="A1602" s="220" t="s">
        <v>1289</v>
      </c>
      <c r="B1602" s="221">
        <v>0</v>
      </c>
      <c r="C1602" s="221">
        <v>920</v>
      </c>
      <c r="D1602" s="221">
        <v>25.25</v>
      </c>
      <c r="E1602" s="221">
        <v>84.412596749035544</v>
      </c>
      <c r="F1602" s="221">
        <v>2.5768284643916193</v>
      </c>
      <c r="G1602" s="222" t="s">
        <v>2942</v>
      </c>
    </row>
    <row r="1603" spans="1:7">
      <c r="A1603" s="220" t="s">
        <v>1290</v>
      </c>
      <c r="B1603" s="221">
        <v>0</v>
      </c>
      <c r="C1603" s="221">
        <v>1005</v>
      </c>
      <c r="D1603" s="221">
        <v>25.25</v>
      </c>
      <c r="E1603" s="221">
        <v>92.593596749035541</v>
      </c>
      <c r="F1603" s="221">
        <v>2.5768284643916193</v>
      </c>
      <c r="G1603" s="222" t="s">
        <v>2942</v>
      </c>
    </row>
    <row r="1604" spans="1:7">
      <c r="A1604" s="220" t="s">
        <v>1291</v>
      </c>
      <c r="B1604" s="221">
        <v>0</v>
      </c>
      <c r="C1604" s="221">
        <v>1230</v>
      </c>
      <c r="D1604" s="221">
        <v>25.25</v>
      </c>
      <c r="E1604" s="221">
        <v>133.49859674903553</v>
      </c>
      <c r="F1604" s="221">
        <v>2.5768284643916193</v>
      </c>
      <c r="G1604" s="222" t="s">
        <v>2942</v>
      </c>
    </row>
    <row r="1605" spans="1:7">
      <c r="A1605" s="220" t="s">
        <v>1292</v>
      </c>
      <c r="B1605" s="221">
        <v>0</v>
      </c>
      <c r="C1605" s="221">
        <v>1330</v>
      </c>
      <c r="D1605" s="221">
        <v>25.25</v>
      </c>
      <c r="E1605" s="221">
        <v>153.95109674903551</v>
      </c>
      <c r="F1605" s="221">
        <v>2.5768284643916193</v>
      </c>
      <c r="G1605" s="222" t="s">
        <v>2942</v>
      </c>
    </row>
    <row r="1606" spans="1:7">
      <c r="A1606" s="220" t="s">
        <v>1293</v>
      </c>
      <c r="B1606" s="221">
        <v>0</v>
      </c>
      <c r="C1606" s="221">
        <v>1530</v>
      </c>
      <c r="D1606" s="221">
        <v>25.25</v>
      </c>
      <c r="E1606" s="221">
        <v>190.7655967490355</v>
      </c>
      <c r="F1606" s="221">
        <v>2.5768284643916193</v>
      </c>
      <c r="G1606" s="222" t="s">
        <v>2942</v>
      </c>
    </row>
    <row r="1607" spans="1:7">
      <c r="A1607" s="220" t="s">
        <v>1294</v>
      </c>
      <c r="B1607" s="221">
        <v>0</v>
      </c>
      <c r="C1607" s="221">
        <v>1680</v>
      </c>
      <c r="D1607" s="221">
        <v>25.25</v>
      </c>
      <c r="E1607" s="221">
        <v>215.30859674903553</v>
      </c>
      <c r="F1607" s="221">
        <v>2.5768284643916193</v>
      </c>
      <c r="G1607" s="222" t="s">
        <v>2942</v>
      </c>
    </row>
    <row r="1608" spans="1:7">
      <c r="A1608" s="220" t="s">
        <v>1295</v>
      </c>
      <c r="B1608" s="221">
        <v>0</v>
      </c>
      <c r="C1608" s="221">
        <v>1775</v>
      </c>
      <c r="D1608" s="221">
        <v>25.25</v>
      </c>
      <c r="E1608" s="221">
        <v>235.76109674903552</v>
      </c>
      <c r="F1608" s="221">
        <v>2.5768284643916193</v>
      </c>
      <c r="G1608" s="222" t="s">
        <v>2942</v>
      </c>
    </row>
    <row r="1609" spans="1:7">
      <c r="A1609" s="220" t="s">
        <v>1296</v>
      </c>
      <c r="B1609" s="221">
        <v>0</v>
      </c>
      <c r="C1609" s="221">
        <v>95</v>
      </c>
      <c r="D1609" s="221">
        <v>25.25</v>
      </c>
      <c r="E1609" s="221">
        <v>20.249289643782479</v>
      </c>
      <c r="F1609" s="221">
        <v>1.4188016275074058</v>
      </c>
      <c r="G1609" s="222" t="s">
        <v>2942</v>
      </c>
    </row>
    <row r="1610" spans="1:7">
      <c r="A1610" s="220" t="s">
        <v>1297</v>
      </c>
      <c r="B1610" s="221">
        <v>0</v>
      </c>
      <c r="C1610" s="221">
        <v>95</v>
      </c>
      <c r="D1610" s="221">
        <v>25.25</v>
      </c>
      <c r="E1610" s="221">
        <v>23.52168964378248</v>
      </c>
      <c r="F1610" s="221">
        <v>1.4188016275074058</v>
      </c>
      <c r="G1610" s="222" t="s">
        <v>2942</v>
      </c>
    </row>
    <row r="1611" spans="1:7">
      <c r="A1611" s="220" t="s">
        <v>1298</v>
      </c>
      <c r="B1611" s="221">
        <v>0</v>
      </c>
      <c r="C1611" s="221">
        <v>100</v>
      </c>
      <c r="D1611" s="221">
        <v>25.25</v>
      </c>
      <c r="E1611" s="221">
        <v>37.429389643782478</v>
      </c>
      <c r="F1611" s="221">
        <v>1.4188016275074058</v>
      </c>
      <c r="G1611" s="222" t="s">
        <v>2942</v>
      </c>
    </row>
    <row r="1612" spans="1:7">
      <c r="A1612" s="220" t="s">
        <v>1299</v>
      </c>
      <c r="B1612" s="221">
        <v>0</v>
      </c>
      <c r="C1612" s="221">
        <v>130</v>
      </c>
      <c r="D1612" s="221">
        <v>25.25</v>
      </c>
      <c r="E1612" s="221">
        <v>55.427589643782483</v>
      </c>
      <c r="F1612" s="221">
        <v>1.4188016275074058</v>
      </c>
      <c r="G1612" s="222" t="s">
        <v>2942</v>
      </c>
    </row>
    <row r="1613" spans="1:7">
      <c r="A1613" s="220" t="s">
        <v>1300</v>
      </c>
      <c r="B1613" s="221">
        <v>0</v>
      </c>
      <c r="C1613" s="221">
        <v>130</v>
      </c>
      <c r="D1613" s="221">
        <v>25.25</v>
      </c>
      <c r="E1613" s="221">
        <v>60.336189643782483</v>
      </c>
      <c r="F1613" s="221">
        <v>1.4188016275074058</v>
      </c>
      <c r="G1613" s="222" t="s">
        <v>2942</v>
      </c>
    </row>
    <row r="1614" spans="1:7">
      <c r="A1614" s="220" t="s">
        <v>1301</v>
      </c>
      <c r="B1614" s="221">
        <v>0</v>
      </c>
      <c r="C1614" s="221">
        <v>145</v>
      </c>
      <c r="D1614" s="221">
        <v>25.25</v>
      </c>
      <c r="E1614" s="221">
        <v>65.244789643782468</v>
      </c>
      <c r="F1614" s="221">
        <v>1.4188016275074058</v>
      </c>
      <c r="G1614" s="222" t="s">
        <v>2942</v>
      </c>
    </row>
    <row r="1615" spans="1:7">
      <c r="A1615" s="220" t="s">
        <v>1302</v>
      </c>
      <c r="B1615" s="221">
        <v>0</v>
      </c>
      <c r="C1615" s="221">
        <v>155</v>
      </c>
      <c r="D1615" s="221">
        <v>25.25</v>
      </c>
      <c r="E1615" s="221">
        <v>69.335289643782488</v>
      </c>
      <c r="F1615" s="221">
        <v>1.4188016275074058</v>
      </c>
      <c r="G1615" s="222" t="s">
        <v>2942</v>
      </c>
    </row>
    <row r="1616" spans="1:7">
      <c r="A1616" s="220" t="s">
        <v>1303</v>
      </c>
      <c r="B1616" s="221">
        <v>0</v>
      </c>
      <c r="C1616" s="221">
        <v>170</v>
      </c>
      <c r="D1616" s="221">
        <v>25.25</v>
      </c>
      <c r="E1616" s="221">
        <v>74.243889643782481</v>
      </c>
      <c r="F1616" s="221">
        <v>1.4188016275074058</v>
      </c>
      <c r="G1616" s="222" t="s">
        <v>2942</v>
      </c>
    </row>
    <row r="1617" spans="1:7">
      <c r="A1617" s="220" t="s">
        <v>1304</v>
      </c>
      <c r="B1617" s="221">
        <v>0</v>
      </c>
      <c r="C1617" s="221">
        <v>210</v>
      </c>
      <c r="D1617" s="221">
        <v>25.25</v>
      </c>
      <c r="E1617" s="221">
        <v>99.604989643782488</v>
      </c>
      <c r="F1617" s="221">
        <v>1.4188016275074058</v>
      </c>
      <c r="G1617" s="222" t="s">
        <v>2942</v>
      </c>
    </row>
    <row r="1618" spans="1:7">
      <c r="A1618" s="220" t="s">
        <v>1305</v>
      </c>
      <c r="B1618" s="221">
        <v>0</v>
      </c>
      <c r="C1618" s="221">
        <v>220</v>
      </c>
      <c r="D1618" s="221">
        <v>25.25</v>
      </c>
      <c r="E1618" s="221">
        <v>107.78598964378247</v>
      </c>
      <c r="F1618" s="221">
        <v>1.4188016275074058</v>
      </c>
      <c r="G1618" s="222" t="s">
        <v>2942</v>
      </c>
    </row>
    <row r="1619" spans="1:7">
      <c r="A1619" s="220" t="s">
        <v>1306</v>
      </c>
      <c r="B1619" s="221">
        <v>0</v>
      </c>
      <c r="C1619" s="221">
        <v>260</v>
      </c>
      <c r="D1619" s="221">
        <v>25.25</v>
      </c>
      <c r="E1619" s="221">
        <v>132.32898964378248</v>
      </c>
      <c r="F1619" s="221">
        <v>1.4188016275074058</v>
      </c>
      <c r="G1619" s="222" t="s">
        <v>2942</v>
      </c>
    </row>
    <row r="1620" spans="1:7">
      <c r="A1620" s="220" t="s">
        <v>1307</v>
      </c>
      <c r="B1620" s="221">
        <v>0</v>
      </c>
      <c r="C1620" s="221">
        <v>325</v>
      </c>
      <c r="D1620" s="221">
        <v>25.25</v>
      </c>
      <c r="E1620" s="221">
        <v>156.87198964378248</v>
      </c>
      <c r="F1620" s="221">
        <v>1.4188016275074058</v>
      </c>
      <c r="G1620" s="222" t="s">
        <v>2942</v>
      </c>
    </row>
    <row r="1621" spans="1:7">
      <c r="A1621" s="220" t="s">
        <v>1308</v>
      </c>
      <c r="B1621" s="221">
        <v>0</v>
      </c>
      <c r="C1621" s="221">
        <v>375</v>
      </c>
      <c r="D1621" s="221">
        <v>25.25</v>
      </c>
      <c r="E1621" s="221">
        <v>185.50548964378248</v>
      </c>
      <c r="F1621" s="221">
        <v>1.4188016275074058</v>
      </c>
      <c r="G1621" s="222" t="s">
        <v>2942</v>
      </c>
    </row>
    <row r="1622" spans="1:7">
      <c r="A1622" s="220" t="s">
        <v>1309</v>
      </c>
      <c r="B1622" s="221">
        <v>0</v>
      </c>
      <c r="C1622" s="221">
        <v>420</v>
      </c>
      <c r="D1622" s="221">
        <v>25.25</v>
      </c>
      <c r="E1622" s="221">
        <v>205.95798964378247</v>
      </c>
      <c r="F1622" s="221">
        <v>1.4188016275074058</v>
      </c>
      <c r="G1622" s="222" t="s">
        <v>2942</v>
      </c>
    </row>
    <row r="1623" spans="1:7">
      <c r="A1623" s="220" t="s">
        <v>1310</v>
      </c>
      <c r="B1623" s="221">
        <v>0</v>
      </c>
      <c r="C1623" s="221">
        <v>445</v>
      </c>
      <c r="D1623" s="221">
        <v>25.25</v>
      </c>
      <c r="E1623" s="221">
        <v>246.86298964378247</v>
      </c>
      <c r="F1623" s="221">
        <v>1.4188016275074058</v>
      </c>
      <c r="G1623" s="222" t="s">
        <v>2942</v>
      </c>
    </row>
    <row r="1624" spans="1:7">
      <c r="A1624" s="220" t="s">
        <v>1311</v>
      </c>
      <c r="B1624" s="221">
        <v>0</v>
      </c>
      <c r="C1624" s="221">
        <v>510</v>
      </c>
      <c r="D1624" s="221">
        <v>25.25</v>
      </c>
      <c r="E1624" s="221">
        <v>287.76798964378247</v>
      </c>
      <c r="F1624" s="221">
        <v>1.4188016275074058</v>
      </c>
      <c r="G1624" s="222" t="s">
        <v>2942</v>
      </c>
    </row>
    <row r="1625" spans="1:7">
      <c r="A1625" s="220" t="s">
        <v>1312</v>
      </c>
      <c r="B1625" s="221">
        <v>0</v>
      </c>
      <c r="C1625" s="221">
        <v>610</v>
      </c>
      <c r="D1625" s="221">
        <v>25.25</v>
      </c>
      <c r="E1625" s="221">
        <v>349.12548964378243</v>
      </c>
      <c r="F1625" s="221">
        <v>1.4188016275074058</v>
      </c>
      <c r="G1625" s="222" t="s">
        <v>2942</v>
      </c>
    </row>
    <row r="1626" spans="1:7">
      <c r="A1626" s="220" t="s">
        <v>1313</v>
      </c>
      <c r="B1626" s="221">
        <v>0</v>
      </c>
      <c r="C1626" s="221">
        <v>695</v>
      </c>
      <c r="D1626" s="221">
        <v>25.25</v>
      </c>
      <c r="E1626" s="221">
        <v>390.03048964378246</v>
      </c>
      <c r="F1626" s="221">
        <v>1.4188016275074058</v>
      </c>
      <c r="G1626" s="222" t="s">
        <v>2942</v>
      </c>
    </row>
    <row r="1627" spans="1:7">
      <c r="A1627" s="220" t="s">
        <v>1314</v>
      </c>
      <c r="B1627" s="221">
        <v>0</v>
      </c>
      <c r="C1627" s="221">
        <v>755</v>
      </c>
      <c r="D1627" s="221">
        <v>25.25</v>
      </c>
      <c r="E1627" s="221">
        <v>430.93548964378243</v>
      </c>
      <c r="F1627" s="221">
        <v>1.4188016275074058</v>
      </c>
      <c r="G1627" s="222" t="s">
        <v>2942</v>
      </c>
    </row>
    <row r="1628" spans="1:7">
      <c r="A1628" s="220" t="s">
        <v>1315</v>
      </c>
      <c r="B1628" s="221">
        <v>0</v>
      </c>
      <c r="C1628" s="221">
        <v>140</v>
      </c>
      <c r="D1628" s="221">
        <v>25.25</v>
      </c>
      <c r="E1628" s="221">
        <v>20.249289643782479</v>
      </c>
      <c r="F1628" s="221">
        <v>1.4188016275074058</v>
      </c>
      <c r="G1628" s="222" t="s">
        <v>2942</v>
      </c>
    </row>
    <row r="1629" spans="1:7">
      <c r="A1629" s="220" t="s">
        <v>1316</v>
      </c>
      <c r="B1629" s="221">
        <v>0</v>
      </c>
      <c r="C1629" s="221">
        <v>140</v>
      </c>
      <c r="D1629" s="221">
        <v>25.25</v>
      </c>
      <c r="E1629" s="221">
        <v>23.52168964378248</v>
      </c>
      <c r="F1629" s="221">
        <v>1.4188016275074058</v>
      </c>
      <c r="G1629" s="222" t="s">
        <v>2942</v>
      </c>
    </row>
    <row r="1630" spans="1:7">
      <c r="A1630" s="220" t="s">
        <v>1317</v>
      </c>
      <c r="B1630" s="221">
        <v>0</v>
      </c>
      <c r="C1630" s="221">
        <v>170</v>
      </c>
      <c r="D1630" s="221">
        <v>25.25</v>
      </c>
      <c r="E1630" s="221">
        <v>37.429389643782478</v>
      </c>
      <c r="F1630" s="221">
        <v>1.4188016275074058</v>
      </c>
      <c r="G1630" s="222" t="s">
        <v>2942</v>
      </c>
    </row>
    <row r="1631" spans="1:7">
      <c r="A1631" s="220" t="s">
        <v>1318</v>
      </c>
      <c r="B1631" s="221">
        <v>0</v>
      </c>
      <c r="C1631" s="221">
        <v>250</v>
      </c>
      <c r="D1631" s="221">
        <v>25.25</v>
      </c>
      <c r="E1631" s="221">
        <v>55.427589643782483</v>
      </c>
      <c r="F1631" s="221">
        <v>1.4188016275074058</v>
      </c>
      <c r="G1631" s="222" t="s">
        <v>2942</v>
      </c>
    </row>
    <row r="1632" spans="1:7">
      <c r="A1632" s="220" t="s">
        <v>1319</v>
      </c>
      <c r="B1632" s="221">
        <v>0</v>
      </c>
      <c r="C1632" s="221">
        <v>250</v>
      </c>
      <c r="D1632" s="221">
        <v>25.25</v>
      </c>
      <c r="E1632" s="221">
        <v>60.336189643782483</v>
      </c>
      <c r="F1632" s="221">
        <v>1.4188016275074058</v>
      </c>
      <c r="G1632" s="222" t="s">
        <v>2942</v>
      </c>
    </row>
    <row r="1633" spans="1:7">
      <c r="A1633" s="220" t="s">
        <v>1320</v>
      </c>
      <c r="B1633" s="221">
        <v>0</v>
      </c>
      <c r="C1633" s="221">
        <v>345</v>
      </c>
      <c r="D1633" s="221">
        <v>25.25</v>
      </c>
      <c r="E1633" s="221">
        <v>65.244789643782468</v>
      </c>
      <c r="F1633" s="221">
        <v>1.4188016275074058</v>
      </c>
      <c r="G1633" s="222" t="s">
        <v>2942</v>
      </c>
    </row>
    <row r="1634" spans="1:7">
      <c r="A1634" s="220" t="s">
        <v>1321</v>
      </c>
      <c r="B1634" s="221">
        <v>0</v>
      </c>
      <c r="C1634" s="221">
        <v>405</v>
      </c>
      <c r="D1634" s="221">
        <v>25.25</v>
      </c>
      <c r="E1634" s="221">
        <v>69.335289643782488</v>
      </c>
      <c r="F1634" s="221">
        <v>1.4188016275074058</v>
      </c>
      <c r="G1634" s="222" t="s">
        <v>2942</v>
      </c>
    </row>
    <row r="1635" spans="1:7">
      <c r="A1635" s="220" t="s">
        <v>1322</v>
      </c>
      <c r="B1635" s="221">
        <v>0</v>
      </c>
      <c r="C1635" s="221">
        <v>440</v>
      </c>
      <c r="D1635" s="221">
        <v>25.25</v>
      </c>
      <c r="E1635" s="221">
        <v>74.243889643782481</v>
      </c>
      <c r="F1635" s="221">
        <v>1.4188016275074058</v>
      </c>
      <c r="G1635" s="222" t="s">
        <v>2942</v>
      </c>
    </row>
    <row r="1636" spans="1:7">
      <c r="A1636" s="220" t="s">
        <v>1323</v>
      </c>
      <c r="B1636" s="221">
        <v>0</v>
      </c>
      <c r="C1636" s="221">
        <v>475</v>
      </c>
      <c r="D1636" s="221">
        <v>25.25</v>
      </c>
      <c r="E1636" s="221">
        <v>99.604989643782488</v>
      </c>
      <c r="F1636" s="221">
        <v>1.4188016275074058</v>
      </c>
      <c r="G1636" s="222" t="s">
        <v>2942</v>
      </c>
    </row>
    <row r="1637" spans="1:7">
      <c r="A1637" s="220" t="s">
        <v>1324</v>
      </c>
      <c r="B1637" s="221">
        <v>0</v>
      </c>
      <c r="C1637" s="221">
        <v>535</v>
      </c>
      <c r="D1637" s="221">
        <v>25.25</v>
      </c>
      <c r="E1637" s="221">
        <v>107.78598964378247</v>
      </c>
      <c r="F1637" s="221">
        <v>1.4188016275074058</v>
      </c>
      <c r="G1637" s="222" t="s">
        <v>2942</v>
      </c>
    </row>
    <row r="1638" spans="1:7">
      <c r="A1638" s="220" t="s">
        <v>1325</v>
      </c>
      <c r="B1638" s="221">
        <v>0</v>
      </c>
      <c r="C1638" s="221">
        <v>610</v>
      </c>
      <c r="D1638" s="221">
        <v>25.25</v>
      </c>
      <c r="E1638" s="221">
        <v>132.32898964378248</v>
      </c>
      <c r="F1638" s="221">
        <v>1.4188016275074058</v>
      </c>
      <c r="G1638" s="222" t="s">
        <v>2942</v>
      </c>
    </row>
    <row r="1639" spans="1:7">
      <c r="A1639" s="220" t="s">
        <v>1326</v>
      </c>
      <c r="B1639" s="221">
        <v>0</v>
      </c>
      <c r="C1639" s="221">
        <v>780</v>
      </c>
      <c r="D1639" s="221">
        <v>25.25</v>
      </c>
      <c r="E1639" s="221">
        <v>156.87198964378248</v>
      </c>
      <c r="F1639" s="221">
        <v>1.4188016275074058</v>
      </c>
      <c r="G1639" s="222" t="s">
        <v>2942</v>
      </c>
    </row>
    <row r="1640" spans="1:7">
      <c r="A1640" s="220" t="s">
        <v>1327</v>
      </c>
      <c r="B1640" s="221">
        <v>0</v>
      </c>
      <c r="C1640" s="221">
        <v>820</v>
      </c>
      <c r="D1640" s="221">
        <v>25.25</v>
      </c>
      <c r="E1640" s="221">
        <v>185.50548964378248</v>
      </c>
      <c r="F1640" s="221">
        <v>1.4188016275074058</v>
      </c>
      <c r="G1640" s="222" t="s">
        <v>2942</v>
      </c>
    </row>
    <row r="1641" spans="1:7">
      <c r="A1641" s="220" t="s">
        <v>1328</v>
      </c>
      <c r="B1641" s="221">
        <v>0</v>
      </c>
      <c r="C1641" s="221">
        <v>845</v>
      </c>
      <c r="D1641" s="221">
        <v>25.25</v>
      </c>
      <c r="E1641" s="221">
        <v>205.95798964378247</v>
      </c>
      <c r="F1641" s="221">
        <v>1.4188016275074058</v>
      </c>
      <c r="G1641" s="222" t="s">
        <v>2942</v>
      </c>
    </row>
    <row r="1642" spans="1:7">
      <c r="A1642" s="220" t="s">
        <v>1329</v>
      </c>
      <c r="B1642" s="221">
        <v>0</v>
      </c>
      <c r="C1642" s="221">
        <v>1040</v>
      </c>
      <c r="D1642" s="221">
        <v>25.25</v>
      </c>
      <c r="E1642" s="221">
        <v>246.86298964378247</v>
      </c>
      <c r="F1642" s="221">
        <v>1.4188016275074058</v>
      </c>
      <c r="G1642" s="222" t="s">
        <v>2942</v>
      </c>
    </row>
    <row r="1643" spans="1:7">
      <c r="A1643" s="220" t="s">
        <v>1330</v>
      </c>
      <c r="B1643" s="221">
        <v>0</v>
      </c>
      <c r="C1643" s="221">
        <v>1165</v>
      </c>
      <c r="D1643" s="221">
        <v>25.25</v>
      </c>
      <c r="E1643" s="221">
        <v>287.76798964378247</v>
      </c>
      <c r="F1643" s="221">
        <v>1.4188016275074058</v>
      </c>
      <c r="G1643" s="222" t="s">
        <v>2942</v>
      </c>
    </row>
    <row r="1644" spans="1:7">
      <c r="A1644" s="220" t="s">
        <v>1331</v>
      </c>
      <c r="B1644" s="221">
        <v>0</v>
      </c>
      <c r="C1644" s="221">
        <v>1250</v>
      </c>
      <c r="D1644" s="221">
        <v>25.25</v>
      </c>
      <c r="E1644" s="221">
        <v>349.12548964378243</v>
      </c>
      <c r="F1644" s="221">
        <v>1.4188016275074058</v>
      </c>
      <c r="G1644" s="222" t="s">
        <v>2942</v>
      </c>
    </row>
    <row r="1645" spans="1:7">
      <c r="A1645" s="220" t="s">
        <v>1332</v>
      </c>
      <c r="B1645" s="221">
        <v>0</v>
      </c>
      <c r="C1645" s="221">
        <v>1360</v>
      </c>
      <c r="D1645" s="221">
        <v>25.25</v>
      </c>
      <c r="E1645" s="221">
        <v>390.03048964378246</v>
      </c>
      <c r="F1645" s="221">
        <v>1.4188016275074058</v>
      </c>
      <c r="G1645" s="222" t="s">
        <v>2942</v>
      </c>
    </row>
    <row r="1646" spans="1:7">
      <c r="A1646" s="220" t="s">
        <v>1333</v>
      </c>
      <c r="B1646" s="221">
        <v>0</v>
      </c>
      <c r="C1646" s="221">
        <v>1405</v>
      </c>
      <c r="D1646" s="221">
        <v>25.25</v>
      </c>
      <c r="E1646" s="221">
        <v>430.93548964378243</v>
      </c>
      <c r="F1646" s="221">
        <v>1.4188016275074058</v>
      </c>
      <c r="G1646" s="222" t="s">
        <v>2942</v>
      </c>
    </row>
    <row r="1647" spans="1:7">
      <c r="A1647" s="220" t="s">
        <v>1334</v>
      </c>
      <c r="B1647" s="221">
        <v>0</v>
      </c>
      <c r="C1647" s="221">
        <v>179</v>
      </c>
      <c r="D1647" s="221">
        <v>25.25</v>
      </c>
      <c r="E1647" s="221">
        <v>21.418896749035536</v>
      </c>
      <c r="F1647" s="221">
        <v>2.5768284643916193</v>
      </c>
      <c r="G1647" s="222" t="s">
        <v>2942</v>
      </c>
    </row>
    <row r="1648" spans="1:7">
      <c r="A1648" s="220" t="s">
        <v>1335</v>
      </c>
      <c r="B1648" s="221">
        <v>0</v>
      </c>
      <c r="C1648" s="221">
        <v>179</v>
      </c>
      <c r="D1648" s="221">
        <v>25.25</v>
      </c>
      <c r="E1648" s="221">
        <v>24.691296749035537</v>
      </c>
      <c r="F1648" s="221">
        <v>2.5768284643916193</v>
      </c>
      <c r="G1648" s="222" t="s">
        <v>2942</v>
      </c>
    </row>
    <row r="1649" spans="1:7">
      <c r="A1649" s="220" t="s">
        <v>1336</v>
      </c>
      <c r="B1649" s="221">
        <v>0</v>
      </c>
      <c r="C1649" s="221">
        <v>189</v>
      </c>
      <c r="D1649" s="221">
        <v>25.25</v>
      </c>
      <c r="E1649" s="221">
        <v>38.598996749035535</v>
      </c>
      <c r="F1649" s="221">
        <v>2.5768284643916193</v>
      </c>
      <c r="G1649" s="222" t="s">
        <v>2942</v>
      </c>
    </row>
    <row r="1650" spans="1:7">
      <c r="A1650" s="220" t="s">
        <v>1337</v>
      </c>
      <c r="B1650" s="221">
        <v>0</v>
      </c>
      <c r="C1650" s="221">
        <v>385</v>
      </c>
      <c r="D1650" s="221">
        <v>25.25</v>
      </c>
      <c r="E1650" s="221">
        <v>56.597196749035533</v>
      </c>
      <c r="F1650" s="221">
        <v>2.5768284643916193</v>
      </c>
      <c r="G1650" s="222" t="s">
        <v>2942</v>
      </c>
    </row>
    <row r="1651" spans="1:7">
      <c r="A1651" s="220" t="s">
        <v>1338</v>
      </c>
      <c r="B1651" s="221">
        <v>0</v>
      </c>
      <c r="C1651" s="221">
        <v>385</v>
      </c>
      <c r="D1651" s="221">
        <v>25.25</v>
      </c>
      <c r="E1651" s="221">
        <v>61.505796749035532</v>
      </c>
      <c r="F1651" s="221">
        <v>2.5768284643916193</v>
      </c>
      <c r="G1651" s="222" t="s">
        <v>2942</v>
      </c>
    </row>
    <row r="1652" spans="1:7">
      <c r="A1652" s="220" t="s">
        <v>1339</v>
      </c>
      <c r="B1652" s="221">
        <v>0</v>
      </c>
      <c r="C1652" s="221">
        <v>545</v>
      </c>
      <c r="D1652" s="221">
        <v>25.25</v>
      </c>
      <c r="E1652" s="221">
        <v>66.414396749035532</v>
      </c>
      <c r="F1652" s="221">
        <v>2.5768284643916193</v>
      </c>
      <c r="G1652" s="222" t="s">
        <v>2942</v>
      </c>
    </row>
    <row r="1653" spans="1:7">
      <c r="A1653" s="220" t="s">
        <v>1340</v>
      </c>
      <c r="B1653" s="221">
        <v>0</v>
      </c>
      <c r="C1653" s="221">
        <v>655</v>
      </c>
      <c r="D1653" s="221">
        <v>25.25</v>
      </c>
      <c r="E1653" s="221">
        <v>70.504896749035538</v>
      </c>
      <c r="F1653" s="221">
        <v>2.5768284643916193</v>
      </c>
      <c r="G1653" s="222" t="s">
        <v>2942</v>
      </c>
    </row>
    <row r="1654" spans="1:7">
      <c r="A1654" s="220" t="s">
        <v>1341</v>
      </c>
      <c r="B1654" s="221">
        <v>0</v>
      </c>
      <c r="C1654" s="221">
        <v>715</v>
      </c>
      <c r="D1654" s="221">
        <v>25.25</v>
      </c>
      <c r="E1654" s="221">
        <v>75.413496749035545</v>
      </c>
      <c r="F1654" s="221">
        <v>2.5768284643916193</v>
      </c>
      <c r="G1654" s="222" t="s">
        <v>2942</v>
      </c>
    </row>
    <row r="1655" spans="1:7">
      <c r="A1655" s="220" t="s">
        <v>1342</v>
      </c>
      <c r="B1655" s="221">
        <v>0</v>
      </c>
      <c r="C1655" s="221">
        <v>790</v>
      </c>
      <c r="D1655" s="221">
        <v>25.25</v>
      </c>
      <c r="E1655" s="221">
        <v>100.77459674903554</v>
      </c>
      <c r="F1655" s="221">
        <v>2.5768284643916193</v>
      </c>
      <c r="G1655" s="222" t="s">
        <v>2942</v>
      </c>
    </row>
    <row r="1656" spans="1:7">
      <c r="A1656" s="220" t="s">
        <v>1343</v>
      </c>
      <c r="B1656" s="221">
        <v>0</v>
      </c>
      <c r="C1656" s="221">
        <v>865</v>
      </c>
      <c r="D1656" s="221">
        <v>25.25</v>
      </c>
      <c r="E1656" s="221">
        <v>108.95559674903554</v>
      </c>
      <c r="F1656" s="221">
        <v>2.5768284643916193</v>
      </c>
      <c r="G1656" s="222" t="s">
        <v>2942</v>
      </c>
    </row>
    <row r="1657" spans="1:7">
      <c r="A1657" s="220" t="s">
        <v>1344</v>
      </c>
      <c r="B1657" s="221">
        <v>0</v>
      </c>
      <c r="C1657" s="221">
        <v>970</v>
      </c>
      <c r="D1657" s="221">
        <v>25.25</v>
      </c>
      <c r="E1657" s="221">
        <v>133.49859674903553</v>
      </c>
      <c r="F1657" s="221">
        <v>2.5768284643916193</v>
      </c>
      <c r="G1657" s="222" t="s">
        <v>2942</v>
      </c>
    </row>
    <row r="1658" spans="1:7">
      <c r="A1658" s="220" t="s">
        <v>1345</v>
      </c>
      <c r="B1658" s="221">
        <v>0</v>
      </c>
      <c r="C1658" s="221">
        <v>1155</v>
      </c>
      <c r="D1658" s="221">
        <v>25.25</v>
      </c>
      <c r="E1658" s="221">
        <v>158.04159674903553</v>
      </c>
      <c r="F1658" s="221">
        <v>2.5768284643916193</v>
      </c>
      <c r="G1658" s="222" t="s">
        <v>2942</v>
      </c>
    </row>
    <row r="1659" spans="1:7">
      <c r="A1659" s="220" t="s">
        <v>1346</v>
      </c>
      <c r="B1659" s="221">
        <v>0</v>
      </c>
      <c r="C1659" s="221">
        <v>1230</v>
      </c>
      <c r="D1659" s="221">
        <v>25.25</v>
      </c>
      <c r="E1659" s="221">
        <v>186.67509674903553</v>
      </c>
      <c r="F1659" s="221">
        <v>2.5768284643916193</v>
      </c>
      <c r="G1659" s="222" t="s">
        <v>2942</v>
      </c>
    </row>
    <row r="1660" spans="1:7">
      <c r="A1660" s="220" t="s">
        <v>1347</v>
      </c>
      <c r="B1660" s="221">
        <v>0</v>
      </c>
      <c r="C1660" s="221">
        <v>1280</v>
      </c>
      <c r="D1660" s="221">
        <v>25.25</v>
      </c>
      <c r="E1660" s="221">
        <v>207.12759674903552</v>
      </c>
      <c r="F1660" s="221">
        <v>2.5768284643916193</v>
      </c>
      <c r="G1660" s="222" t="s">
        <v>2942</v>
      </c>
    </row>
    <row r="1661" spans="1:7">
      <c r="A1661" s="220" t="s">
        <v>1348</v>
      </c>
      <c r="B1661" s="221">
        <v>0</v>
      </c>
      <c r="C1661" s="221">
        <v>1560</v>
      </c>
      <c r="D1661" s="221">
        <v>25.25</v>
      </c>
      <c r="E1661" s="221">
        <v>248.03259674903552</v>
      </c>
      <c r="F1661" s="221">
        <v>2.5768284643916193</v>
      </c>
      <c r="G1661" s="222" t="s">
        <v>2942</v>
      </c>
    </row>
    <row r="1662" spans="1:7">
      <c r="A1662" s="220" t="s">
        <v>1349</v>
      </c>
      <c r="B1662" s="221">
        <v>0</v>
      </c>
      <c r="C1662" s="221">
        <v>1640</v>
      </c>
      <c r="D1662" s="221">
        <v>25.25</v>
      </c>
      <c r="E1662" s="221">
        <v>288.93759674903555</v>
      </c>
      <c r="F1662" s="221">
        <v>2.5768284643916193</v>
      </c>
      <c r="G1662" s="222" t="s">
        <v>2942</v>
      </c>
    </row>
    <row r="1663" spans="1:7">
      <c r="A1663" s="220" t="s">
        <v>1350</v>
      </c>
      <c r="B1663" s="221">
        <v>0</v>
      </c>
      <c r="C1663" s="221">
        <v>1880</v>
      </c>
      <c r="D1663" s="221">
        <v>25.25</v>
      </c>
      <c r="E1663" s="221">
        <v>350.29509674903551</v>
      </c>
      <c r="F1663" s="221">
        <v>2.5768284643916193</v>
      </c>
      <c r="G1663" s="222" t="s">
        <v>2942</v>
      </c>
    </row>
    <row r="1664" spans="1:7">
      <c r="A1664" s="220" t="s">
        <v>1351</v>
      </c>
      <c r="B1664" s="221">
        <v>0</v>
      </c>
      <c r="C1664" s="221">
        <v>2025</v>
      </c>
      <c r="D1664" s="221">
        <v>25.25</v>
      </c>
      <c r="E1664" s="221">
        <v>391.20009674903554</v>
      </c>
      <c r="F1664" s="221">
        <v>2.5768284643916193</v>
      </c>
      <c r="G1664" s="222" t="s">
        <v>2942</v>
      </c>
    </row>
    <row r="1665" spans="1:7">
      <c r="A1665" s="220" t="s">
        <v>1352</v>
      </c>
      <c r="B1665" s="221">
        <v>0</v>
      </c>
      <c r="C1665" s="221">
        <v>2145</v>
      </c>
      <c r="D1665" s="221">
        <v>25.25</v>
      </c>
      <c r="E1665" s="221">
        <v>432.10509674903551</v>
      </c>
      <c r="F1665" s="221">
        <v>2.5768284643916193</v>
      </c>
      <c r="G1665" s="222" t="s">
        <v>2942</v>
      </c>
    </row>
    <row r="1666" spans="1:7">
      <c r="A1666" s="220" t="s">
        <v>1581</v>
      </c>
      <c r="B1666" s="221">
        <v>0</v>
      </c>
      <c r="C1666" s="221">
        <v>70</v>
      </c>
      <c r="D1666" s="221">
        <v>25.250000000000004</v>
      </c>
      <c r="E1666" s="221">
        <v>25.157889643782482</v>
      </c>
      <c r="F1666" s="221">
        <v>1.4188016275074058</v>
      </c>
      <c r="G1666" s="222" t="s">
        <v>2942</v>
      </c>
    </row>
    <row r="1667" spans="1:7">
      <c r="A1667" s="220" t="s">
        <v>1582</v>
      </c>
      <c r="B1667" s="221">
        <v>0</v>
      </c>
      <c r="C1667" s="221">
        <v>70</v>
      </c>
      <c r="D1667" s="221">
        <v>25.250000000000004</v>
      </c>
      <c r="E1667" s="221">
        <v>28.430289643782476</v>
      </c>
      <c r="F1667" s="221">
        <v>1.4188016275074058</v>
      </c>
      <c r="G1667" s="222" t="s">
        <v>2942</v>
      </c>
    </row>
    <row r="1668" spans="1:7">
      <c r="A1668" s="220" t="s">
        <v>1583</v>
      </c>
      <c r="B1668" s="221">
        <v>0</v>
      </c>
      <c r="C1668" s="221">
        <v>80</v>
      </c>
      <c r="D1668" s="221">
        <v>25.250000000000004</v>
      </c>
      <c r="E1668" s="221">
        <v>32.520789643782479</v>
      </c>
      <c r="F1668" s="221">
        <v>1.4188016275074058</v>
      </c>
      <c r="G1668" s="222" t="s">
        <v>2942</v>
      </c>
    </row>
    <row r="1669" spans="1:7">
      <c r="A1669" s="220" t="s">
        <v>1584</v>
      </c>
      <c r="B1669" s="221">
        <v>0</v>
      </c>
      <c r="C1669" s="221">
        <v>90</v>
      </c>
      <c r="D1669" s="221">
        <v>25.250000000000004</v>
      </c>
      <c r="E1669" s="221">
        <v>32.520789643782479</v>
      </c>
      <c r="F1669" s="221">
        <v>1.4188016275074058</v>
      </c>
      <c r="G1669" s="222" t="s">
        <v>2942</v>
      </c>
    </row>
    <row r="1670" spans="1:7">
      <c r="A1670" s="220" t="s">
        <v>1585</v>
      </c>
      <c r="B1670" s="221">
        <v>0</v>
      </c>
      <c r="C1670" s="221">
        <v>90</v>
      </c>
      <c r="D1670" s="221">
        <v>25.250000000000004</v>
      </c>
      <c r="E1670" s="221">
        <v>32.520789643782479</v>
      </c>
      <c r="F1670" s="221">
        <v>1.4188016275074058</v>
      </c>
      <c r="G1670" s="222" t="s">
        <v>2942</v>
      </c>
    </row>
    <row r="1671" spans="1:7">
      <c r="A1671" s="220" t="s">
        <v>1586</v>
      </c>
      <c r="B1671" s="221">
        <v>0</v>
      </c>
      <c r="C1671" s="221">
        <v>95</v>
      </c>
      <c r="D1671" s="221">
        <v>25.250000000000004</v>
      </c>
      <c r="E1671" s="221">
        <v>32.520789643782479</v>
      </c>
      <c r="F1671" s="221">
        <v>1.4188016275074058</v>
      </c>
      <c r="G1671" s="222" t="s">
        <v>2942</v>
      </c>
    </row>
    <row r="1672" spans="1:7">
      <c r="A1672" s="220" t="s">
        <v>1587</v>
      </c>
      <c r="B1672" s="221">
        <v>0</v>
      </c>
      <c r="C1672" s="221">
        <v>100</v>
      </c>
      <c r="D1672" s="221">
        <v>25.250000000000004</v>
      </c>
      <c r="E1672" s="221">
        <v>32.520789643782479</v>
      </c>
      <c r="F1672" s="221">
        <v>1.4188016275074058</v>
      </c>
      <c r="G1672" s="222" t="s">
        <v>2942</v>
      </c>
    </row>
    <row r="1673" spans="1:7">
      <c r="A1673" s="220" t="s">
        <v>1588</v>
      </c>
      <c r="B1673" s="221">
        <v>0</v>
      </c>
      <c r="C1673" s="221">
        <v>115</v>
      </c>
      <c r="D1673" s="221">
        <v>25.250000000000004</v>
      </c>
      <c r="E1673" s="221">
        <v>32.520789643782479</v>
      </c>
      <c r="F1673" s="221">
        <v>1.4188016275074058</v>
      </c>
      <c r="G1673" s="222" t="s">
        <v>2942</v>
      </c>
    </row>
    <row r="1674" spans="1:7">
      <c r="A1674" s="220" t="s">
        <v>1589</v>
      </c>
      <c r="B1674" s="221">
        <v>0</v>
      </c>
      <c r="C1674" s="221">
        <v>120</v>
      </c>
      <c r="D1674" s="221">
        <v>25.250000000000004</v>
      </c>
      <c r="E1674" s="221">
        <v>37.429389643782478</v>
      </c>
      <c r="F1674" s="221">
        <v>1.4188016275074058</v>
      </c>
      <c r="G1674" s="222" t="s">
        <v>2942</v>
      </c>
    </row>
    <row r="1675" spans="1:7">
      <c r="A1675" s="220" t="s">
        <v>1590</v>
      </c>
      <c r="B1675" s="221">
        <v>0</v>
      </c>
      <c r="C1675" s="221">
        <v>130</v>
      </c>
      <c r="D1675" s="221">
        <v>25.250000000000004</v>
      </c>
      <c r="E1675" s="221">
        <v>46.428489643782484</v>
      </c>
      <c r="F1675" s="221">
        <v>1.4188016275074058</v>
      </c>
      <c r="G1675" s="222" t="s">
        <v>2942</v>
      </c>
    </row>
    <row r="1676" spans="1:7">
      <c r="A1676" s="220" t="s">
        <v>1591</v>
      </c>
      <c r="B1676" s="221">
        <v>0</v>
      </c>
      <c r="C1676" s="221">
        <v>145</v>
      </c>
      <c r="D1676" s="221">
        <v>25.250000000000004</v>
      </c>
      <c r="E1676" s="221">
        <v>50.518989643782483</v>
      </c>
      <c r="F1676" s="221">
        <v>1.4188016275074058</v>
      </c>
      <c r="G1676" s="222" t="s">
        <v>2942</v>
      </c>
    </row>
    <row r="1677" spans="1:7">
      <c r="A1677" s="220" t="s">
        <v>1592</v>
      </c>
      <c r="B1677" s="221">
        <v>0</v>
      </c>
      <c r="C1677" s="221">
        <v>175</v>
      </c>
      <c r="D1677" s="221">
        <v>25.250000000000004</v>
      </c>
      <c r="E1677" s="221">
        <v>66.88098964378247</v>
      </c>
      <c r="F1677" s="221">
        <v>1.4188016275074058</v>
      </c>
      <c r="G1677" s="222" t="s">
        <v>2942</v>
      </c>
    </row>
    <row r="1678" spans="1:7">
      <c r="A1678" s="220" t="s">
        <v>1593</v>
      </c>
      <c r="B1678" s="221">
        <v>0</v>
      </c>
      <c r="C1678" s="221">
        <v>210</v>
      </c>
      <c r="D1678" s="221">
        <v>25.250000000000004</v>
      </c>
      <c r="E1678" s="221">
        <v>83.242989643782479</v>
      </c>
      <c r="F1678" s="221">
        <v>1.4188016275074058</v>
      </c>
      <c r="G1678" s="222" t="s">
        <v>2942</v>
      </c>
    </row>
    <row r="1679" spans="1:7">
      <c r="A1679" s="220" t="s">
        <v>1594</v>
      </c>
      <c r="B1679" s="221">
        <v>0</v>
      </c>
      <c r="C1679" s="221">
        <v>230</v>
      </c>
      <c r="D1679" s="221">
        <v>25.250000000000004</v>
      </c>
      <c r="E1679" s="221">
        <v>91.423989643782477</v>
      </c>
      <c r="F1679" s="221">
        <v>1.4188016275074058</v>
      </c>
      <c r="G1679" s="222" t="s">
        <v>2942</v>
      </c>
    </row>
    <row r="1680" spans="1:7">
      <c r="A1680" s="220" t="s">
        <v>1595</v>
      </c>
      <c r="B1680" s="221">
        <v>0</v>
      </c>
      <c r="C1680" s="221">
        <v>285</v>
      </c>
      <c r="D1680" s="221">
        <v>25.250000000000004</v>
      </c>
      <c r="E1680" s="221">
        <v>132.32898964378248</v>
      </c>
      <c r="F1680" s="221">
        <v>1.4188016275074058</v>
      </c>
      <c r="G1680" s="222" t="s">
        <v>2942</v>
      </c>
    </row>
    <row r="1681" spans="1:7">
      <c r="A1681" s="220" t="s">
        <v>1596</v>
      </c>
      <c r="B1681" s="221">
        <v>0</v>
      </c>
      <c r="C1681" s="221">
        <v>300</v>
      </c>
      <c r="D1681" s="221">
        <v>25.250000000000004</v>
      </c>
      <c r="E1681" s="221">
        <v>152.78148964378246</v>
      </c>
      <c r="F1681" s="221">
        <v>1.4188016275074058</v>
      </c>
      <c r="G1681" s="222" t="s">
        <v>2942</v>
      </c>
    </row>
    <row r="1682" spans="1:7">
      <c r="A1682" s="220" t="s">
        <v>1597</v>
      </c>
      <c r="B1682" s="221">
        <v>0</v>
      </c>
      <c r="C1682" s="221">
        <v>350</v>
      </c>
      <c r="D1682" s="221">
        <v>25.250000000000004</v>
      </c>
      <c r="E1682" s="221">
        <v>189.59598964378247</v>
      </c>
      <c r="F1682" s="221">
        <v>1.4188016275074058</v>
      </c>
      <c r="G1682" s="222" t="s">
        <v>2942</v>
      </c>
    </row>
    <row r="1683" spans="1:7">
      <c r="A1683" s="220" t="s">
        <v>1598</v>
      </c>
      <c r="B1683" s="221">
        <v>0</v>
      </c>
      <c r="C1683" s="221">
        <v>405</v>
      </c>
      <c r="D1683" s="221">
        <v>25.250000000000004</v>
      </c>
      <c r="E1683" s="221">
        <v>214.13898964378248</v>
      </c>
      <c r="F1683" s="221">
        <v>1.4188016275074058</v>
      </c>
      <c r="G1683" s="222" t="s">
        <v>2942</v>
      </c>
    </row>
    <row r="1684" spans="1:7">
      <c r="A1684" s="220" t="s">
        <v>1599</v>
      </c>
      <c r="B1684" s="221">
        <v>0</v>
      </c>
      <c r="C1684" s="221">
        <v>450</v>
      </c>
      <c r="D1684" s="221">
        <v>25.250000000000004</v>
      </c>
      <c r="E1684" s="221">
        <v>234.59148964378247</v>
      </c>
      <c r="F1684" s="221">
        <v>1.4188016275074058</v>
      </c>
      <c r="G1684" s="222" t="s">
        <v>2942</v>
      </c>
    </row>
    <row r="1685" spans="1:7">
      <c r="A1685" s="220" t="s">
        <v>1600</v>
      </c>
      <c r="B1685" s="221">
        <v>0</v>
      </c>
      <c r="C1685" s="221">
        <v>75</v>
      </c>
      <c r="D1685" s="221">
        <v>25.250000000000004</v>
      </c>
      <c r="E1685" s="221">
        <v>25.157889643782482</v>
      </c>
      <c r="F1685" s="221">
        <v>1.4188016275074058</v>
      </c>
      <c r="G1685" s="222" t="s">
        <v>2942</v>
      </c>
    </row>
    <row r="1686" spans="1:7">
      <c r="A1686" s="220" t="s">
        <v>1601</v>
      </c>
      <c r="B1686" s="221">
        <v>0</v>
      </c>
      <c r="C1686" s="221">
        <v>75</v>
      </c>
      <c r="D1686" s="221">
        <v>25.250000000000004</v>
      </c>
      <c r="E1686" s="221">
        <v>28.430289643782476</v>
      </c>
      <c r="F1686" s="221">
        <v>1.4188016275074058</v>
      </c>
      <c r="G1686" s="222" t="s">
        <v>2942</v>
      </c>
    </row>
    <row r="1687" spans="1:7">
      <c r="A1687" s="220" t="s">
        <v>1602</v>
      </c>
      <c r="B1687" s="221">
        <v>0</v>
      </c>
      <c r="C1687" s="221">
        <v>85</v>
      </c>
      <c r="D1687" s="221">
        <v>25.250000000000004</v>
      </c>
      <c r="E1687" s="221">
        <v>32.520789643782479</v>
      </c>
      <c r="F1687" s="221">
        <v>1.4188016275074058</v>
      </c>
      <c r="G1687" s="222" t="s">
        <v>2942</v>
      </c>
    </row>
    <row r="1688" spans="1:7">
      <c r="A1688" s="220" t="s">
        <v>1603</v>
      </c>
      <c r="B1688" s="221">
        <v>0</v>
      </c>
      <c r="C1688" s="221">
        <v>120</v>
      </c>
      <c r="D1688" s="221">
        <v>25.250000000000004</v>
      </c>
      <c r="E1688" s="221">
        <v>32.520789643782479</v>
      </c>
      <c r="F1688" s="221">
        <v>1.4188016275074058</v>
      </c>
      <c r="G1688" s="222" t="s">
        <v>2942</v>
      </c>
    </row>
    <row r="1689" spans="1:7">
      <c r="A1689" s="220" t="s">
        <v>1604</v>
      </c>
      <c r="B1689" s="221">
        <v>0</v>
      </c>
      <c r="C1689" s="221">
        <v>120</v>
      </c>
      <c r="D1689" s="221">
        <v>25.250000000000004</v>
      </c>
      <c r="E1689" s="221">
        <v>32.520789643782479</v>
      </c>
      <c r="F1689" s="221">
        <v>1.4188016275074058</v>
      </c>
      <c r="G1689" s="222" t="s">
        <v>2942</v>
      </c>
    </row>
    <row r="1690" spans="1:7">
      <c r="A1690" s="220" t="s">
        <v>1605</v>
      </c>
      <c r="B1690" s="221">
        <v>0</v>
      </c>
      <c r="C1690" s="221">
        <v>125</v>
      </c>
      <c r="D1690" s="221">
        <v>25.250000000000004</v>
      </c>
      <c r="E1690" s="221">
        <v>32.520789643782479</v>
      </c>
      <c r="F1690" s="221">
        <v>1.4188016275074058</v>
      </c>
      <c r="G1690" s="222" t="s">
        <v>2942</v>
      </c>
    </row>
    <row r="1691" spans="1:7">
      <c r="A1691" s="220" t="s">
        <v>1606</v>
      </c>
      <c r="B1691" s="221">
        <v>0</v>
      </c>
      <c r="C1691" s="221">
        <v>145</v>
      </c>
      <c r="D1691" s="221">
        <v>25.250000000000004</v>
      </c>
      <c r="E1691" s="221">
        <v>32.520789643782479</v>
      </c>
      <c r="F1691" s="221">
        <v>1.4188016275074058</v>
      </c>
      <c r="G1691" s="222" t="s">
        <v>2942</v>
      </c>
    </row>
    <row r="1692" spans="1:7">
      <c r="A1692" s="220" t="s">
        <v>1607</v>
      </c>
      <c r="B1692" s="221">
        <v>0</v>
      </c>
      <c r="C1692" s="221">
        <v>150</v>
      </c>
      <c r="D1692" s="221">
        <v>25.250000000000004</v>
      </c>
      <c r="E1692" s="221">
        <v>32.520789643782479</v>
      </c>
      <c r="F1692" s="221">
        <v>1.4188016275074058</v>
      </c>
      <c r="G1692" s="222" t="s">
        <v>2942</v>
      </c>
    </row>
    <row r="1693" spans="1:7">
      <c r="A1693" s="220" t="s">
        <v>1608</v>
      </c>
      <c r="B1693" s="221">
        <v>0</v>
      </c>
      <c r="C1693" s="221">
        <v>225</v>
      </c>
      <c r="D1693" s="221">
        <v>25.250000000000004</v>
      </c>
      <c r="E1693" s="221">
        <v>37.429389643782478</v>
      </c>
      <c r="F1693" s="221">
        <v>1.4188016275074058</v>
      </c>
      <c r="G1693" s="222" t="s">
        <v>2942</v>
      </c>
    </row>
    <row r="1694" spans="1:7">
      <c r="A1694" s="220" t="s">
        <v>1609</v>
      </c>
      <c r="B1694" s="221">
        <v>0</v>
      </c>
      <c r="C1694" s="221">
        <v>260</v>
      </c>
      <c r="D1694" s="221">
        <v>25.250000000000004</v>
      </c>
      <c r="E1694" s="221">
        <v>46.428489643782484</v>
      </c>
      <c r="F1694" s="221">
        <v>1.4188016275074058</v>
      </c>
      <c r="G1694" s="222" t="s">
        <v>2942</v>
      </c>
    </row>
    <row r="1695" spans="1:7">
      <c r="A1695" s="220" t="s">
        <v>1610</v>
      </c>
      <c r="B1695" s="221">
        <v>0</v>
      </c>
      <c r="C1695" s="221">
        <v>345</v>
      </c>
      <c r="D1695" s="221">
        <v>25.250000000000004</v>
      </c>
      <c r="E1695" s="221">
        <v>50.518989643782483</v>
      </c>
      <c r="F1695" s="221">
        <v>1.4188016275074058</v>
      </c>
      <c r="G1695" s="222" t="s">
        <v>2942</v>
      </c>
    </row>
    <row r="1696" spans="1:7">
      <c r="A1696" s="220" t="s">
        <v>1611</v>
      </c>
      <c r="B1696" s="221">
        <v>0</v>
      </c>
      <c r="C1696" s="221">
        <v>520</v>
      </c>
      <c r="D1696" s="221">
        <v>25.250000000000004</v>
      </c>
      <c r="E1696" s="221">
        <v>66.88098964378247</v>
      </c>
      <c r="F1696" s="221">
        <v>1.4188016275074058</v>
      </c>
      <c r="G1696" s="222" t="s">
        <v>2942</v>
      </c>
    </row>
    <row r="1697" spans="1:7">
      <c r="A1697" s="220" t="s">
        <v>1612</v>
      </c>
      <c r="B1697" s="221">
        <v>0</v>
      </c>
      <c r="C1697" s="221">
        <v>610</v>
      </c>
      <c r="D1697" s="221">
        <v>25.250000000000004</v>
      </c>
      <c r="E1697" s="221">
        <v>83.242989643782479</v>
      </c>
      <c r="F1697" s="221">
        <v>1.4188016275074058</v>
      </c>
      <c r="G1697" s="222" t="s">
        <v>2942</v>
      </c>
    </row>
    <row r="1698" spans="1:7">
      <c r="A1698" s="220" t="s">
        <v>1613</v>
      </c>
      <c r="B1698" s="221">
        <v>0</v>
      </c>
      <c r="C1698" s="221">
        <v>670</v>
      </c>
      <c r="D1698" s="221">
        <v>25.250000000000004</v>
      </c>
      <c r="E1698" s="221">
        <v>91.423989643782477</v>
      </c>
      <c r="F1698" s="221">
        <v>1.4188016275074058</v>
      </c>
      <c r="G1698" s="222" t="s">
        <v>2942</v>
      </c>
    </row>
    <row r="1699" spans="1:7">
      <c r="A1699" s="220" t="s">
        <v>1614</v>
      </c>
      <c r="B1699" s="221">
        <v>0</v>
      </c>
      <c r="C1699" s="221">
        <v>820</v>
      </c>
      <c r="D1699" s="221">
        <v>25.250000000000004</v>
      </c>
      <c r="E1699" s="221">
        <v>132.32898964378248</v>
      </c>
      <c r="F1699" s="221">
        <v>1.4188016275074058</v>
      </c>
      <c r="G1699" s="222" t="s">
        <v>2942</v>
      </c>
    </row>
    <row r="1700" spans="1:7">
      <c r="A1700" s="220" t="s">
        <v>1615</v>
      </c>
      <c r="B1700" s="221">
        <v>0</v>
      </c>
      <c r="C1700" s="221">
        <v>890</v>
      </c>
      <c r="D1700" s="221">
        <v>25.250000000000004</v>
      </c>
      <c r="E1700" s="221">
        <v>152.78148964378246</v>
      </c>
      <c r="F1700" s="221">
        <v>1.4188016275074058</v>
      </c>
      <c r="G1700" s="222" t="s">
        <v>2942</v>
      </c>
    </row>
    <row r="1701" spans="1:7">
      <c r="A1701" s="220" t="s">
        <v>1616</v>
      </c>
      <c r="B1701" s="221">
        <v>0</v>
      </c>
      <c r="C1701" s="221">
        <v>1020</v>
      </c>
      <c r="D1701" s="221">
        <v>25.250000000000004</v>
      </c>
      <c r="E1701" s="221">
        <v>189.59598964378247</v>
      </c>
      <c r="F1701" s="221">
        <v>1.4188016275074058</v>
      </c>
      <c r="G1701" s="222" t="s">
        <v>2942</v>
      </c>
    </row>
    <row r="1702" spans="1:7">
      <c r="A1702" s="220" t="s">
        <v>1617</v>
      </c>
      <c r="B1702" s="221">
        <v>0</v>
      </c>
      <c r="C1702" s="221">
        <v>1120</v>
      </c>
      <c r="D1702" s="221">
        <v>25.250000000000004</v>
      </c>
      <c r="E1702" s="221">
        <v>214.13898964378248</v>
      </c>
      <c r="F1702" s="221">
        <v>1.4188016275074058</v>
      </c>
      <c r="G1702" s="222" t="s">
        <v>2942</v>
      </c>
    </row>
    <row r="1703" spans="1:7">
      <c r="A1703" s="220" t="s">
        <v>1618</v>
      </c>
      <c r="B1703" s="221">
        <v>0</v>
      </c>
      <c r="C1703" s="221">
        <v>1185</v>
      </c>
      <c r="D1703" s="221">
        <v>25.250000000000004</v>
      </c>
      <c r="E1703" s="221">
        <v>234.59148964378247</v>
      </c>
      <c r="F1703" s="221">
        <v>1.4188016275074058</v>
      </c>
      <c r="G1703" s="222" t="s">
        <v>2942</v>
      </c>
    </row>
    <row r="1704" spans="1:7">
      <c r="A1704" s="220" t="s">
        <v>1619</v>
      </c>
      <c r="B1704" s="221">
        <v>0</v>
      </c>
      <c r="C1704" s="221">
        <v>80</v>
      </c>
      <c r="D1704" s="221">
        <v>25.250000000000004</v>
      </c>
      <c r="E1704" s="221">
        <v>26.327496749035536</v>
      </c>
      <c r="F1704" s="221">
        <v>2.5768284643916193</v>
      </c>
      <c r="G1704" s="222" t="s">
        <v>2942</v>
      </c>
    </row>
    <row r="1705" spans="1:7">
      <c r="A1705" s="220" t="s">
        <v>1620</v>
      </c>
      <c r="B1705" s="221">
        <v>0</v>
      </c>
      <c r="C1705" s="221">
        <v>80</v>
      </c>
      <c r="D1705" s="221">
        <v>25.250000000000004</v>
      </c>
      <c r="E1705" s="221">
        <v>29.59989674903553</v>
      </c>
      <c r="F1705" s="221">
        <v>2.5768284643916193</v>
      </c>
      <c r="G1705" s="222" t="s">
        <v>2942</v>
      </c>
    </row>
    <row r="1706" spans="1:7">
      <c r="A1706" s="220" t="s">
        <v>1621</v>
      </c>
      <c r="B1706" s="221">
        <v>0</v>
      </c>
      <c r="C1706" s="221">
        <v>90</v>
      </c>
      <c r="D1706" s="221">
        <v>25.250000000000004</v>
      </c>
      <c r="E1706" s="221">
        <v>33.690396749035536</v>
      </c>
      <c r="F1706" s="221">
        <v>2.5768284643916193</v>
      </c>
      <c r="G1706" s="222" t="s">
        <v>2942</v>
      </c>
    </row>
    <row r="1707" spans="1:7">
      <c r="A1707" s="220" t="s">
        <v>1622</v>
      </c>
      <c r="B1707" s="221">
        <v>0</v>
      </c>
      <c r="C1707" s="221">
        <v>150</v>
      </c>
      <c r="D1707" s="221">
        <v>25.250000000000004</v>
      </c>
      <c r="E1707" s="221">
        <v>33.690396749035536</v>
      </c>
      <c r="F1707" s="221">
        <v>2.5768284643916193</v>
      </c>
      <c r="G1707" s="222" t="s">
        <v>2942</v>
      </c>
    </row>
    <row r="1708" spans="1:7">
      <c r="A1708" s="220" t="s">
        <v>1623</v>
      </c>
      <c r="B1708" s="221">
        <v>0</v>
      </c>
      <c r="C1708" s="221">
        <v>150</v>
      </c>
      <c r="D1708" s="221">
        <v>25.250000000000004</v>
      </c>
      <c r="E1708" s="221">
        <v>33.690396749035536</v>
      </c>
      <c r="F1708" s="221">
        <v>2.5768284643916193</v>
      </c>
      <c r="G1708" s="222" t="s">
        <v>2942</v>
      </c>
    </row>
    <row r="1709" spans="1:7">
      <c r="A1709" s="220" t="s">
        <v>1624</v>
      </c>
      <c r="B1709" s="221">
        <v>0</v>
      </c>
      <c r="C1709" s="221">
        <v>155</v>
      </c>
      <c r="D1709" s="221">
        <v>25.250000000000004</v>
      </c>
      <c r="E1709" s="221">
        <v>33.690396749035536</v>
      </c>
      <c r="F1709" s="221">
        <v>2.5768284643916193</v>
      </c>
      <c r="G1709" s="222" t="s">
        <v>2942</v>
      </c>
    </row>
    <row r="1710" spans="1:7">
      <c r="A1710" s="220" t="s">
        <v>1625</v>
      </c>
      <c r="B1710" s="221">
        <v>0</v>
      </c>
      <c r="C1710" s="221">
        <v>215</v>
      </c>
      <c r="D1710" s="221">
        <v>25.250000000000004</v>
      </c>
      <c r="E1710" s="221">
        <v>33.690396749035536</v>
      </c>
      <c r="F1710" s="221">
        <v>2.5768284643916193</v>
      </c>
      <c r="G1710" s="222" t="s">
        <v>2942</v>
      </c>
    </row>
    <row r="1711" spans="1:7">
      <c r="A1711" s="220" t="s">
        <v>1626</v>
      </c>
      <c r="B1711" s="221">
        <v>0</v>
      </c>
      <c r="C1711" s="221">
        <v>240</v>
      </c>
      <c r="D1711" s="221">
        <v>25.250000000000004</v>
      </c>
      <c r="E1711" s="221">
        <v>33.690396749035536</v>
      </c>
      <c r="F1711" s="221">
        <v>2.5768284643916193</v>
      </c>
      <c r="G1711" s="222" t="s">
        <v>2942</v>
      </c>
    </row>
    <row r="1712" spans="1:7">
      <c r="A1712" s="220" t="s">
        <v>1627</v>
      </c>
      <c r="B1712" s="221">
        <v>0</v>
      </c>
      <c r="C1712" s="221">
        <v>340</v>
      </c>
      <c r="D1712" s="221">
        <v>25.250000000000004</v>
      </c>
      <c r="E1712" s="221">
        <v>38.598996749035535</v>
      </c>
      <c r="F1712" s="221">
        <v>2.5768284643916193</v>
      </c>
      <c r="G1712" s="222" t="s">
        <v>2942</v>
      </c>
    </row>
    <row r="1713" spans="1:7">
      <c r="A1713" s="220" t="s">
        <v>1628</v>
      </c>
      <c r="B1713" s="221">
        <v>0</v>
      </c>
      <c r="C1713" s="221">
        <v>395</v>
      </c>
      <c r="D1713" s="221">
        <v>25.250000000000004</v>
      </c>
      <c r="E1713" s="221">
        <v>47.598096749035541</v>
      </c>
      <c r="F1713" s="221">
        <v>2.5768284643916193</v>
      </c>
      <c r="G1713" s="222" t="s">
        <v>2942</v>
      </c>
    </row>
    <row r="1714" spans="1:7">
      <c r="A1714" s="220" t="s">
        <v>1629</v>
      </c>
      <c r="B1714" s="221">
        <v>0</v>
      </c>
      <c r="C1714" s="221">
        <v>525</v>
      </c>
      <c r="D1714" s="221">
        <v>25.250000000000004</v>
      </c>
      <c r="E1714" s="221">
        <v>51.688596749035533</v>
      </c>
      <c r="F1714" s="221">
        <v>2.5768284643916193</v>
      </c>
      <c r="G1714" s="222" t="s">
        <v>2942</v>
      </c>
    </row>
    <row r="1715" spans="1:7">
      <c r="A1715" s="220" t="s">
        <v>1630</v>
      </c>
      <c r="B1715" s="221">
        <v>0</v>
      </c>
      <c r="C1715" s="221">
        <v>785</v>
      </c>
      <c r="D1715" s="221">
        <v>25.250000000000004</v>
      </c>
      <c r="E1715" s="221">
        <v>68.050596749035535</v>
      </c>
      <c r="F1715" s="221">
        <v>2.5768284643916193</v>
      </c>
      <c r="G1715" s="222" t="s">
        <v>2942</v>
      </c>
    </row>
    <row r="1716" spans="1:7">
      <c r="A1716" s="220" t="s">
        <v>1631</v>
      </c>
      <c r="B1716" s="221">
        <v>0</v>
      </c>
      <c r="C1716" s="221">
        <v>920</v>
      </c>
      <c r="D1716" s="221">
        <v>25.250000000000004</v>
      </c>
      <c r="E1716" s="221">
        <v>84.412596749035544</v>
      </c>
      <c r="F1716" s="221">
        <v>2.5768284643916193</v>
      </c>
      <c r="G1716" s="222" t="s">
        <v>2942</v>
      </c>
    </row>
    <row r="1717" spans="1:7">
      <c r="A1717" s="220" t="s">
        <v>1632</v>
      </c>
      <c r="B1717" s="221">
        <v>0</v>
      </c>
      <c r="C1717" s="221">
        <v>1005</v>
      </c>
      <c r="D1717" s="221">
        <v>25.250000000000004</v>
      </c>
      <c r="E1717" s="221">
        <v>92.593596749035541</v>
      </c>
      <c r="F1717" s="221">
        <v>2.5768284643916193</v>
      </c>
      <c r="G1717" s="222" t="s">
        <v>2942</v>
      </c>
    </row>
    <row r="1718" spans="1:7">
      <c r="A1718" s="220" t="s">
        <v>1633</v>
      </c>
      <c r="B1718" s="221">
        <v>0</v>
      </c>
      <c r="C1718" s="221">
        <v>1230</v>
      </c>
      <c r="D1718" s="221">
        <v>25.250000000000004</v>
      </c>
      <c r="E1718" s="221">
        <v>133.49859674903553</v>
      </c>
      <c r="F1718" s="221">
        <v>2.5768284643916193</v>
      </c>
      <c r="G1718" s="222" t="s">
        <v>2942</v>
      </c>
    </row>
    <row r="1719" spans="1:7">
      <c r="A1719" s="220" t="s">
        <v>1634</v>
      </c>
      <c r="B1719" s="221">
        <v>0</v>
      </c>
      <c r="C1719" s="221">
        <v>1330</v>
      </c>
      <c r="D1719" s="221">
        <v>25.250000000000004</v>
      </c>
      <c r="E1719" s="221">
        <v>153.95109674903551</v>
      </c>
      <c r="F1719" s="221">
        <v>2.5768284643916193</v>
      </c>
      <c r="G1719" s="222" t="s">
        <v>2942</v>
      </c>
    </row>
    <row r="1720" spans="1:7">
      <c r="A1720" s="220" t="s">
        <v>1635</v>
      </c>
      <c r="B1720" s="221">
        <v>0</v>
      </c>
      <c r="C1720" s="221">
        <v>1530</v>
      </c>
      <c r="D1720" s="221">
        <v>25.250000000000004</v>
      </c>
      <c r="E1720" s="221">
        <v>190.7655967490355</v>
      </c>
      <c r="F1720" s="221">
        <v>2.5768284643916193</v>
      </c>
      <c r="G1720" s="222" t="s">
        <v>2942</v>
      </c>
    </row>
    <row r="1721" spans="1:7">
      <c r="A1721" s="220" t="s">
        <v>1636</v>
      </c>
      <c r="B1721" s="221">
        <v>0</v>
      </c>
      <c r="C1721" s="221">
        <v>1680</v>
      </c>
      <c r="D1721" s="221">
        <v>25.250000000000004</v>
      </c>
      <c r="E1721" s="221">
        <v>215.30859674903553</v>
      </c>
      <c r="F1721" s="221">
        <v>2.5768284643916193</v>
      </c>
      <c r="G1721" s="222" t="s">
        <v>2942</v>
      </c>
    </row>
    <row r="1722" spans="1:7">
      <c r="A1722" s="220" t="s">
        <v>1637</v>
      </c>
      <c r="B1722" s="221">
        <v>0</v>
      </c>
      <c r="C1722" s="221">
        <v>1775</v>
      </c>
      <c r="D1722" s="221">
        <v>25.250000000000004</v>
      </c>
      <c r="E1722" s="221">
        <v>235.76109674903552</v>
      </c>
      <c r="F1722" s="221">
        <v>2.5768284643916193</v>
      </c>
      <c r="G1722" s="222" t="s">
        <v>2942</v>
      </c>
    </row>
    <row r="1723" spans="1:7">
      <c r="A1723" s="220" t="s">
        <v>1638</v>
      </c>
      <c r="B1723" s="221">
        <v>0</v>
      </c>
      <c r="C1723" s="221">
        <v>95</v>
      </c>
      <c r="D1723" s="221">
        <v>25.250000000000004</v>
      </c>
      <c r="E1723" s="221">
        <v>20.249289643782479</v>
      </c>
      <c r="F1723" s="221">
        <v>1.4188016275074058</v>
      </c>
      <c r="G1723" s="222" t="s">
        <v>2942</v>
      </c>
    </row>
    <row r="1724" spans="1:7">
      <c r="A1724" s="220" t="s">
        <v>1639</v>
      </c>
      <c r="B1724" s="221">
        <v>0</v>
      </c>
      <c r="C1724" s="221">
        <v>95</v>
      </c>
      <c r="D1724" s="221">
        <v>25.250000000000004</v>
      </c>
      <c r="E1724" s="221">
        <v>23.52168964378248</v>
      </c>
      <c r="F1724" s="221">
        <v>1.4188016275074058</v>
      </c>
      <c r="G1724" s="222" t="s">
        <v>2942</v>
      </c>
    </row>
    <row r="1725" spans="1:7">
      <c r="A1725" s="220" t="s">
        <v>1640</v>
      </c>
      <c r="B1725" s="221">
        <v>0</v>
      </c>
      <c r="C1725" s="221">
        <v>100</v>
      </c>
      <c r="D1725" s="221">
        <v>25.250000000000004</v>
      </c>
      <c r="E1725" s="221">
        <v>37.429389643782478</v>
      </c>
      <c r="F1725" s="221">
        <v>1.4188016275074058</v>
      </c>
      <c r="G1725" s="222" t="s">
        <v>2942</v>
      </c>
    </row>
    <row r="1726" spans="1:7">
      <c r="A1726" s="220" t="s">
        <v>1641</v>
      </c>
      <c r="B1726" s="221">
        <v>0</v>
      </c>
      <c r="C1726" s="221">
        <v>130</v>
      </c>
      <c r="D1726" s="221">
        <v>25.250000000000004</v>
      </c>
      <c r="E1726" s="221">
        <v>55.427589643782483</v>
      </c>
      <c r="F1726" s="221">
        <v>1.4188016275074058</v>
      </c>
      <c r="G1726" s="222" t="s">
        <v>2942</v>
      </c>
    </row>
    <row r="1727" spans="1:7">
      <c r="A1727" s="220" t="s">
        <v>1642</v>
      </c>
      <c r="B1727" s="221">
        <v>0</v>
      </c>
      <c r="C1727" s="221">
        <v>130</v>
      </c>
      <c r="D1727" s="221">
        <v>25.250000000000004</v>
      </c>
      <c r="E1727" s="221">
        <v>60.336189643782483</v>
      </c>
      <c r="F1727" s="221">
        <v>1.4188016275074058</v>
      </c>
      <c r="G1727" s="222" t="s">
        <v>2942</v>
      </c>
    </row>
    <row r="1728" spans="1:7">
      <c r="A1728" s="220" t="s">
        <v>1643</v>
      </c>
      <c r="B1728" s="221">
        <v>0</v>
      </c>
      <c r="C1728" s="221">
        <v>145</v>
      </c>
      <c r="D1728" s="221">
        <v>25.250000000000004</v>
      </c>
      <c r="E1728" s="221">
        <v>65.244789643782468</v>
      </c>
      <c r="F1728" s="221">
        <v>1.4188016275074058</v>
      </c>
      <c r="G1728" s="222" t="s">
        <v>2942</v>
      </c>
    </row>
    <row r="1729" spans="1:7">
      <c r="A1729" s="220" t="s">
        <v>1644</v>
      </c>
      <c r="B1729" s="221">
        <v>0</v>
      </c>
      <c r="C1729" s="221">
        <v>155</v>
      </c>
      <c r="D1729" s="221">
        <v>25.250000000000004</v>
      </c>
      <c r="E1729" s="221">
        <v>69.335289643782488</v>
      </c>
      <c r="F1729" s="221">
        <v>1.4188016275074058</v>
      </c>
      <c r="G1729" s="222" t="s">
        <v>2942</v>
      </c>
    </row>
    <row r="1730" spans="1:7">
      <c r="A1730" s="220" t="s">
        <v>1645</v>
      </c>
      <c r="B1730" s="221">
        <v>0</v>
      </c>
      <c r="C1730" s="221">
        <v>170</v>
      </c>
      <c r="D1730" s="221">
        <v>25.250000000000004</v>
      </c>
      <c r="E1730" s="221">
        <v>74.243889643782481</v>
      </c>
      <c r="F1730" s="221">
        <v>1.4188016275074058</v>
      </c>
      <c r="G1730" s="222" t="s">
        <v>2942</v>
      </c>
    </row>
    <row r="1731" spans="1:7">
      <c r="A1731" s="220" t="s">
        <v>1646</v>
      </c>
      <c r="B1731" s="221">
        <v>0</v>
      </c>
      <c r="C1731" s="221">
        <v>210</v>
      </c>
      <c r="D1731" s="221">
        <v>25.250000000000004</v>
      </c>
      <c r="E1731" s="221">
        <v>99.604989643782488</v>
      </c>
      <c r="F1731" s="221">
        <v>1.4188016275074058</v>
      </c>
      <c r="G1731" s="222" t="s">
        <v>2942</v>
      </c>
    </row>
    <row r="1732" spans="1:7">
      <c r="A1732" s="220" t="s">
        <v>1647</v>
      </c>
      <c r="B1732" s="221">
        <v>0</v>
      </c>
      <c r="C1732" s="221">
        <v>220</v>
      </c>
      <c r="D1732" s="221">
        <v>25.250000000000004</v>
      </c>
      <c r="E1732" s="221">
        <v>107.78598964378247</v>
      </c>
      <c r="F1732" s="221">
        <v>1.4188016275074058</v>
      </c>
      <c r="G1732" s="222" t="s">
        <v>2942</v>
      </c>
    </row>
    <row r="1733" spans="1:7">
      <c r="A1733" s="220" t="s">
        <v>1648</v>
      </c>
      <c r="B1733" s="221">
        <v>0</v>
      </c>
      <c r="C1733" s="221">
        <v>260</v>
      </c>
      <c r="D1733" s="221">
        <v>25.250000000000004</v>
      </c>
      <c r="E1733" s="221">
        <v>132.32898964378248</v>
      </c>
      <c r="F1733" s="221">
        <v>1.4188016275074058</v>
      </c>
      <c r="G1733" s="222" t="s">
        <v>2942</v>
      </c>
    </row>
    <row r="1734" spans="1:7">
      <c r="A1734" s="220" t="s">
        <v>1649</v>
      </c>
      <c r="B1734" s="221">
        <v>0</v>
      </c>
      <c r="C1734" s="221">
        <v>325</v>
      </c>
      <c r="D1734" s="221">
        <v>25.250000000000004</v>
      </c>
      <c r="E1734" s="221">
        <v>156.87198964378248</v>
      </c>
      <c r="F1734" s="221">
        <v>1.4188016275074058</v>
      </c>
      <c r="G1734" s="222" t="s">
        <v>2942</v>
      </c>
    </row>
    <row r="1735" spans="1:7">
      <c r="A1735" s="220" t="s">
        <v>1650</v>
      </c>
      <c r="B1735" s="221">
        <v>0</v>
      </c>
      <c r="C1735" s="221">
        <v>375</v>
      </c>
      <c r="D1735" s="221">
        <v>25.250000000000004</v>
      </c>
      <c r="E1735" s="221">
        <v>185.50548964378248</v>
      </c>
      <c r="F1735" s="221">
        <v>1.4188016275074058</v>
      </c>
      <c r="G1735" s="222" t="s">
        <v>2942</v>
      </c>
    </row>
    <row r="1736" spans="1:7">
      <c r="A1736" s="220" t="s">
        <v>1651</v>
      </c>
      <c r="B1736" s="221">
        <v>0</v>
      </c>
      <c r="C1736" s="221">
        <v>420</v>
      </c>
      <c r="D1736" s="221">
        <v>25.250000000000004</v>
      </c>
      <c r="E1736" s="221">
        <v>205.95798964378247</v>
      </c>
      <c r="F1736" s="221">
        <v>1.4188016275074058</v>
      </c>
      <c r="G1736" s="222" t="s">
        <v>2942</v>
      </c>
    </row>
    <row r="1737" spans="1:7">
      <c r="A1737" s="220" t="s">
        <v>1652</v>
      </c>
      <c r="B1737" s="221">
        <v>0</v>
      </c>
      <c r="C1737" s="221">
        <v>445</v>
      </c>
      <c r="D1737" s="221">
        <v>25.250000000000004</v>
      </c>
      <c r="E1737" s="221">
        <v>246.86298964378247</v>
      </c>
      <c r="F1737" s="221">
        <v>1.4188016275074058</v>
      </c>
      <c r="G1737" s="222" t="s">
        <v>2942</v>
      </c>
    </row>
    <row r="1738" spans="1:7">
      <c r="A1738" s="220" t="s">
        <v>1653</v>
      </c>
      <c r="B1738" s="221">
        <v>0</v>
      </c>
      <c r="C1738" s="221">
        <v>510</v>
      </c>
      <c r="D1738" s="221">
        <v>25.250000000000004</v>
      </c>
      <c r="E1738" s="221">
        <v>287.76798964378247</v>
      </c>
      <c r="F1738" s="221">
        <v>1.4188016275074058</v>
      </c>
      <c r="G1738" s="222" t="s">
        <v>2942</v>
      </c>
    </row>
    <row r="1739" spans="1:7">
      <c r="A1739" s="220" t="s">
        <v>1654</v>
      </c>
      <c r="B1739" s="221">
        <v>0</v>
      </c>
      <c r="C1739" s="221">
        <v>610</v>
      </c>
      <c r="D1739" s="221">
        <v>25.250000000000004</v>
      </c>
      <c r="E1739" s="221">
        <v>349.12548964378243</v>
      </c>
      <c r="F1739" s="221">
        <v>1.4188016275074058</v>
      </c>
      <c r="G1739" s="222" t="s">
        <v>2942</v>
      </c>
    </row>
    <row r="1740" spans="1:7">
      <c r="A1740" s="220" t="s">
        <v>1655</v>
      </c>
      <c r="B1740" s="221">
        <v>0</v>
      </c>
      <c r="C1740" s="221">
        <v>695</v>
      </c>
      <c r="D1740" s="221">
        <v>25.250000000000004</v>
      </c>
      <c r="E1740" s="221">
        <v>390.03048964378246</v>
      </c>
      <c r="F1740" s="221">
        <v>1.4188016275074058</v>
      </c>
      <c r="G1740" s="222" t="s">
        <v>2942</v>
      </c>
    </row>
    <row r="1741" spans="1:7">
      <c r="A1741" s="220" t="s">
        <v>1656</v>
      </c>
      <c r="B1741" s="221">
        <v>0</v>
      </c>
      <c r="C1741" s="221">
        <v>755</v>
      </c>
      <c r="D1741" s="221">
        <v>25.250000000000004</v>
      </c>
      <c r="E1741" s="221">
        <v>430.93548964378243</v>
      </c>
      <c r="F1741" s="221">
        <v>1.4188016275074058</v>
      </c>
      <c r="G1741" s="222" t="s">
        <v>2942</v>
      </c>
    </row>
    <row r="1742" spans="1:7">
      <c r="A1742" s="220" t="s">
        <v>1657</v>
      </c>
      <c r="B1742" s="221">
        <v>0</v>
      </c>
      <c r="C1742" s="221">
        <v>140</v>
      </c>
      <c r="D1742" s="221">
        <v>25.250000000000004</v>
      </c>
      <c r="E1742" s="221">
        <v>20.249289643782479</v>
      </c>
      <c r="F1742" s="221">
        <v>1.4188016275074058</v>
      </c>
      <c r="G1742" s="222" t="s">
        <v>2942</v>
      </c>
    </row>
    <row r="1743" spans="1:7">
      <c r="A1743" s="220" t="s">
        <v>1658</v>
      </c>
      <c r="B1743" s="221">
        <v>0</v>
      </c>
      <c r="C1743" s="221">
        <v>140</v>
      </c>
      <c r="D1743" s="221">
        <v>25.250000000000004</v>
      </c>
      <c r="E1743" s="221">
        <v>23.52168964378248</v>
      </c>
      <c r="F1743" s="221">
        <v>1.4188016275074058</v>
      </c>
      <c r="G1743" s="222" t="s">
        <v>2942</v>
      </c>
    </row>
    <row r="1744" spans="1:7">
      <c r="A1744" s="220" t="s">
        <v>1659</v>
      </c>
      <c r="B1744" s="221">
        <v>0</v>
      </c>
      <c r="C1744" s="221">
        <v>170</v>
      </c>
      <c r="D1744" s="221">
        <v>25.250000000000004</v>
      </c>
      <c r="E1744" s="221">
        <v>37.429389643782478</v>
      </c>
      <c r="F1744" s="221">
        <v>1.4188016275074058</v>
      </c>
      <c r="G1744" s="222" t="s">
        <v>2942</v>
      </c>
    </row>
    <row r="1745" spans="1:7">
      <c r="A1745" s="220" t="s">
        <v>1660</v>
      </c>
      <c r="B1745" s="221">
        <v>0</v>
      </c>
      <c r="C1745" s="221">
        <v>250</v>
      </c>
      <c r="D1745" s="221">
        <v>25.250000000000004</v>
      </c>
      <c r="E1745" s="221">
        <v>55.427589643782483</v>
      </c>
      <c r="F1745" s="221">
        <v>1.4188016275074058</v>
      </c>
      <c r="G1745" s="222" t="s">
        <v>2942</v>
      </c>
    </row>
    <row r="1746" spans="1:7">
      <c r="A1746" s="220" t="s">
        <v>1661</v>
      </c>
      <c r="B1746" s="221">
        <v>0</v>
      </c>
      <c r="C1746" s="221">
        <v>250</v>
      </c>
      <c r="D1746" s="221">
        <v>25.250000000000004</v>
      </c>
      <c r="E1746" s="221">
        <v>60.336189643782483</v>
      </c>
      <c r="F1746" s="221">
        <v>1.4188016275074058</v>
      </c>
      <c r="G1746" s="222" t="s">
        <v>2942</v>
      </c>
    </row>
    <row r="1747" spans="1:7">
      <c r="A1747" s="220" t="s">
        <v>1662</v>
      </c>
      <c r="B1747" s="221">
        <v>0</v>
      </c>
      <c r="C1747" s="221">
        <v>345</v>
      </c>
      <c r="D1747" s="221">
        <v>25.250000000000004</v>
      </c>
      <c r="E1747" s="221">
        <v>65.244789643782468</v>
      </c>
      <c r="F1747" s="221">
        <v>1.4188016275074058</v>
      </c>
      <c r="G1747" s="222" t="s">
        <v>2942</v>
      </c>
    </row>
    <row r="1748" spans="1:7">
      <c r="A1748" s="220" t="s">
        <v>1663</v>
      </c>
      <c r="B1748" s="221">
        <v>0</v>
      </c>
      <c r="C1748" s="221">
        <v>405</v>
      </c>
      <c r="D1748" s="221">
        <v>25.250000000000004</v>
      </c>
      <c r="E1748" s="221">
        <v>69.335289643782488</v>
      </c>
      <c r="F1748" s="221">
        <v>1.4188016275074058</v>
      </c>
      <c r="G1748" s="222" t="s">
        <v>2942</v>
      </c>
    </row>
    <row r="1749" spans="1:7">
      <c r="A1749" s="220" t="s">
        <v>1664</v>
      </c>
      <c r="B1749" s="221">
        <v>0</v>
      </c>
      <c r="C1749" s="221">
        <v>440</v>
      </c>
      <c r="D1749" s="221">
        <v>25.250000000000004</v>
      </c>
      <c r="E1749" s="221">
        <v>74.243889643782481</v>
      </c>
      <c r="F1749" s="221">
        <v>1.4188016275074058</v>
      </c>
      <c r="G1749" s="222" t="s">
        <v>2942</v>
      </c>
    </row>
    <row r="1750" spans="1:7">
      <c r="A1750" s="220" t="s">
        <v>1665</v>
      </c>
      <c r="B1750" s="221">
        <v>0</v>
      </c>
      <c r="C1750" s="221">
        <v>475</v>
      </c>
      <c r="D1750" s="221">
        <v>25.250000000000004</v>
      </c>
      <c r="E1750" s="221">
        <v>99.604989643782488</v>
      </c>
      <c r="F1750" s="221">
        <v>1.4188016275074058</v>
      </c>
      <c r="G1750" s="222" t="s">
        <v>2942</v>
      </c>
    </row>
    <row r="1751" spans="1:7">
      <c r="A1751" s="220" t="s">
        <v>1666</v>
      </c>
      <c r="B1751" s="221">
        <v>0</v>
      </c>
      <c r="C1751" s="221">
        <v>535</v>
      </c>
      <c r="D1751" s="221">
        <v>25.250000000000004</v>
      </c>
      <c r="E1751" s="221">
        <v>107.78598964378247</v>
      </c>
      <c r="F1751" s="221">
        <v>1.4188016275074058</v>
      </c>
      <c r="G1751" s="222" t="s">
        <v>2942</v>
      </c>
    </row>
    <row r="1752" spans="1:7">
      <c r="A1752" s="220" t="s">
        <v>1667</v>
      </c>
      <c r="B1752" s="221">
        <v>0</v>
      </c>
      <c r="C1752" s="221">
        <v>610</v>
      </c>
      <c r="D1752" s="221">
        <v>25.250000000000004</v>
      </c>
      <c r="E1752" s="221">
        <v>132.32898964378248</v>
      </c>
      <c r="F1752" s="221">
        <v>1.4188016275074058</v>
      </c>
      <c r="G1752" s="222" t="s">
        <v>2942</v>
      </c>
    </row>
    <row r="1753" spans="1:7">
      <c r="A1753" s="220" t="s">
        <v>1668</v>
      </c>
      <c r="B1753" s="221">
        <v>0</v>
      </c>
      <c r="C1753" s="221">
        <v>780</v>
      </c>
      <c r="D1753" s="221">
        <v>25.250000000000004</v>
      </c>
      <c r="E1753" s="221">
        <v>156.87198964378248</v>
      </c>
      <c r="F1753" s="221">
        <v>1.4188016275074058</v>
      </c>
      <c r="G1753" s="222" t="s">
        <v>2942</v>
      </c>
    </row>
    <row r="1754" spans="1:7">
      <c r="A1754" s="220" t="s">
        <v>1669</v>
      </c>
      <c r="B1754" s="221">
        <v>0</v>
      </c>
      <c r="C1754" s="221">
        <v>820</v>
      </c>
      <c r="D1754" s="221">
        <v>25.250000000000004</v>
      </c>
      <c r="E1754" s="221">
        <v>185.50548964378248</v>
      </c>
      <c r="F1754" s="221">
        <v>1.4188016275074058</v>
      </c>
      <c r="G1754" s="222" t="s">
        <v>2942</v>
      </c>
    </row>
    <row r="1755" spans="1:7">
      <c r="A1755" s="220" t="s">
        <v>1670</v>
      </c>
      <c r="B1755" s="221">
        <v>0</v>
      </c>
      <c r="C1755" s="221">
        <v>845</v>
      </c>
      <c r="D1755" s="221">
        <v>25.250000000000004</v>
      </c>
      <c r="E1755" s="221">
        <v>205.95798964378247</v>
      </c>
      <c r="F1755" s="221">
        <v>1.4188016275074058</v>
      </c>
      <c r="G1755" s="222" t="s">
        <v>2942</v>
      </c>
    </row>
    <row r="1756" spans="1:7">
      <c r="A1756" s="220" t="s">
        <v>1671</v>
      </c>
      <c r="B1756" s="221">
        <v>0</v>
      </c>
      <c r="C1756" s="221">
        <v>1040</v>
      </c>
      <c r="D1756" s="221">
        <v>25.250000000000004</v>
      </c>
      <c r="E1756" s="221">
        <v>246.86298964378247</v>
      </c>
      <c r="F1756" s="221">
        <v>1.4188016275074058</v>
      </c>
      <c r="G1756" s="222" t="s">
        <v>2942</v>
      </c>
    </row>
    <row r="1757" spans="1:7">
      <c r="A1757" s="220" t="s">
        <v>1672</v>
      </c>
      <c r="B1757" s="221">
        <v>0</v>
      </c>
      <c r="C1757" s="221">
        <v>1165</v>
      </c>
      <c r="D1757" s="221">
        <v>25.250000000000004</v>
      </c>
      <c r="E1757" s="221">
        <v>287.76798964378247</v>
      </c>
      <c r="F1757" s="221">
        <v>1.4188016275074058</v>
      </c>
      <c r="G1757" s="222" t="s">
        <v>2942</v>
      </c>
    </row>
    <row r="1758" spans="1:7">
      <c r="A1758" s="220" t="s">
        <v>1673</v>
      </c>
      <c r="B1758" s="221">
        <v>0</v>
      </c>
      <c r="C1758" s="221">
        <v>1250</v>
      </c>
      <c r="D1758" s="221">
        <v>25.250000000000004</v>
      </c>
      <c r="E1758" s="221">
        <v>349.12548964378243</v>
      </c>
      <c r="F1758" s="221">
        <v>1.4188016275074058</v>
      </c>
      <c r="G1758" s="222" t="s">
        <v>2942</v>
      </c>
    </row>
    <row r="1759" spans="1:7">
      <c r="A1759" s="220" t="s">
        <v>1674</v>
      </c>
      <c r="B1759" s="221">
        <v>0</v>
      </c>
      <c r="C1759" s="221">
        <v>1360</v>
      </c>
      <c r="D1759" s="221">
        <v>25.250000000000004</v>
      </c>
      <c r="E1759" s="221">
        <v>390.03048964378246</v>
      </c>
      <c r="F1759" s="221">
        <v>1.4188016275074058</v>
      </c>
      <c r="G1759" s="222" t="s">
        <v>2942</v>
      </c>
    </row>
    <row r="1760" spans="1:7">
      <c r="A1760" s="220" t="s">
        <v>1675</v>
      </c>
      <c r="B1760" s="221">
        <v>0</v>
      </c>
      <c r="C1760" s="221">
        <v>1405</v>
      </c>
      <c r="D1760" s="221">
        <v>25.250000000000004</v>
      </c>
      <c r="E1760" s="221">
        <v>430.93548964378243</v>
      </c>
      <c r="F1760" s="221">
        <v>1.4188016275074058</v>
      </c>
      <c r="G1760" s="222" t="s">
        <v>2942</v>
      </c>
    </row>
    <row r="1761" spans="1:7">
      <c r="A1761" s="220" t="s">
        <v>1676</v>
      </c>
      <c r="B1761" s="221">
        <v>0</v>
      </c>
      <c r="C1761" s="221">
        <v>179</v>
      </c>
      <c r="D1761" s="221">
        <v>25.250000000000004</v>
      </c>
      <c r="E1761" s="221">
        <v>21.418896749035536</v>
      </c>
      <c r="F1761" s="221">
        <v>2.5768284643916193</v>
      </c>
      <c r="G1761" s="222" t="s">
        <v>2942</v>
      </c>
    </row>
    <row r="1762" spans="1:7">
      <c r="A1762" s="220" t="s">
        <v>1677</v>
      </c>
      <c r="B1762" s="221">
        <v>0</v>
      </c>
      <c r="C1762" s="221">
        <v>179</v>
      </c>
      <c r="D1762" s="221">
        <v>25.250000000000004</v>
      </c>
      <c r="E1762" s="221">
        <v>24.691296749035537</v>
      </c>
      <c r="F1762" s="221">
        <v>2.5768284643916193</v>
      </c>
      <c r="G1762" s="222" t="s">
        <v>2942</v>
      </c>
    </row>
    <row r="1763" spans="1:7">
      <c r="A1763" s="220" t="s">
        <v>1678</v>
      </c>
      <c r="B1763" s="221">
        <v>0</v>
      </c>
      <c r="C1763" s="221">
        <v>189</v>
      </c>
      <c r="D1763" s="221">
        <v>25.250000000000004</v>
      </c>
      <c r="E1763" s="221">
        <v>38.598996749035535</v>
      </c>
      <c r="F1763" s="221">
        <v>2.5768284643916193</v>
      </c>
      <c r="G1763" s="222" t="s">
        <v>2942</v>
      </c>
    </row>
    <row r="1764" spans="1:7">
      <c r="A1764" s="220" t="s">
        <v>1679</v>
      </c>
      <c r="B1764" s="221">
        <v>0</v>
      </c>
      <c r="C1764" s="221">
        <v>385</v>
      </c>
      <c r="D1764" s="221">
        <v>25.250000000000004</v>
      </c>
      <c r="E1764" s="221">
        <v>56.597196749035533</v>
      </c>
      <c r="F1764" s="221">
        <v>2.5768284643916193</v>
      </c>
      <c r="G1764" s="222" t="s">
        <v>2942</v>
      </c>
    </row>
    <row r="1765" spans="1:7">
      <c r="A1765" s="220" t="s">
        <v>1680</v>
      </c>
      <c r="B1765" s="221">
        <v>0</v>
      </c>
      <c r="C1765" s="221">
        <v>385</v>
      </c>
      <c r="D1765" s="221">
        <v>25.250000000000004</v>
      </c>
      <c r="E1765" s="221">
        <v>61.505796749035532</v>
      </c>
      <c r="F1765" s="221">
        <v>2.5768284643916193</v>
      </c>
      <c r="G1765" s="222" t="s">
        <v>2942</v>
      </c>
    </row>
    <row r="1766" spans="1:7">
      <c r="A1766" s="220" t="s">
        <v>1681</v>
      </c>
      <c r="B1766" s="221">
        <v>0</v>
      </c>
      <c r="C1766" s="221">
        <v>545</v>
      </c>
      <c r="D1766" s="221">
        <v>25.250000000000004</v>
      </c>
      <c r="E1766" s="221">
        <v>66.414396749035532</v>
      </c>
      <c r="F1766" s="221">
        <v>2.5768284643916193</v>
      </c>
      <c r="G1766" s="222" t="s">
        <v>2942</v>
      </c>
    </row>
    <row r="1767" spans="1:7">
      <c r="A1767" s="220" t="s">
        <v>1682</v>
      </c>
      <c r="B1767" s="221">
        <v>0</v>
      </c>
      <c r="C1767" s="221">
        <v>655</v>
      </c>
      <c r="D1767" s="221">
        <v>25.250000000000004</v>
      </c>
      <c r="E1767" s="221">
        <v>70.504896749035538</v>
      </c>
      <c r="F1767" s="221">
        <v>2.5768284643916193</v>
      </c>
      <c r="G1767" s="222" t="s">
        <v>2942</v>
      </c>
    </row>
    <row r="1768" spans="1:7">
      <c r="A1768" s="220" t="s">
        <v>1683</v>
      </c>
      <c r="B1768" s="221">
        <v>0</v>
      </c>
      <c r="C1768" s="221">
        <v>715</v>
      </c>
      <c r="D1768" s="221">
        <v>25.250000000000004</v>
      </c>
      <c r="E1768" s="221">
        <v>75.413496749035545</v>
      </c>
      <c r="F1768" s="221">
        <v>2.5768284643916193</v>
      </c>
      <c r="G1768" s="222" t="s">
        <v>2942</v>
      </c>
    </row>
    <row r="1769" spans="1:7">
      <c r="A1769" s="220" t="s">
        <v>1684</v>
      </c>
      <c r="B1769" s="221">
        <v>0</v>
      </c>
      <c r="C1769" s="221">
        <v>790</v>
      </c>
      <c r="D1769" s="221">
        <v>25.250000000000004</v>
      </c>
      <c r="E1769" s="221">
        <v>100.77459674903554</v>
      </c>
      <c r="F1769" s="221">
        <v>2.5768284643916193</v>
      </c>
      <c r="G1769" s="222" t="s">
        <v>2942</v>
      </c>
    </row>
    <row r="1770" spans="1:7">
      <c r="A1770" s="220" t="s">
        <v>1685</v>
      </c>
      <c r="B1770" s="221">
        <v>0</v>
      </c>
      <c r="C1770" s="221">
        <v>865</v>
      </c>
      <c r="D1770" s="221">
        <v>25.250000000000004</v>
      </c>
      <c r="E1770" s="221">
        <v>108.95559674903554</v>
      </c>
      <c r="F1770" s="221">
        <v>2.5768284643916193</v>
      </c>
      <c r="G1770" s="222" t="s">
        <v>2942</v>
      </c>
    </row>
    <row r="1771" spans="1:7">
      <c r="A1771" s="220" t="s">
        <v>1686</v>
      </c>
      <c r="B1771" s="221">
        <v>0</v>
      </c>
      <c r="C1771" s="221">
        <v>970</v>
      </c>
      <c r="D1771" s="221">
        <v>25.250000000000004</v>
      </c>
      <c r="E1771" s="221">
        <v>133.49859674903553</v>
      </c>
      <c r="F1771" s="221">
        <v>2.5768284643916193</v>
      </c>
      <c r="G1771" s="222" t="s">
        <v>2942</v>
      </c>
    </row>
    <row r="1772" spans="1:7">
      <c r="A1772" s="220" t="s">
        <v>1687</v>
      </c>
      <c r="B1772" s="221">
        <v>0</v>
      </c>
      <c r="C1772" s="221">
        <v>1155</v>
      </c>
      <c r="D1772" s="221">
        <v>25.250000000000004</v>
      </c>
      <c r="E1772" s="221">
        <v>158.04159674903553</v>
      </c>
      <c r="F1772" s="221">
        <v>2.5768284643916193</v>
      </c>
      <c r="G1772" s="222" t="s">
        <v>2942</v>
      </c>
    </row>
    <row r="1773" spans="1:7">
      <c r="A1773" s="220" t="s">
        <v>1688</v>
      </c>
      <c r="B1773" s="221">
        <v>0</v>
      </c>
      <c r="C1773" s="221">
        <v>1230</v>
      </c>
      <c r="D1773" s="221">
        <v>25.250000000000004</v>
      </c>
      <c r="E1773" s="221">
        <v>186.67509674903553</v>
      </c>
      <c r="F1773" s="221">
        <v>2.5768284643916193</v>
      </c>
      <c r="G1773" s="222" t="s">
        <v>2942</v>
      </c>
    </row>
    <row r="1774" spans="1:7">
      <c r="A1774" s="220" t="s">
        <v>1689</v>
      </c>
      <c r="B1774" s="221">
        <v>0</v>
      </c>
      <c r="C1774" s="221">
        <v>1280</v>
      </c>
      <c r="D1774" s="221">
        <v>25.250000000000004</v>
      </c>
      <c r="E1774" s="221">
        <v>207.12759674903552</v>
      </c>
      <c r="F1774" s="221">
        <v>2.5768284643916193</v>
      </c>
      <c r="G1774" s="222" t="s">
        <v>2942</v>
      </c>
    </row>
    <row r="1775" spans="1:7">
      <c r="A1775" s="220" t="s">
        <v>1690</v>
      </c>
      <c r="B1775" s="221">
        <v>0</v>
      </c>
      <c r="C1775" s="221">
        <v>1560</v>
      </c>
      <c r="D1775" s="221">
        <v>25.250000000000004</v>
      </c>
      <c r="E1775" s="221">
        <v>248.03259674903552</v>
      </c>
      <c r="F1775" s="221">
        <v>2.5768284643916193</v>
      </c>
      <c r="G1775" s="222" t="s">
        <v>2942</v>
      </c>
    </row>
    <row r="1776" spans="1:7">
      <c r="A1776" s="220" t="s">
        <v>1691</v>
      </c>
      <c r="B1776" s="221">
        <v>0</v>
      </c>
      <c r="C1776" s="221">
        <v>1640</v>
      </c>
      <c r="D1776" s="221">
        <v>25.250000000000004</v>
      </c>
      <c r="E1776" s="221">
        <v>288.93759674903555</v>
      </c>
      <c r="F1776" s="221">
        <v>2.5768284643916193</v>
      </c>
      <c r="G1776" s="222" t="s">
        <v>2942</v>
      </c>
    </row>
    <row r="1777" spans="1:7">
      <c r="A1777" s="220" t="s">
        <v>1692</v>
      </c>
      <c r="B1777" s="221">
        <v>0</v>
      </c>
      <c r="C1777" s="221">
        <v>1880</v>
      </c>
      <c r="D1777" s="221">
        <v>25.250000000000004</v>
      </c>
      <c r="E1777" s="221">
        <v>350.29509674903551</v>
      </c>
      <c r="F1777" s="221">
        <v>2.5768284643916193</v>
      </c>
      <c r="G1777" s="222" t="s">
        <v>2942</v>
      </c>
    </row>
    <row r="1778" spans="1:7">
      <c r="A1778" s="220" t="s">
        <v>1693</v>
      </c>
      <c r="B1778" s="221">
        <v>0</v>
      </c>
      <c r="C1778" s="221">
        <v>2025</v>
      </c>
      <c r="D1778" s="221">
        <v>25.250000000000004</v>
      </c>
      <c r="E1778" s="221">
        <v>391.20009674903554</v>
      </c>
      <c r="F1778" s="221">
        <v>2.5768284643916193</v>
      </c>
      <c r="G1778" s="222" t="s">
        <v>2942</v>
      </c>
    </row>
    <row r="1779" spans="1:7">
      <c r="A1779" s="220" t="s">
        <v>1694</v>
      </c>
      <c r="B1779" s="221">
        <v>0</v>
      </c>
      <c r="C1779" s="221">
        <v>2145</v>
      </c>
      <c r="D1779" s="221">
        <v>25.250000000000004</v>
      </c>
      <c r="E1779" s="221">
        <v>432.10509674903551</v>
      </c>
      <c r="F1779" s="221">
        <v>2.5768284643916193</v>
      </c>
      <c r="G1779" s="222" t="s">
        <v>2942</v>
      </c>
    </row>
    <row r="1780" spans="1:7">
      <c r="A1780" s="220" t="s">
        <v>1923</v>
      </c>
      <c r="B1780" s="221">
        <v>0</v>
      </c>
      <c r="C1780" s="221">
        <v>70</v>
      </c>
      <c r="D1780" s="221">
        <v>25.25</v>
      </c>
      <c r="E1780" s="221">
        <v>25.157889643782482</v>
      </c>
      <c r="F1780" s="221">
        <v>1.4188016275074058</v>
      </c>
      <c r="G1780" s="222" t="s">
        <v>2942</v>
      </c>
    </row>
    <row r="1781" spans="1:7">
      <c r="A1781" s="220" t="s">
        <v>1924</v>
      </c>
      <c r="B1781" s="221">
        <v>0</v>
      </c>
      <c r="C1781" s="221">
        <v>70</v>
      </c>
      <c r="D1781" s="221">
        <v>25.25</v>
      </c>
      <c r="E1781" s="221">
        <v>28.430289643782476</v>
      </c>
      <c r="F1781" s="221">
        <v>1.4188016275074058</v>
      </c>
      <c r="G1781" s="222" t="s">
        <v>2942</v>
      </c>
    </row>
    <row r="1782" spans="1:7">
      <c r="A1782" s="220" t="s">
        <v>1925</v>
      </c>
      <c r="B1782" s="221">
        <v>0</v>
      </c>
      <c r="C1782" s="221">
        <v>80</v>
      </c>
      <c r="D1782" s="221">
        <v>25.25</v>
      </c>
      <c r="E1782" s="221">
        <v>32.520789643782479</v>
      </c>
      <c r="F1782" s="221">
        <v>1.4188016275074058</v>
      </c>
      <c r="G1782" s="222" t="s">
        <v>2942</v>
      </c>
    </row>
    <row r="1783" spans="1:7">
      <c r="A1783" s="220" t="s">
        <v>1926</v>
      </c>
      <c r="B1783" s="221">
        <v>0</v>
      </c>
      <c r="C1783" s="221">
        <v>90</v>
      </c>
      <c r="D1783" s="221">
        <v>25.25</v>
      </c>
      <c r="E1783" s="221">
        <v>32.520789643782479</v>
      </c>
      <c r="F1783" s="221">
        <v>1.4188016275074058</v>
      </c>
      <c r="G1783" s="222" t="s">
        <v>2942</v>
      </c>
    </row>
    <row r="1784" spans="1:7">
      <c r="A1784" s="220" t="s">
        <v>1927</v>
      </c>
      <c r="B1784" s="221">
        <v>0</v>
      </c>
      <c r="C1784" s="221">
        <v>90</v>
      </c>
      <c r="D1784" s="221">
        <v>25.25</v>
      </c>
      <c r="E1784" s="221">
        <v>32.520789643782479</v>
      </c>
      <c r="F1784" s="221">
        <v>1.4188016275074058</v>
      </c>
      <c r="G1784" s="222" t="s">
        <v>2942</v>
      </c>
    </row>
    <row r="1785" spans="1:7">
      <c r="A1785" s="220" t="s">
        <v>1928</v>
      </c>
      <c r="B1785" s="221">
        <v>0</v>
      </c>
      <c r="C1785" s="221">
        <v>95</v>
      </c>
      <c r="D1785" s="221">
        <v>25.25</v>
      </c>
      <c r="E1785" s="221">
        <v>32.520789643782479</v>
      </c>
      <c r="F1785" s="221">
        <v>1.4188016275074058</v>
      </c>
      <c r="G1785" s="222" t="s">
        <v>2942</v>
      </c>
    </row>
    <row r="1786" spans="1:7">
      <c r="A1786" s="220" t="s">
        <v>1929</v>
      </c>
      <c r="B1786" s="221">
        <v>0</v>
      </c>
      <c r="C1786" s="221">
        <v>100</v>
      </c>
      <c r="D1786" s="221">
        <v>25.25</v>
      </c>
      <c r="E1786" s="221">
        <v>32.520789643782479</v>
      </c>
      <c r="F1786" s="221">
        <v>1.4188016275074058</v>
      </c>
      <c r="G1786" s="222" t="s">
        <v>2942</v>
      </c>
    </row>
    <row r="1787" spans="1:7">
      <c r="A1787" s="220" t="s">
        <v>1930</v>
      </c>
      <c r="B1787" s="221">
        <v>0</v>
      </c>
      <c r="C1787" s="221">
        <v>115</v>
      </c>
      <c r="D1787" s="221">
        <v>25.25</v>
      </c>
      <c r="E1787" s="221">
        <v>32.520789643782479</v>
      </c>
      <c r="F1787" s="221">
        <v>1.4188016275074058</v>
      </c>
      <c r="G1787" s="222" t="s">
        <v>2942</v>
      </c>
    </row>
    <row r="1788" spans="1:7">
      <c r="A1788" s="220" t="s">
        <v>1931</v>
      </c>
      <c r="B1788" s="221">
        <v>0</v>
      </c>
      <c r="C1788" s="221">
        <v>120</v>
      </c>
      <c r="D1788" s="221">
        <v>25.25</v>
      </c>
      <c r="E1788" s="221">
        <v>37.429389643782478</v>
      </c>
      <c r="F1788" s="221">
        <v>1.4188016275074058</v>
      </c>
      <c r="G1788" s="222" t="s">
        <v>2942</v>
      </c>
    </row>
    <row r="1789" spans="1:7">
      <c r="A1789" s="220" t="s">
        <v>1932</v>
      </c>
      <c r="B1789" s="221">
        <v>0</v>
      </c>
      <c r="C1789" s="221">
        <v>130</v>
      </c>
      <c r="D1789" s="221">
        <v>25.25</v>
      </c>
      <c r="E1789" s="221">
        <v>46.428489643782484</v>
      </c>
      <c r="F1789" s="221">
        <v>1.4188016275074058</v>
      </c>
      <c r="G1789" s="222" t="s">
        <v>2942</v>
      </c>
    </row>
    <row r="1790" spans="1:7">
      <c r="A1790" s="220" t="s">
        <v>1933</v>
      </c>
      <c r="B1790" s="221">
        <v>0</v>
      </c>
      <c r="C1790" s="221">
        <v>145</v>
      </c>
      <c r="D1790" s="221">
        <v>25.25</v>
      </c>
      <c r="E1790" s="221">
        <v>50.518989643782483</v>
      </c>
      <c r="F1790" s="221">
        <v>1.4188016275074058</v>
      </c>
      <c r="G1790" s="222" t="s">
        <v>2942</v>
      </c>
    </row>
    <row r="1791" spans="1:7">
      <c r="A1791" s="220" t="s">
        <v>1934</v>
      </c>
      <c r="B1791" s="221">
        <v>0</v>
      </c>
      <c r="C1791" s="221">
        <v>175</v>
      </c>
      <c r="D1791" s="221">
        <v>25.25</v>
      </c>
      <c r="E1791" s="221">
        <v>66.88098964378247</v>
      </c>
      <c r="F1791" s="221">
        <v>1.4188016275074058</v>
      </c>
      <c r="G1791" s="222" t="s">
        <v>2942</v>
      </c>
    </row>
    <row r="1792" spans="1:7">
      <c r="A1792" s="220" t="s">
        <v>1935</v>
      </c>
      <c r="B1792" s="221">
        <v>0</v>
      </c>
      <c r="C1792" s="221">
        <v>210</v>
      </c>
      <c r="D1792" s="221">
        <v>25.25</v>
      </c>
      <c r="E1792" s="221">
        <v>83.242989643782479</v>
      </c>
      <c r="F1792" s="221">
        <v>1.4188016275074058</v>
      </c>
      <c r="G1792" s="222" t="s">
        <v>2942</v>
      </c>
    </row>
    <row r="1793" spans="1:7">
      <c r="A1793" s="220" t="s">
        <v>1936</v>
      </c>
      <c r="B1793" s="221">
        <v>0</v>
      </c>
      <c r="C1793" s="221">
        <v>230</v>
      </c>
      <c r="D1793" s="221">
        <v>25.25</v>
      </c>
      <c r="E1793" s="221">
        <v>91.423989643782477</v>
      </c>
      <c r="F1793" s="221">
        <v>1.4188016275074058</v>
      </c>
      <c r="G1793" s="222" t="s">
        <v>2942</v>
      </c>
    </row>
    <row r="1794" spans="1:7">
      <c r="A1794" s="220" t="s">
        <v>1937</v>
      </c>
      <c r="B1794" s="221">
        <v>0</v>
      </c>
      <c r="C1794" s="221">
        <v>285</v>
      </c>
      <c r="D1794" s="221">
        <v>25.25</v>
      </c>
      <c r="E1794" s="221">
        <v>132.32898964378248</v>
      </c>
      <c r="F1794" s="221">
        <v>1.4188016275074058</v>
      </c>
      <c r="G1794" s="222" t="s">
        <v>2942</v>
      </c>
    </row>
    <row r="1795" spans="1:7">
      <c r="A1795" s="220" t="s">
        <v>1938</v>
      </c>
      <c r="B1795" s="221">
        <v>0</v>
      </c>
      <c r="C1795" s="221">
        <v>300</v>
      </c>
      <c r="D1795" s="221">
        <v>25.25</v>
      </c>
      <c r="E1795" s="221">
        <v>152.78148964378246</v>
      </c>
      <c r="F1795" s="221">
        <v>1.4188016275074058</v>
      </c>
      <c r="G1795" s="222" t="s">
        <v>2942</v>
      </c>
    </row>
    <row r="1796" spans="1:7">
      <c r="A1796" s="220" t="s">
        <v>1939</v>
      </c>
      <c r="B1796" s="221">
        <v>0</v>
      </c>
      <c r="C1796" s="221">
        <v>350</v>
      </c>
      <c r="D1796" s="221">
        <v>25.25</v>
      </c>
      <c r="E1796" s="221">
        <v>189.59598964378247</v>
      </c>
      <c r="F1796" s="221">
        <v>1.4188016275074058</v>
      </c>
      <c r="G1796" s="222" t="s">
        <v>2942</v>
      </c>
    </row>
    <row r="1797" spans="1:7">
      <c r="A1797" s="220" t="s">
        <v>1940</v>
      </c>
      <c r="B1797" s="221">
        <v>0</v>
      </c>
      <c r="C1797" s="221">
        <v>405</v>
      </c>
      <c r="D1797" s="221">
        <v>25.25</v>
      </c>
      <c r="E1797" s="221">
        <v>214.13898964378248</v>
      </c>
      <c r="F1797" s="221">
        <v>1.4188016275074058</v>
      </c>
      <c r="G1797" s="222" t="s">
        <v>2942</v>
      </c>
    </row>
    <row r="1798" spans="1:7">
      <c r="A1798" s="220" t="s">
        <v>1941</v>
      </c>
      <c r="B1798" s="221">
        <v>0</v>
      </c>
      <c r="C1798" s="221">
        <v>450</v>
      </c>
      <c r="D1798" s="221">
        <v>25.25</v>
      </c>
      <c r="E1798" s="221">
        <v>234.59148964378247</v>
      </c>
      <c r="F1798" s="221">
        <v>1.4188016275074058</v>
      </c>
      <c r="G1798" s="222" t="s">
        <v>2942</v>
      </c>
    </row>
    <row r="1799" spans="1:7">
      <c r="A1799" s="220" t="s">
        <v>1942</v>
      </c>
      <c r="B1799" s="221">
        <v>0</v>
      </c>
      <c r="C1799" s="221">
        <v>75</v>
      </c>
      <c r="D1799" s="221">
        <v>25.25</v>
      </c>
      <c r="E1799" s="221">
        <v>25.157889643782482</v>
      </c>
      <c r="F1799" s="221">
        <v>1.4188016275074058</v>
      </c>
      <c r="G1799" s="222" t="s">
        <v>2942</v>
      </c>
    </row>
    <row r="1800" spans="1:7">
      <c r="A1800" s="220" t="s">
        <v>1943</v>
      </c>
      <c r="B1800" s="221">
        <v>0</v>
      </c>
      <c r="C1800" s="221">
        <v>75</v>
      </c>
      <c r="D1800" s="221">
        <v>25.25</v>
      </c>
      <c r="E1800" s="221">
        <v>28.430289643782476</v>
      </c>
      <c r="F1800" s="221">
        <v>1.4188016275074058</v>
      </c>
      <c r="G1800" s="222" t="s">
        <v>2942</v>
      </c>
    </row>
    <row r="1801" spans="1:7">
      <c r="A1801" s="220" t="s">
        <v>1944</v>
      </c>
      <c r="B1801" s="221">
        <v>0</v>
      </c>
      <c r="C1801" s="221">
        <v>85</v>
      </c>
      <c r="D1801" s="221">
        <v>25.25</v>
      </c>
      <c r="E1801" s="221">
        <v>32.520789643782479</v>
      </c>
      <c r="F1801" s="221">
        <v>1.4188016275074058</v>
      </c>
      <c r="G1801" s="222" t="s">
        <v>2942</v>
      </c>
    </row>
    <row r="1802" spans="1:7">
      <c r="A1802" s="220" t="s">
        <v>1945</v>
      </c>
      <c r="B1802" s="221">
        <v>0</v>
      </c>
      <c r="C1802" s="221">
        <v>120</v>
      </c>
      <c r="D1802" s="221">
        <v>25.25</v>
      </c>
      <c r="E1802" s="221">
        <v>32.520789643782479</v>
      </c>
      <c r="F1802" s="221">
        <v>1.4188016275074058</v>
      </c>
      <c r="G1802" s="222" t="s">
        <v>2942</v>
      </c>
    </row>
    <row r="1803" spans="1:7">
      <c r="A1803" s="220" t="s">
        <v>1946</v>
      </c>
      <c r="B1803" s="221">
        <v>0</v>
      </c>
      <c r="C1803" s="221">
        <v>120</v>
      </c>
      <c r="D1803" s="221">
        <v>25.25</v>
      </c>
      <c r="E1803" s="221">
        <v>32.520789643782479</v>
      </c>
      <c r="F1803" s="221">
        <v>1.4188016275074058</v>
      </c>
      <c r="G1803" s="222" t="s">
        <v>2942</v>
      </c>
    </row>
    <row r="1804" spans="1:7">
      <c r="A1804" s="220" t="s">
        <v>1947</v>
      </c>
      <c r="B1804" s="221">
        <v>0</v>
      </c>
      <c r="C1804" s="221">
        <v>125</v>
      </c>
      <c r="D1804" s="221">
        <v>25.25</v>
      </c>
      <c r="E1804" s="221">
        <v>32.520789643782479</v>
      </c>
      <c r="F1804" s="221">
        <v>1.4188016275074058</v>
      </c>
      <c r="G1804" s="222" t="s">
        <v>2942</v>
      </c>
    </row>
    <row r="1805" spans="1:7">
      <c r="A1805" s="220" t="s">
        <v>1948</v>
      </c>
      <c r="B1805" s="221">
        <v>0</v>
      </c>
      <c r="C1805" s="221">
        <v>145</v>
      </c>
      <c r="D1805" s="221">
        <v>25.25</v>
      </c>
      <c r="E1805" s="221">
        <v>32.520789643782479</v>
      </c>
      <c r="F1805" s="221">
        <v>1.4188016275074058</v>
      </c>
      <c r="G1805" s="222" t="s">
        <v>2942</v>
      </c>
    </row>
    <row r="1806" spans="1:7">
      <c r="A1806" s="220" t="s">
        <v>1949</v>
      </c>
      <c r="B1806" s="221">
        <v>0</v>
      </c>
      <c r="C1806" s="221">
        <v>150</v>
      </c>
      <c r="D1806" s="221">
        <v>25.25</v>
      </c>
      <c r="E1806" s="221">
        <v>32.520789643782479</v>
      </c>
      <c r="F1806" s="221">
        <v>1.4188016275074058</v>
      </c>
      <c r="G1806" s="222" t="s">
        <v>2942</v>
      </c>
    </row>
    <row r="1807" spans="1:7">
      <c r="A1807" s="220" t="s">
        <v>1950</v>
      </c>
      <c r="B1807" s="221">
        <v>0</v>
      </c>
      <c r="C1807" s="221">
        <v>225</v>
      </c>
      <c r="D1807" s="221">
        <v>25.25</v>
      </c>
      <c r="E1807" s="221">
        <v>37.429389643782478</v>
      </c>
      <c r="F1807" s="221">
        <v>1.4188016275074058</v>
      </c>
      <c r="G1807" s="222" t="s">
        <v>2942</v>
      </c>
    </row>
    <row r="1808" spans="1:7">
      <c r="A1808" s="220" t="s">
        <v>1951</v>
      </c>
      <c r="B1808" s="221">
        <v>0</v>
      </c>
      <c r="C1808" s="221">
        <v>260</v>
      </c>
      <c r="D1808" s="221">
        <v>25.25</v>
      </c>
      <c r="E1808" s="221">
        <v>46.428489643782484</v>
      </c>
      <c r="F1808" s="221">
        <v>1.4188016275074058</v>
      </c>
      <c r="G1808" s="222" t="s">
        <v>2942</v>
      </c>
    </row>
    <row r="1809" spans="1:7">
      <c r="A1809" s="220" t="s">
        <v>1952</v>
      </c>
      <c r="B1809" s="221">
        <v>0</v>
      </c>
      <c r="C1809" s="221">
        <v>345</v>
      </c>
      <c r="D1809" s="221">
        <v>25.25</v>
      </c>
      <c r="E1809" s="221">
        <v>50.518989643782483</v>
      </c>
      <c r="F1809" s="221">
        <v>1.4188016275074058</v>
      </c>
      <c r="G1809" s="222" t="s">
        <v>2942</v>
      </c>
    </row>
    <row r="1810" spans="1:7">
      <c r="A1810" s="220" t="s">
        <v>1953</v>
      </c>
      <c r="B1810" s="221">
        <v>0</v>
      </c>
      <c r="C1810" s="221">
        <v>520</v>
      </c>
      <c r="D1810" s="221">
        <v>25.25</v>
      </c>
      <c r="E1810" s="221">
        <v>66.88098964378247</v>
      </c>
      <c r="F1810" s="221">
        <v>1.4188016275074058</v>
      </c>
      <c r="G1810" s="222" t="s">
        <v>2942</v>
      </c>
    </row>
    <row r="1811" spans="1:7">
      <c r="A1811" s="220" t="s">
        <v>1954</v>
      </c>
      <c r="B1811" s="221">
        <v>0</v>
      </c>
      <c r="C1811" s="221">
        <v>610</v>
      </c>
      <c r="D1811" s="221">
        <v>25.25</v>
      </c>
      <c r="E1811" s="221">
        <v>83.242989643782479</v>
      </c>
      <c r="F1811" s="221">
        <v>1.4188016275074058</v>
      </c>
      <c r="G1811" s="222" t="s">
        <v>2942</v>
      </c>
    </row>
    <row r="1812" spans="1:7">
      <c r="A1812" s="220" t="s">
        <v>1955</v>
      </c>
      <c r="B1812" s="221">
        <v>0</v>
      </c>
      <c r="C1812" s="221">
        <v>670</v>
      </c>
      <c r="D1812" s="221">
        <v>25.25</v>
      </c>
      <c r="E1812" s="221">
        <v>91.423989643782477</v>
      </c>
      <c r="F1812" s="221">
        <v>1.4188016275074058</v>
      </c>
      <c r="G1812" s="222" t="s">
        <v>2942</v>
      </c>
    </row>
    <row r="1813" spans="1:7">
      <c r="A1813" s="220" t="s">
        <v>1956</v>
      </c>
      <c r="B1813" s="221">
        <v>0</v>
      </c>
      <c r="C1813" s="221">
        <v>820</v>
      </c>
      <c r="D1813" s="221">
        <v>25.25</v>
      </c>
      <c r="E1813" s="221">
        <v>132.32898964378248</v>
      </c>
      <c r="F1813" s="221">
        <v>1.4188016275074058</v>
      </c>
      <c r="G1813" s="222" t="s">
        <v>2942</v>
      </c>
    </row>
    <row r="1814" spans="1:7">
      <c r="A1814" s="220" t="s">
        <v>1957</v>
      </c>
      <c r="B1814" s="221">
        <v>0</v>
      </c>
      <c r="C1814" s="221">
        <v>890</v>
      </c>
      <c r="D1814" s="221">
        <v>25.25</v>
      </c>
      <c r="E1814" s="221">
        <v>152.78148964378246</v>
      </c>
      <c r="F1814" s="221">
        <v>1.4188016275074058</v>
      </c>
      <c r="G1814" s="222" t="s">
        <v>2942</v>
      </c>
    </row>
    <row r="1815" spans="1:7">
      <c r="A1815" s="220" t="s">
        <v>1958</v>
      </c>
      <c r="B1815" s="221">
        <v>0</v>
      </c>
      <c r="C1815" s="221">
        <v>1020</v>
      </c>
      <c r="D1815" s="221">
        <v>25.25</v>
      </c>
      <c r="E1815" s="221">
        <v>189.59598964378247</v>
      </c>
      <c r="F1815" s="221">
        <v>1.4188016275074058</v>
      </c>
      <c r="G1815" s="222" t="s">
        <v>2942</v>
      </c>
    </row>
    <row r="1816" spans="1:7">
      <c r="A1816" s="220" t="s">
        <v>1959</v>
      </c>
      <c r="B1816" s="221">
        <v>0</v>
      </c>
      <c r="C1816" s="221">
        <v>1120</v>
      </c>
      <c r="D1816" s="221">
        <v>25.25</v>
      </c>
      <c r="E1816" s="221">
        <v>214.13898964378248</v>
      </c>
      <c r="F1816" s="221">
        <v>1.4188016275074058</v>
      </c>
      <c r="G1816" s="222" t="s">
        <v>2942</v>
      </c>
    </row>
    <row r="1817" spans="1:7">
      <c r="A1817" s="220" t="s">
        <v>1960</v>
      </c>
      <c r="B1817" s="221">
        <v>0</v>
      </c>
      <c r="C1817" s="221">
        <v>1185</v>
      </c>
      <c r="D1817" s="221">
        <v>25.25</v>
      </c>
      <c r="E1817" s="221">
        <v>234.59148964378247</v>
      </c>
      <c r="F1817" s="221">
        <v>1.4188016275074058</v>
      </c>
      <c r="G1817" s="222" t="s">
        <v>2942</v>
      </c>
    </row>
    <row r="1818" spans="1:7">
      <c r="A1818" s="220" t="s">
        <v>1961</v>
      </c>
      <c r="B1818" s="221">
        <v>0</v>
      </c>
      <c r="C1818" s="221">
        <v>80</v>
      </c>
      <c r="D1818" s="221">
        <v>25.25</v>
      </c>
      <c r="E1818" s="221">
        <v>26.327496749035536</v>
      </c>
      <c r="F1818" s="221">
        <v>2.5768284643916193</v>
      </c>
      <c r="G1818" s="222" t="s">
        <v>2942</v>
      </c>
    </row>
    <row r="1819" spans="1:7">
      <c r="A1819" s="220" t="s">
        <v>1962</v>
      </c>
      <c r="B1819" s="221">
        <v>0</v>
      </c>
      <c r="C1819" s="221">
        <v>80</v>
      </c>
      <c r="D1819" s="221">
        <v>25.25</v>
      </c>
      <c r="E1819" s="221">
        <v>29.59989674903553</v>
      </c>
      <c r="F1819" s="221">
        <v>2.5768284643916193</v>
      </c>
      <c r="G1819" s="222" t="s">
        <v>2942</v>
      </c>
    </row>
    <row r="1820" spans="1:7">
      <c r="A1820" s="220" t="s">
        <v>1963</v>
      </c>
      <c r="B1820" s="221">
        <v>0</v>
      </c>
      <c r="C1820" s="221">
        <v>90</v>
      </c>
      <c r="D1820" s="221">
        <v>25.25</v>
      </c>
      <c r="E1820" s="221">
        <v>33.690396749035536</v>
      </c>
      <c r="F1820" s="221">
        <v>2.5768284643916193</v>
      </c>
      <c r="G1820" s="222" t="s">
        <v>2942</v>
      </c>
    </row>
    <row r="1821" spans="1:7">
      <c r="A1821" s="220" t="s">
        <v>1964</v>
      </c>
      <c r="B1821" s="221">
        <v>0</v>
      </c>
      <c r="C1821" s="221">
        <v>150</v>
      </c>
      <c r="D1821" s="221">
        <v>25.25</v>
      </c>
      <c r="E1821" s="221">
        <v>33.690396749035536</v>
      </c>
      <c r="F1821" s="221">
        <v>2.5768284643916193</v>
      </c>
      <c r="G1821" s="222" t="s">
        <v>2942</v>
      </c>
    </row>
    <row r="1822" spans="1:7">
      <c r="A1822" s="220" t="s">
        <v>1965</v>
      </c>
      <c r="B1822" s="221">
        <v>0</v>
      </c>
      <c r="C1822" s="221">
        <v>150</v>
      </c>
      <c r="D1822" s="221">
        <v>25.25</v>
      </c>
      <c r="E1822" s="221">
        <v>33.690396749035536</v>
      </c>
      <c r="F1822" s="221">
        <v>2.5768284643916193</v>
      </c>
      <c r="G1822" s="222" t="s">
        <v>2942</v>
      </c>
    </row>
    <row r="1823" spans="1:7">
      <c r="A1823" s="220" t="s">
        <v>1966</v>
      </c>
      <c r="B1823" s="221">
        <v>0</v>
      </c>
      <c r="C1823" s="221">
        <v>155</v>
      </c>
      <c r="D1823" s="221">
        <v>25.25</v>
      </c>
      <c r="E1823" s="221">
        <v>33.690396749035536</v>
      </c>
      <c r="F1823" s="221">
        <v>2.5768284643916193</v>
      </c>
      <c r="G1823" s="222" t="s">
        <v>2942</v>
      </c>
    </row>
    <row r="1824" spans="1:7">
      <c r="A1824" s="220" t="s">
        <v>1967</v>
      </c>
      <c r="B1824" s="221">
        <v>0</v>
      </c>
      <c r="C1824" s="221">
        <v>215</v>
      </c>
      <c r="D1824" s="221">
        <v>25.25</v>
      </c>
      <c r="E1824" s="221">
        <v>33.690396749035536</v>
      </c>
      <c r="F1824" s="221">
        <v>2.5768284643916193</v>
      </c>
      <c r="G1824" s="222" t="s">
        <v>2942</v>
      </c>
    </row>
    <row r="1825" spans="1:7">
      <c r="A1825" s="220" t="s">
        <v>1968</v>
      </c>
      <c r="B1825" s="221">
        <v>0</v>
      </c>
      <c r="C1825" s="221">
        <v>240</v>
      </c>
      <c r="D1825" s="221">
        <v>25.25</v>
      </c>
      <c r="E1825" s="221">
        <v>33.690396749035536</v>
      </c>
      <c r="F1825" s="221">
        <v>2.5768284643916193</v>
      </c>
      <c r="G1825" s="222" t="s">
        <v>2942</v>
      </c>
    </row>
    <row r="1826" spans="1:7">
      <c r="A1826" s="220" t="s">
        <v>1969</v>
      </c>
      <c r="B1826" s="221">
        <v>0</v>
      </c>
      <c r="C1826" s="221">
        <v>340</v>
      </c>
      <c r="D1826" s="221">
        <v>25.25</v>
      </c>
      <c r="E1826" s="221">
        <v>38.598996749035535</v>
      </c>
      <c r="F1826" s="221">
        <v>2.5768284643916193</v>
      </c>
      <c r="G1826" s="222" t="s">
        <v>2942</v>
      </c>
    </row>
    <row r="1827" spans="1:7">
      <c r="A1827" s="220" t="s">
        <v>1970</v>
      </c>
      <c r="B1827" s="221">
        <v>0</v>
      </c>
      <c r="C1827" s="221">
        <v>395</v>
      </c>
      <c r="D1827" s="221">
        <v>25.25</v>
      </c>
      <c r="E1827" s="221">
        <v>47.598096749035541</v>
      </c>
      <c r="F1827" s="221">
        <v>2.5768284643916193</v>
      </c>
      <c r="G1827" s="222" t="s">
        <v>2942</v>
      </c>
    </row>
    <row r="1828" spans="1:7">
      <c r="A1828" s="220" t="s">
        <v>1971</v>
      </c>
      <c r="B1828" s="221">
        <v>0</v>
      </c>
      <c r="C1828" s="221">
        <v>525</v>
      </c>
      <c r="D1828" s="221">
        <v>25.25</v>
      </c>
      <c r="E1828" s="221">
        <v>51.688596749035533</v>
      </c>
      <c r="F1828" s="221">
        <v>2.5768284643916193</v>
      </c>
      <c r="G1828" s="222" t="s">
        <v>2942</v>
      </c>
    </row>
    <row r="1829" spans="1:7">
      <c r="A1829" s="220" t="s">
        <v>1972</v>
      </c>
      <c r="B1829" s="221">
        <v>0</v>
      </c>
      <c r="C1829" s="221">
        <v>785</v>
      </c>
      <c r="D1829" s="221">
        <v>25.25</v>
      </c>
      <c r="E1829" s="221">
        <v>68.050596749035535</v>
      </c>
      <c r="F1829" s="221">
        <v>2.5768284643916193</v>
      </c>
      <c r="G1829" s="222" t="s">
        <v>2942</v>
      </c>
    </row>
    <row r="1830" spans="1:7">
      <c r="A1830" s="220" t="s">
        <v>1973</v>
      </c>
      <c r="B1830" s="221">
        <v>0</v>
      </c>
      <c r="C1830" s="221">
        <v>920</v>
      </c>
      <c r="D1830" s="221">
        <v>25.25</v>
      </c>
      <c r="E1830" s="221">
        <v>84.412596749035544</v>
      </c>
      <c r="F1830" s="221">
        <v>2.5768284643916193</v>
      </c>
      <c r="G1830" s="222" t="s">
        <v>2942</v>
      </c>
    </row>
    <row r="1831" spans="1:7">
      <c r="A1831" s="220" t="s">
        <v>1974</v>
      </c>
      <c r="B1831" s="221">
        <v>0</v>
      </c>
      <c r="C1831" s="221">
        <v>1005</v>
      </c>
      <c r="D1831" s="221">
        <v>25.25</v>
      </c>
      <c r="E1831" s="221">
        <v>92.593596749035541</v>
      </c>
      <c r="F1831" s="221">
        <v>2.5768284643916193</v>
      </c>
      <c r="G1831" s="222" t="s">
        <v>2942</v>
      </c>
    </row>
    <row r="1832" spans="1:7">
      <c r="A1832" s="220" t="s">
        <v>1975</v>
      </c>
      <c r="B1832" s="221">
        <v>0</v>
      </c>
      <c r="C1832" s="221">
        <v>1230</v>
      </c>
      <c r="D1832" s="221">
        <v>25.25</v>
      </c>
      <c r="E1832" s="221">
        <v>133.49859674903553</v>
      </c>
      <c r="F1832" s="221">
        <v>2.5768284643916193</v>
      </c>
      <c r="G1832" s="222" t="s">
        <v>2942</v>
      </c>
    </row>
    <row r="1833" spans="1:7">
      <c r="A1833" s="220" t="s">
        <v>1976</v>
      </c>
      <c r="B1833" s="221">
        <v>0</v>
      </c>
      <c r="C1833" s="221">
        <v>1330</v>
      </c>
      <c r="D1833" s="221">
        <v>25.25</v>
      </c>
      <c r="E1833" s="221">
        <v>153.95109674903551</v>
      </c>
      <c r="F1833" s="221">
        <v>2.5768284643916193</v>
      </c>
      <c r="G1833" s="222" t="s">
        <v>2942</v>
      </c>
    </row>
    <row r="1834" spans="1:7">
      <c r="A1834" s="220" t="s">
        <v>1977</v>
      </c>
      <c r="B1834" s="221">
        <v>0</v>
      </c>
      <c r="C1834" s="221">
        <v>1530</v>
      </c>
      <c r="D1834" s="221">
        <v>25.25</v>
      </c>
      <c r="E1834" s="221">
        <v>190.7655967490355</v>
      </c>
      <c r="F1834" s="221">
        <v>2.5768284643916193</v>
      </c>
      <c r="G1834" s="222" t="s">
        <v>2942</v>
      </c>
    </row>
    <row r="1835" spans="1:7">
      <c r="A1835" s="220" t="s">
        <v>1978</v>
      </c>
      <c r="B1835" s="221">
        <v>0</v>
      </c>
      <c r="C1835" s="221">
        <v>1680</v>
      </c>
      <c r="D1835" s="221">
        <v>25.25</v>
      </c>
      <c r="E1835" s="221">
        <v>215.30859674903553</v>
      </c>
      <c r="F1835" s="221">
        <v>2.5768284643916193</v>
      </c>
      <c r="G1835" s="222" t="s">
        <v>2942</v>
      </c>
    </row>
    <row r="1836" spans="1:7">
      <c r="A1836" s="220" t="s">
        <v>1979</v>
      </c>
      <c r="B1836" s="221">
        <v>0</v>
      </c>
      <c r="C1836" s="221">
        <v>1775</v>
      </c>
      <c r="D1836" s="221">
        <v>25.25</v>
      </c>
      <c r="E1836" s="221">
        <v>235.76109674903552</v>
      </c>
      <c r="F1836" s="221">
        <v>2.5768284643916193</v>
      </c>
      <c r="G1836" s="222" t="s">
        <v>2942</v>
      </c>
    </row>
    <row r="1837" spans="1:7">
      <c r="A1837" s="220" t="s">
        <v>1980</v>
      </c>
      <c r="B1837" s="221">
        <v>0</v>
      </c>
      <c r="C1837" s="221">
        <v>95</v>
      </c>
      <c r="D1837" s="221">
        <v>25.25</v>
      </c>
      <c r="E1837" s="221">
        <v>20.249289643782479</v>
      </c>
      <c r="F1837" s="221">
        <v>1.4188016275074058</v>
      </c>
      <c r="G1837" s="222" t="s">
        <v>2942</v>
      </c>
    </row>
    <row r="1838" spans="1:7">
      <c r="A1838" s="220" t="s">
        <v>1981</v>
      </c>
      <c r="B1838" s="221">
        <v>0</v>
      </c>
      <c r="C1838" s="221">
        <v>95</v>
      </c>
      <c r="D1838" s="221">
        <v>25.25</v>
      </c>
      <c r="E1838" s="221">
        <v>23.52168964378248</v>
      </c>
      <c r="F1838" s="221">
        <v>1.4188016275074058</v>
      </c>
      <c r="G1838" s="222" t="s">
        <v>2942</v>
      </c>
    </row>
    <row r="1839" spans="1:7">
      <c r="A1839" s="220" t="s">
        <v>1982</v>
      </c>
      <c r="B1839" s="221">
        <v>0</v>
      </c>
      <c r="C1839" s="221">
        <v>100</v>
      </c>
      <c r="D1839" s="221">
        <v>25.25</v>
      </c>
      <c r="E1839" s="221">
        <v>37.429389643782478</v>
      </c>
      <c r="F1839" s="221">
        <v>1.4188016275074058</v>
      </c>
      <c r="G1839" s="222" t="s">
        <v>2942</v>
      </c>
    </row>
    <row r="1840" spans="1:7">
      <c r="A1840" s="220" t="s">
        <v>1983</v>
      </c>
      <c r="B1840" s="221">
        <v>0</v>
      </c>
      <c r="C1840" s="221">
        <v>130</v>
      </c>
      <c r="D1840" s="221">
        <v>25.25</v>
      </c>
      <c r="E1840" s="221">
        <v>55.427589643782483</v>
      </c>
      <c r="F1840" s="221">
        <v>1.4188016275074058</v>
      </c>
      <c r="G1840" s="222" t="s">
        <v>2942</v>
      </c>
    </row>
    <row r="1841" spans="1:7">
      <c r="A1841" s="220" t="s">
        <v>1984</v>
      </c>
      <c r="B1841" s="221">
        <v>0</v>
      </c>
      <c r="C1841" s="221">
        <v>130</v>
      </c>
      <c r="D1841" s="221">
        <v>25.25</v>
      </c>
      <c r="E1841" s="221">
        <v>60.336189643782483</v>
      </c>
      <c r="F1841" s="221">
        <v>1.4188016275074058</v>
      </c>
      <c r="G1841" s="222" t="s">
        <v>2942</v>
      </c>
    </row>
    <row r="1842" spans="1:7">
      <c r="A1842" s="220" t="s">
        <v>1985</v>
      </c>
      <c r="B1842" s="221">
        <v>0</v>
      </c>
      <c r="C1842" s="221">
        <v>145</v>
      </c>
      <c r="D1842" s="221">
        <v>25.25</v>
      </c>
      <c r="E1842" s="221">
        <v>65.244789643782468</v>
      </c>
      <c r="F1842" s="221">
        <v>1.4188016275074058</v>
      </c>
      <c r="G1842" s="222" t="s">
        <v>2942</v>
      </c>
    </row>
    <row r="1843" spans="1:7">
      <c r="A1843" s="220" t="s">
        <v>1986</v>
      </c>
      <c r="B1843" s="221">
        <v>0</v>
      </c>
      <c r="C1843" s="221">
        <v>155</v>
      </c>
      <c r="D1843" s="221">
        <v>25.25</v>
      </c>
      <c r="E1843" s="221">
        <v>69.335289643782488</v>
      </c>
      <c r="F1843" s="221">
        <v>1.4188016275074058</v>
      </c>
      <c r="G1843" s="222" t="s">
        <v>2942</v>
      </c>
    </row>
    <row r="1844" spans="1:7">
      <c r="A1844" s="220" t="s">
        <v>1987</v>
      </c>
      <c r="B1844" s="221">
        <v>0</v>
      </c>
      <c r="C1844" s="221">
        <v>170</v>
      </c>
      <c r="D1844" s="221">
        <v>25.25</v>
      </c>
      <c r="E1844" s="221">
        <v>74.243889643782481</v>
      </c>
      <c r="F1844" s="221">
        <v>1.4188016275074058</v>
      </c>
      <c r="G1844" s="222" t="s">
        <v>2942</v>
      </c>
    </row>
    <row r="1845" spans="1:7">
      <c r="A1845" s="220" t="s">
        <v>1988</v>
      </c>
      <c r="B1845" s="221">
        <v>0</v>
      </c>
      <c r="C1845" s="221">
        <v>210</v>
      </c>
      <c r="D1845" s="221">
        <v>25.25</v>
      </c>
      <c r="E1845" s="221">
        <v>99.604989643782488</v>
      </c>
      <c r="F1845" s="221">
        <v>1.4188016275074058</v>
      </c>
      <c r="G1845" s="222" t="s">
        <v>2942</v>
      </c>
    </row>
    <row r="1846" spans="1:7">
      <c r="A1846" s="220" t="s">
        <v>1989</v>
      </c>
      <c r="B1846" s="221">
        <v>0</v>
      </c>
      <c r="C1846" s="221">
        <v>220</v>
      </c>
      <c r="D1846" s="221">
        <v>25.25</v>
      </c>
      <c r="E1846" s="221">
        <v>107.78598964378247</v>
      </c>
      <c r="F1846" s="221">
        <v>1.4188016275074058</v>
      </c>
      <c r="G1846" s="222" t="s">
        <v>2942</v>
      </c>
    </row>
    <row r="1847" spans="1:7">
      <c r="A1847" s="220" t="s">
        <v>1990</v>
      </c>
      <c r="B1847" s="221">
        <v>0</v>
      </c>
      <c r="C1847" s="221">
        <v>260</v>
      </c>
      <c r="D1847" s="221">
        <v>25.25</v>
      </c>
      <c r="E1847" s="221">
        <v>132.32898964378248</v>
      </c>
      <c r="F1847" s="221">
        <v>1.4188016275074058</v>
      </c>
      <c r="G1847" s="222" t="s">
        <v>2942</v>
      </c>
    </row>
    <row r="1848" spans="1:7">
      <c r="A1848" s="220" t="s">
        <v>1991</v>
      </c>
      <c r="B1848" s="221">
        <v>0</v>
      </c>
      <c r="C1848" s="221">
        <v>325</v>
      </c>
      <c r="D1848" s="221">
        <v>25.25</v>
      </c>
      <c r="E1848" s="221">
        <v>156.87198964378248</v>
      </c>
      <c r="F1848" s="221">
        <v>1.4188016275074058</v>
      </c>
      <c r="G1848" s="222" t="s">
        <v>2942</v>
      </c>
    </row>
    <row r="1849" spans="1:7">
      <c r="A1849" s="220" t="s">
        <v>1992</v>
      </c>
      <c r="B1849" s="221">
        <v>0</v>
      </c>
      <c r="C1849" s="221">
        <v>375</v>
      </c>
      <c r="D1849" s="221">
        <v>25.25</v>
      </c>
      <c r="E1849" s="221">
        <v>185.50548964378248</v>
      </c>
      <c r="F1849" s="221">
        <v>1.4188016275074058</v>
      </c>
      <c r="G1849" s="222" t="s">
        <v>2942</v>
      </c>
    </row>
    <row r="1850" spans="1:7">
      <c r="A1850" s="220" t="s">
        <v>1993</v>
      </c>
      <c r="B1850" s="221">
        <v>0</v>
      </c>
      <c r="C1850" s="221">
        <v>420</v>
      </c>
      <c r="D1850" s="221">
        <v>25.25</v>
      </c>
      <c r="E1850" s="221">
        <v>205.95798964378247</v>
      </c>
      <c r="F1850" s="221">
        <v>1.4188016275074058</v>
      </c>
      <c r="G1850" s="222" t="s">
        <v>2942</v>
      </c>
    </row>
    <row r="1851" spans="1:7">
      <c r="A1851" s="220" t="s">
        <v>1994</v>
      </c>
      <c r="B1851" s="221">
        <v>0</v>
      </c>
      <c r="C1851" s="221">
        <v>445</v>
      </c>
      <c r="D1851" s="221">
        <v>25.25</v>
      </c>
      <c r="E1851" s="221">
        <v>246.86298964378247</v>
      </c>
      <c r="F1851" s="221">
        <v>1.4188016275074058</v>
      </c>
      <c r="G1851" s="222" t="s">
        <v>2942</v>
      </c>
    </row>
    <row r="1852" spans="1:7">
      <c r="A1852" s="220" t="s">
        <v>1995</v>
      </c>
      <c r="B1852" s="221">
        <v>0</v>
      </c>
      <c r="C1852" s="221">
        <v>510</v>
      </c>
      <c r="D1852" s="221">
        <v>25.25</v>
      </c>
      <c r="E1852" s="221">
        <v>287.76798964378247</v>
      </c>
      <c r="F1852" s="221">
        <v>1.4188016275074058</v>
      </c>
      <c r="G1852" s="222" t="s">
        <v>2942</v>
      </c>
    </row>
    <row r="1853" spans="1:7">
      <c r="A1853" s="220" t="s">
        <v>1996</v>
      </c>
      <c r="B1853" s="221">
        <v>0</v>
      </c>
      <c r="C1853" s="221">
        <v>610</v>
      </c>
      <c r="D1853" s="221">
        <v>25.25</v>
      </c>
      <c r="E1853" s="221">
        <v>349.12548964378243</v>
      </c>
      <c r="F1853" s="221">
        <v>1.4188016275074058</v>
      </c>
      <c r="G1853" s="222" t="s">
        <v>2942</v>
      </c>
    </row>
    <row r="1854" spans="1:7">
      <c r="A1854" s="220" t="s">
        <v>1997</v>
      </c>
      <c r="B1854" s="221">
        <v>0</v>
      </c>
      <c r="C1854" s="221">
        <v>695</v>
      </c>
      <c r="D1854" s="221">
        <v>25.25</v>
      </c>
      <c r="E1854" s="221">
        <v>390.03048964378246</v>
      </c>
      <c r="F1854" s="221">
        <v>1.4188016275074058</v>
      </c>
      <c r="G1854" s="222" t="s">
        <v>2942</v>
      </c>
    </row>
    <row r="1855" spans="1:7">
      <c r="A1855" s="220" t="s">
        <v>1998</v>
      </c>
      <c r="B1855" s="221">
        <v>0</v>
      </c>
      <c r="C1855" s="221">
        <v>755</v>
      </c>
      <c r="D1855" s="221">
        <v>25.25</v>
      </c>
      <c r="E1855" s="221">
        <v>430.93548964378243</v>
      </c>
      <c r="F1855" s="221">
        <v>1.4188016275074058</v>
      </c>
      <c r="G1855" s="222" t="s">
        <v>2942</v>
      </c>
    </row>
    <row r="1856" spans="1:7">
      <c r="A1856" s="220" t="s">
        <v>1999</v>
      </c>
      <c r="B1856" s="221">
        <v>0</v>
      </c>
      <c r="C1856" s="221">
        <v>140</v>
      </c>
      <c r="D1856" s="221">
        <v>25.25</v>
      </c>
      <c r="E1856" s="221">
        <v>20.249289643782479</v>
      </c>
      <c r="F1856" s="221">
        <v>1.4188016275074058</v>
      </c>
      <c r="G1856" s="222" t="s">
        <v>2942</v>
      </c>
    </row>
    <row r="1857" spans="1:7">
      <c r="A1857" s="220" t="s">
        <v>2000</v>
      </c>
      <c r="B1857" s="221">
        <v>0</v>
      </c>
      <c r="C1857" s="221">
        <v>140</v>
      </c>
      <c r="D1857" s="221">
        <v>25.25</v>
      </c>
      <c r="E1857" s="221">
        <v>23.52168964378248</v>
      </c>
      <c r="F1857" s="221">
        <v>1.4188016275074058</v>
      </c>
      <c r="G1857" s="222" t="s">
        <v>2942</v>
      </c>
    </row>
    <row r="1858" spans="1:7">
      <c r="A1858" s="220" t="s">
        <v>2001</v>
      </c>
      <c r="B1858" s="221">
        <v>0</v>
      </c>
      <c r="C1858" s="221">
        <v>170</v>
      </c>
      <c r="D1858" s="221">
        <v>25.25</v>
      </c>
      <c r="E1858" s="221">
        <v>37.429389643782478</v>
      </c>
      <c r="F1858" s="221">
        <v>1.4188016275074058</v>
      </c>
      <c r="G1858" s="222" t="s">
        <v>2942</v>
      </c>
    </row>
    <row r="1859" spans="1:7">
      <c r="A1859" s="220" t="s">
        <v>2002</v>
      </c>
      <c r="B1859" s="221">
        <v>0</v>
      </c>
      <c r="C1859" s="221">
        <v>250</v>
      </c>
      <c r="D1859" s="221">
        <v>25.25</v>
      </c>
      <c r="E1859" s="221">
        <v>55.427589643782483</v>
      </c>
      <c r="F1859" s="221">
        <v>1.4188016275074058</v>
      </c>
      <c r="G1859" s="222" t="s">
        <v>2942</v>
      </c>
    </row>
    <row r="1860" spans="1:7">
      <c r="A1860" s="220" t="s">
        <v>2003</v>
      </c>
      <c r="B1860" s="221">
        <v>0</v>
      </c>
      <c r="C1860" s="221">
        <v>250</v>
      </c>
      <c r="D1860" s="221">
        <v>25.25</v>
      </c>
      <c r="E1860" s="221">
        <v>60.336189643782483</v>
      </c>
      <c r="F1860" s="221">
        <v>1.4188016275074058</v>
      </c>
      <c r="G1860" s="222" t="s">
        <v>2942</v>
      </c>
    </row>
    <row r="1861" spans="1:7">
      <c r="A1861" s="220" t="s">
        <v>2004</v>
      </c>
      <c r="B1861" s="221">
        <v>0</v>
      </c>
      <c r="C1861" s="221">
        <v>345</v>
      </c>
      <c r="D1861" s="221">
        <v>25.25</v>
      </c>
      <c r="E1861" s="221">
        <v>65.244789643782468</v>
      </c>
      <c r="F1861" s="221">
        <v>1.4188016275074058</v>
      </c>
      <c r="G1861" s="222" t="s">
        <v>2942</v>
      </c>
    </row>
    <row r="1862" spans="1:7">
      <c r="A1862" s="220" t="s">
        <v>2005</v>
      </c>
      <c r="B1862" s="221">
        <v>0</v>
      </c>
      <c r="C1862" s="221">
        <v>405</v>
      </c>
      <c r="D1862" s="221">
        <v>25.25</v>
      </c>
      <c r="E1862" s="221">
        <v>69.335289643782488</v>
      </c>
      <c r="F1862" s="221">
        <v>1.4188016275074058</v>
      </c>
      <c r="G1862" s="222" t="s">
        <v>2942</v>
      </c>
    </row>
    <row r="1863" spans="1:7">
      <c r="A1863" s="220" t="s">
        <v>2006</v>
      </c>
      <c r="B1863" s="221">
        <v>0</v>
      </c>
      <c r="C1863" s="221">
        <v>440</v>
      </c>
      <c r="D1863" s="221">
        <v>25.25</v>
      </c>
      <c r="E1863" s="221">
        <v>74.243889643782481</v>
      </c>
      <c r="F1863" s="221">
        <v>1.4188016275074058</v>
      </c>
      <c r="G1863" s="222" t="s">
        <v>2942</v>
      </c>
    </row>
    <row r="1864" spans="1:7">
      <c r="A1864" s="220" t="s">
        <v>2007</v>
      </c>
      <c r="B1864" s="221">
        <v>0</v>
      </c>
      <c r="C1864" s="221">
        <v>475</v>
      </c>
      <c r="D1864" s="221">
        <v>25.25</v>
      </c>
      <c r="E1864" s="221">
        <v>99.604989643782488</v>
      </c>
      <c r="F1864" s="221">
        <v>1.4188016275074058</v>
      </c>
      <c r="G1864" s="222" t="s">
        <v>2942</v>
      </c>
    </row>
    <row r="1865" spans="1:7">
      <c r="A1865" s="220" t="s">
        <v>2008</v>
      </c>
      <c r="B1865" s="221">
        <v>0</v>
      </c>
      <c r="C1865" s="221">
        <v>535</v>
      </c>
      <c r="D1865" s="221">
        <v>25.25</v>
      </c>
      <c r="E1865" s="221">
        <v>107.78598964378247</v>
      </c>
      <c r="F1865" s="221">
        <v>1.4188016275074058</v>
      </c>
      <c r="G1865" s="222" t="s">
        <v>2942</v>
      </c>
    </row>
    <row r="1866" spans="1:7">
      <c r="A1866" s="220" t="s">
        <v>2009</v>
      </c>
      <c r="B1866" s="221">
        <v>0</v>
      </c>
      <c r="C1866" s="221">
        <v>610</v>
      </c>
      <c r="D1866" s="221">
        <v>25.25</v>
      </c>
      <c r="E1866" s="221">
        <v>132.32898964378248</v>
      </c>
      <c r="F1866" s="221">
        <v>1.4188016275074058</v>
      </c>
      <c r="G1866" s="222" t="s">
        <v>2942</v>
      </c>
    </row>
    <row r="1867" spans="1:7">
      <c r="A1867" s="220" t="s">
        <v>2010</v>
      </c>
      <c r="B1867" s="221">
        <v>0</v>
      </c>
      <c r="C1867" s="221">
        <v>780</v>
      </c>
      <c r="D1867" s="221">
        <v>25.25</v>
      </c>
      <c r="E1867" s="221">
        <v>156.87198964378248</v>
      </c>
      <c r="F1867" s="221">
        <v>1.4188016275074058</v>
      </c>
      <c r="G1867" s="222" t="s">
        <v>2942</v>
      </c>
    </row>
    <row r="1868" spans="1:7">
      <c r="A1868" s="220" t="s">
        <v>2011</v>
      </c>
      <c r="B1868" s="221">
        <v>0</v>
      </c>
      <c r="C1868" s="221">
        <v>820</v>
      </c>
      <c r="D1868" s="221">
        <v>25.25</v>
      </c>
      <c r="E1868" s="221">
        <v>185.50548964378248</v>
      </c>
      <c r="F1868" s="221">
        <v>1.4188016275074058</v>
      </c>
      <c r="G1868" s="222" t="s">
        <v>2942</v>
      </c>
    </row>
    <row r="1869" spans="1:7">
      <c r="A1869" s="220" t="s">
        <v>2012</v>
      </c>
      <c r="B1869" s="221">
        <v>0</v>
      </c>
      <c r="C1869" s="221">
        <v>845</v>
      </c>
      <c r="D1869" s="221">
        <v>25.25</v>
      </c>
      <c r="E1869" s="221">
        <v>205.95798964378247</v>
      </c>
      <c r="F1869" s="221">
        <v>1.4188016275074058</v>
      </c>
      <c r="G1869" s="222" t="s">
        <v>2942</v>
      </c>
    </row>
    <row r="1870" spans="1:7">
      <c r="A1870" s="220" t="s">
        <v>2013</v>
      </c>
      <c r="B1870" s="221">
        <v>0</v>
      </c>
      <c r="C1870" s="221">
        <v>1040</v>
      </c>
      <c r="D1870" s="221">
        <v>25.25</v>
      </c>
      <c r="E1870" s="221">
        <v>246.86298964378247</v>
      </c>
      <c r="F1870" s="221">
        <v>1.4188016275074058</v>
      </c>
      <c r="G1870" s="222" t="s">
        <v>2942</v>
      </c>
    </row>
    <row r="1871" spans="1:7">
      <c r="A1871" s="220" t="s">
        <v>2014</v>
      </c>
      <c r="B1871" s="221">
        <v>0</v>
      </c>
      <c r="C1871" s="221">
        <v>1165</v>
      </c>
      <c r="D1871" s="221">
        <v>25.25</v>
      </c>
      <c r="E1871" s="221">
        <v>287.76798964378247</v>
      </c>
      <c r="F1871" s="221">
        <v>1.4188016275074058</v>
      </c>
      <c r="G1871" s="222" t="s">
        <v>2942</v>
      </c>
    </row>
    <row r="1872" spans="1:7">
      <c r="A1872" s="220" t="s">
        <v>2015</v>
      </c>
      <c r="B1872" s="221">
        <v>0</v>
      </c>
      <c r="C1872" s="221">
        <v>1250</v>
      </c>
      <c r="D1872" s="221">
        <v>25.25</v>
      </c>
      <c r="E1872" s="221">
        <v>349.12548964378243</v>
      </c>
      <c r="F1872" s="221">
        <v>1.4188016275074058</v>
      </c>
      <c r="G1872" s="222" t="s">
        <v>2942</v>
      </c>
    </row>
    <row r="1873" spans="1:7">
      <c r="A1873" s="220" t="s">
        <v>2016</v>
      </c>
      <c r="B1873" s="221">
        <v>0</v>
      </c>
      <c r="C1873" s="221">
        <v>1360</v>
      </c>
      <c r="D1873" s="221">
        <v>25.25</v>
      </c>
      <c r="E1873" s="221">
        <v>390.03048964378246</v>
      </c>
      <c r="F1873" s="221">
        <v>1.4188016275074058</v>
      </c>
      <c r="G1873" s="222" t="s">
        <v>2942</v>
      </c>
    </row>
    <row r="1874" spans="1:7">
      <c r="A1874" s="220" t="s">
        <v>2017</v>
      </c>
      <c r="B1874" s="221">
        <v>0</v>
      </c>
      <c r="C1874" s="221">
        <v>1405</v>
      </c>
      <c r="D1874" s="221">
        <v>25.25</v>
      </c>
      <c r="E1874" s="221">
        <v>430.93548964378243</v>
      </c>
      <c r="F1874" s="221">
        <v>1.4188016275074058</v>
      </c>
      <c r="G1874" s="222" t="s">
        <v>2942</v>
      </c>
    </row>
    <row r="1875" spans="1:7">
      <c r="A1875" s="220" t="s">
        <v>2018</v>
      </c>
      <c r="B1875" s="221">
        <v>0</v>
      </c>
      <c r="C1875" s="221">
        <v>179</v>
      </c>
      <c r="D1875" s="221">
        <v>25.25</v>
      </c>
      <c r="E1875" s="221">
        <v>21.418896749035536</v>
      </c>
      <c r="F1875" s="221">
        <v>2.5768284643916193</v>
      </c>
      <c r="G1875" s="222" t="s">
        <v>2942</v>
      </c>
    </row>
    <row r="1876" spans="1:7">
      <c r="A1876" s="220" t="s">
        <v>2019</v>
      </c>
      <c r="B1876" s="221">
        <v>0</v>
      </c>
      <c r="C1876" s="221">
        <v>179</v>
      </c>
      <c r="D1876" s="221">
        <v>25.25</v>
      </c>
      <c r="E1876" s="221">
        <v>24.691296749035537</v>
      </c>
      <c r="F1876" s="221">
        <v>2.5768284643916193</v>
      </c>
      <c r="G1876" s="222" t="s">
        <v>2942</v>
      </c>
    </row>
    <row r="1877" spans="1:7">
      <c r="A1877" s="220" t="s">
        <v>2020</v>
      </c>
      <c r="B1877" s="221">
        <v>0</v>
      </c>
      <c r="C1877" s="221">
        <v>189</v>
      </c>
      <c r="D1877" s="221">
        <v>25.25</v>
      </c>
      <c r="E1877" s="221">
        <v>38.598996749035535</v>
      </c>
      <c r="F1877" s="221">
        <v>2.5768284643916193</v>
      </c>
      <c r="G1877" s="222" t="s">
        <v>2942</v>
      </c>
    </row>
    <row r="1878" spans="1:7">
      <c r="A1878" s="220" t="s">
        <v>2021</v>
      </c>
      <c r="B1878" s="221">
        <v>0</v>
      </c>
      <c r="C1878" s="221">
        <v>385</v>
      </c>
      <c r="D1878" s="221">
        <v>25.25</v>
      </c>
      <c r="E1878" s="221">
        <v>56.597196749035533</v>
      </c>
      <c r="F1878" s="221">
        <v>2.5768284643916193</v>
      </c>
      <c r="G1878" s="222" t="s">
        <v>2942</v>
      </c>
    </row>
    <row r="1879" spans="1:7">
      <c r="A1879" s="220" t="s">
        <v>2022</v>
      </c>
      <c r="B1879" s="221">
        <v>0</v>
      </c>
      <c r="C1879" s="221">
        <v>385</v>
      </c>
      <c r="D1879" s="221">
        <v>25.25</v>
      </c>
      <c r="E1879" s="221">
        <v>61.505796749035532</v>
      </c>
      <c r="F1879" s="221">
        <v>2.5768284643916193</v>
      </c>
      <c r="G1879" s="222" t="s">
        <v>2942</v>
      </c>
    </row>
    <row r="1880" spans="1:7">
      <c r="A1880" s="220" t="s">
        <v>2023</v>
      </c>
      <c r="B1880" s="221">
        <v>0</v>
      </c>
      <c r="C1880" s="221">
        <v>545</v>
      </c>
      <c r="D1880" s="221">
        <v>25.25</v>
      </c>
      <c r="E1880" s="221">
        <v>66.414396749035532</v>
      </c>
      <c r="F1880" s="221">
        <v>2.5768284643916193</v>
      </c>
      <c r="G1880" s="222" t="s">
        <v>2942</v>
      </c>
    </row>
    <row r="1881" spans="1:7">
      <c r="A1881" s="220" t="s">
        <v>2024</v>
      </c>
      <c r="B1881" s="221">
        <v>0</v>
      </c>
      <c r="C1881" s="221">
        <v>655</v>
      </c>
      <c r="D1881" s="221">
        <v>25.25</v>
      </c>
      <c r="E1881" s="221">
        <v>70.504896749035538</v>
      </c>
      <c r="F1881" s="221">
        <v>2.5768284643916193</v>
      </c>
      <c r="G1881" s="222" t="s">
        <v>2942</v>
      </c>
    </row>
    <row r="1882" spans="1:7">
      <c r="A1882" s="220" t="s">
        <v>2025</v>
      </c>
      <c r="B1882" s="221">
        <v>0</v>
      </c>
      <c r="C1882" s="221">
        <v>715</v>
      </c>
      <c r="D1882" s="221">
        <v>25.25</v>
      </c>
      <c r="E1882" s="221">
        <v>75.413496749035545</v>
      </c>
      <c r="F1882" s="221">
        <v>2.5768284643916193</v>
      </c>
      <c r="G1882" s="222" t="s">
        <v>2942</v>
      </c>
    </row>
    <row r="1883" spans="1:7">
      <c r="A1883" s="220" t="s">
        <v>2026</v>
      </c>
      <c r="B1883" s="221">
        <v>0</v>
      </c>
      <c r="C1883" s="221">
        <v>790</v>
      </c>
      <c r="D1883" s="221">
        <v>25.25</v>
      </c>
      <c r="E1883" s="221">
        <v>100.77459674903554</v>
      </c>
      <c r="F1883" s="221">
        <v>2.5768284643916193</v>
      </c>
      <c r="G1883" s="222" t="s">
        <v>2942</v>
      </c>
    </row>
    <row r="1884" spans="1:7">
      <c r="A1884" s="220" t="s">
        <v>2027</v>
      </c>
      <c r="B1884" s="221">
        <v>0</v>
      </c>
      <c r="C1884" s="221">
        <v>865</v>
      </c>
      <c r="D1884" s="221">
        <v>25.25</v>
      </c>
      <c r="E1884" s="221">
        <v>108.95559674903554</v>
      </c>
      <c r="F1884" s="221">
        <v>2.5768284643916193</v>
      </c>
      <c r="G1884" s="222" t="s">
        <v>2942</v>
      </c>
    </row>
    <row r="1885" spans="1:7">
      <c r="A1885" s="220" t="s">
        <v>2028</v>
      </c>
      <c r="B1885" s="221">
        <v>0</v>
      </c>
      <c r="C1885" s="221">
        <v>970</v>
      </c>
      <c r="D1885" s="221">
        <v>25.25</v>
      </c>
      <c r="E1885" s="221">
        <v>133.49859674903553</v>
      </c>
      <c r="F1885" s="221">
        <v>2.5768284643916193</v>
      </c>
      <c r="G1885" s="222" t="s">
        <v>2942</v>
      </c>
    </row>
    <row r="1886" spans="1:7">
      <c r="A1886" s="220" t="s">
        <v>2029</v>
      </c>
      <c r="B1886" s="221">
        <v>0</v>
      </c>
      <c r="C1886" s="221">
        <v>1155</v>
      </c>
      <c r="D1886" s="221">
        <v>25.25</v>
      </c>
      <c r="E1886" s="221">
        <v>158.04159674903553</v>
      </c>
      <c r="F1886" s="221">
        <v>2.5768284643916193</v>
      </c>
      <c r="G1886" s="222" t="s">
        <v>2942</v>
      </c>
    </row>
    <row r="1887" spans="1:7">
      <c r="A1887" s="220" t="s">
        <v>2030</v>
      </c>
      <c r="B1887" s="221">
        <v>0</v>
      </c>
      <c r="C1887" s="221">
        <v>1230</v>
      </c>
      <c r="D1887" s="221">
        <v>25.25</v>
      </c>
      <c r="E1887" s="221">
        <v>186.67509674903553</v>
      </c>
      <c r="F1887" s="221">
        <v>2.5768284643916193</v>
      </c>
      <c r="G1887" s="222" t="s">
        <v>2942</v>
      </c>
    </row>
    <row r="1888" spans="1:7">
      <c r="A1888" s="220" t="s">
        <v>2031</v>
      </c>
      <c r="B1888" s="221">
        <v>0</v>
      </c>
      <c r="C1888" s="221">
        <v>1280</v>
      </c>
      <c r="D1888" s="221">
        <v>25.25</v>
      </c>
      <c r="E1888" s="221">
        <v>207.12759674903552</v>
      </c>
      <c r="F1888" s="221">
        <v>2.5768284643916193</v>
      </c>
      <c r="G1888" s="222" t="s">
        <v>2942</v>
      </c>
    </row>
    <row r="1889" spans="1:7">
      <c r="A1889" s="220" t="s">
        <v>2032</v>
      </c>
      <c r="B1889" s="221">
        <v>0</v>
      </c>
      <c r="C1889" s="221">
        <v>1560</v>
      </c>
      <c r="D1889" s="221">
        <v>25.25</v>
      </c>
      <c r="E1889" s="221">
        <v>248.03259674903552</v>
      </c>
      <c r="F1889" s="221">
        <v>2.5768284643916193</v>
      </c>
      <c r="G1889" s="222" t="s">
        <v>2942</v>
      </c>
    </row>
    <row r="1890" spans="1:7">
      <c r="A1890" s="220" t="s">
        <v>2033</v>
      </c>
      <c r="B1890" s="221">
        <v>0</v>
      </c>
      <c r="C1890" s="221">
        <v>1640</v>
      </c>
      <c r="D1890" s="221">
        <v>25.25</v>
      </c>
      <c r="E1890" s="221">
        <v>288.93759674903555</v>
      </c>
      <c r="F1890" s="221">
        <v>2.5768284643916193</v>
      </c>
      <c r="G1890" s="222" t="s">
        <v>2942</v>
      </c>
    </row>
    <row r="1891" spans="1:7">
      <c r="A1891" s="220" t="s">
        <v>2034</v>
      </c>
      <c r="B1891" s="221">
        <v>0</v>
      </c>
      <c r="C1891" s="221">
        <v>1880</v>
      </c>
      <c r="D1891" s="221">
        <v>25.25</v>
      </c>
      <c r="E1891" s="221">
        <v>350.29509674903551</v>
      </c>
      <c r="F1891" s="221">
        <v>2.5768284643916193</v>
      </c>
      <c r="G1891" s="222" t="s">
        <v>2942</v>
      </c>
    </row>
    <row r="1892" spans="1:7">
      <c r="A1892" s="220" t="s">
        <v>2035</v>
      </c>
      <c r="B1892" s="221">
        <v>0</v>
      </c>
      <c r="C1892" s="221">
        <v>2025</v>
      </c>
      <c r="D1892" s="221">
        <v>25.25</v>
      </c>
      <c r="E1892" s="221">
        <v>391.20009674903554</v>
      </c>
      <c r="F1892" s="221">
        <v>2.5768284643916193</v>
      </c>
      <c r="G1892" s="222" t="s">
        <v>2942</v>
      </c>
    </row>
    <row r="1893" spans="1:7">
      <c r="A1893" s="220" t="s">
        <v>2036</v>
      </c>
      <c r="B1893" s="221">
        <v>0</v>
      </c>
      <c r="C1893" s="221">
        <v>2145</v>
      </c>
      <c r="D1893" s="221">
        <v>25.25</v>
      </c>
      <c r="E1893" s="221">
        <v>432.10509674903551</v>
      </c>
      <c r="F1893" s="221">
        <v>2.5768284643916193</v>
      </c>
      <c r="G1893" s="222" t="s">
        <v>2942</v>
      </c>
    </row>
    <row r="1894" spans="1:7">
      <c r="A1894" s="220" t="s">
        <v>669</v>
      </c>
      <c r="B1894" s="221">
        <v>0</v>
      </c>
      <c r="C1894" s="221">
        <v>70</v>
      </c>
      <c r="D1894" s="221">
        <v>25.25</v>
      </c>
      <c r="E1894" s="221">
        <v>27.989860701974511</v>
      </c>
      <c r="F1894" s="221">
        <v>4.2227333682915926</v>
      </c>
      <c r="G1894" s="222" t="s">
        <v>2942</v>
      </c>
    </row>
    <row r="1895" spans="1:7">
      <c r="A1895" s="220" t="s">
        <v>670</v>
      </c>
      <c r="B1895" s="221">
        <v>0</v>
      </c>
      <c r="C1895" s="221">
        <v>70</v>
      </c>
      <c r="D1895" s="221">
        <v>25.25</v>
      </c>
      <c r="E1895" s="221">
        <v>31.262260701974505</v>
      </c>
      <c r="F1895" s="221">
        <v>4.2227333682915926</v>
      </c>
      <c r="G1895" s="222" t="s">
        <v>2942</v>
      </c>
    </row>
    <row r="1896" spans="1:7">
      <c r="A1896" s="220" t="s">
        <v>671</v>
      </c>
      <c r="B1896" s="221">
        <v>0</v>
      </c>
      <c r="C1896" s="221">
        <v>80</v>
      </c>
      <c r="D1896" s="221">
        <v>25.25</v>
      </c>
      <c r="E1896" s="221">
        <v>35.35276070197451</v>
      </c>
      <c r="F1896" s="221">
        <v>4.2227333682915926</v>
      </c>
      <c r="G1896" s="222" t="s">
        <v>2942</v>
      </c>
    </row>
    <row r="1897" spans="1:7">
      <c r="A1897" s="220" t="s">
        <v>672</v>
      </c>
      <c r="B1897" s="221">
        <v>0</v>
      </c>
      <c r="C1897" s="221">
        <v>90</v>
      </c>
      <c r="D1897" s="221">
        <v>25.25</v>
      </c>
      <c r="E1897" s="221">
        <v>35.35276070197451</v>
      </c>
      <c r="F1897" s="221">
        <v>4.2227333682915926</v>
      </c>
      <c r="G1897" s="222" t="s">
        <v>2942</v>
      </c>
    </row>
    <row r="1898" spans="1:7">
      <c r="A1898" s="220" t="s">
        <v>673</v>
      </c>
      <c r="B1898" s="221">
        <v>0</v>
      </c>
      <c r="C1898" s="221">
        <v>90</v>
      </c>
      <c r="D1898" s="221">
        <v>25.25</v>
      </c>
      <c r="E1898" s="221">
        <v>35.35276070197451</v>
      </c>
      <c r="F1898" s="221">
        <v>4.2227333682915926</v>
      </c>
      <c r="G1898" s="222" t="s">
        <v>2942</v>
      </c>
    </row>
    <row r="1899" spans="1:7">
      <c r="A1899" s="220" t="s">
        <v>674</v>
      </c>
      <c r="B1899" s="221">
        <v>0</v>
      </c>
      <c r="C1899" s="221">
        <v>95</v>
      </c>
      <c r="D1899" s="221">
        <v>25.25</v>
      </c>
      <c r="E1899" s="221">
        <v>35.35276070197451</v>
      </c>
      <c r="F1899" s="221">
        <v>4.2227333682915926</v>
      </c>
      <c r="G1899" s="222" t="s">
        <v>2942</v>
      </c>
    </row>
    <row r="1900" spans="1:7">
      <c r="A1900" s="220" t="s">
        <v>675</v>
      </c>
      <c r="B1900" s="221">
        <v>0</v>
      </c>
      <c r="C1900" s="221">
        <v>100</v>
      </c>
      <c r="D1900" s="221">
        <v>25.25</v>
      </c>
      <c r="E1900" s="221">
        <v>35.35276070197451</v>
      </c>
      <c r="F1900" s="221">
        <v>4.2227333682915926</v>
      </c>
      <c r="G1900" s="222" t="s">
        <v>2942</v>
      </c>
    </row>
    <row r="1901" spans="1:7">
      <c r="A1901" s="220" t="s">
        <v>676</v>
      </c>
      <c r="B1901" s="221">
        <v>0</v>
      </c>
      <c r="C1901" s="221">
        <v>115</v>
      </c>
      <c r="D1901" s="221">
        <v>25.25</v>
      </c>
      <c r="E1901" s="221">
        <v>35.35276070197451</v>
      </c>
      <c r="F1901" s="221">
        <v>4.2227333682915926</v>
      </c>
      <c r="G1901" s="222" t="s">
        <v>2942</v>
      </c>
    </row>
    <row r="1902" spans="1:7">
      <c r="A1902" s="220" t="s">
        <v>677</v>
      </c>
      <c r="B1902" s="221">
        <v>0</v>
      </c>
      <c r="C1902" s="221">
        <v>120</v>
      </c>
      <c r="D1902" s="221">
        <v>25.25</v>
      </c>
      <c r="E1902" s="221">
        <v>40.26136070197451</v>
      </c>
      <c r="F1902" s="221">
        <v>4.2227333682915926</v>
      </c>
      <c r="G1902" s="222" t="s">
        <v>2942</v>
      </c>
    </row>
    <row r="1903" spans="1:7">
      <c r="A1903" s="220" t="s">
        <v>678</v>
      </c>
      <c r="B1903" s="221">
        <v>0</v>
      </c>
      <c r="C1903" s="221">
        <v>130</v>
      </c>
      <c r="D1903" s="221">
        <v>25.25</v>
      </c>
      <c r="E1903" s="221">
        <v>49.260460701974516</v>
      </c>
      <c r="F1903" s="221">
        <v>4.2227333682915926</v>
      </c>
      <c r="G1903" s="222" t="s">
        <v>2942</v>
      </c>
    </row>
    <row r="1904" spans="1:7">
      <c r="A1904" s="220" t="s">
        <v>679</v>
      </c>
      <c r="B1904" s="221">
        <v>0</v>
      </c>
      <c r="C1904" s="221">
        <v>145</v>
      </c>
      <c r="D1904" s="221">
        <v>25.25</v>
      </c>
      <c r="E1904" s="221">
        <v>53.350960701974508</v>
      </c>
      <c r="F1904" s="221">
        <v>4.2227333682915926</v>
      </c>
      <c r="G1904" s="222" t="s">
        <v>2942</v>
      </c>
    </row>
    <row r="1905" spans="1:7">
      <c r="A1905" s="220" t="s">
        <v>680</v>
      </c>
      <c r="B1905" s="221">
        <v>0</v>
      </c>
      <c r="C1905" s="221">
        <v>175</v>
      </c>
      <c r="D1905" s="221">
        <v>25.25</v>
      </c>
      <c r="E1905" s="221">
        <v>69.712960701974509</v>
      </c>
      <c r="F1905" s="221">
        <v>4.2227333682915926</v>
      </c>
      <c r="G1905" s="222" t="s">
        <v>2942</v>
      </c>
    </row>
    <row r="1906" spans="1:7">
      <c r="A1906" s="220" t="s">
        <v>681</v>
      </c>
      <c r="B1906" s="221">
        <v>0</v>
      </c>
      <c r="C1906" s="221">
        <v>210</v>
      </c>
      <c r="D1906" s="221">
        <v>25.25</v>
      </c>
      <c r="E1906" s="221">
        <v>86.074960701974504</v>
      </c>
      <c r="F1906" s="221">
        <v>4.2227333682915926</v>
      </c>
      <c r="G1906" s="222" t="s">
        <v>2942</v>
      </c>
    </row>
    <row r="1907" spans="1:7">
      <c r="A1907" s="220" t="s">
        <v>682</v>
      </c>
      <c r="B1907" s="221">
        <v>0</v>
      </c>
      <c r="C1907" s="221">
        <v>230</v>
      </c>
      <c r="D1907" s="221">
        <v>25.25</v>
      </c>
      <c r="E1907" s="221">
        <v>94.255960701974502</v>
      </c>
      <c r="F1907" s="221">
        <v>4.2227333682915926</v>
      </c>
      <c r="G1907" s="222" t="s">
        <v>2942</v>
      </c>
    </row>
    <row r="1908" spans="1:7">
      <c r="A1908" s="220" t="s">
        <v>683</v>
      </c>
      <c r="B1908" s="221">
        <v>0</v>
      </c>
      <c r="C1908" s="221">
        <v>285</v>
      </c>
      <c r="D1908" s="221">
        <v>25.25</v>
      </c>
      <c r="E1908" s="221">
        <v>135.16096070197449</v>
      </c>
      <c r="F1908" s="221">
        <v>4.2227333682915926</v>
      </c>
      <c r="G1908" s="222" t="s">
        <v>2942</v>
      </c>
    </row>
    <row r="1909" spans="1:7">
      <c r="A1909" s="220" t="s">
        <v>684</v>
      </c>
      <c r="B1909" s="221">
        <v>0</v>
      </c>
      <c r="C1909" s="221">
        <v>300</v>
      </c>
      <c r="D1909" s="221">
        <v>25.25</v>
      </c>
      <c r="E1909" s="221">
        <v>155.6134607019745</v>
      </c>
      <c r="F1909" s="221">
        <v>4.2227333682915926</v>
      </c>
      <c r="G1909" s="222" t="s">
        <v>2942</v>
      </c>
    </row>
    <row r="1910" spans="1:7">
      <c r="A1910" s="220" t="s">
        <v>685</v>
      </c>
      <c r="B1910" s="221">
        <v>0</v>
      </c>
      <c r="C1910" s="221">
        <v>350</v>
      </c>
      <c r="D1910" s="221">
        <v>25.25</v>
      </c>
      <c r="E1910" s="221">
        <v>192.42796070197448</v>
      </c>
      <c r="F1910" s="221">
        <v>4.2227333682915926</v>
      </c>
      <c r="G1910" s="222" t="s">
        <v>2942</v>
      </c>
    </row>
    <row r="1911" spans="1:7">
      <c r="A1911" s="220" t="s">
        <v>686</v>
      </c>
      <c r="B1911" s="221">
        <v>0</v>
      </c>
      <c r="C1911" s="221">
        <v>405</v>
      </c>
      <c r="D1911" s="221">
        <v>25.25</v>
      </c>
      <c r="E1911" s="221">
        <v>216.97096070197449</v>
      </c>
      <c r="F1911" s="221">
        <v>4.2227333682915926</v>
      </c>
      <c r="G1911" s="222" t="s">
        <v>2942</v>
      </c>
    </row>
    <row r="1912" spans="1:7">
      <c r="A1912" s="220" t="s">
        <v>687</v>
      </c>
      <c r="B1912" s="221">
        <v>0</v>
      </c>
      <c r="C1912" s="221">
        <v>450</v>
      </c>
      <c r="D1912" s="221">
        <v>25.25</v>
      </c>
      <c r="E1912" s="221">
        <v>237.42346070197451</v>
      </c>
      <c r="F1912" s="221">
        <v>4.2227333682915926</v>
      </c>
      <c r="G1912" s="222" t="s">
        <v>2942</v>
      </c>
    </row>
    <row r="1913" spans="1:7">
      <c r="A1913" s="220" t="s">
        <v>688</v>
      </c>
      <c r="B1913" s="221">
        <v>0</v>
      </c>
      <c r="C1913" s="221">
        <v>75</v>
      </c>
      <c r="D1913" s="221">
        <v>25.25</v>
      </c>
      <c r="E1913" s="221">
        <v>27.989860701974511</v>
      </c>
      <c r="F1913" s="221">
        <v>4.2227333682915926</v>
      </c>
      <c r="G1913" s="222" t="s">
        <v>2942</v>
      </c>
    </row>
    <row r="1914" spans="1:7">
      <c r="A1914" s="220" t="s">
        <v>689</v>
      </c>
      <c r="B1914" s="221">
        <v>0</v>
      </c>
      <c r="C1914" s="221">
        <v>75</v>
      </c>
      <c r="D1914" s="221">
        <v>25.25</v>
      </c>
      <c r="E1914" s="221">
        <v>31.262260701974505</v>
      </c>
      <c r="F1914" s="221">
        <v>4.2227333682915926</v>
      </c>
      <c r="G1914" s="222" t="s">
        <v>2942</v>
      </c>
    </row>
    <row r="1915" spans="1:7">
      <c r="A1915" s="220" t="s">
        <v>690</v>
      </c>
      <c r="B1915" s="221">
        <v>0</v>
      </c>
      <c r="C1915" s="221">
        <v>85</v>
      </c>
      <c r="D1915" s="221">
        <v>25.25</v>
      </c>
      <c r="E1915" s="221">
        <v>35.35276070197451</v>
      </c>
      <c r="F1915" s="221">
        <v>4.2227333682915926</v>
      </c>
      <c r="G1915" s="222" t="s">
        <v>2942</v>
      </c>
    </row>
    <row r="1916" spans="1:7">
      <c r="A1916" s="220" t="s">
        <v>691</v>
      </c>
      <c r="B1916" s="221">
        <v>0</v>
      </c>
      <c r="C1916" s="221">
        <v>120</v>
      </c>
      <c r="D1916" s="221">
        <v>25.25</v>
      </c>
      <c r="E1916" s="221">
        <v>35.35276070197451</v>
      </c>
      <c r="F1916" s="221">
        <v>4.2227333682915926</v>
      </c>
      <c r="G1916" s="222" t="s">
        <v>2942</v>
      </c>
    </row>
    <row r="1917" spans="1:7">
      <c r="A1917" s="220" t="s">
        <v>692</v>
      </c>
      <c r="B1917" s="221">
        <v>0</v>
      </c>
      <c r="C1917" s="221">
        <v>120</v>
      </c>
      <c r="D1917" s="221">
        <v>25.25</v>
      </c>
      <c r="E1917" s="221">
        <v>35.35276070197451</v>
      </c>
      <c r="F1917" s="221">
        <v>4.2227333682915926</v>
      </c>
      <c r="G1917" s="222" t="s">
        <v>2942</v>
      </c>
    </row>
    <row r="1918" spans="1:7">
      <c r="A1918" s="220" t="s">
        <v>693</v>
      </c>
      <c r="B1918" s="221">
        <v>0</v>
      </c>
      <c r="C1918" s="221">
        <v>125</v>
      </c>
      <c r="D1918" s="221">
        <v>25.25</v>
      </c>
      <c r="E1918" s="221">
        <v>35.35276070197451</v>
      </c>
      <c r="F1918" s="221">
        <v>4.2227333682915926</v>
      </c>
      <c r="G1918" s="222" t="s">
        <v>2942</v>
      </c>
    </row>
    <row r="1919" spans="1:7">
      <c r="A1919" s="220" t="s">
        <v>694</v>
      </c>
      <c r="B1919" s="221">
        <v>0</v>
      </c>
      <c r="C1919" s="221">
        <v>145</v>
      </c>
      <c r="D1919" s="221">
        <v>25.25</v>
      </c>
      <c r="E1919" s="221">
        <v>35.35276070197451</v>
      </c>
      <c r="F1919" s="221">
        <v>4.2227333682915926</v>
      </c>
      <c r="G1919" s="222" t="s">
        <v>2942</v>
      </c>
    </row>
    <row r="1920" spans="1:7">
      <c r="A1920" s="220" t="s">
        <v>695</v>
      </c>
      <c r="B1920" s="221">
        <v>0</v>
      </c>
      <c r="C1920" s="221">
        <v>150</v>
      </c>
      <c r="D1920" s="221">
        <v>25.25</v>
      </c>
      <c r="E1920" s="221">
        <v>35.35276070197451</v>
      </c>
      <c r="F1920" s="221">
        <v>4.2227333682915926</v>
      </c>
      <c r="G1920" s="222" t="s">
        <v>2942</v>
      </c>
    </row>
    <row r="1921" spans="1:7">
      <c r="A1921" s="220" t="s">
        <v>696</v>
      </c>
      <c r="B1921" s="221">
        <v>0</v>
      </c>
      <c r="C1921" s="221">
        <v>225</v>
      </c>
      <c r="D1921" s="221">
        <v>25.25</v>
      </c>
      <c r="E1921" s="221">
        <v>40.26136070197451</v>
      </c>
      <c r="F1921" s="221">
        <v>4.2227333682915926</v>
      </c>
      <c r="G1921" s="222" t="s">
        <v>2942</v>
      </c>
    </row>
    <row r="1922" spans="1:7">
      <c r="A1922" s="220" t="s">
        <v>697</v>
      </c>
      <c r="B1922" s="221">
        <v>0</v>
      </c>
      <c r="C1922" s="221">
        <v>260</v>
      </c>
      <c r="D1922" s="221">
        <v>25.25</v>
      </c>
      <c r="E1922" s="221">
        <v>49.260460701974516</v>
      </c>
      <c r="F1922" s="221">
        <v>4.2227333682915926</v>
      </c>
      <c r="G1922" s="222" t="s">
        <v>2942</v>
      </c>
    </row>
    <row r="1923" spans="1:7">
      <c r="A1923" s="220" t="s">
        <v>698</v>
      </c>
      <c r="B1923" s="221">
        <v>0</v>
      </c>
      <c r="C1923" s="221">
        <v>345</v>
      </c>
      <c r="D1923" s="221">
        <v>25.25</v>
      </c>
      <c r="E1923" s="221">
        <v>53.350960701974508</v>
      </c>
      <c r="F1923" s="221">
        <v>4.2227333682915926</v>
      </c>
      <c r="G1923" s="222" t="s">
        <v>2942</v>
      </c>
    </row>
    <row r="1924" spans="1:7">
      <c r="A1924" s="220" t="s">
        <v>699</v>
      </c>
      <c r="B1924" s="221">
        <v>0</v>
      </c>
      <c r="C1924" s="221">
        <v>520</v>
      </c>
      <c r="D1924" s="221">
        <v>25.25</v>
      </c>
      <c r="E1924" s="221">
        <v>69.712960701974509</v>
      </c>
      <c r="F1924" s="221">
        <v>4.2227333682915926</v>
      </c>
      <c r="G1924" s="222" t="s">
        <v>2942</v>
      </c>
    </row>
    <row r="1925" spans="1:7">
      <c r="A1925" s="220" t="s">
        <v>700</v>
      </c>
      <c r="B1925" s="221">
        <v>0</v>
      </c>
      <c r="C1925" s="221">
        <v>610</v>
      </c>
      <c r="D1925" s="221">
        <v>25.25</v>
      </c>
      <c r="E1925" s="221">
        <v>86.074960701974504</v>
      </c>
      <c r="F1925" s="221">
        <v>4.2227333682915926</v>
      </c>
      <c r="G1925" s="222" t="s">
        <v>2942</v>
      </c>
    </row>
    <row r="1926" spans="1:7">
      <c r="A1926" s="220" t="s">
        <v>701</v>
      </c>
      <c r="B1926" s="221">
        <v>0</v>
      </c>
      <c r="C1926" s="221">
        <v>670</v>
      </c>
      <c r="D1926" s="221">
        <v>25.25</v>
      </c>
      <c r="E1926" s="221">
        <v>94.255960701974502</v>
      </c>
      <c r="F1926" s="221">
        <v>4.2227333682915926</v>
      </c>
      <c r="G1926" s="222" t="s">
        <v>2942</v>
      </c>
    </row>
    <row r="1927" spans="1:7">
      <c r="A1927" s="220" t="s">
        <v>702</v>
      </c>
      <c r="B1927" s="221">
        <v>0</v>
      </c>
      <c r="C1927" s="221">
        <v>820</v>
      </c>
      <c r="D1927" s="221">
        <v>25.25</v>
      </c>
      <c r="E1927" s="221">
        <v>135.16096070197449</v>
      </c>
      <c r="F1927" s="221">
        <v>4.2227333682915926</v>
      </c>
      <c r="G1927" s="222" t="s">
        <v>2942</v>
      </c>
    </row>
    <row r="1928" spans="1:7">
      <c r="A1928" s="220" t="s">
        <v>703</v>
      </c>
      <c r="B1928" s="221">
        <v>0</v>
      </c>
      <c r="C1928" s="221">
        <v>890</v>
      </c>
      <c r="D1928" s="221">
        <v>25.25</v>
      </c>
      <c r="E1928" s="221">
        <v>155.6134607019745</v>
      </c>
      <c r="F1928" s="221">
        <v>4.2227333682915926</v>
      </c>
      <c r="G1928" s="222" t="s">
        <v>2942</v>
      </c>
    </row>
    <row r="1929" spans="1:7">
      <c r="A1929" s="220" t="s">
        <v>704</v>
      </c>
      <c r="B1929" s="221">
        <v>0</v>
      </c>
      <c r="C1929" s="221">
        <v>1020</v>
      </c>
      <c r="D1929" s="221">
        <v>25.25</v>
      </c>
      <c r="E1929" s="221">
        <v>192.42796070197448</v>
      </c>
      <c r="F1929" s="221">
        <v>4.2227333682915926</v>
      </c>
      <c r="G1929" s="222" t="s">
        <v>2942</v>
      </c>
    </row>
    <row r="1930" spans="1:7">
      <c r="A1930" s="220" t="s">
        <v>705</v>
      </c>
      <c r="B1930" s="221">
        <v>0</v>
      </c>
      <c r="C1930" s="221">
        <v>1120</v>
      </c>
      <c r="D1930" s="221">
        <v>25.25</v>
      </c>
      <c r="E1930" s="221">
        <v>216.97096070197449</v>
      </c>
      <c r="F1930" s="221">
        <v>4.2227333682915926</v>
      </c>
      <c r="G1930" s="222" t="s">
        <v>2942</v>
      </c>
    </row>
    <row r="1931" spans="1:7">
      <c r="A1931" s="220" t="s">
        <v>706</v>
      </c>
      <c r="B1931" s="221">
        <v>0</v>
      </c>
      <c r="C1931" s="221">
        <v>1185</v>
      </c>
      <c r="D1931" s="221">
        <v>25.25</v>
      </c>
      <c r="E1931" s="221">
        <v>237.42346070197451</v>
      </c>
      <c r="F1931" s="221">
        <v>4.2227333682915926</v>
      </c>
      <c r="G1931" s="222" t="s">
        <v>2942</v>
      </c>
    </row>
    <row r="1932" spans="1:7">
      <c r="A1932" s="220" t="s">
        <v>707</v>
      </c>
      <c r="B1932" s="221">
        <v>0</v>
      </c>
      <c r="C1932" s="221">
        <v>80</v>
      </c>
      <c r="D1932" s="221">
        <v>25.25</v>
      </c>
      <c r="E1932" s="221">
        <v>30.65322320972821</v>
      </c>
      <c r="F1932" s="221">
        <v>6.8597259502259522</v>
      </c>
      <c r="G1932" s="222" t="s">
        <v>2942</v>
      </c>
    </row>
    <row r="1933" spans="1:7">
      <c r="A1933" s="220" t="s">
        <v>708</v>
      </c>
      <c r="B1933" s="221">
        <v>0</v>
      </c>
      <c r="C1933" s="221">
        <v>80</v>
      </c>
      <c r="D1933" s="221">
        <v>25.25</v>
      </c>
      <c r="E1933" s="221">
        <v>33.925623209728208</v>
      </c>
      <c r="F1933" s="221">
        <v>6.8597259502259522</v>
      </c>
      <c r="G1933" s="222" t="s">
        <v>2942</v>
      </c>
    </row>
    <row r="1934" spans="1:7">
      <c r="A1934" s="220" t="s">
        <v>709</v>
      </c>
      <c r="B1934" s="221">
        <v>0</v>
      </c>
      <c r="C1934" s="221">
        <v>90</v>
      </c>
      <c r="D1934" s="221">
        <v>25.25</v>
      </c>
      <c r="E1934" s="221">
        <v>38.016123209728214</v>
      </c>
      <c r="F1934" s="221">
        <v>6.8597259502259522</v>
      </c>
      <c r="G1934" s="222" t="s">
        <v>2942</v>
      </c>
    </row>
    <row r="1935" spans="1:7">
      <c r="A1935" s="220" t="s">
        <v>710</v>
      </c>
      <c r="B1935" s="221">
        <v>0</v>
      </c>
      <c r="C1935" s="221">
        <v>150</v>
      </c>
      <c r="D1935" s="221">
        <v>25.25</v>
      </c>
      <c r="E1935" s="221">
        <v>38.016123209728214</v>
      </c>
      <c r="F1935" s="221">
        <v>6.8597259502259522</v>
      </c>
      <c r="G1935" s="222" t="s">
        <v>2942</v>
      </c>
    </row>
    <row r="1936" spans="1:7">
      <c r="A1936" s="220" t="s">
        <v>711</v>
      </c>
      <c r="B1936" s="221">
        <v>0</v>
      </c>
      <c r="C1936" s="221">
        <v>150</v>
      </c>
      <c r="D1936" s="221">
        <v>25.25</v>
      </c>
      <c r="E1936" s="221">
        <v>38.016123209728214</v>
      </c>
      <c r="F1936" s="221">
        <v>6.8597259502259522</v>
      </c>
      <c r="G1936" s="222" t="s">
        <v>2942</v>
      </c>
    </row>
    <row r="1937" spans="1:7">
      <c r="A1937" s="220" t="s">
        <v>712</v>
      </c>
      <c r="B1937" s="221">
        <v>0</v>
      </c>
      <c r="C1937" s="221">
        <v>155</v>
      </c>
      <c r="D1937" s="221">
        <v>25.25</v>
      </c>
      <c r="E1937" s="221">
        <v>38.016123209728214</v>
      </c>
      <c r="F1937" s="221">
        <v>6.8597259502259522</v>
      </c>
      <c r="G1937" s="222" t="s">
        <v>2942</v>
      </c>
    </row>
    <row r="1938" spans="1:7">
      <c r="A1938" s="220" t="s">
        <v>713</v>
      </c>
      <c r="B1938" s="221">
        <v>0</v>
      </c>
      <c r="C1938" s="221">
        <v>215</v>
      </c>
      <c r="D1938" s="221">
        <v>25.25</v>
      </c>
      <c r="E1938" s="221">
        <v>38.016123209728214</v>
      </c>
      <c r="F1938" s="221">
        <v>6.8597259502259522</v>
      </c>
      <c r="G1938" s="222" t="s">
        <v>2942</v>
      </c>
    </row>
    <row r="1939" spans="1:7">
      <c r="A1939" s="220" t="s">
        <v>714</v>
      </c>
      <c r="B1939" s="221">
        <v>0</v>
      </c>
      <c r="C1939" s="221">
        <v>240</v>
      </c>
      <c r="D1939" s="221">
        <v>25.25</v>
      </c>
      <c r="E1939" s="221">
        <v>38.016123209728214</v>
      </c>
      <c r="F1939" s="221">
        <v>6.8597259502259522</v>
      </c>
      <c r="G1939" s="222" t="s">
        <v>2942</v>
      </c>
    </row>
    <row r="1940" spans="1:7">
      <c r="A1940" s="220" t="s">
        <v>715</v>
      </c>
      <c r="B1940" s="221">
        <v>0</v>
      </c>
      <c r="C1940" s="221">
        <v>340</v>
      </c>
      <c r="D1940" s="221">
        <v>25.25</v>
      </c>
      <c r="E1940" s="221">
        <v>42.924723209728214</v>
      </c>
      <c r="F1940" s="221">
        <v>6.8597259502259522</v>
      </c>
      <c r="G1940" s="222" t="s">
        <v>2942</v>
      </c>
    </row>
    <row r="1941" spans="1:7">
      <c r="A1941" s="220" t="s">
        <v>716</v>
      </c>
      <c r="B1941" s="221">
        <v>0</v>
      </c>
      <c r="C1941" s="221">
        <v>395</v>
      </c>
      <c r="D1941" s="221">
        <v>25.25</v>
      </c>
      <c r="E1941" s="221">
        <v>51.923823209728212</v>
      </c>
      <c r="F1941" s="221">
        <v>6.8597259502259522</v>
      </c>
      <c r="G1941" s="222" t="s">
        <v>2942</v>
      </c>
    </row>
    <row r="1942" spans="1:7">
      <c r="A1942" s="220" t="s">
        <v>717</v>
      </c>
      <c r="B1942" s="221">
        <v>0</v>
      </c>
      <c r="C1942" s="221">
        <v>525</v>
      </c>
      <c r="D1942" s="221">
        <v>25.25</v>
      </c>
      <c r="E1942" s="221">
        <v>56.014323209728211</v>
      </c>
      <c r="F1942" s="221">
        <v>6.8597259502259522</v>
      </c>
      <c r="G1942" s="222" t="s">
        <v>2942</v>
      </c>
    </row>
    <row r="1943" spans="1:7">
      <c r="A1943" s="220" t="s">
        <v>718</v>
      </c>
      <c r="B1943" s="221">
        <v>0</v>
      </c>
      <c r="C1943" s="221">
        <v>785</v>
      </c>
      <c r="D1943" s="221">
        <v>25.25</v>
      </c>
      <c r="E1943" s="221">
        <v>72.376323209728213</v>
      </c>
      <c r="F1943" s="221">
        <v>6.8597259502259522</v>
      </c>
      <c r="G1943" s="222" t="s">
        <v>2942</v>
      </c>
    </row>
    <row r="1944" spans="1:7">
      <c r="A1944" s="220" t="s">
        <v>719</v>
      </c>
      <c r="B1944" s="221">
        <v>0</v>
      </c>
      <c r="C1944" s="221">
        <v>920</v>
      </c>
      <c r="D1944" s="221">
        <v>25.25</v>
      </c>
      <c r="E1944" s="221">
        <v>88.738323209728208</v>
      </c>
      <c r="F1944" s="221">
        <v>6.8597259502259522</v>
      </c>
      <c r="G1944" s="222" t="s">
        <v>2942</v>
      </c>
    </row>
    <row r="1945" spans="1:7">
      <c r="A1945" s="220" t="s">
        <v>720</v>
      </c>
      <c r="B1945" s="221">
        <v>0</v>
      </c>
      <c r="C1945" s="221">
        <v>1005</v>
      </c>
      <c r="D1945" s="221">
        <v>25.25</v>
      </c>
      <c r="E1945" s="221">
        <v>96.919323209728205</v>
      </c>
      <c r="F1945" s="221">
        <v>6.8597259502259522</v>
      </c>
      <c r="G1945" s="222" t="s">
        <v>2942</v>
      </c>
    </row>
    <row r="1946" spans="1:7">
      <c r="A1946" s="220" t="s">
        <v>721</v>
      </c>
      <c r="B1946" s="221">
        <v>0</v>
      </c>
      <c r="C1946" s="221">
        <v>1230</v>
      </c>
      <c r="D1946" s="221">
        <v>25.25</v>
      </c>
      <c r="E1946" s="221">
        <v>137.82432320972822</v>
      </c>
      <c r="F1946" s="221">
        <v>6.8597259502259522</v>
      </c>
      <c r="G1946" s="222" t="s">
        <v>2942</v>
      </c>
    </row>
    <row r="1947" spans="1:7">
      <c r="A1947" s="220" t="s">
        <v>722</v>
      </c>
      <c r="B1947" s="221">
        <v>0</v>
      </c>
      <c r="C1947" s="221">
        <v>1330</v>
      </c>
      <c r="D1947" s="221">
        <v>25.25</v>
      </c>
      <c r="E1947" s="221">
        <v>158.27682320972821</v>
      </c>
      <c r="F1947" s="221">
        <v>6.8597259502259522</v>
      </c>
      <c r="G1947" s="222" t="s">
        <v>2942</v>
      </c>
    </row>
    <row r="1948" spans="1:7">
      <c r="A1948" s="220" t="s">
        <v>723</v>
      </c>
      <c r="B1948" s="221">
        <v>0</v>
      </c>
      <c r="C1948" s="221">
        <v>1530</v>
      </c>
      <c r="D1948" s="221">
        <v>25.25</v>
      </c>
      <c r="E1948" s="221">
        <v>195.09132320972822</v>
      </c>
      <c r="F1948" s="221">
        <v>6.8597259502259522</v>
      </c>
      <c r="G1948" s="222" t="s">
        <v>2942</v>
      </c>
    </row>
    <row r="1949" spans="1:7">
      <c r="A1949" s="220" t="s">
        <v>724</v>
      </c>
      <c r="B1949" s="221">
        <v>0</v>
      </c>
      <c r="C1949" s="221">
        <v>1680</v>
      </c>
      <c r="D1949" s="221">
        <v>25.25</v>
      </c>
      <c r="E1949" s="221">
        <v>219.63432320972822</v>
      </c>
      <c r="F1949" s="221">
        <v>6.8597259502259522</v>
      </c>
      <c r="G1949" s="222" t="s">
        <v>2942</v>
      </c>
    </row>
    <row r="1950" spans="1:7">
      <c r="A1950" s="220" t="s">
        <v>725</v>
      </c>
      <c r="B1950" s="221">
        <v>0</v>
      </c>
      <c r="C1950" s="221">
        <v>1775</v>
      </c>
      <c r="D1950" s="221">
        <v>25.25</v>
      </c>
      <c r="E1950" s="221">
        <v>240.08682320972821</v>
      </c>
      <c r="F1950" s="221">
        <v>6.8597259502259522</v>
      </c>
      <c r="G1950" s="222" t="s">
        <v>2942</v>
      </c>
    </row>
    <row r="1951" spans="1:7">
      <c r="A1951" s="220" t="s">
        <v>726</v>
      </c>
      <c r="B1951" s="221">
        <v>0</v>
      </c>
      <c r="C1951" s="221">
        <v>95</v>
      </c>
      <c r="D1951" s="221">
        <v>25.25</v>
      </c>
      <c r="E1951" s="221">
        <v>23.081260701974507</v>
      </c>
      <c r="F1951" s="221">
        <v>4.2227333682915926</v>
      </c>
      <c r="G1951" s="222" t="s">
        <v>2942</v>
      </c>
    </row>
    <row r="1952" spans="1:7">
      <c r="A1952" s="220" t="s">
        <v>727</v>
      </c>
      <c r="B1952" s="221">
        <v>0</v>
      </c>
      <c r="C1952" s="221">
        <v>95</v>
      </c>
      <c r="D1952" s="221">
        <v>25.25</v>
      </c>
      <c r="E1952" s="221">
        <v>26.353660701974508</v>
      </c>
      <c r="F1952" s="221">
        <v>4.2227333682915926</v>
      </c>
      <c r="G1952" s="222" t="s">
        <v>2942</v>
      </c>
    </row>
    <row r="1953" spans="1:7">
      <c r="A1953" s="220" t="s">
        <v>728</v>
      </c>
      <c r="B1953" s="221">
        <v>0</v>
      </c>
      <c r="C1953" s="221">
        <v>100</v>
      </c>
      <c r="D1953" s="221">
        <v>25.25</v>
      </c>
      <c r="E1953" s="221">
        <v>40.26136070197451</v>
      </c>
      <c r="F1953" s="221">
        <v>4.2227333682915926</v>
      </c>
      <c r="G1953" s="222" t="s">
        <v>2942</v>
      </c>
    </row>
    <row r="1954" spans="1:7">
      <c r="A1954" s="220" t="s">
        <v>729</v>
      </c>
      <c r="B1954" s="221">
        <v>0</v>
      </c>
      <c r="C1954" s="221">
        <v>130</v>
      </c>
      <c r="D1954" s="221">
        <v>25.25</v>
      </c>
      <c r="E1954" s="221">
        <v>58.259560701974507</v>
      </c>
      <c r="F1954" s="221">
        <v>4.2227333682915926</v>
      </c>
      <c r="G1954" s="222" t="s">
        <v>2942</v>
      </c>
    </row>
    <row r="1955" spans="1:7">
      <c r="A1955" s="220" t="s">
        <v>730</v>
      </c>
      <c r="B1955" s="221">
        <v>0</v>
      </c>
      <c r="C1955" s="221">
        <v>130</v>
      </c>
      <c r="D1955" s="221">
        <v>25.25</v>
      </c>
      <c r="E1955" s="221">
        <v>63.168160701974507</v>
      </c>
      <c r="F1955" s="221">
        <v>4.2227333682915926</v>
      </c>
      <c r="G1955" s="222" t="s">
        <v>2942</v>
      </c>
    </row>
    <row r="1956" spans="1:7">
      <c r="A1956" s="220" t="s">
        <v>731</v>
      </c>
      <c r="B1956" s="221">
        <v>0</v>
      </c>
      <c r="C1956" s="221">
        <v>145</v>
      </c>
      <c r="D1956" s="221">
        <v>25.25</v>
      </c>
      <c r="E1956" s="221">
        <v>68.076760701974507</v>
      </c>
      <c r="F1956" s="221">
        <v>4.2227333682915926</v>
      </c>
      <c r="G1956" s="222" t="s">
        <v>2942</v>
      </c>
    </row>
    <row r="1957" spans="1:7">
      <c r="A1957" s="220" t="s">
        <v>732</v>
      </c>
      <c r="B1957" s="221">
        <v>0</v>
      </c>
      <c r="C1957" s="221">
        <v>155</v>
      </c>
      <c r="D1957" s="221">
        <v>25.25</v>
      </c>
      <c r="E1957" s="221">
        <v>72.167260701974513</v>
      </c>
      <c r="F1957" s="221">
        <v>4.2227333682915926</v>
      </c>
      <c r="G1957" s="222" t="s">
        <v>2942</v>
      </c>
    </row>
    <row r="1958" spans="1:7">
      <c r="A1958" s="220" t="s">
        <v>733</v>
      </c>
      <c r="B1958" s="221">
        <v>0</v>
      </c>
      <c r="C1958" s="221">
        <v>170</v>
      </c>
      <c r="D1958" s="221">
        <v>25.25</v>
      </c>
      <c r="E1958" s="221">
        <v>77.075860701974506</v>
      </c>
      <c r="F1958" s="221">
        <v>4.2227333682915926</v>
      </c>
      <c r="G1958" s="222" t="s">
        <v>2942</v>
      </c>
    </row>
    <row r="1959" spans="1:7">
      <c r="A1959" s="220" t="s">
        <v>734</v>
      </c>
      <c r="B1959" s="221">
        <v>0</v>
      </c>
      <c r="C1959" s="221">
        <v>210</v>
      </c>
      <c r="D1959" s="221">
        <v>25.25</v>
      </c>
      <c r="E1959" s="221">
        <v>102.43696070197451</v>
      </c>
      <c r="F1959" s="221">
        <v>4.2227333682915926</v>
      </c>
      <c r="G1959" s="222" t="s">
        <v>2942</v>
      </c>
    </row>
    <row r="1960" spans="1:7">
      <c r="A1960" s="220" t="s">
        <v>735</v>
      </c>
      <c r="B1960" s="221">
        <v>0</v>
      </c>
      <c r="C1960" s="221">
        <v>220</v>
      </c>
      <c r="D1960" s="221">
        <v>25.25</v>
      </c>
      <c r="E1960" s="221">
        <v>110.61796070197451</v>
      </c>
      <c r="F1960" s="221">
        <v>4.2227333682915926</v>
      </c>
      <c r="G1960" s="222" t="s">
        <v>2942</v>
      </c>
    </row>
    <row r="1961" spans="1:7">
      <c r="A1961" s="220" t="s">
        <v>736</v>
      </c>
      <c r="B1961" s="221">
        <v>0</v>
      </c>
      <c r="C1961" s="221">
        <v>260</v>
      </c>
      <c r="D1961" s="221">
        <v>25.25</v>
      </c>
      <c r="E1961" s="221">
        <v>135.16096070197449</v>
      </c>
      <c r="F1961" s="221">
        <v>4.2227333682915926</v>
      </c>
      <c r="G1961" s="222" t="s">
        <v>2942</v>
      </c>
    </row>
    <row r="1962" spans="1:7">
      <c r="A1962" s="220" t="s">
        <v>737</v>
      </c>
      <c r="B1962" s="221">
        <v>0</v>
      </c>
      <c r="C1962" s="221">
        <v>325</v>
      </c>
      <c r="D1962" s="221">
        <v>25.25</v>
      </c>
      <c r="E1962" s="221">
        <v>159.70396070197449</v>
      </c>
      <c r="F1962" s="221">
        <v>4.2227333682915926</v>
      </c>
      <c r="G1962" s="222" t="s">
        <v>2942</v>
      </c>
    </row>
    <row r="1963" spans="1:7">
      <c r="A1963" s="220" t="s">
        <v>738</v>
      </c>
      <c r="B1963" s="221">
        <v>0</v>
      </c>
      <c r="C1963" s="221">
        <v>375</v>
      </c>
      <c r="D1963" s="221">
        <v>25.25</v>
      </c>
      <c r="E1963" s="221">
        <v>188.33746070197449</v>
      </c>
      <c r="F1963" s="221">
        <v>4.2227333682915926</v>
      </c>
      <c r="G1963" s="222" t="s">
        <v>2942</v>
      </c>
    </row>
    <row r="1964" spans="1:7">
      <c r="A1964" s="220" t="s">
        <v>739</v>
      </c>
      <c r="B1964" s="221">
        <v>0</v>
      </c>
      <c r="C1964" s="221">
        <v>420</v>
      </c>
      <c r="D1964" s="221">
        <v>25.25</v>
      </c>
      <c r="E1964" s="221">
        <v>208.78996070197451</v>
      </c>
      <c r="F1964" s="221">
        <v>4.2227333682915926</v>
      </c>
      <c r="G1964" s="222" t="s">
        <v>2942</v>
      </c>
    </row>
    <row r="1965" spans="1:7">
      <c r="A1965" s="220" t="s">
        <v>740</v>
      </c>
      <c r="B1965" s="221">
        <v>0</v>
      </c>
      <c r="C1965" s="221">
        <v>445</v>
      </c>
      <c r="D1965" s="221">
        <v>25.25</v>
      </c>
      <c r="E1965" s="221">
        <v>249.69496070197451</v>
      </c>
      <c r="F1965" s="221">
        <v>4.2227333682915926</v>
      </c>
      <c r="G1965" s="222" t="s">
        <v>2942</v>
      </c>
    </row>
    <row r="1966" spans="1:7">
      <c r="A1966" s="220" t="s">
        <v>741</v>
      </c>
      <c r="B1966" s="221">
        <v>0</v>
      </c>
      <c r="C1966" s="221">
        <v>510</v>
      </c>
      <c r="D1966" s="221">
        <v>25.25</v>
      </c>
      <c r="E1966" s="221">
        <v>290.59996070197451</v>
      </c>
      <c r="F1966" s="221">
        <v>4.2227333682915926</v>
      </c>
      <c r="G1966" s="222" t="s">
        <v>2942</v>
      </c>
    </row>
    <row r="1967" spans="1:7">
      <c r="A1967" s="220" t="s">
        <v>742</v>
      </c>
      <c r="B1967" s="221">
        <v>0</v>
      </c>
      <c r="C1967" s="221">
        <v>610</v>
      </c>
      <c r="D1967" s="221">
        <v>25.25</v>
      </c>
      <c r="E1967" s="221">
        <v>351.95746070197453</v>
      </c>
      <c r="F1967" s="221">
        <v>4.2227333682915926</v>
      </c>
      <c r="G1967" s="222" t="s">
        <v>2942</v>
      </c>
    </row>
    <row r="1968" spans="1:7">
      <c r="A1968" s="220" t="s">
        <v>743</v>
      </c>
      <c r="B1968" s="221">
        <v>0</v>
      </c>
      <c r="C1968" s="221">
        <v>695</v>
      </c>
      <c r="D1968" s="221">
        <v>25.25</v>
      </c>
      <c r="E1968" s="221">
        <v>392.8624607019745</v>
      </c>
      <c r="F1968" s="221">
        <v>4.2227333682915926</v>
      </c>
      <c r="G1968" s="222" t="s">
        <v>2942</v>
      </c>
    </row>
    <row r="1969" spans="1:7">
      <c r="A1969" s="220" t="s">
        <v>744</v>
      </c>
      <c r="B1969" s="221">
        <v>0</v>
      </c>
      <c r="C1969" s="221">
        <v>755</v>
      </c>
      <c r="D1969" s="221">
        <v>25.25</v>
      </c>
      <c r="E1969" s="221">
        <v>433.76746070197453</v>
      </c>
      <c r="F1969" s="221">
        <v>4.2227333682915926</v>
      </c>
      <c r="G1969" s="222" t="s">
        <v>2942</v>
      </c>
    </row>
    <row r="1970" spans="1:7">
      <c r="A1970" s="220" t="s">
        <v>745</v>
      </c>
      <c r="B1970" s="221">
        <v>0</v>
      </c>
      <c r="C1970" s="221">
        <v>140</v>
      </c>
      <c r="D1970" s="221">
        <v>25.25</v>
      </c>
      <c r="E1970" s="221">
        <v>23.081260701974507</v>
      </c>
      <c r="F1970" s="221">
        <v>4.2227333682915926</v>
      </c>
      <c r="G1970" s="222" t="s">
        <v>2942</v>
      </c>
    </row>
    <row r="1971" spans="1:7">
      <c r="A1971" s="220" t="s">
        <v>746</v>
      </c>
      <c r="B1971" s="221">
        <v>0</v>
      </c>
      <c r="C1971" s="221">
        <v>140</v>
      </c>
      <c r="D1971" s="221">
        <v>25.25</v>
      </c>
      <c r="E1971" s="221">
        <v>26.353660701974508</v>
      </c>
      <c r="F1971" s="221">
        <v>4.2227333682915926</v>
      </c>
      <c r="G1971" s="222" t="s">
        <v>2942</v>
      </c>
    </row>
    <row r="1972" spans="1:7">
      <c r="A1972" s="220" t="s">
        <v>747</v>
      </c>
      <c r="B1972" s="221">
        <v>0</v>
      </c>
      <c r="C1972" s="221">
        <v>170</v>
      </c>
      <c r="D1972" s="221">
        <v>25.25</v>
      </c>
      <c r="E1972" s="221">
        <v>40.26136070197451</v>
      </c>
      <c r="F1972" s="221">
        <v>4.2227333682915926</v>
      </c>
      <c r="G1972" s="222" t="s">
        <v>2942</v>
      </c>
    </row>
    <row r="1973" spans="1:7">
      <c r="A1973" s="220" t="s">
        <v>748</v>
      </c>
      <c r="B1973" s="221">
        <v>0</v>
      </c>
      <c r="C1973" s="221">
        <v>250</v>
      </c>
      <c r="D1973" s="221">
        <v>25.25</v>
      </c>
      <c r="E1973" s="221">
        <v>58.259560701974507</v>
      </c>
      <c r="F1973" s="221">
        <v>4.2227333682915926</v>
      </c>
      <c r="G1973" s="222" t="s">
        <v>2942</v>
      </c>
    </row>
    <row r="1974" spans="1:7">
      <c r="A1974" s="220" t="s">
        <v>749</v>
      </c>
      <c r="B1974" s="221">
        <v>0</v>
      </c>
      <c r="C1974" s="221">
        <v>250</v>
      </c>
      <c r="D1974" s="221">
        <v>25.25</v>
      </c>
      <c r="E1974" s="221">
        <v>63.168160701974507</v>
      </c>
      <c r="F1974" s="221">
        <v>4.2227333682915926</v>
      </c>
      <c r="G1974" s="222" t="s">
        <v>2942</v>
      </c>
    </row>
    <row r="1975" spans="1:7">
      <c r="A1975" s="220" t="s">
        <v>750</v>
      </c>
      <c r="B1975" s="221">
        <v>0</v>
      </c>
      <c r="C1975" s="221">
        <v>345</v>
      </c>
      <c r="D1975" s="221">
        <v>25.25</v>
      </c>
      <c r="E1975" s="221">
        <v>68.076760701974507</v>
      </c>
      <c r="F1975" s="221">
        <v>4.2227333682915926</v>
      </c>
      <c r="G1975" s="222" t="s">
        <v>2942</v>
      </c>
    </row>
    <row r="1976" spans="1:7">
      <c r="A1976" s="220" t="s">
        <v>751</v>
      </c>
      <c r="B1976" s="221">
        <v>0</v>
      </c>
      <c r="C1976" s="221">
        <v>405</v>
      </c>
      <c r="D1976" s="221">
        <v>25.25</v>
      </c>
      <c r="E1976" s="221">
        <v>72.167260701974513</v>
      </c>
      <c r="F1976" s="221">
        <v>4.2227333682915926</v>
      </c>
      <c r="G1976" s="222" t="s">
        <v>2942</v>
      </c>
    </row>
    <row r="1977" spans="1:7">
      <c r="A1977" s="220" t="s">
        <v>752</v>
      </c>
      <c r="B1977" s="221">
        <v>0</v>
      </c>
      <c r="C1977" s="221">
        <v>440</v>
      </c>
      <c r="D1977" s="221">
        <v>25.25</v>
      </c>
      <c r="E1977" s="221">
        <v>77.075860701974506</v>
      </c>
      <c r="F1977" s="221">
        <v>4.2227333682915926</v>
      </c>
      <c r="G1977" s="222" t="s">
        <v>2942</v>
      </c>
    </row>
    <row r="1978" spans="1:7">
      <c r="A1978" s="220" t="s">
        <v>753</v>
      </c>
      <c r="B1978" s="221">
        <v>0</v>
      </c>
      <c r="C1978" s="221">
        <v>475</v>
      </c>
      <c r="D1978" s="221">
        <v>25.25</v>
      </c>
      <c r="E1978" s="221">
        <v>102.43696070197451</v>
      </c>
      <c r="F1978" s="221">
        <v>4.2227333682915926</v>
      </c>
      <c r="G1978" s="222" t="s">
        <v>2942</v>
      </c>
    </row>
    <row r="1979" spans="1:7">
      <c r="A1979" s="220" t="s">
        <v>754</v>
      </c>
      <c r="B1979" s="221">
        <v>0</v>
      </c>
      <c r="C1979" s="221">
        <v>535</v>
      </c>
      <c r="D1979" s="221">
        <v>25.25</v>
      </c>
      <c r="E1979" s="221">
        <v>110.61796070197451</v>
      </c>
      <c r="F1979" s="221">
        <v>4.2227333682915926</v>
      </c>
      <c r="G1979" s="222" t="s">
        <v>2942</v>
      </c>
    </row>
    <row r="1980" spans="1:7">
      <c r="A1980" s="220" t="s">
        <v>755</v>
      </c>
      <c r="B1980" s="221">
        <v>0</v>
      </c>
      <c r="C1980" s="221">
        <v>610</v>
      </c>
      <c r="D1980" s="221">
        <v>25.25</v>
      </c>
      <c r="E1980" s="221">
        <v>135.16096070197449</v>
      </c>
      <c r="F1980" s="221">
        <v>4.2227333682915926</v>
      </c>
      <c r="G1980" s="222" t="s">
        <v>2942</v>
      </c>
    </row>
    <row r="1981" spans="1:7">
      <c r="A1981" s="220" t="s">
        <v>756</v>
      </c>
      <c r="B1981" s="221">
        <v>0</v>
      </c>
      <c r="C1981" s="221">
        <v>780</v>
      </c>
      <c r="D1981" s="221">
        <v>25.25</v>
      </c>
      <c r="E1981" s="221">
        <v>159.70396070197449</v>
      </c>
      <c r="F1981" s="221">
        <v>4.2227333682915926</v>
      </c>
      <c r="G1981" s="222" t="s">
        <v>2942</v>
      </c>
    </row>
    <row r="1982" spans="1:7">
      <c r="A1982" s="220" t="s">
        <v>757</v>
      </c>
      <c r="B1982" s="221">
        <v>0</v>
      </c>
      <c r="C1982" s="221">
        <v>820</v>
      </c>
      <c r="D1982" s="221">
        <v>25.25</v>
      </c>
      <c r="E1982" s="221">
        <v>188.33746070197449</v>
      </c>
      <c r="F1982" s="221">
        <v>4.2227333682915926</v>
      </c>
      <c r="G1982" s="222" t="s">
        <v>2942</v>
      </c>
    </row>
    <row r="1983" spans="1:7">
      <c r="A1983" s="220" t="s">
        <v>758</v>
      </c>
      <c r="B1983" s="221">
        <v>0</v>
      </c>
      <c r="C1983" s="221">
        <v>845</v>
      </c>
      <c r="D1983" s="221">
        <v>25.25</v>
      </c>
      <c r="E1983" s="221">
        <v>208.78996070197451</v>
      </c>
      <c r="F1983" s="221">
        <v>4.2227333682915926</v>
      </c>
      <c r="G1983" s="222" t="s">
        <v>2942</v>
      </c>
    </row>
    <row r="1984" spans="1:7">
      <c r="A1984" s="220" t="s">
        <v>759</v>
      </c>
      <c r="B1984" s="221">
        <v>0</v>
      </c>
      <c r="C1984" s="221">
        <v>1040</v>
      </c>
      <c r="D1984" s="221">
        <v>25.25</v>
      </c>
      <c r="E1984" s="221">
        <v>249.69496070197451</v>
      </c>
      <c r="F1984" s="221">
        <v>4.2227333682915926</v>
      </c>
      <c r="G1984" s="222" t="s">
        <v>2942</v>
      </c>
    </row>
    <row r="1985" spans="1:7">
      <c r="A1985" s="220" t="s">
        <v>760</v>
      </c>
      <c r="B1985" s="221">
        <v>0</v>
      </c>
      <c r="C1985" s="221">
        <v>1165</v>
      </c>
      <c r="D1985" s="221">
        <v>25.25</v>
      </c>
      <c r="E1985" s="221">
        <v>290.59996070197451</v>
      </c>
      <c r="F1985" s="221">
        <v>4.2227333682915926</v>
      </c>
      <c r="G1985" s="222" t="s">
        <v>2942</v>
      </c>
    </row>
    <row r="1986" spans="1:7">
      <c r="A1986" s="220" t="s">
        <v>761</v>
      </c>
      <c r="B1986" s="221">
        <v>0</v>
      </c>
      <c r="C1986" s="221">
        <v>1250</v>
      </c>
      <c r="D1986" s="221">
        <v>25.25</v>
      </c>
      <c r="E1986" s="221">
        <v>351.95746070197453</v>
      </c>
      <c r="F1986" s="221">
        <v>4.2227333682915926</v>
      </c>
      <c r="G1986" s="222" t="s">
        <v>2942</v>
      </c>
    </row>
    <row r="1987" spans="1:7">
      <c r="A1987" s="220" t="s">
        <v>762</v>
      </c>
      <c r="B1987" s="221">
        <v>0</v>
      </c>
      <c r="C1987" s="221">
        <v>1360</v>
      </c>
      <c r="D1987" s="221">
        <v>25.25</v>
      </c>
      <c r="E1987" s="221">
        <v>392.8624607019745</v>
      </c>
      <c r="F1987" s="221">
        <v>4.2227333682915926</v>
      </c>
      <c r="G1987" s="222" t="s">
        <v>2942</v>
      </c>
    </row>
    <row r="1988" spans="1:7">
      <c r="A1988" s="220" t="s">
        <v>763</v>
      </c>
      <c r="B1988" s="221">
        <v>0</v>
      </c>
      <c r="C1988" s="221">
        <v>1405</v>
      </c>
      <c r="D1988" s="221">
        <v>25.25</v>
      </c>
      <c r="E1988" s="221">
        <v>433.76746070197453</v>
      </c>
      <c r="F1988" s="221">
        <v>4.2227333682915926</v>
      </c>
      <c r="G1988" s="222" t="s">
        <v>2942</v>
      </c>
    </row>
    <row r="1989" spans="1:7">
      <c r="A1989" s="220" t="s">
        <v>764</v>
      </c>
      <c r="B1989" s="221">
        <v>0</v>
      </c>
      <c r="C1989" s="221">
        <v>179</v>
      </c>
      <c r="D1989" s="221">
        <v>25.25</v>
      </c>
      <c r="E1989" s="221">
        <v>25.744623209728214</v>
      </c>
      <c r="F1989" s="221">
        <v>6.8597259502259522</v>
      </c>
      <c r="G1989" s="222" t="s">
        <v>2942</v>
      </c>
    </row>
    <row r="1990" spans="1:7">
      <c r="A1990" s="220" t="s">
        <v>765</v>
      </c>
      <c r="B1990" s="221">
        <v>0</v>
      </c>
      <c r="C1990" s="221">
        <v>179</v>
      </c>
      <c r="D1990" s="221">
        <v>25.25</v>
      </c>
      <c r="E1990" s="221">
        <v>29.017023209728215</v>
      </c>
      <c r="F1990" s="221">
        <v>6.8597259502259522</v>
      </c>
      <c r="G1990" s="222" t="s">
        <v>2942</v>
      </c>
    </row>
    <row r="1991" spans="1:7">
      <c r="A1991" s="220" t="s">
        <v>766</v>
      </c>
      <c r="B1991" s="221">
        <v>0</v>
      </c>
      <c r="C1991" s="221">
        <v>189</v>
      </c>
      <c r="D1991" s="221">
        <v>25.25</v>
      </c>
      <c r="E1991" s="221">
        <v>42.924723209728214</v>
      </c>
      <c r="F1991" s="221">
        <v>6.8597259502259522</v>
      </c>
      <c r="G1991" s="222" t="s">
        <v>2942</v>
      </c>
    </row>
    <row r="1992" spans="1:7">
      <c r="A1992" s="220" t="s">
        <v>767</v>
      </c>
      <c r="B1992" s="221">
        <v>0</v>
      </c>
      <c r="C1992" s="221">
        <v>385</v>
      </c>
      <c r="D1992" s="221">
        <v>25.25</v>
      </c>
      <c r="E1992" s="221">
        <v>60.922923209728211</v>
      </c>
      <c r="F1992" s="221">
        <v>6.8597259502259522</v>
      </c>
      <c r="G1992" s="222" t="s">
        <v>2942</v>
      </c>
    </row>
    <row r="1993" spans="1:7">
      <c r="A1993" s="220" t="s">
        <v>768</v>
      </c>
      <c r="B1993" s="221">
        <v>0</v>
      </c>
      <c r="C1993" s="221">
        <v>385</v>
      </c>
      <c r="D1993" s="221">
        <v>25.25</v>
      </c>
      <c r="E1993" s="221">
        <v>65.831523209728218</v>
      </c>
      <c r="F1993" s="221">
        <v>6.8597259502259522</v>
      </c>
      <c r="G1993" s="222" t="s">
        <v>2942</v>
      </c>
    </row>
    <row r="1994" spans="1:7">
      <c r="A1994" s="220" t="s">
        <v>769</v>
      </c>
      <c r="B1994" s="221">
        <v>0</v>
      </c>
      <c r="C1994" s="221">
        <v>545</v>
      </c>
      <c r="D1994" s="221">
        <v>25.25</v>
      </c>
      <c r="E1994" s="221">
        <v>70.74012320972821</v>
      </c>
      <c r="F1994" s="221">
        <v>6.8597259502259522</v>
      </c>
      <c r="G1994" s="222" t="s">
        <v>2942</v>
      </c>
    </row>
    <row r="1995" spans="1:7">
      <c r="A1995" s="220" t="s">
        <v>770</v>
      </c>
      <c r="B1995" s="221">
        <v>0</v>
      </c>
      <c r="C1995" s="221">
        <v>655</v>
      </c>
      <c r="D1995" s="221">
        <v>25.25</v>
      </c>
      <c r="E1995" s="221">
        <v>74.830623209728216</v>
      </c>
      <c r="F1995" s="221">
        <v>6.8597259502259522</v>
      </c>
      <c r="G1995" s="222" t="s">
        <v>2942</v>
      </c>
    </row>
    <row r="1996" spans="1:7">
      <c r="A1996" s="220" t="s">
        <v>771</v>
      </c>
      <c r="B1996" s="221">
        <v>0</v>
      </c>
      <c r="C1996" s="221">
        <v>715</v>
      </c>
      <c r="D1996" s="221">
        <v>25.25</v>
      </c>
      <c r="E1996" s="221">
        <v>79.739223209728209</v>
      </c>
      <c r="F1996" s="221">
        <v>6.8597259502259522</v>
      </c>
      <c r="G1996" s="222" t="s">
        <v>2942</v>
      </c>
    </row>
    <row r="1997" spans="1:7">
      <c r="A1997" s="220" t="s">
        <v>772</v>
      </c>
      <c r="B1997" s="221">
        <v>0</v>
      </c>
      <c r="C1997" s="221">
        <v>790</v>
      </c>
      <c r="D1997" s="221">
        <v>25.25</v>
      </c>
      <c r="E1997" s="221">
        <v>105.10032320972822</v>
      </c>
      <c r="F1997" s="221">
        <v>6.8597259502259522</v>
      </c>
      <c r="G1997" s="222" t="s">
        <v>2942</v>
      </c>
    </row>
    <row r="1998" spans="1:7">
      <c r="A1998" s="220" t="s">
        <v>773</v>
      </c>
      <c r="B1998" s="221">
        <v>0</v>
      </c>
      <c r="C1998" s="221">
        <v>865</v>
      </c>
      <c r="D1998" s="221">
        <v>25.25</v>
      </c>
      <c r="E1998" s="221">
        <v>113.28132320972821</v>
      </c>
      <c r="F1998" s="221">
        <v>6.8597259502259522</v>
      </c>
      <c r="G1998" s="222" t="s">
        <v>2942</v>
      </c>
    </row>
    <row r="1999" spans="1:7">
      <c r="A1999" s="220" t="s">
        <v>774</v>
      </c>
      <c r="B1999" s="221">
        <v>0</v>
      </c>
      <c r="C1999" s="221">
        <v>970</v>
      </c>
      <c r="D1999" s="221">
        <v>25.25</v>
      </c>
      <c r="E1999" s="221">
        <v>137.82432320972822</v>
      </c>
      <c r="F1999" s="221">
        <v>6.8597259502259522</v>
      </c>
      <c r="G1999" s="222" t="s">
        <v>2942</v>
      </c>
    </row>
    <row r="2000" spans="1:7">
      <c r="A2000" s="220" t="s">
        <v>775</v>
      </c>
      <c r="B2000" s="221">
        <v>0</v>
      </c>
      <c r="C2000" s="221">
        <v>1155</v>
      </c>
      <c r="D2000" s="221">
        <v>25.25</v>
      </c>
      <c r="E2000" s="221">
        <v>162.36732320972823</v>
      </c>
      <c r="F2000" s="221">
        <v>6.8597259502259522</v>
      </c>
      <c r="G2000" s="222" t="s">
        <v>2942</v>
      </c>
    </row>
    <row r="2001" spans="1:7">
      <c r="A2001" s="220" t="s">
        <v>776</v>
      </c>
      <c r="B2001" s="221">
        <v>0</v>
      </c>
      <c r="C2001" s="221">
        <v>1230</v>
      </c>
      <c r="D2001" s="221">
        <v>25.25</v>
      </c>
      <c r="E2001" s="221">
        <v>191.00082320972822</v>
      </c>
      <c r="F2001" s="221">
        <v>6.8597259502259522</v>
      </c>
      <c r="G2001" s="222" t="s">
        <v>2942</v>
      </c>
    </row>
    <row r="2002" spans="1:7">
      <c r="A2002" s="220" t="s">
        <v>777</v>
      </c>
      <c r="B2002" s="221">
        <v>0</v>
      </c>
      <c r="C2002" s="221">
        <v>1280</v>
      </c>
      <c r="D2002" s="221">
        <v>25.25</v>
      </c>
      <c r="E2002" s="221">
        <v>211.45332320972821</v>
      </c>
      <c r="F2002" s="221">
        <v>6.8597259502259522</v>
      </c>
      <c r="G2002" s="222" t="s">
        <v>2942</v>
      </c>
    </row>
    <row r="2003" spans="1:7">
      <c r="A2003" s="220" t="s">
        <v>778</v>
      </c>
      <c r="B2003" s="221">
        <v>0</v>
      </c>
      <c r="C2003" s="221">
        <v>1560</v>
      </c>
      <c r="D2003" s="221">
        <v>25.25</v>
      </c>
      <c r="E2003" s="221">
        <v>252.35832320972821</v>
      </c>
      <c r="F2003" s="221">
        <v>6.8597259502259522</v>
      </c>
      <c r="G2003" s="222" t="s">
        <v>2942</v>
      </c>
    </row>
    <row r="2004" spans="1:7">
      <c r="A2004" s="220" t="s">
        <v>779</v>
      </c>
      <c r="B2004" s="221">
        <v>0</v>
      </c>
      <c r="C2004" s="221">
        <v>1640</v>
      </c>
      <c r="D2004" s="221">
        <v>25.25</v>
      </c>
      <c r="E2004" s="221">
        <v>293.26332320972818</v>
      </c>
      <c r="F2004" s="221">
        <v>6.8597259502259522</v>
      </c>
      <c r="G2004" s="222" t="s">
        <v>2942</v>
      </c>
    </row>
    <row r="2005" spans="1:7">
      <c r="A2005" s="220" t="s">
        <v>780</v>
      </c>
      <c r="B2005" s="221">
        <v>0</v>
      </c>
      <c r="C2005" s="221">
        <v>1880</v>
      </c>
      <c r="D2005" s="221">
        <v>25.25</v>
      </c>
      <c r="E2005" s="221">
        <v>354.6208232097282</v>
      </c>
      <c r="F2005" s="221">
        <v>6.8597259502259522</v>
      </c>
      <c r="G2005" s="222" t="s">
        <v>2942</v>
      </c>
    </row>
    <row r="2006" spans="1:7">
      <c r="A2006" s="220" t="s">
        <v>781</v>
      </c>
      <c r="B2006" s="221">
        <v>0</v>
      </c>
      <c r="C2006" s="221">
        <v>2025</v>
      </c>
      <c r="D2006" s="221">
        <v>25.25</v>
      </c>
      <c r="E2006" s="221">
        <v>395.52582320972817</v>
      </c>
      <c r="F2006" s="221">
        <v>6.8597259502259522</v>
      </c>
      <c r="G2006" s="222" t="s">
        <v>2942</v>
      </c>
    </row>
    <row r="2007" spans="1:7">
      <c r="A2007" s="220" t="s">
        <v>782</v>
      </c>
      <c r="B2007" s="221">
        <v>0</v>
      </c>
      <c r="C2007" s="221">
        <v>2145</v>
      </c>
      <c r="D2007" s="221">
        <v>25.25</v>
      </c>
      <c r="E2007" s="221">
        <v>436.4308232097282</v>
      </c>
      <c r="F2007" s="221">
        <v>6.8597259502259522</v>
      </c>
      <c r="G2007" s="222" t="s">
        <v>2942</v>
      </c>
    </row>
    <row r="2008" spans="1:7">
      <c r="A2008" s="220" t="s">
        <v>1011</v>
      </c>
      <c r="B2008" s="221">
        <v>0</v>
      </c>
      <c r="C2008" s="221">
        <v>70</v>
      </c>
      <c r="D2008" s="221">
        <v>25.25</v>
      </c>
      <c r="E2008" s="221">
        <v>27.989860701974511</v>
      </c>
      <c r="F2008" s="221">
        <v>4.2227333682915926</v>
      </c>
      <c r="G2008" s="222" t="s">
        <v>2942</v>
      </c>
    </row>
    <row r="2009" spans="1:7">
      <c r="A2009" s="220" t="s">
        <v>1012</v>
      </c>
      <c r="B2009" s="221">
        <v>0</v>
      </c>
      <c r="C2009" s="221">
        <v>70</v>
      </c>
      <c r="D2009" s="221">
        <v>25.25</v>
      </c>
      <c r="E2009" s="221">
        <v>31.262260701974505</v>
      </c>
      <c r="F2009" s="221">
        <v>4.2227333682915926</v>
      </c>
      <c r="G2009" s="222" t="s">
        <v>2942</v>
      </c>
    </row>
    <row r="2010" spans="1:7">
      <c r="A2010" s="220" t="s">
        <v>1013</v>
      </c>
      <c r="B2010" s="221">
        <v>0</v>
      </c>
      <c r="C2010" s="221">
        <v>80</v>
      </c>
      <c r="D2010" s="221">
        <v>25.25</v>
      </c>
      <c r="E2010" s="221">
        <v>35.35276070197451</v>
      </c>
      <c r="F2010" s="221">
        <v>4.2227333682915926</v>
      </c>
      <c r="G2010" s="222" t="s">
        <v>2942</v>
      </c>
    </row>
    <row r="2011" spans="1:7">
      <c r="A2011" s="220" t="s">
        <v>1014</v>
      </c>
      <c r="B2011" s="221">
        <v>0</v>
      </c>
      <c r="C2011" s="221">
        <v>90</v>
      </c>
      <c r="D2011" s="221">
        <v>25.25</v>
      </c>
      <c r="E2011" s="221">
        <v>35.35276070197451</v>
      </c>
      <c r="F2011" s="221">
        <v>4.2227333682915926</v>
      </c>
      <c r="G2011" s="222" t="s">
        <v>2942</v>
      </c>
    </row>
    <row r="2012" spans="1:7">
      <c r="A2012" s="220" t="s">
        <v>1015</v>
      </c>
      <c r="B2012" s="221">
        <v>0</v>
      </c>
      <c r="C2012" s="221">
        <v>90</v>
      </c>
      <c r="D2012" s="221">
        <v>25.25</v>
      </c>
      <c r="E2012" s="221">
        <v>35.35276070197451</v>
      </c>
      <c r="F2012" s="221">
        <v>4.2227333682915926</v>
      </c>
      <c r="G2012" s="222" t="s">
        <v>2942</v>
      </c>
    </row>
    <row r="2013" spans="1:7">
      <c r="A2013" s="220" t="s">
        <v>1016</v>
      </c>
      <c r="B2013" s="221">
        <v>0</v>
      </c>
      <c r="C2013" s="221">
        <v>95</v>
      </c>
      <c r="D2013" s="221">
        <v>25.25</v>
      </c>
      <c r="E2013" s="221">
        <v>35.35276070197451</v>
      </c>
      <c r="F2013" s="221">
        <v>4.2227333682915926</v>
      </c>
      <c r="G2013" s="222" t="s">
        <v>2942</v>
      </c>
    </row>
    <row r="2014" spans="1:7">
      <c r="A2014" s="220" t="s">
        <v>1017</v>
      </c>
      <c r="B2014" s="221">
        <v>0</v>
      </c>
      <c r="C2014" s="221">
        <v>100</v>
      </c>
      <c r="D2014" s="221">
        <v>25.25</v>
      </c>
      <c r="E2014" s="221">
        <v>35.35276070197451</v>
      </c>
      <c r="F2014" s="221">
        <v>4.2227333682915926</v>
      </c>
      <c r="G2014" s="222" t="s">
        <v>2942</v>
      </c>
    </row>
    <row r="2015" spans="1:7">
      <c r="A2015" s="220" t="s">
        <v>1018</v>
      </c>
      <c r="B2015" s="221">
        <v>0</v>
      </c>
      <c r="C2015" s="221">
        <v>115</v>
      </c>
      <c r="D2015" s="221">
        <v>25.25</v>
      </c>
      <c r="E2015" s="221">
        <v>35.35276070197451</v>
      </c>
      <c r="F2015" s="221">
        <v>4.2227333682915926</v>
      </c>
      <c r="G2015" s="222" t="s">
        <v>2942</v>
      </c>
    </row>
    <row r="2016" spans="1:7">
      <c r="A2016" s="220" t="s">
        <v>1019</v>
      </c>
      <c r="B2016" s="221">
        <v>0</v>
      </c>
      <c r="C2016" s="221">
        <v>120</v>
      </c>
      <c r="D2016" s="221">
        <v>25.25</v>
      </c>
      <c r="E2016" s="221">
        <v>40.26136070197451</v>
      </c>
      <c r="F2016" s="221">
        <v>4.2227333682915926</v>
      </c>
      <c r="G2016" s="222" t="s">
        <v>2942</v>
      </c>
    </row>
    <row r="2017" spans="1:7">
      <c r="A2017" s="220" t="s">
        <v>1020</v>
      </c>
      <c r="B2017" s="221">
        <v>0</v>
      </c>
      <c r="C2017" s="221">
        <v>130</v>
      </c>
      <c r="D2017" s="221">
        <v>25.25</v>
      </c>
      <c r="E2017" s="221">
        <v>49.260460701974516</v>
      </c>
      <c r="F2017" s="221">
        <v>4.2227333682915926</v>
      </c>
      <c r="G2017" s="222" t="s">
        <v>2942</v>
      </c>
    </row>
    <row r="2018" spans="1:7">
      <c r="A2018" s="220" t="s">
        <v>1021</v>
      </c>
      <c r="B2018" s="221">
        <v>0</v>
      </c>
      <c r="C2018" s="221">
        <v>145</v>
      </c>
      <c r="D2018" s="221">
        <v>25.25</v>
      </c>
      <c r="E2018" s="221">
        <v>53.350960701974508</v>
      </c>
      <c r="F2018" s="221">
        <v>4.2227333682915926</v>
      </c>
      <c r="G2018" s="222" t="s">
        <v>2942</v>
      </c>
    </row>
    <row r="2019" spans="1:7">
      <c r="A2019" s="220" t="s">
        <v>1022</v>
      </c>
      <c r="B2019" s="221">
        <v>0</v>
      </c>
      <c r="C2019" s="221">
        <v>175</v>
      </c>
      <c r="D2019" s="221">
        <v>25.25</v>
      </c>
      <c r="E2019" s="221">
        <v>69.712960701974509</v>
      </c>
      <c r="F2019" s="221">
        <v>4.2227333682915926</v>
      </c>
      <c r="G2019" s="222" t="s">
        <v>2942</v>
      </c>
    </row>
    <row r="2020" spans="1:7">
      <c r="A2020" s="220" t="s">
        <v>1023</v>
      </c>
      <c r="B2020" s="221">
        <v>0</v>
      </c>
      <c r="C2020" s="221">
        <v>210</v>
      </c>
      <c r="D2020" s="221">
        <v>25.25</v>
      </c>
      <c r="E2020" s="221">
        <v>86.074960701974504</v>
      </c>
      <c r="F2020" s="221">
        <v>4.2227333682915926</v>
      </c>
      <c r="G2020" s="222" t="s">
        <v>2942</v>
      </c>
    </row>
    <row r="2021" spans="1:7">
      <c r="A2021" s="220" t="s">
        <v>1024</v>
      </c>
      <c r="B2021" s="221">
        <v>0</v>
      </c>
      <c r="C2021" s="221">
        <v>230</v>
      </c>
      <c r="D2021" s="221">
        <v>25.25</v>
      </c>
      <c r="E2021" s="221">
        <v>94.255960701974502</v>
      </c>
      <c r="F2021" s="221">
        <v>4.2227333682915926</v>
      </c>
      <c r="G2021" s="222" t="s">
        <v>2942</v>
      </c>
    </row>
    <row r="2022" spans="1:7">
      <c r="A2022" s="220" t="s">
        <v>1025</v>
      </c>
      <c r="B2022" s="221">
        <v>0</v>
      </c>
      <c r="C2022" s="221">
        <v>285</v>
      </c>
      <c r="D2022" s="221">
        <v>25.25</v>
      </c>
      <c r="E2022" s="221">
        <v>135.16096070197449</v>
      </c>
      <c r="F2022" s="221">
        <v>4.2227333682915926</v>
      </c>
      <c r="G2022" s="222" t="s">
        <v>2942</v>
      </c>
    </row>
    <row r="2023" spans="1:7">
      <c r="A2023" s="220" t="s">
        <v>1026</v>
      </c>
      <c r="B2023" s="221">
        <v>0</v>
      </c>
      <c r="C2023" s="221">
        <v>300</v>
      </c>
      <c r="D2023" s="221">
        <v>25.25</v>
      </c>
      <c r="E2023" s="221">
        <v>155.6134607019745</v>
      </c>
      <c r="F2023" s="221">
        <v>4.2227333682915926</v>
      </c>
      <c r="G2023" s="222" t="s">
        <v>2942</v>
      </c>
    </row>
    <row r="2024" spans="1:7">
      <c r="A2024" s="220" t="s">
        <v>1027</v>
      </c>
      <c r="B2024" s="221">
        <v>0</v>
      </c>
      <c r="C2024" s="221">
        <v>350</v>
      </c>
      <c r="D2024" s="221">
        <v>25.25</v>
      </c>
      <c r="E2024" s="221">
        <v>192.42796070197448</v>
      </c>
      <c r="F2024" s="221">
        <v>4.2227333682915926</v>
      </c>
      <c r="G2024" s="222" t="s">
        <v>2942</v>
      </c>
    </row>
    <row r="2025" spans="1:7">
      <c r="A2025" s="220" t="s">
        <v>1028</v>
      </c>
      <c r="B2025" s="221">
        <v>0</v>
      </c>
      <c r="C2025" s="221">
        <v>405</v>
      </c>
      <c r="D2025" s="221">
        <v>25.25</v>
      </c>
      <c r="E2025" s="221">
        <v>216.97096070197449</v>
      </c>
      <c r="F2025" s="221">
        <v>4.2227333682915926</v>
      </c>
      <c r="G2025" s="222" t="s">
        <v>2942</v>
      </c>
    </row>
    <row r="2026" spans="1:7">
      <c r="A2026" s="220" t="s">
        <v>1029</v>
      </c>
      <c r="B2026" s="221">
        <v>0</v>
      </c>
      <c r="C2026" s="221">
        <v>450</v>
      </c>
      <c r="D2026" s="221">
        <v>25.25</v>
      </c>
      <c r="E2026" s="221">
        <v>237.42346070197451</v>
      </c>
      <c r="F2026" s="221">
        <v>4.2227333682915926</v>
      </c>
      <c r="G2026" s="222" t="s">
        <v>2942</v>
      </c>
    </row>
    <row r="2027" spans="1:7">
      <c r="A2027" s="220" t="s">
        <v>1030</v>
      </c>
      <c r="B2027" s="221">
        <v>0</v>
      </c>
      <c r="C2027" s="221">
        <v>75</v>
      </c>
      <c r="D2027" s="221">
        <v>25.25</v>
      </c>
      <c r="E2027" s="221">
        <v>27.989860701974511</v>
      </c>
      <c r="F2027" s="221">
        <v>4.2227333682915926</v>
      </c>
      <c r="G2027" s="222" t="s">
        <v>2942</v>
      </c>
    </row>
    <row r="2028" spans="1:7">
      <c r="A2028" s="220" t="s">
        <v>1031</v>
      </c>
      <c r="B2028" s="221">
        <v>0</v>
      </c>
      <c r="C2028" s="221">
        <v>75</v>
      </c>
      <c r="D2028" s="221">
        <v>25.25</v>
      </c>
      <c r="E2028" s="221">
        <v>31.262260701974505</v>
      </c>
      <c r="F2028" s="221">
        <v>4.2227333682915926</v>
      </c>
      <c r="G2028" s="222" t="s">
        <v>2942</v>
      </c>
    </row>
    <row r="2029" spans="1:7">
      <c r="A2029" s="220" t="s">
        <v>1032</v>
      </c>
      <c r="B2029" s="221">
        <v>0</v>
      </c>
      <c r="C2029" s="221">
        <v>85</v>
      </c>
      <c r="D2029" s="221">
        <v>25.25</v>
      </c>
      <c r="E2029" s="221">
        <v>35.35276070197451</v>
      </c>
      <c r="F2029" s="221">
        <v>4.2227333682915926</v>
      </c>
      <c r="G2029" s="222" t="s">
        <v>2942</v>
      </c>
    </row>
    <row r="2030" spans="1:7">
      <c r="A2030" s="220" t="s">
        <v>1033</v>
      </c>
      <c r="B2030" s="221">
        <v>0</v>
      </c>
      <c r="C2030" s="221">
        <v>120</v>
      </c>
      <c r="D2030" s="221">
        <v>25.25</v>
      </c>
      <c r="E2030" s="221">
        <v>35.35276070197451</v>
      </c>
      <c r="F2030" s="221">
        <v>4.2227333682915926</v>
      </c>
      <c r="G2030" s="222" t="s">
        <v>2942</v>
      </c>
    </row>
    <row r="2031" spans="1:7">
      <c r="A2031" s="220" t="s">
        <v>1034</v>
      </c>
      <c r="B2031" s="221">
        <v>0</v>
      </c>
      <c r="C2031" s="221">
        <v>120</v>
      </c>
      <c r="D2031" s="221">
        <v>25.25</v>
      </c>
      <c r="E2031" s="221">
        <v>35.35276070197451</v>
      </c>
      <c r="F2031" s="221">
        <v>4.2227333682915926</v>
      </c>
      <c r="G2031" s="222" t="s">
        <v>2942</v>
      </c>
    </row>
    <row r="2032" spans="1:7">
      <c r="A2032" s="220" t="s">
        <v>1035</v>
      </c>
      <c r="B2032" s="221">
        <v>0</v>
      </c>
      <c r="C2032" s="221">
        <v>125</v>
      </c>
      <c r="D2032" s="221">
        <v>25.25</v>
      </c>
      <c r="E2032" s="221">
        <v>35.35276070197451</v>
      </c>
      <c r="F2032" s="221">
        <v>4.2227333682915926</v>
      </c>
      <c r="G2032" s="222" t="s">
        <v>2942</v>
      </c>
    </row>
    <row r="2033" spans="1:7">
      <c r="A2033" s="220" t="s">
        <v>1036</v>
      </c>
      <c r="B2033" s="221">
        <v>0</v>
      </c>
      <c r="C2033" s="221">
        <v>145</v>
      </c>
      <c r="D2033" s="221">
        <v>25.25</v>
      </c>
      <c r="E2033" s="221">
        <v>35.35276070197451</v>
      </c>
      <c r="F2033" s="221">
        <v>4.2227333682915926</v>
      </c>
      <c r="G2033" s="222" t="s">
        <v>2942</v>
      </c>
    </row>
    <row r="2034" spans="1:7">
      <c r="A2034" s="220" t="s">
        <v>1037</v>
      </c>
      <c r="B2034" s="221">
        <v>0</v>
      </c>
      <c r="C2034" s="221">
        <v>150</v>
      </c>
      <c r="D2034" s="221">
        <v>25.25</v>
      </c>
      <c r="E2034" s="221">
        <v>35.35276070197451</v>
      </c>
      <c r="F2034" s="221">
        <v>4.2227333682915926</v>
      </c>
      <c r="G2034" s="222" t="s">
        <v>2942</v>
      </c>
    </row>
    <row r="2035" spans="1:7">
      <c r="A2035" s="220" t="s">
        <v>1038</v>
      </c>
      <c r="B2035" s="221">
        <v>0</v>
      </c>
      <c r="C2035" s="221">
        <v>225</v>
      </c>
      <c r="D2035" s="221">
        <v>25.25</v>
      </c>
      <c r="E2035" s="221">
        <v>40.26136070197451</v>
      </c>
      <c r="F2035" s="221">
        <v>4.2227333682915926</v>
      </c>
      <c r="G2035" s="222" t="s">
        <v>2942</v>
      </c>
    </row>
    <row r="2036" spans="1:7">
      <c r="A2036" s="220" t="s">
        <v>1039</v>
      </c>
      <c r="B2036" s="221">
        <v>0</v>
      </c>
      <c r="C2036" s="221">
        <v>260</v>
      </c>
      <c r="D2036" s="221">
        <v>25.25</v>
      </c>
      <c r="E2036" s="221">
        <v>49.260460701974516</v>
      </c>
      <c r="F2036" s="221">
        <v>4.2227333682915926</v>
      </c>
      <c r="G2036" s="222" t="s">
        <v>2942</v>
      </c>
    </row>
    <row r="2037" spans="1:7">
      <c r="A2037" s="220" t="s">
        <v>1040</v>
      </c>
      <c r="B2037" s="221">
        <v>0</v>
      </c>
      <c r="C2037" s="221">
        <v>345</v>
      </c>
      <c r="D2037" s="221">
        <v>25.25</v>
      </c>
      <c r="E2037" s="221">
        <v>53.350960701974508</v>
      </c>
      <c r="F2037" s="221">
        <v>4.2227333682915926</v>
      </c>
      <c r="G2037" s="222" t="s">
        <v>2942</v>
      </c>
    </row>
    <row r="2038" spans="1:7">
      <c r="A2038" s="220" t="s">
        <v>1041</v>
      </c>
      <c r="B2038" s="221">
        <v>0</v>
      </c>
      <c r="C2038" s="221">
        <v>520</v>
      </c>
      <c r="D2038" s="221">
        <v>25.25</v>
      </c>
      <c r="E2038" s="221">
        <v>69.712960701974509</v>
      </c>
      <c r="F2038" s="221">
        <v>4.2227333682915926</v>
      </c>
      <c r="G2038" s="222" t="s">
        <v>2942</v>
      </c>
    </row>
    <row r="2039" spans="1:7">
      <c r="A2039" s="220" t="s">
        <v>1042</v>
      </c>
      <c r="B2039" s="221">
        <v>0</v>
      </c>
      <c r="C2039" s="221">
        <v>610</v>
      </c>
      <c r="D2039" s="221">
        <v>25.25</v>
      </c>
      <c r="E2039" s="221">
        <v>86.074960701974504</v>
      </c>
      <c r="F2039" s="221">
        <v>4.2227333682915926</v>
      </c>
      <c r="G2039" s="222" t="s">
        <v>2942</v>
      </c>
    </row>
    <row r="2040" spans="1:7">
      <c r="A2040" s="220" t="s">
        <v>1043</v>
      </c>
      <c r="B2040" s="221">
        <v>0</v>
      </c>
      <c r="C2040" s="221">
        <v>670</v>
      </c>
      <c r="D2040" s="221">
        <v>25.25</v>
      </c>
      <c r="E2040" s="221">
        <v>94.255960701974502</v>
      </c>
      <c r="F2040" s="221">
        <v>4.2227333682915926</v>
      </c>
      <c r="G2040" s="222" t="s">
        <v>2942</v>
      </c>
    </row>
    <row r="2041" spans="1:7">
      <c r="A2041" s="220" t="s">
        <v>1044</v>
      </c>
      <c r="B2041" s="221">
        <v>0</v>
      </c>
      <c r="C2041" s="221">
        <v>820</v>
      </c>
      <c r="D2041" s="221">
        <v>25.25</v>
      </c>
      <c r="E2041" s="221">
        <v>135.16096070197449</v>
      </c>
      <c r="F2041" s="221">
        <v>4.2227333682915926</v>
      </c>
      <c r="G2041" s="222" t="s">
        <v>2942</v>
      </c>
    </row>
    <row r="2042" spans="1:7">
      <c r="A2042" s="220" t="s">
        <v>1045</v>
      </c>
      <c r="B2042" s="221">
        <v>0</v>
      </c>
      <c r="C2042" s="221">
        <v>890</v>
      </c>
      <c r="D2042" s="221">
        <v>25.25</v>
      </c>
      <c r="E2042" s="221">
        <v>155.6134607019745</v>
      </c>
      <c r="F2042" s="221">
        <v>4.2227333682915926</v>
      </c>
      <c r="G2042" s="222" t="s">
        <v>2942</v>
      </c>
    </row>
    <row r="2043" spans="1:7">
      <c r="A2043" s="220" t="s">
        <v>1046</v>
      </c>
      <c r="B2043" s="221">
        <v>0</v>
      </c>
      <c r="C2043" s="221">
        <v>1020</v>
      </c>
      <c r="D2043" s="221">
        <v>25.25</v>
      </c>
      <c r="E2043" s="221">
        <v>192.42796070197448</v>
      </c>
      <c r="F2043" s="221">
        <v>4.2227333682915926</v>
      </c>
      <c r="G2043" s="222" t="s">
        <v>2942</v>
      </c>
    </row>
    <row r="2044" spans="1:7">
      <c r="A2044" s="220" t="s">
        <v>1047</v>
      </c>
      <c r="B2044" s="221">
        <v>0</v>
      </c>
      <c r="C2044" s="221">
        <v>1120</v>
      </c>
      <c r="D2044" s="221">
        <v>25.25</v>
      </c>
      <c r="E2044" s="221">
        <v>216.97096070197449</v>
      </c>
      <c r="F2044" s="221">
        <v>4.2227333682915926</v>
      </c>
      <c r="G2044" s="222" t="s">
        <v>2942</v>
      </c>
    </row>
    <row r="2045" spans="1:7">
      <c r="A2045" s="220" t="s">
        <v>1048</v>
      </c>
      <c r="B2045" s="221">
        <v>0</v>
      </c>
      <c r="C2045" s="221">
        <v>1185</v>
      </c>
      <c r="D2045" s="221">
        <v>25.25</v>
      </c>
      <c r="E2045" s="221">
        <v>237.42346070197451</v>
      </c>
      <c r="F2045" s="221">
        <v>4.2227333682915926</v>
      </c>
      <c r="G2045" s="222" t="s">
        <v>2942</v>
      </c>
    </row>
    <row r="2046" spans="1:7">
      <c r="A2046" s="220" t="s">
        <v>1049</v>
      </c>
      <c r="B2046" s="221">
        <v>0</v>
      </c>
      <c r="C2046" s="221">
        <v>80</v>
      </c>
      <c r="D2046" s="221">
        <v>25.25</v>
      </c>
      <c r="E2046" s="221">
        <v>30.65322320972821</v>
      </c>
      <c r="F2046" s="221">
        <v>6.8597259502259522</v>
      </c>
      <c r="G2046" s="222" t="s">
        <v>2942</v>
      </c>
    </row>
    <row r="2047" spans="1:7">
      <c r="A2047" s="220" t="s">
        <v>1050</v>
      </c>
      <c r="B2047" s="221">
        <v>0</v>
      </c>
      <c r="C2047" s="221">
        <v>80</v>
      </c>
      <c r="D2047" s="221">
        <v>25.25</v>
      </c>
      <c r="E2047" s="221">
        <v>33.925623209728208</v>
      </c>
      <c r="F2047" s="221">
        <v>6.8597259502259522</v>
      </c>
      <c r="G2047" s="222" t="s">
        <v>2942</v>
      </c>
    </row>
    <row r="2048" spans="1:7">
      <c r="A2048" s="220" t="s">
        <v>1051</v>
      </c>
      <c r="B2048" s="221">
        <v>0</v>
      </c>
      <c r="C2048" s="221">
        <v>90</v>
      </c>
      <c r="D2048" s="221">
        <v>25.25</v>
      </c>
      <c r="E2048" s="221">
        <v>38.016123209728214</v>
      </c>
      <c r="F2048" s="221">
        <v>6.8597259502259522</v>
      </c>
      <c r="G2048" s="222" t="s">
        <v>2942</v>
      </c>
    </row>
    <row r="2049" spans="1:7">
      <c r="A2049" s="220" t="s">
        <v>1052</v>
      </c>
      <c r="B2049" s="221">
        <v>0</v>
      </c>
      <c r="C2049" s="221">
        <v>150</v>
      </c>
      <c r="D2049" s="221">
        <v>25.25</v>
      </c>
      <c r="E2049" s="221">
        <v>38.016123209728214</v>
      </c>
      <c r="F2049" s="221">
        <v>6.8597259502259522</v>
      </c>
      <c r="G2049" s="222" t="s">
        <v>2942</v>
      </c>
    </row>
    <row r="2050" spans="1:7">
      <c r="A2050" s="220" t="s">
        <v>1053</v>
      </c>
      <c r="B2050" s="221">
        <v>0</v>
      </c>
      <c r="C2050" s="221">
        <v>150</v>
      </c>
      <c r="D2050" s="221">
        <v>25.25</v>
      </c>
      <c r="E2050" s="221">
        <v>38.016123209728214</v>
      </c>
      <c r="F2050" s="221">
        <v>6.8597259502259522</v>
      </c>
      <c r="G2050" s="222" t="s">
        <v>2942</v>
      </c>
    </row>
    <row r="2051" spans="1:7">
      <c r="A2051" s="220" t="s">
        <v>1054</v>
      </c>
      <c r="B2051" s="221">
        <v>0</v>
      </c>
      <c r="C2051" s="221">
        <v>155</v>
      </c>
      <c r="D2051" s="221">
        <v>25.25</v>
      </c>
      <c r="E2051" s="221">
        <v>38.016123209728214</v>
      </c>
      <c r="F2051" s="221">
        <v>6.8597259502259522</v>
      </c>
      <c r="G2051" s="222" t="s">
        <v>2942</v>
      </c>
    </row>
    <row r="2052" spans="1:7">
      <c r="A2052" s="220" t="s">
        <v>1055</v>
      </c>
      <c r="B2052" s="221">
        <v>0</v>
      </c>
      <c r="C2052" s="221">
        <v>215</v>
      </c>
      <c r="D2052" s="221">
        <v>25.25</v>
      </c>
      <c r="E2052" s="221">
        <v>38.016123209728214</v>
      </c>
      <c r="F2052" s="221">
        <v>6.8597259502259522</v>
      </c>
      <c r="G2052" s="222" t="s">
        <v>2942</v>
      </c>
    </row>
    <row r="2053" spans="1:7">
      <c r="A2053" s="220" t="s">
        <v>1056</v>
      </c>
      <c r="B2053" s="221">
        <v>0</v>
      </c>
      <c r="C2053" s="221">
        <v>240</v>
      </c>
      <c r="D2053" s="221">
        <v>25.25</v>
      </c>
      <c r="E2053" s="221">
        <v>38.016123209728214</v>
      </c>
      <c r="F2053" s="221">
        <v>6.8597259502259522</v>
      </c>
      <c r="G2053" s="222" t="s">
        <v>2942</v>
      </c>
    </row>
    <row r="2054" spans="1:7">
      <c r="A2054" s="220" t="s">
        <v>1057</v>
      </c>
      <c r="B2054" s="221">
        <v>0</v>
      </c>
      <c r="C2054" s="221">
        <v>340</v>
      </c>
      <c r="D2054" s="221">
        <v>25.25</v>
      </c>
      <c r="E2054" s="221">
        <v>42.924723209728214</v>
      </c>
      <c r="F2054" s="221">
        <v>6.8597259502259522</v>
      </c>
      <c r="G2054" s="222" t="s">
        <v>2942</v>
      </c>
    </row>
    <row r="2055" spans="1:7">
      <c r="A2055" s="220" t="s">
        <v>1058</v>
      </c>
      <c r="B2055" s="221">
        <v>0</v>
      </c>
      <c r="C2055" s="221">
        <v>395</v>
      </c>
      <c r="D2055" s="221">
        <v>25.25</v>
      </c>
      <c r="E2055" s="221">
        <v>51.923823209728212</v>
      </c>
      <c r="F2055" s="221">
        <v>6.8597259502259522</v>
      </c>
      <c r="G2055" s="222" t="s">
        <v>2942</v>
      </c>
    </row>
    <row r="2056" spans="1:7">
      <c r="A2056" s="220" t="s">
        <v>1059</v>
      </c>
      <c r="B2056" s="221">
        <v>0</v>
      </c>
      <c r="C2056" s="221">
        <v>525</v>
      </c>
      <c r="D2056" s="221">
        <v>25.25</v>
      </c>
      <c r="E2056" s="221">
        <v>56.014323209728211</v>
      </c>
      <c r="F2056" s="221">
        <v>6.8597259502259522</v>
      </c>
      <c r="G2056" s="222" t="s">
        <v>2942</v>
      </c>
    </row>
    <row r="2057" spans="1:7">
      <c r="A2057" s="220" t="s">
        <v>1060</v>
      </c>
      <c r="B2057" s="221">
        <v>0</v>
      </c>
      <c r="C2057" s="221">
        <v>785</v>
      </c>
      <c r="D2057" s="221">
        <v>25.25</v>
      </c>
      <c r="E2057" s="221">
        <v>72.376323209728213</v>
      </c>
      <c r="F2057" s="221">
        <v>6.8597259502259522</v>
      </c>
      <c r="G2057" s="222" t="s">
        <v>2942</v>
      </c>
    </row>
    <row r="2058" spans="1:7">
      <c r="A2058" s="220" t="s">
        <v>1061</v>
      </c>
      <c r="B2058" s="221">
        <v>0</v>
      </c>
      <c r="C2058" s="221">
        <v>920</v>
      </c>
      <c r="D2058" s="221">
        <v>25.25</v>
      </c>
      <c r="E2058" s="221">
        <v>88.738323209728208</v>
      </c>
      <c r="F2058" s="221">
        <v>6.8597259502259522</v>
      </c>
      <c r="G2058" s="222" t="s">
        <v>2942</v>
      </c>
    </row>
    <row r="2059" spans="1:7">
      <c r="A2059" s="220" t="s">
        <v>1062</v>
      </c>
      <c r="B2059" s="221">
        <v>0</v>
      </c>
      <c r="C2059" s="221">
        <v>1005</v>
      </c>
      <c r="D2059" s="221">
        <v>25.25</v>
      </c>
      <c r="E2059" s="221">
        <v>96.919323209728205</v>
      </c>
      <c r="F2059" s="221">
        <v>6.8597259502259522</v>
      </c>
      <c r="G2059" s="222" t="s">
        <v>2942</v>
      </c>
    </row>
    <row r="2060" spans="1:7">
      <c r="A2060" s="220" t="s">
        <v>1063</v>
      </c>
      <c r="B2060" s="221">
        <v>0</v>
      </c>
      <c r="C2060" s="221">
        <v>1230</v>
      </c>
      <c r="D2060" s="221">
        <v>25.25</v>
      </c>
      <c r="E2060" s="221">
        <v>137.82432320972822</v>
      </c>
      <c r="F2060" s="221">
        <v>6.8597259502259522</v>
      </c>
      <c r="G2060" s="222" t="s">
        <v>2942</v>
      </c>
    </row>
    <row r="2061" spans="1:7">
      <c r="A2061" s="220" t="s">
        <v>1064</v>
      </c>
      <c r="B2061" s="221">
        <v>0</v>
      </c>
      <c r="C2061" s="221">
        <v>1330</v>
      </c>
      <c r="D2061" s="221">
        <v>25.25</v>
      </c>
      <c r="E2061" s="221">
        <v>158.27682320972821</v>
      </c>
      <c r="F2061" s="221">
        <v>6.8597259502259522</v>
      </c>
      <c r="G2061" s="222" t="s">
        <v>2942</v>
      </c>
    </row>
    <row r="2062" spans="1:7">
      <c r="A2062" s="220" t="s">
        <v>1065</v>
      </c>
      <c r="B2062" s="221">
        <v>0</v>
      </c>
      <c r="C2062" s="221">
        <v>1530</v>
      </c>
      <c r="D2062" s="221">
        <v>25.25</v>
      </c>
      <c r="E2062" s="221">
        <v>195.09132320972822</v>
      </c>
      <c r="F2062" s="221">
        <v>6.8597259502259522</v>
      </c>
      <c r="G2062" s="222" t="s">
        <v>2942</v>
      </c>
    </row>
    <row r="2063" spans="1:7">
      <c r="A2063" s="220" t="s">
        <v>1066</v>
      </c>
      <c r="B2063" s="221">
        <v>0</v>
      </c>
      <c r="C2063" s="221">
        <v>1680</v>
      </c>
      <c r="D2063" s="221">
        <v>25.25</v>
      </c>
      <c r="E2063" s="221">
        <v>219.63432320972822</v>
      </c>
      <c r="F2063" s="221">
        <v>6.8597259502259522</v>
      </c>
      <c r="G2063" s="222" t="s">
        <v>2942</v>
      </c>
    </row>
    <row r="2064" spans="1:7">
      <c r="A2064" s="220" t="s">
        <v>1067</v>
      </c>
      <c r="B2064" s="221">
        <v>0</v>
      </c>
      <c r="C2064" s="221">
        <v>1775</v>
      </c>
      <c r="D2064" s="221">
        <v>25.25</v>
      </c>
      <c r="E2064" s="221">
        <v>240.08682320972821</v>
      </c>
      <c r="F2064" s="221">
        <v>6.8597259502259522</v>
      </c>
      <c r="G2064" s="222" t="s">
        <v>2942</v>
      </c>
    </row>
    <row r="2065" spans="1:7">
      <c r="A2065" s="229" t="s">
        <v>1068</v>
      </c>
      <c r="B2065" s="221">
        <v>0</v>
      </c>
      <c r="C2065" s="221">
        <v>95</v>
      </c>
      <c r="D2065" s="221">
        <v>25.25</v>
      </c>
      <c r="E2065" s="221">
        <v>23.081260701974507</v>
      </c>
      <c r="F2065" s="221">
        <v>4.2227333682915926</v>
      </c>
      <c r="G2065" s="222" t="s">
        <v>2942</v>
      </c>
    </row>
    <row r="2066" spans="1:7">
      <c r="A2066" s="220" t="s">
        <v>1069</v>
      </c>
      <c r="B2066" s="221">
        <v>0</v>
      </c>
      <c r="C2066" s="221">
        <v>95</v>
      </c>
      <c r="D2066" s="221">
        <v>25.25</v>
      </c>
      <c r="E2066" s="221">
        <v>26.353660701974508</v>
      </c>
      <c r="F2066" s="221">
        <v>4.2227333682915926</v>
      </c>
      <c r="G2066" s="222" t="s">
        <v>2942</v>
      </c>
    </row>
    <row r="2067" spans="1:7">
      <c r="A2067" s="220" t="s">
        <v>1070</v>
      </c>
      <c r="B2067" s="221">
        <v>0</v>
      </c>
      <c r="C2067" s="221">
        <v>100</v>
      </c>
      <c r="D2067" s="221">
        <v>25.25</v>
      </c>
      <c r="E2067" s="221">
        <v>40.26136070197451</v>
      </c>
      <c r="F2067" s="221">
        <v>4.2227333682915926</v>
      </c>
      <c r="G2067" s="222" t="s">
        <v>2942</v>
      </c>
    </row>
    <row r="2068" spans="1:7">
      <c r="A2068" s="220" t="s">
        <v>1071</v>
      </c>
      <c r="B2068" s="221">
        <v>0</v>
      </c>
      <c r="C2068" s="221">
        <v>130</v>
      </c>
      <c r="D2068" s="221">
        <v>25.25</v>
      </c>
      <c r="E2068" s="221">
        <v>58.259560701974507</v>
      </c>
      <c r="F2068" s="221">
        <v>4.2227333682915926</v>
      </c>
      <c r="G2068" s="222" t="s">
        <v>2942</v>
      </c>
    </row>
    <row r="2069" spans="1:7">
      <c r="A2069" s="220" t="s">
        <v>1072</v>
      </c>
      <c r="B2069" s="221">
        <v>0</v>
      </c>
      <c r="C2069" s="221">
        <v>130</v>
      </c>
      <c r="D2069" s="221">
        <v>25.25</v>
      </c>
      <c r="E2069" s="221">
        <v>63.168160701974507</v>
      </c>
      <c r="F2069" s="221">
        <v>4.2227333682915926</v>
      </c>
      <c r="G2069" s="222" t="s">
        <v>2942</v>
      </c>
    </row>
    <row r="2070" spans="1:7">
      <c r="A2070" s="220" t="s">
        <v>1073</v>
      </c>
      <c r="B2070" s="221">
        <v>0</v>
      </c>
      <c r="C2070" s="221">
        <v>145</v>
      </c>
      <c r="D2070" s="221">
        <v>25.25</v>
      </c>
      <c r="E2070" s="221">
        <v>68.076760701974507</v>
      </c>
      <c r="F2070" s="221">
        <v>4.2227333682915926</v>
      </c>
      <c r="G2070" s="222" t="s">
        <v>2942</v>
      </c>
    </row>
    <row r="2071" spans="1:7">
      <c r="A2071" s="220" t="s">
        <v>1074</v>
      </c>
      <c r="B2071" s="221">
        <v>0</v>
      </c>
      <c r="C2071" s="221">
        <v>155</v>
      </c>
      <c r="D2071" s="221">
        <v>25.25</v>
      </c>
      <c r="E2071" s="221">
        <v>72.167260701974513</v>
      </c>
      <c r="F2071" s="221">
        <v>4.2227333682915926</v>
      </c>
      <c r="G2071" s="222" t="s">
        <v>2942</v>
      </c>
    </row>
    <row r="2072" spans="1:7">
      <c r="A2072" s="220" t="s">
        <v>1075</v>
      </c>
      <c r="B2072" s="221">
        <v>0</v>
      </c>
      <c r="C2072" s="221">
        <v>170</v>
      </c>
      <c r="D2072" s="221">
        <v>25.25</v>
      </c>
      <c r="E2072" s="221">
        <v>77.075860701974506</v>
      </c>
      <c r="F2072" s="221">
        <v>4.2227333682915926</v>
      </c>
      <c r="G2072" s="222" t="s">
        <v>2942</v>
      </c>
    </row>
    <row r="2073" spans="1:7">
      <c r="A2073" s="220" t="s">
        <v>1076</v>
      </c>
      <c r="B2073" s="221">
        <v>0</v>
      </c>
      <c r="C2073" s="221">
        <v>210</v>
      </c>
      <c r="D2073" s="221">
        <v>25.25</v>
      </c>
      <c r="E2073" s="221">
        <v>102.43696070197451</v>
      </c>
      <c r="F2073" s="221">
        <v>4.2227333682915926</v>
      </c>
      <c r="G2073" s="222" t="s">
        <v>2942</v>
      </c>
    </row>
    <row r="2074" spans="1:7">
      <c r="A2074" s="220" t="s">
        <v>1077</v>
      </c>
      <c r="B2074" s="221">
        <v>0</v>
      </c>
      <c r="C2074" s="221">
        <v>220</v>
      </c>
      <c r="D2074" s="221">
        <v>25.25</v>
      </c>
      <c r="E2074" s="221">
        <v>110.61796070197451</v>
      </c>
      <c r="F2074" s="221">
        <v>4.2227333682915926</v>
      </c>
      <c r="G2074" s="222" t="s">
        <v>2942</v>
      </c>
    </row>
    <row r="2075" spans="1:7">
      <c r="A2075" s="220" t="s">
        <v>1078</v>
      </c>
      <c r="B2075" s="221">
        <v>0</v>
      </c>
      <c r="C2075" s="221">
        <v>260</v>
      </c>
      <c r="D2075" s="221">
        <v>25.25</v>
      </c>
      <c r="E2075" s="221">
        <v>135.16096070197449</v>
      </c>
      <c r="F2075" s="221">
        <v>4.2227333682915926</v>
      </c>
      <c r="G2075" s="222" t="s">
        <v>2942</v>
      </c>
    </row>
    <row r="2076" spans="1:7">
      <c r="A2076" s="220" t="s">
        <v>1079</v>
      </c>
      <c r="B2076" s="221">
        <v>0</v>
      </c>
      <c r="C2076" s="221">
        <v>325</v>
      </c>
      <c r="D2076" s="221">
        <v>25.25</v>
      </c>
      <c r="E2076" s="221">
        <v>159.70396070197449</v>
      </c>
      <c r="F2076" s="221">
        <v>4.2227333682915926</v>
      </c>
      <c r="G2076" s="222" t="s">
        <v>2942</v>
      </c>
    </row>
    <row r="2077" spans="1:7">
      <c r="A2077" s="220" t="s">
        <v>1080</v>
      </c>
      <c r="B2077" s="221">
        <v>0</v>
      </c>
      <c r="C2077" s="221">
        <v>375</v>
      </c>
      <c r="D2077" s="221">
        <v>25.25</v>
      </c>
      <c r="E2077" s="221">
        <v>188.33746070197449</v>
      </c>
      <c r="F2077" s="221">
        <v>4.2227333682915926</v>
      </c>
      <c r="G2077" s="222" t="s">
        <v>2942</v>
      </c>
    </row>
    <row r="2078" spans="1:7">
      <c r="A2078" s="220" t="s">
        <v>1081</v>
      </c>
      <c r="B2078" s="221">
        <v>0</v>
      </c>
      <c r="C2078" s="221">
        <v>420</v>
      </c>
      <c r="D2078" s="221">
        <v>25.25</v>
      </c>
      <c r="E2078" s="221">
        <v>208.78996070197451</v>
      </c>
      <c r="F2078" s="221">
        <v>4.2227333682915926</v>
      </c>
      <c r="G2078" s="222" t="s">
        <v>2942</v>
      </c>
    </row>
    <row r="2079" spans="1:7">
      <c r="A2079" s="220" t="s">
        <v>1082</v>
      </c>
      <c r="B2079" s="221">
        <v>0</v>
      </c>
      <c r="C2079" s="221">
        <v>445</v>
      </c>
      <c r="D2079" s="221">
        <v>25.25</v>
      </c>
      <c r="E2079" s="221">
        <v>249.69496070197451</v>
      </c>
      <c r="F2079" s="221">
        <v>4.2227333682915926</v>
      </c>
      <c r="G2079" s="222" t="s">
        <v>2942</v>
      </c>
    </row>
    <row r="2080" spans="1:7">
      <c r="A2080" s="220" t="s">
        <v>1083</v>
      </c>
      <c r="B2080" s="221">
        <v>0</v>
      </c>
      <c r="C2080" s="221">
        <v>510</v>
      </c>
      <c r="D2080" s="221">
        <v>25.25</v>
      </c>
      <c r="E2080" s="221">
        <v>290.59996070197451</v>
      </c>
      <c r="F2080" s="221">
        <v>4.2227333682915926</v>
      </c>
      <c r="G2080" s="222" t="s">
        <v>2942</v>
      </c>
    </row>
    <row r="2081" spans="1:7">
      <c r="A2081" s="220" t="s">
        <v>1084</v>
      </c>
      <c r="B2081" s="221">
        <v>0</v>
      </c>
      <c r="C2081" s="221">
        <v>610</v>
      </c>
      <c r="D2081" s="221">
        <v>25.25</v>
      </c>
      <c r="E2081" s="221">
        <v>351.95746070197453</v>
      </c>
      <c r="F2081" s="221">
        <v>4.2227333682915926</v>
      </c>
      <c r="G2081" s="222" t="s">
        <v>2942</v>
      </c>
    </row>
    <row r="2082" spans="1:7">
      <c r="A2082" s="220" t="s">
        <v>1085</v>
      </c>
      <c r="B2082" s="221">
        <v>0</v>
      </c>
      <c r="C2082" s="221">
        <v>695</v>
      </c>
      <c r="D2082" s="221">
        <v>25.25</v>
      </c>
      <c r="E2082" s="221">
        <v>392.8624607019745</v>
      </c>
      <c r="F2082" s="221">
        <v>4.2227333682915926</v>
      </c>
      <c r="G2082" s="222" t="s">
        <v>2942</v>
      </c>
    </row>
    <row r="2083" spans="1:7">
      <c r="A2083" s="220" t="s">
        <v>1086</v>
      </c>
      <c r="B2083" s="221">
        <v>0</v>
      </c>
      <c r="C2083" s="221">
        <v>755</v>
      </c>
      <c r="D2083" s="221">
        <v>25.25</v>
      </c>
      <c r="E2083" s="221">
        <v>433.76746070197453</v>
      </c>
      <c r="F2083" s="221">
        <v>4.2227333682915926</v>
      </c>
      <c r="G2083" s="222" t="s">
        <v>2942</v>
      </c>
    </row>
    <row r="2084" spans="1:7">
      <c r="A2084" s="220" t="s">
        <v>1087</v>
      </c>
      <c r="B2084" s="221">
        <v>0</v>
      </c>
      <c r="C2084" s="221">
        <v>140</v>
      </c>
      <c r="D2084" s="221">
        <v>25.25</v>
      </c>
      <c r="E2084" s="221">
        <v>23.081260701974507</v>
      </c>
      <c r="F2084" s="221">
        <v>4.2227333682915926</v>
      </c>
      <c r="G2084" s="222" t="s">
        <v>2942</v>
      </c>
    </row>
    <row r="2085" spans="1:7">
      <c r="A2085" s="220" t="s">
        <v>1088</v>
      </c>
      <c r="B2085" s="221">
        <v>0</v>
      </c>
      <c r="C2085" s="221">
        <v>140</v>
      </c>
      <c r="D2085" s="221">
        <v>25.25</v>
      </c>
      <c r="E2085" s="221">
        <v>26.353660701974508</v>
      </c>
      <c r="F2085" s="221">
        <v>4.2227333682915926</v>
      </c>
      <c r="G2085" s="222" t="s">
        <v>2942</v>
      </c>
    </row>
    <row r="2086" spans="1:7">
      <c r="A2086" s="220" t="s">
        <v>1089</v>
      </c>
      <c r="B2086" s="221">
        <v>0</v>
      </c>
      <c r="C2086" s="221">
        <v>170</v>
      </c>
      <c r="D2086" s="221">
        <v>25.25</v>
      </c>
      <c r="E2086" s="221">
        <v>40.26136070197451</v>
      </c>
      <c r="F2086" s="221">
        <v>4.2227333682915926</v>
      </c>
      <c r="G2086" s="222" t="s">
        <v>2942</v>
      </c>
    </row>
    <row r="2087" spans="1:7">
      <c r="A2087" s="220" t="s">
        <v>1090</v>
      </c>
      <c r="B2087" s="221">
        <v>0</v>
      </c>
      <c r="C2087" s="221">
        <v>250</v>
      </c>
      <c r="D2087" s="221">
        <v>25.25</v>
      </c>
      <c r="E2087" s="221">
        <v>58.259560701974507</v>
      </c>
      <c r="F2087" s="221">
        <v>4.2227333682915926</v>
      </c>
      <c r="G2087" s="222" t="s">
        <v>2942</v>
      </c>
    </row>
    <row r="2088" spans="1:7">
      <c r="A2088" s="220" t="s">
        <v>1091</v>
      </c>
      <c r="B2088" s="221">
        <v>0</v>
      </c>
      <c r="C2088" s="221">
        <v>250</v>
      </c>
      <c r="D2088" s="221">
        <v>25.25</v>
      </c>
      <c r="E2088" s="221">
        <v>63.168160701974507</v>
      </c>
      <c r="F2088" s="221">
        <v>4.2227333682915926</v>
      </c>
      <c r="G2088" s="222" t="s">
        <v>2942</v>
      </c>
    </row>
    <row r="2089" spans="1:7">
      <c r="A2089" s="220" t="s">
        <v>1092</v>
      </c>
      <c r="B2089" s="221">
        <v>0</v>
      </c>
      <c r="C2089" s="221">
        <v>345</v>
      </c>
      <c r="D2089" s="221">
        <v>25.25</v>
      </c>
      <c r="E2089" s="221">
        <v>68.076760701974507</v>
      </c>
      <c r="F2089" s="221">
        <v>4.2227333682915926</v>
      </c>
      <c r="G2089" s="222" t="s">
        <v>2942</v>
      </c>
    </row>
    <row r="2090" spans="1:7">
      <c r="A2090" s="220" t="s">
        <v>1093</v>
      </c>
      <c r="B2090" s="221">
        <v>0</v>
      </c>
      <c r="C2090" s="221">
        <v>405</v>
      </c>
      <c r="D2090" s="221">
        <v>25.25</v>
      </c>
      <c r="E2090" s="221">
        <v>72.167260701974513</v>
      </c>
      <c r="F2090" s="221">
        <v>4.2227333682915926</v>
      </c>
      <c r="G2090" s="222" t="s">
        <v>2942</v>
      </c>
    </row>
    <row r="2091" spans="1:7">
      <c r="A2091" s="220" t="s">
        <v>1094</v>
      </c>
      <c r="B2091" s="221">
        <v>0</v>
      </c>
      <c r="C2091" s="221">
        <v>440</v>
      </c>
      <c r="D2091" s="221">
        <v>25.25</v>
      </c>
      <c r="E2091" s="221">
        <v>77.075860701974506</v>
      </c>
      <c r="F2091" s="221">
        <v>4.2227333682915926</v>
      </c>
      <c r="G2091" s="222" t="s">
        <v>2942</v>
      </c>
    </row>
    <row r="2092" spans="1:7">
      <c r="A2092" s="220" t="s">
        <v>1095</v>
      </c>
      <c r="B2092" s="221">
        <v>0</v>
      </c>
      <c r="C2092" s="221">
        <v>475</v>
      </c>
      <c r="D2092" s="221">
        <v>25.25</v>
      </c>
      <c r="E2092" s="221">
        <v>102.43696070197451</v>
      </c>
      <c r="F2092" s="221">
        <v>4.2227333682915926</v>
      </c>
      <c r="G2092" s="222" t="s">
        <v>2942</v>
      </c>
    </row>
    <row r="2093" spans="1:7">
      <c r="A2093" s="220" t="s">
        <v>1096</v>
      </c>
      <c r="B2093" s="221">
        <v>0</v>
      </c>
      <c r="C2093" s="221">
        <v>535</v>
      </c>
      <c r="D2093" s="221">
        <v>25.25</v>
      </c>
      <c r="E2093" s="221">
        <v>110.61796070197451</v>
      </c>
      <c r="F2093" s="221">
        <v>4.2227333682915926</v>
      </c>
      <c r="G2093" s="222" t="s">
        <v>2942</v>
      </c>
    </row>
    <row r="2094" spans="1:7">
      <c r="A2094" s="220" t="s">
        <v>1097</v>
      </c>
      <c r="B2094" s="221">
        <v>0</v>
      </c>
      <c r="C2094" s="221">
        <v>610</v>
      </c>
      <c r="D2094" s="221">
        <v>25.25</v>
      </c>
      <c r="E2094" s="221">
        <v>135.16096070197449</v>
      </c>
      <c r="F2094" s="221">
        <v>4.2227333682915926</v>
      </c>
      <c r="G2094" s="222" t="s">
        <v>2942</v>
      </c>
    </row>
    <row r="2095" spans="1:7">
      <c r="A2095" s="220" t="s">
        <v>1098</v>
      </c>
      <c r="B2095" s="221">
        <v>0</v>
      </c>
      <c r="C2095" s="221">
        <v>780</v>
      </c>
      <c r="D2095" s="221">
        <v>25.25</v>
      </c>
      <c r="E2095" s="221">
        <v>159.70396070197449</v>
      </c>
      <c r="F2095" s="221">
        <v>4.2227333682915926</v>
      </c>
      <c r="G2095" s="222" t="s">
        <v>2942</v>
      </c>
    </row>
    <row r="2096" spans="1:7">
      <c r="A2096" s="220" t="s">
        <v>1099</v>
      </c>
      <c r="B2096" s="221">
        <v>0</v>
      </c>
      <c r="C2096" s="221">
        <v>820</v>
      </c>
      <c r="D2096" s="221">
        <v>25.25</v>
      </c>
      <c r="E2096" s="221">
        <v>188.33746070197449</v>
      </c>
      <c r="F2096" s="221">
        <v>4.2227333682915926</v>
      </c>
      <c r="G2096" s="222" t="s">
        <v>2942</v>
      </c>
    </row>
    <row r="2097" spans="1:7">
      <c r="A2097" s="220" t="s">
        <v>1100</v>
      </c>
      <c r="B2097" s="221">
        <v>0</v>
      </c>
      <c r="C2097" s="221">
        <v>845</v>
      </c>
      <c r="D2097" s="221">
        <v>25.25</v>
      </c>
      <c r="E2097" s="221">
        <v>208.78996070197451</v>
      </c>
      <c r="F2097" s="221">
        <v>4.2227333682915926</v>
      </c>
      <c r="G2097" s="222" t="s">
        <v>2942</v>
      </c>
    </row>
    <row r="2098" spans="1:7">
      <c r="A2098" s="220" t="s">
        <v>1101</v>
      </c>
      <c r="B2098" s="221">
        <v>0</v>
      </c>
      <c r="C2098" s="221">
        <v>1040</v>
      </c>
      <c r="D2098" s="221">
        <v>25.25</v>
      </c>
      <c r="E2098" s="221">
        <v>249.69496070197451</v>
      </c>
      <c r="F2098" s="221">
        <v>4.2227333682915926</v>
      </c>
      <c r="G2098" s="222" t="s">
        <v>2942</v>
      </c>
    </row>
    <row r="2099" spans="1:7">
      <c r="A2099" s="220" t="s">
        <v>1102</v>
      </c>
      <c r="B2099" s="221">
        <v>0</v>
      </c>
      <c r="C2099" s="221">
        <v>1165</v>
      </c>
      <c r="D2099" s="221">
        <v>25.25</v>
      </c>
      <c r="E2099" s="221">
        <v>290.59996070197451</v>
      </c>
      <c r="F2099" s="221">
        <v>4.2227333682915926</v>
      </c>
      <c r="G2099" s="222" t="s">
        <v>2942</v>
      </c>
    </row>
    <row r="2100" spans="1:7">
      <c r="A2100" s="220" t="s">
        <v>1103</v>
      </c>
      <c r="B2100" s="221">
        <v>0</v>
      </c>
      <c r="C2100" s="221">
        <v>1250</v>
      </c>
      <c r="D2100" s="221">
        <v>25.25</v>
      </c>
      <c r="E2100" s="221">
        <v>351.95746070197453</v>
      </c>
      <c r="F2100" s="221">
        <v>4.2227333682915926</v>
      </c>
      <c r="G2100" s="222" t="s">
        <v>2942</v>
      </c>
    </row>
    <row r="2101" spans="1:7">
      <c r="A2101" s="220" t="s">
        <v>1104</v>
      </c>
      <c r="B2101" s="221">
        <v>0</v>
      </c>
      <c r="C2101" s="221">
        <v>1360</v>
      </c>
      <c r="D2101" s="221">
        <v>25.25</v>
      </c>
      <c r="E2101" s="221">
        <v>392.8624607019745</v>
      </c>
      <c r="F2101" s="221">
        <v>4.2227333682915926</v>
      </c>
      <c r="G2101" s="222" t="s">
        <v>2942</v>
      </c>
    </row>
    <row r="2102" spans="1:7">
      <c r="A2102" s="220" t="s">
        <v>1105</v>
      </c>
      <c r="B2102" s="221">
        <v>0</v>
      </c>
      <c r="C2102" s="221">
        <v>1405</v>
      </c>
      <c r="D2102" s="221">
        <v>25.25</v>
      </c>
      <c r="E2102" s="221">
        <v>433.76746070197453</v>
      </c>
      <c r="F2102" s="221">
        <v>4.2227333682915926</v>
      </c>
      <c r="G2102" s="222" t="s">
        <v>2942</v>
      </c>
    </row>
    <row r="2103" spans="1:7">
      <c r="A2103" s="220" t="s">
        <v>1106</v>
      </c>
      <c r="B2103" s="221">
        <v>0</v>
      </c>
      <c r="C2103" s="221">
        <v>179</v>
      </c>
      <c r="D2103" s="221">
        <v>25.25</v>
      </c>
      <c r="E2103" s="221">
        <v>25.744623209728214</v>
      </c>
      <c r="F2103" s="221">
        <v>6.8597259502259522</v>
      </c>
      <c r="G2103" s="222" t="s">
        <v>2942</v>
      </c>
    </row>
    <row r="2104" spans="1:7">
      <c r="A2104" s="220" t="s">
        <v>1107</v>
      </c>
      <c r="B2104" s="221">
        <v>0</v>
      </c>
      <c r="C2104" s="221">
        <v>179</v>
      </c>
      <c r="D2104" s="221">
        <v>25.25</v>
      </c>
      <c r="E2104" s="221">
        <v>29.017023209728215</v>
      </c>
      <c r="F2104" s="221">
        <v>6.8597259502259522</v>
      </c>
      <c r="G2104" s="222" t="s">
        <v>2942</v>
      </c>
    </row>
    <row r="2105" spans="1:7">
      <c r="A2105" s="220" t="s">
        <v>1108</v>
      </c>
      <c r="B2105" s="221">
        <v>0</v>
      </c>
      <c r="C2105" s="221">
        <v>189</v>
      </c>
      <c r="D2105" s="221">
        <v>25.25</v>
      </c>
      <c r="E2105" s="221">
        <v>42.924723209728214</v>
      </c>
      <c r="F2105" s="221">
        <v>6.8597259502259522</v>
      </c>
      <c r="G2105" s="222" t="s">
        <v>2942</v>
      </c>
    </row>
    <row r="2106" spans="1:7">
      <c r="A2106" s="220" t="s">
        <v>1109</v>
      </c>
      <c r="B2106" s="221">
        <v>0</v>
      </c>
      <c r="C2106" s="221">
        <v>385</v>
      </c>
      <c r="D2106" s="221">
        <v>25.25</v>
      </c>
      <c r="E2106" s="221">
        <v>60.922923209728211</v>
      </c>
      <c r="F2106" s="221">
        <v>6.8597259502259522</v>
      </c>
      <c r="G2106" s="222" t="s">
        <v>2942</v>
      </c>
    </row>
    <row r="2107" spans="1:7">
      <c r="A2107" s="220" t="s">
        <v>1110</v>
      </c>
      <c r="B2107" s="221">
        <v>0</v>
      </c>
      <c r="C2107" s="221">
        <v>385</v>
      </c>
      <c r="D2107" s="221">
        <v>25.25</v>
      </c>
      <c r="E2107" s="221">
        <v>65.831523209728218</v>
      </c>
      <c r="F2107" s="221">
        <v>6.8597259502259522</v>
      </c>
      <c r="G2107" s="222" t="s">
        <v>2942</v>
      </c>
    </row>
    <row r="2108" spans="1:7">
      <c r="A2108" s="220" t="s">
        <v>1111</v>
      </c>
      <c r="B2108" s="221">
        <v>0</v>
      </c>
      <c r="C2108" s="221">
        <v>545</v>
      </c>
      <c r="D2108" s="221">
        <v>25.25</v>
      </c>
      <c r="E2108" s="221">
        <v>70.74012320972821</v>
      </c>
      <c r="F2108" s="221">
        <v>6.8597259502259522</v>
      </c>
      <c r="G2108" s="222" t="s">
        <v>2942</v>
      </c>
    </row>
    <row r="2109" spans="1:7">
      <c r="A2109" s="220" t="s">
        <v>1112</v>
      </c>
      <c r="B2109" s="221">
        <v>0</v>
      </c>
      <c r="C2109" s="221">
        <v>655</v>
      </c>
      <c r="D2109" s="221">
        <v>25.25</v>
      </c>
      <c r="E2109" s="221">
        <v>74.830623209728216</v>
      </c>
      <c r="F2109" s="221">
        <v>6.8597259502259522</v>
      </c>
      <c r="G2109" s="222" t="s">
        <v>2942</v>
      </c>
    </row>
    <row r="2110" spans="1:7">
      <c r="A2110" s="220" t="s">
        <v>1113</v>
      </c>
      <c r="B2110" s="221">
        <v>0</v>
      </c>
      <c r="C2110" s="221">
        <v>715</v>
      </c>
      <c r="D2110" s="221">
        <v>25.25</v>
      </c>
      <c r="E2110" s="221">
        <v>79.739223209728209</v>
      </c>
      <c r="F2110" s="221">
        <v>6.8597259502259522</v>
      </c>
      <c r="G2110" s="222" t="s">
        <v>2942</v>
      </c>
    </row>
    <row r="2111" spans="1:7">
      <c r="A2111" s="220" t="s">
        <v>1114</v>
      </c>
      <c r="B2111" s="221">
        <v>0</v>
      </c>
      <c r="C2111" s="221">
        <v>790</v>
      </c>
      <c r="D2111" s="221">
        <v>25.25</v>
      </c>
      <c r="E2111" s="221">
        <v>105.10032320972822</v>
      </c>
      <c r="F2111" s="221">
        <v>6.8597259502259522</v>
      </c>
      <c r="G2111" s="222" t="s">
        <v>2942</v>
      </c>
    </row>
    <row r="2112" spans="1:7">
      <c r="A2112" s="220" t="s">
        <v>1115</v>
      </c>
      <c r="B2112" s="221">
        <v>0</v>
      </c>
      <c r="C2112" s="221">
        <v>865</v>
      </c>
      <c r="D2112" s="221">
        <v>25.25</v>
      </c>
      <c r="E2112" s="221">
        <v>113.28132320972821</v>
      </c>
      <c r="F2112" s="221">
        <v>6.8597259502259522</v>
      </c>
      <c r="G2112" s="222" t="s">
        <v>2942</v>
      </c>
    </row>
    <row r="2113" spans="1:7">
      <c r="A2113" s="220" t="s">
        <v>1116</v>
      </c>
      <c r="B2113" s="221">
        <v>0</v>
      </c>
      <c r="C2113" s="221">
        <v>970</v>
      </c>
      <c r="D2113" s="221">
        <v>25.25</v>
      </c>
      <c r="E2113" s="221">
        <v>137.82432320972822</v>
      </c>
      <c r="F2113" s="221">
        <v>6.8597259502259522</v>
      </c>
      <c r="G2113" s="222" t="s">
        <v>2942</v>
      </c>
    </row>
    <row r="2114" spans="1:7">
      <c r="A2114" s="220" t="s">
        <v>1117</v>
      </c>
      <c r="B2114" s="221">
        <v>0</v>
      </c>
      <c r="C2114" s="221">
        <v>1155</v>
      </c>
      <c r="D2114" s="221">
        <v>25.25</v>
      </c>
      <c r="E2114" s="221">
        <v>162.36732320972823</v>
      </c>
      <c r="F2114" s="221">
        <v>6.8597259502259522</v>
      </c>
      <c r="G2114" s="222" t="s">
        <v>2942</v>
      </c>
    </row>
    <row r="2115" spans="1:7">
      <c r="A2115" s="220" t="s">
        <v>1118</v>
      </c>
      <c r="B2115" s="221">
        <v>0</v>
      </c>
      <c r="C2115" s="221">
        <v>1230</v>
      </c>
      <c r="D2115" s="221">
        <v>25.25</v>
      </c>
      <c r="E2115" s="221">
        <v>191.00082320972822</v>
      </c>
      <c r="F2115" s="221">
        <v>6.8597259502259522</v>
      </c>
      <c r="G2115" s="222" t="s">
        <v>2942</v>
      </c>
    </row>
    <row r="2116" spans="1:7">
      <c r="A2116" s="220" t="s">
        <v>1119</v>
      </c>
      <c r="B2116" s="221">
        <v>0</v>
      </c>
      <c r="C2116" s="221">
        <v>1280</v>
      </c>
      <c r="D2116" s="221">
        <v>25.25</v>
      </c>
      <c r="E2116" s="221">
        <v>211.45332320972821</v>
      </c>
      <c r="F2116" s="221">
        <v>6.8597259502259522</v>
      </c>
      <c r="G2116" s="222" t="s">
        <v>2942</v>
      </c>
    </row>
    <row r="2117" spans="1:7">
      <c r="A2117" s="220" t="s">
        <v>1120</v>
      </c>
      <c r="B2117" s="221">
        <v>0</v>
      </c>
      <c r="C2117" s="221">
        <v>1560</v>
      </c>
      <c r="D2117" s="221">
        <v>25.25</v>
      </c>
      <c r="E2117" s="221">
        <v>252.35832320972821</v>
      </c>
      <c r="F2117" s="221">
        <v>6.8597259502259522</v>
      </c>
      <c r="G2117" s="222" t="s">
        <v>2942</v>
      </c>
    </row>
    <row r="2118" spans="1:7">
      <c r="A2118" s="220" t="s">
        <v>1121</v>
      </c>
      <c r="B2118" s="221">
        <v>0</v>
      </c>
      <c r="C2118" s="221">
        <v>1640</v>
      </c>
      <c r="D2118" s="221">
        <v>25.25</v>
      </c>
      <c r="E2118" s="221">
        <v>293.26332320972818</v>
      </c>
      <c r="F2118" s="221">
        <v>6.8597259502259522</v>
      </c>
      <c r="G2118" s="222" t="s">
        <v>2942</v>
      </c>
    </row>
    <row r="2119" spans="1:7">
      <c r="A2119" s="220" t="s">
        <v>1122</v>
      </c>
      <c r="B2119" s="221">
        <v>0</v>
      </c>
      <c r="C2119" s="221">
        <v>1880</v>
      </c>
      <c r="D2119" s="221">
        <v>25.25</v>
      </c>
      <c r="E2119" s="221">
        <v>354.6208232097282</v>
      </c>
      <c r="F2119" s="221">
        <v>6.8597259502259522</v>
      </c>
      <c r="G2119" s="222" t="s">
        <v>2942</v>
      </c>
    </row>
    <row r="2120" spans="1:7">
      <c r="A2120" s="220" t="s">
        <v>1123</v>
      </c>
      <c r="B2120" s="221">
        <v>0</v>
      </c>
      <c r="C2120" s="221">
        <v>2025</v>
      </c>
      <c r="D2120" s="221">
        <v>25.25</v>
      </c>
      <c r="E2120" s="221">
        <v>395.52582320972817</v>
      </c>
      <c r="F2120" s="221">
        <v>6.8597259502259522</v>
      </c>
      <c r="G2120" s="222" t="s">
        <v>2942</v>
      </c>
    </row>
    <row r="2121" spans="1:7">
      <c r="A2121" s="220" t="s">
        <v>1124</v>
      </c>
      <c r="B2121" s="221">
        <v>0</v>
      </c>
      <c r="C2121" s="221">
        <v>2145</v>
      </c>
      <c r="D2121" s="221">
        <v>25.25</v>
      </c>
      <c r="E2121" s="221">
        <v>436.4308232097282</v>
      </c>
      <c r="F2121" s="221">
        <v>6.8597259502259522</v>
      </c>
      <c r="G2121" s="222" t="s">
        <v>2942</v>
      </c>
    </row>
    <row r="2122" spans="1:7">
      <c r="A2122" s="220" t="s">
        <v>1353</v>
      </c>
      <c r="B2122" s="221">
        <v>0</v>
      </c>
      <c r="C2122" s="221">
        <v>70</v>
      </c>
      <c r="D2122" s="221">
        <v>25.25</v>
      </c>
      <c r="E2122" s="221">
        <v>27.989860701974511</v>
      </c>
      <c r="F2122" s="221">
        <v>4.2227333682915926</v>
      </c>
      <c r="G2122" s="222" t="s">
        <v>2942</v>
      </c>
    </row>
    <row r="2123" spans="1:7">
      <c r="A2123" s="220" t="s">
        <v>1354</v>
      </c>
      <c r="B2123" s="221">
        <v>0</v>
      </c>
      <c r="C2123" s="221">
        <v>70</v>
      </c>
      <c r="D2123" s="221">
        <v>25.25</v>
      </c>
      <c r="E2123" s="221">
        <v>31.262260701974505</v>
      </c>
      <c r="F2123" s="221">
        <v>4.2227333682915926</v>
      </c>
      <c r="G2123" s="222" t="s">
        <v>2942</v>
      </c>
    </row>
    <row r="2124" spans="1:7">
      <c r="A2124" s="220" t="s">
        <v>1355</v>
      </c>
      <c r="B2124" s="221">
        <v>0</v>
      </c>
      <c r="C2124" s="221">
        <v>80</v>
      </c>
      <c r="D2124" s="221">
        <v>25.25</v>
      </c>
      <c r="E2124" s="221">
        <v>35.35276070197451</v>
      </c>
      <c r="F2124" s="221">
        <v>4.2227333682915926</v>
      </c>
      <c r="G2124" s="222" t="s">
        <v>2942</v>
      </c>
    </row>
    <row r="2125" spans="1:7">
      <c r="A2125" s="220" t="s">
        <v>1356</v>
      </c>
      <c r="B2125" s="221">
        <v>0</v>
      </c>
      <c r="C2125" s="221">
        <v>90</v>
      </c>
      <c r="D2125" s="221">
        <v>25.25</v>
      </c>
      <c r="E2125" s="221">
        <v>35.35276070197451</v>
      </c>
      <c r="F2125" s="221">
        <v>4.2227333682915926</v>
      </c>
      <c r="G2125" s="222" t="s">
        <v>2942</v>
      </c>
    </row>
    <row r="2126" spans="1:7">
      <c r="A2126" s="220" t="s">
        <v>1357</v>
      </c>
      <c r="B2126" s="221">
        <v>0</v>
      </c>
      <c r="C2126" s="221">
        <v>90</v>
      </c>
      <c r="D2126" s="221">
        <v>25.25</v>
      </c>
      <c r="E2126" s="221">
        <v>35.35276070197451</v>
      </c>
      <c r="F2126" s="221">
        <v>4.2227333682915926</v>
      </c>
      <c r="G2126" s="222" t="s">
        <v>2942</v>
      </c>
    </row>
    <row r="2127" spans="1:7">
      <c r="A2127" s="220" t="s">
        <v>1358</v>
      </c>
      <c r="B2127" s="221">
        <v>0</v>
      </c>
      <c r="C2127" s="221">
        <v>95</v>
      </c>
      <c r="D2127" s="221">
        <v>25.25</v>
      </c>
      <c r="E2127" s="221">
        <v>35.35276070197451</v>
      </c>
      <c r="F2127" s="221">
        <v>4.2227333682915926</v>
      </c>
      <c r="G2127" s="222" t="s">
        <v>2942</v>
      </c>
    </row>
    <row r="2128" spans="1:7">
      <c r="A2128" s="220" t="s">
        <v>1359</v>
      </c>
      <c r="B2128" s="221">
        <v>0</v>
      </c>
      <c r="C2128" s="221">
        <v>100</v>
      </c>
      <c r="D2128" s="221">
        <v>25.25</v>
      </c>
      <c r="E2128" s="221">
        <v>35.35276070197451</v>
      </c>
      <c r="F2128" s="221">
        <v>4.2227333682915926</v>
      </c>
      <c r="G2128" s="222" t="s">
        <v>2942</v>
      </c>
    </row>
    <row r="2129" spans="1:7">
      <c r="A2129" s="220" t="s">
        <v>1360</v>
      </c>
      <c r="B2129" s="221">
        <v>0</v>
      </c>
      <c r="C2129" s="221">
        <v>115</v>
      </c>
      <c r="D2129" s="221">
        <v>25.25</v>
      </c>
      <c r="E2129" s="221">
        <v>35.35276070197451</v>
      </c>
      <c r="F2129" s="221">
        <v>4.2227333682915926</v>
      </c>
      <c r="G2129" s="222" t="s">
        <v>2942</v>
      </c>
    </row>
    <row r="2130" spans="1:7">
      <c r="A2130" s="220" t="s">
        <v>1361</v>
      </c>
      <c r="B2130" s="221">
        <v>0</v>
      </c>
      <c r="C2130" s="221">
        <v>120</v>
      </c>
      <c r="D2130" s="221">
        <v>25.25</v>
      </c>
      <c r="E2130" s="221">
        <v>40.26136070197451</v>
      </c>
      <c r="F2130" s="221">
        <v>4.2227333682915926</v>
      </c>
      <c r="G2130" s="222" t="s">
        <v>2942</v>
      </c>
    </row>
    <row r="2131" spans="1:7">
      <c r="A2131" s="220" t="s">
        <v>1362</v>
      </c>
      <c r="B2131" s="221">
        <v>0</v>
      </c>
      <c r="C2131" s="221">
        <v>130</v>
      </c>
      <c r="D2131" s="221">
        <v>25.25</v>
      </c>
      <c r="E2131" s="221">
        <v>49.260460701974516</v>
      </c>
      <c r="F2131" s="221">
        <v>4.2227333682915926</v>
      </c>
      <c r="G2131" s="222" t="s">
        <v>2942</v>
      </c>
    </row>
    <row r="2132" spans="1:7">
      <c r="A2132" s="220" t="s">
        <v>1363</v>
      </c>
      <c r="B2132" s="221">
        <v>0</v>
      </c>
      <c r="C2132" s="221">
        <v>145</v>
      </c>
      <c r="D2132" s="221">
        <v>25.25</v>
      </c>
      <c r="E2132" s="221">
        <v>53.350960701974508</v>
      </c>
      <c r="F2132" s="221">
        <v>4.2227333682915926</v>
      </c>
      <c r="G2132" s="222" t="s">
        <v>2942</v>
      </c>
    </row>
    <row r="2133" spans="1:7">
      <c r="A2133" s="220" t="s">
        <v>1364</v>
      </c>
      <c r="B2133" s="221">
        <v>0</v>
      </c>
      <c r="C2133" s="221">
        <v>175</v>
      </c>
      <c r="D2133" s="221">
        <v>25.25</v>
      </c>
      <c r="E2133" s="221">
        <v>69.712960701974509</v>
      </c>
      <c r="F2133" s="221">
        <v>4.2227333682915926</v>
      </c>
      <c r="G2133" s="222" t="s">
        <v>2942</v>
      </c>
    </row>
    <row r="2134" spans="1:7">
      <c r="A2134" s="220" t="s">
        <v>1365</v>
      </c>
      <c r="B2134" s="221">
        <v>0</v>
      </c>
      <c r="C2134" s="221">
        <v>210</v>
      </c>
      <c r="D2134" s="221">
        <v>25.25</v>
      </c>
      <c r="E2134" s="221">
        <v>86.074960701974504</v>
      </c>
      <c r="F2134" s="221">
        <v>4.2227333682915926</v>
      </c>
      <c r="G2134" s="222" t="s">
        <v>2942</v>
      </c>
    </row>
    <row r="2135" spans="1:7">
      <c r="A2135" s="220" t="s">
        <v>1366</v>
      </c>
      <c r="B2135" s="221">
        <v>0</v>
      </c>
      <c r="C2135" s="221">
        <v>230</v>
      </c>
      <c r="D2135" s="221">
        <v>25.25</v>
      </c>
      <c r="E2135" s="221">
        <v>94.255960701974502</v>
      </c>
      <c r="F2135" s="221">
        <v>4.2227333682915926</v>
      </c>
      <c r="G2135" s="222" t="s">
        <v>2942</v>
      </c>
    </row>
    <row r="2136" spans="1:7">
      <c r="A2136" s="220" t="s">
        <v>1367</v>
      </c>
      <c r="B2136" s="221">
        <v>0</v>
      </c>
      <c r="C2136" s="221">
        <v>285</v>
      </c>
      <c r="D2136" s="221">
        <v>25.25</v>
      </c>
      <c r="E2136" s="221">
        <v>135.16096070197449</v>
      </c>
      <c r="F2136" s="221">
        <v>4.2227333682915926</v>
      </c>
      <c r="G2136" s="222" t="s">
        <v>2942</v>
      </c>
    </row>
    <row r="2137" spans="1:7">
      <c r="A2137" s="220" t="s">
        <v>1368</v>
      </c>
      <c r="B2137" s="221">
        <v>0</v>
      </c>
      <c r="C2137" s="221">
        <v>300</v>
      </c>
      <c r="D2137" s="221">
        <v>25.25</v>
      </c>
      <c r="E2137" s="221">
        <v>155.6134607019745</v>
      </c>
      <c r="F2137" s="221">
        <v>4.2227333682915926</v>
      </c>
      <c r="G2137" s="222" t="s">
        <v>2942</v>
      </c>
    </row>
    <row r="2138" spans="1:7">
      <c r="A2138" s="220" t="s">
        <v>1369</v>
      </c>
      <c r="B2138" s="221">
        <v>0</v>
      </c>
      <c r="C2138" s="221">
        <v>350</v>
      </c>
      <c r="D2138" s="221">
        <v>25.25</v>
      </c>
      <c r="E2138" s="221">
        <v>192.42796070197448</v>
      </c>
      <c r="F2138" s="221">
        <v>4.2227333682915926</v>
      </c>
      <c r="G2138" s="222" t="s">
        <v>2942</v>
      </c>
    </row>
    <row r="2139" spans="1:7">
      <c r="A2139" s="220" t="s">
        <v>1370</v>
      </c>
      <c r="B2139" s="221">
        <v>0</v>
      </c>
      <c r="C2139" s="221">
        <v>405</v>
      </c>
      <c r="D2139" s="221">
        <v>25.25</v>
      </c>
      <c r="E2139" s="221">
        <v>216.97096070197449</v>
      </c>
      <c r="F2139" s="221">
        <v>4.2227333682915926</v>
      </c>
      <c r="G2139" s="222" t="s">
        <v>2942</v>
      </c>
    </row>
    <row r="2140" spans="1:7">
      <c r="A2140" s="220" t="s">
        <v>1371</v>
      </c>
      <c r="B2140" s="221">
        <v>0</v>
      </c>
      <c r="C2140" s="221">
        <v>450</v>
      </c>
      <c r="D2140" s="221">
        <v>25.25</v>
      </c>
      <c r="E2140" s="221">
        <v>237.42346070197451</v>
      </c>
      <c r="F2140" s="221">
        <v>4.2227333682915926</v>
      </c>
      <c r="G2140" s="222" t="s">
        <v>2942</v>
      </c>
    </row>
    <row r="2141" spans="1:7">
      <c r="A2141" s="220" t="s">
        <v>1372</v>
      </c>
      <c r="B2141" s="221">
        <v>0</v>
      </c>
      <c r="C2141" s="221">
        <v>75</v>
      </c>
      <c r="D2141" s="221">
        <v>25.25</v>
      </c>
      <c r="E2141" s="221">
        <v>27.989860701974511</v>
      </c>
      <c r="F2141" s="221">
        <v>4.2227333682915926</v>
      </c>
      <c r="G2141" s="222" t="s">
        <v>2942</v>
      </c>
    </row>
    <row r="2142" spans="1:7">
      <c r="A2142" s="220" t="s">
        <v>1373</v>
      </c>
      <c r="B2142" s="221">
        <v>0</v>
      </c>
      <c r="C2142" s="221">
        <v>75</v>
      </c>
      <c r="D2142" s="221">
        <v>25.25</v>
      </c>
      <c r="E2142" s="221">
        <v>31.262260701974505</v>
      </c>
      <c r="F2142" s="221">
        <v>4.2227333682915926</v>
      </c>
      <c r="G2142" s="222" t="s">
        <v>2942</v>
      </c>
    </row>
    <row r="2143" spans="1:7">
      <c r="A2143" s="220" t="s">
        <v>1374</v>
      </c>
      <c r="B2143" s="221">
        <v>0</v>
      </c>
      <c r="C2143" s="221">
        <v>85</v>
      </c>
      <c r="D2143" s="221">
        <v>25.25</v>
      </c>
      <c r="E2143" s="221">
        <v>35.35276070197451</v>
      </c>
      <c r="F2143" s="221">
        <v>4.2227333682915926</v>
      </c>
      <c r="G2143" s="222" t="s">
        <v>2942</v>
      </c>
    </row>
    <row r="2144" spans="1:7">
      <c r="A2144" s="220" t="s">
        <v>1375</v>
      </c>
      <c r="B2144" s="221">
        <v>0</v>
      </c>
      <c r="C2144" s="221">
        <v>120</v>
      </c>
      <c r="D2144" s="221">
        <v>25.25</v>
      </c>
      <c r="E2144" s="221">
        <v>35.35276070197451</v>
      </c>
      <c r="F2144" s="221">
        <v>4.2227333682915926</v>
      </c>
      <c r="G2144" s="222" t="s">
        <v>2942</v>
      </c>
    </row>
    <row r="2145" spans="1:7">
      <c r="A2145" s="220" t="s">
        <v>1376</v>
      </c>
      <c r="B2145" s="221">
        <v>0</v>
      </c>
      <c r="C2145" s="221">
        <v>120</v>
      </c>
      <c r="D2145" s="221">
        <v>25.25</v>
      </c>
      <c r="E2145" s="221">
        <v>35.35276070197451</v>
      </c>
      <c r="F2145" s="221">
        <v>4.2227333682915926</v>
      </c>
      <c r="G2145" s="222" t="s">
        <v>2942</v>
      </c>
    </row>
    <row r="2146" spans="1:7">
      <c r="A2146" s="220" t="s">
        <v>1377</v>
      </c>
      <c r="B2146" s="221">
        <v>0</v>
      </c>
      <c r="C2146" s="221">
        <v>125</v>
      </c>
      <c r="D2146" s="221">
        <v>25.25</v>
      </c>
      <c r="E2146" s="221">
        <v>35.35276070197451</v>
      </c>
      <c r="F2146" s="221">
        <v>4.2227333682915926</v>
      </c>
      <c r="G2146" s="222" t="s">
        <v>2942</v>
      </c>
    </row>
    <row r="2147" spans="1:7">
      <c r="A2147" s="220" t="s">
        <v>1378</v>
      </c>
      <c r="B2147" s="221">
        <v>0</v>
      </c>
      <c r="C2147" s="221">
        <v>145</v>
      </c>
      <c r="D2147" s="221">
        <v>25.25</v>
      </c>
      <c r="E2147" s="221">
        <v>35.35276070197451</v>
      </c>
      <c r="F2147" s="221">
        <v>4.2227333682915926</v>
      </c>
      <c r="G2147" s="222" t="s">
        <v>2942</v>
      </c>
    </row>
    <row r="2148" spans="1:7">
      <c r="A2148" s="220" t="s">
        <v>1379</v>
      </c>
      <c r="B2148" s="221">
        <v>0</v>
      </c>
      <c r="C2148" s="221">
        <v>150</v>
      </c>
      <c r="D2148" s="221">
        <v>25.25</v>
      </c>
      <c r="E2148" s="221">
        <v>35.35276070197451</v>
      </c>
      <c r="F2148" s="221">
        <v>4.2227333682915926</v>
      </c>
      <c r="G2148" s="222" t="s">
        <v>2942</v>
      </c>
    </row>
    <row r="2149" spans="1:7">
      <c r="A2149" s="220" t="s">
        <v>1380</v>
      </c>
      <c r="B2149" s="221">
        <v>0</v>
      </c>
      <c r="C2149" s="221">
        <v>225</v>
      </c>
      <c r="D2149" s="221">
        <v>25.25</v>
      </c>
      <c r="E2149" s="221">
        <v>40.26136070197451</v>
      </c>
      <c r="F2149" s="221">
        <v>4.2227333682915926</v>
      </c>
      <c r="G2149" s="222" t="s">
        <v>2942</v>
      </c>
    </row>
    <row r="2150" spans="1:7">
      <c r="A2150" s="220" t="s">
        <v>1381</v>
      </c>
      <c r="B2150" s="221">
        <v>0</v>
      </c>
      <c r="C2150" s="221">
        <v>260</v>
      </c>
      <c r="D2150" s="221">
        <v>25.25</v>
      </c>
      <c r="E2150" s="221">
        <v>49.260460701974516</v>
      </c>
      <c r="F2150" s="221">
        <v>4.2227333682915926</v>
      </c>
      <c r="G2150" s="222" t="s">
        <v>2942</v>
      </c>
    </row>
    <row r="2151" spans="1:7">
      <c r="A2151" s="220" t="s">
        <v>1382</v>
      </c>
      <c r="B2151" s="221">
        <v>0</v>
      </c>
      <c r="C2151" s="221">
        <v>345</v>
      </c>
      <c r="D2151" s="221">
        <v>25.25</v>
      </c>
      <c r="E2151" s="221">
        <v>53.350960701974508</v>
      </c>
      <c r="F2151" s="221">
        <v>4.2227333682915926</v>
      </c>
      <c r="G2151" s="222" t="s">
        <v>2942</v>
      </c>
    </row>
    <row r="2152" spans="1:7">
      <c r="A2152" s="220" t="s">
        <v>1383</v>
      </c>
      <c r="B2152" s="221">
        <v>0</v>
      </c>
      <c r="C2152" s="221">
        <v>520</v>
      </c>
      <c r="D2152" s="221">
        <v>25.25</v>
      </c>
      <c r="E2152" s="221">
        <v>69.712960701974509</v>
      </c>
      <c r="F2152" s="221">
        <v>4.2227333682915926</v>
      </c>
      <c r="G2152" s="222" t="s">
        <v>2942</v>
      </c>
    </row>
    <row r="2153" spans="1:7">
      <c r="A2153" s="220" t="s">
        <v>1384</v>
      </c>
      <c r="B2153" s="221">
        <v>0</v>
      </c>
      <c r="C2153" s="221">
        <v>610</v>
      </c>
      <c r="D2153" s="221">
        <v>25.25</v>
      </c>
      <c r="E2153" s="221">
        <v>86.074960701974504</v>
      </c>
      <c r="F2153" s="221">
        <v>4.2227333682915926</v>
      </c>
      <c r="G2153" s="222" t="s">
        <v>2942</v>
      </c>
    </row>
    <row r="2154" spans="1:7">
      <c r="A2154" s="220" t="s">
        <v>1385</v>
      </c>
      <c r="B2154" s="221">
        <v>0</v>
      </c>
      <c r="C2154" s="221">
        <v>670</v>
      </c>
      <c r="D2154" s="221">
        <v>25.25</v>
      </c>
      <c r="E2154" s="221">
        <v>94.255960701974502</v>
      </c>
      <c r="F2154" s="221">
        <v>4.2227333682915926</v>
      </c>
      <c r="G2154" s="222" t="s">
        <v>2942</v>
      </c>
    </row>
    <row r="2155" spans="1:7">
      <c r="A2155" s="220" t="s">
        <v>1386</v>
      </c>
      <c r="B2155" s="221">
        <v>0</v>
      </c>
      <c r="C2155" s="221">
        <v>820</v>
      </c>
      <c r="D2155" s="221">
        <v>25.25</v>
      </c>
      <c r="E2155" s="221">
        <v>135.16096070197449</v>
      </c>
      <c r="F2155" s="221">
        <v>4.2227333682915926</v>
      </c>
      <c r="G2155" s="222" t="s">
        <v>2942</v>
      </c>
    </row>
    <row r="2156" spans="1:7">
      <c r="A2156" s="220" t="s">
        <v>1387</v>
      </c>
      <c r="B2156" s="221">
        <v>0</v>
      </c>
      <c r="C2156" s="221">
        <v>890</v>
      </c>
      <c r="D2156" s="221">
        <v>25.25</v>
      </c>
      <c r="E2156" s="221">
        <v>155.6134607019745</v>
      </c>
      <c r="F2156" s="221">
        <v>4.2227333682915926</v>
      </c>
      <c r="G2156" s="222" t="s">
        <v>2942</v>
      </c>
    </row>
    <row r="2157" spans="1:7">
      <c r="A2157" s="220" t="s">
        <v>1388</v>
      </c>
      <c r="B2157" s="221">
        <v>0</v>
      </c>
      <c r="C2157" s="221">
        <v>1020</v>
      </c>
      <c r="D2157" s="221">
        <v>25.25</v>
      </c>
      <c r="E2157" s="221">
        <v>192.42796070197448</v>
      </c>
      <c r="F2157" s="221">
        <v>4.2227333682915926</v>
      </c>
      <c r="G2157" s="222" t="s">
        <v>2942</v>
      </c>
    </row>
    <row r="2158" spans="1:7">
      <c r="A2158" s="220" t="s">
        <v>1389</v>
      </c>
      <c r="B2158" s="221">
        <v>0</v>
      </c>
      <c r="C2158" s="221">
        <v>1120</v>
      </c>
      <c r="D2158" s="221">
        <v>25.25</v>
      </c>
      <c r="E2158" s="221">
        <v>216.97096070197449</v>
      </c>
      <c r="F2158" s="221">
        <v>4.2227333682915926</v>
      </c>
      <c r="G2158" s="222" t="s">
        <v>2942</v>
      </c>
    </row>
    <row r="2159" spans="1:7">
      <c r="A2159" s="220" t="s">
        <v>1390</v>
      </c>
      <c r="B2159" s="221">
        <v>0</v>
      </c>
      <c r="C2159" s="221">
        <v>1185</v>
      </c>
      <c r="D2159" s="221">
        <v>25.25</v>
      </c>
      <c r="E2159" s="221">
        <v>237.42346070197451</v>
      </c>
      <c r="F2159" s="221">
        <v>4.2227333682915926</v>
      </c>
      <c r="G2159" s="222" t="s">
        <v>2942</v>
      </c>
    </row>
    <row r="2160" spans="1:7">
      <c r="A2160" s="220" t="s">
        <v>1391</v>
      </c>
      <c r="B2160" s="221">
        <v>0</v>
      </c>
      <c r="C2160" s="221">
        <v>80</v>
      </c>
      <c r="D2160" s="221">
        <v>25.25</v>
      </c>
      <c r="E2160" s="221">
        <v>30.65322320972821</v>
      </c>
      <c r="F2160" s="221">
        <v>6.8597259502259522</v>
      </c>
      <c r="G2160" s="222" t="s">
        <v>2942</v>
      </c>
    </row>
    <row r="2161" spans="1:7">
      <c r="A2161" s="220" t="s">
        <v>1392</v>
      </c>
      <c r="B2161" s="221">
        <v>0</v>
      </c>
      <c r="C2161" s="221">
        <v>80</v>
      </c>
      <c r="D2161" s="221">
        <v>25.25</v>
      </c>
      <c r="E2161" s="221">
        <v>33.925623209728208</v>
      </c>
      <c r="F2161" s="221">
        <v>6.8597259502259522</v>
      </c>
      <c r="G2161" s="222" t="s">
        <v>2942</v>
      </c>
    </row>
    <row r="2162" spans="1:7">
      <c r="A2162" s="220" t="s">
        <v>1393</v>
      </c>
      <c r="B2162" s="221">
        <v>0</v>
      </c>
      <c r="C2162" s="221">
        <v>90</v>
      </c>
      <c r="D2162" s="221">
        <v>25.25</v>
      </c>
      <c r="E2162" s="221">
        <v>38.016123209728214</v>
      </c>
      <c r="F2162" s="221">
        <v>6.8597259502259522</v>
      </c>
      <c r="G2162" s="222" t="s">
        <v>2942</v>
      </c>
    </row>
    <row r="2163" spans="1:7">
      <c r="A2163" s="220" t="s">
        <v>1394</v>
      </c>
      <c r="B2163" s="221">
        <v>0</v>
      </c>
      <c r="C2163" s="221">
        <v>150</v>
      </c>
      <c r="D2163" s="221">
        <v>25.25</v>
      </c>
      <c r="E2163" s="221">
        <v>38.016123209728214</v>
      </c>
      <c r="F2163" s="221">
        <v>6.8597259502259522</v>
      </c>
      <c r="G2163" s="222" t="s">
        <v>2942</v>
      </c>
    </row>
    <row r="2164" spans="1:7">
      <c r="A2164" s="220" t="s">
        <v>1395</v>
      </c>
      <c r="B2164" s="221">
        <v>0</v>
      </c>
      <c r="C2164" s="221">
        <v>150</v>
      </c>
      <c r="D2164" s="221">
        <v>25.25</v>
      </c>
      <c r="E2164" s="221">
        <v>38.016123209728214</v>
      </c>
      <c r="F2164" s="221">
        <v>6.8597259502259522</v>
      </c>
      <c r="G2164" s="222" t="s">
        <v>2942</v>
      </c>
    </row>
    <row r="2165" spans="1:7">
      <c r="A2165" s="220" t="s">
        <v>1396</v>
      </c>
      <c r="B2165" s="221">
        <v>0</v>
      </c>
      <c r="C2165" s="221">
        <v>155</v>
      </c>
      <c r="D2165" s="221">
        <v>25.25</v>
      </c>
      <c r="E2165" s="221">
        <v>38.016123209728214</v>
      </c>
      <c r="F2165" s="221">
        <v>6.8597259502259522</v>
      </c>
      <c r="G2165" s="222" t="s">
        <v>2942</v>
      </c>
    </row>
    <row r="2166" spans="1:7">
      <c r="A2166" s="220" t="s">
        <v>1397</v>
      </c>
      <c r="B2166" s="221">
        <v>0</v>
      </c>
      <c r="C2166" s="221">
        <v>215</v>
      </c>
      <c r="D2166" s="221">
        <v>25.25</v>
      </c>
      <c r="E2166" s="221">
        <v>38.016123209728214</v>
      </c>
      <c r="F2166" s="221">
        <v>6.8597259502259522</v>
      </c>
      <c r="G2166" s="222" t="s">
        <v>2942</v>
      </c>
    </row>
    <row r="2167" spans="1:7">
      <c r="A2167" s="220" t="s">
        <v>1398</v>
      </c>
      <c r="B2167" s="221">
        <v>0</v>
      </c>
      <c r="C2167" s="221">
        <v>240</v>
      </c>
      <c r="D2167" s="221">
        <v>25.25</v>
      </c>
      <c r="E2167" s="221">
        <v>38.016123209728214</v>
      </c>
      <c r="F2167" s="221">
        <v>6.8597259502259522</v>
      </c>
      <c r="G2167" s="222" t="s">
        <v>2942</v>
      </c>
    </row>
    <row r="2168" spans="1:7">
      <c r="A2168" s="220" t="s">
        <v>1399</v>
      </c>
      <c r="B2168" s="221">
        <v>0</v>
      </c>
      <c r="C2168" s="221">
        <v>340</v>
      </c>
      <c r="D2168" s="221">
        <v>25.25</v>
      </c>
      <c r="E2168" s="221">
        <v>42.924723209728214</v>
      </c>
      <c r="F2168" s="221">
        <v>6.8597259502259522</v>
      </c>
      <c r="G2168" s="222" t="s">
        <v>2942</v>
      </c>
    </row>
    <row r="2169" spans="1:7">
      <c r="A2169" s="220" t="s">
        <v>1400</v>
      </c>
      <c r="B2169" s="221">
        <v>0</v>
      </c>
      <c r="C2169" s="221">
        <v>395</v>
      </c>
      <c r="D2169" s="221">
        <v>25.25</v>
      </c>
      <c r="E2169" s="221">
        <v>51.923823209728212</v>
      </c>
      <c r="F2169" s="221">
        <v>6.8597259502259522</v>
      </c>
      <c r="G2169" s="222" t="s">
        <v>2942</v>
      </c>
    </row>
    <row r="2170" spans="1:7">
      <c r="A2170" s="220" t="s">
        <v>1401</v>
      </c>
      <c r="B2170" s="221">
        <v>0</v>
      </c>
      <c r="C2170" s="221">
        <v>525</v>
      </c>
      <c r="D2170" s="221">
        <v>25.25</v>
      </c>
      <c r="E2170" s="221">
        <v>56.014323209728211</v>
      </c>
      <c r="F2170" s="221">
        <v>6.8597259502259522</v>
      </c>
      <c r="G2170" s="222" t="s">
        <v>2942</v>
      </c>
    </row>
    <row r="2171" spans="1:7">
      <c r="A2171" s="220" t="s">
        <v>1402</v>
      </c>
      <c r="B2171" s="221">
        <v>0</v>
      </c>
      <c r="C2171" s="221">
        <v>785</v>
      </c>
      <c r="D2171" s="221">
        <v>25.25</v>
      </c>
      <c r="E2171" s="221">
        <v>72.376323209728213</v>
      </c>
      <c r="F2171" s="221">
        <v>6.8597259502259522</v>
      </c>
      <c r="G2171" s="222" t="s">
        <v>2942</v>
      </c>
    </row>
    <row r="2172" spans="1:7">
      <c r="A2172" s="220" t="s">
        <v>1403</v>
      </c>
      <c r="B2172" s="221">
        <v>0</v>
      </c>
      <c r="C2172" s="221">
        <v>920</v>
      </c>
      <c r="D2172" s="221">
        <v>25.25</v>
      </c>
      <c r="E2172" s="221">
        <v>88.738323209728208</v>
      </c>
      <c r="F2172" s="221">
        <v>6.8597259502259522</v>
      </c>
      <c r="G2172" s="222" t="s">
        <v>2942</v>
      </c>
    </row>
    <row r="2173" spans="1:7">
      <c r="A2173" s="220" t="s">
        <v>1404</v>
      </c>
      <c r="B2173" s="221">
        <v>0</v>
      </c>
      <c r="C2173" s="221">
        <v>1005</v>
      </c>
      <c r="D2173" s="221">
        <v>25.25</v>
      </c>
      <c r="E2173" s="221">
        <v>96.919323209728205</v>
      </c>
      <c r="F2173" s="221">
        <v>6.8597259502259522</v>
      </c>
      <c r="G2173" s="222" t="s">
        <v>2942</v>
      </c>
    </row>
    <row r="2174" spans="1:7">
      <c r="A2174" s="220" t="s">
        <v>1405</v>
      </c>
      <c r="B2174" s="221">
        <v>0</v>
      </c>
      <c r="C2174" s="221">
        <v>1230</v>
      </c>
      <c r="D2174" s="221">
        <v>25.25</v>
      </c>
      <c r="E2174" s="221">
        <v>137.82432320972822</v>
      </c>
      <c r="F2174" s="221">
        <v>6.8597259502259522</v>
      </c>
      <c r="G2174" s="222" t="s">
        <v>2942</v>
      </c>
    </row>
    <row r="2175" spans="1:7">
      <c r="A2175" s="220" t="s">
        <v>1406</v>
      </c>
      <c r="B2175" s="221">
        <v>0</v>
      </c>
      <c r="C2175" s="221">
        <v>1330</v>
      </c>
      <c r="D2175" s="221">
        <v>25.25</v>
      </c>
      <c r="E2175" s="221">
        <v>158.27682320972821</v>
      </c>
      <c r="F2175" s="221">
        <v>6.8597259502259522</v>
      </c>
      <c r="G2175" s="222" t="s">
        <v>2942</v>
      </c>
    </row>
    <row r="2176" spans="1:7">
      <c r="A2176" s="220" t="s">
        <v>1407</v>
      </c>
      <c r="B2176" s="221">
        <v>0</v>
      </c>
      <c r="C2176" s="221">
        <v>1530</v>
      </c>
      <c r="D2176" s="221">
        <v>25.25</v>
      </c>
      <c r="E2176" s="221">
        <v>195.09132320972822</v>
      </c>
      <c r="F2176" s="221">
        <v>6.8597259502259522</v>
      </c>
      <c r="G2176" s="222" t="s">
        <v>2942</v>
      </c>
    </row>
    <row r="2177" spans="1:7">
      <c r="A2177" s="220" t="s">
        <v>1408</v>
      </c>
      <c r="B2177" s="221">
        <v>0</v>
      </c>
      <c r="C2177" s="221">
        <v>1680</v>
      </c>
      <c r="D2177" s="221">
        <v>25.25</v>
      </c>
      <c r="E2177" s="221">
        <v>219.63432320972822</v>
      </c>
      <c r="F2177" s="221">
        <v>6.8597259502259522</v>
      </c>
      <c r="G2177" s="222" t="s">
        <v>2942</v>
      </c>
    </row>
    <row r="2178" spans="1:7">
      <c r="A2178" s="220" t="s">
        <v>1409</v>
      </c>
      <c r="B2178" s="221">
        <v>0</v>
      </c>
      <c r="C2178" s="221">
        <v>1775</v>
      </c>
      <c r="D2178" s="221">
        <v>25.25</v>
      </c>
      <c r="E2178" s="221">
        <v>240.08682320972821</v>
      </c>
      <c r="F2178" s="221">
        <v>6.8597259502259522</v>
      </c>
      <c r="G2178" s="222" t="s">
        <v>2942</v>
      </c>
    </row>
    <row r="2179" spans="1:7">
      <c r="A2179" s="220" t="s">
        <v>1410</v>
      </c>
      <c r="B2179" s="221">
        <v>0</v>
      </c>
      <c r="C2179" s="221">
        <v>95</v>
      </c>
      <c r="D2179" s="221">
        <v>25.25</v>
      </c>
      <c r="E2179" s="221">
        <v>23.081260701974507</v>
      </c>
      <c r="F2179" s="221">
        <v>4.2227333682915926</v>
      </c>
      <c r="G2179" s="222" t="s">
        <v>2942</v>
      </c>
    </row>
    <row r="2180" spans="1:7">
      <c r="A2180" s="220" t="s">
        <v>1411</v>
      </c>
      <c r="B2180" s="221">
        <v>0</v>
      </c>
      <c r="C2180" s="221">
        <v>95</v>
      </c>
      <c r="D2180" s="221">
        <v>25.25</v>
      </c>
      <c r="E2180" s="221">
        <v>26.353660701974508</v>
      </c>
      <c r="F2180" s="221">
        <v>4.2227333682915926</v>
      </c>
      <c r="G2180" s="222" t="s">
        <v>2942</v>
      </c>
    </row>
    <row r="2181" spans="1:7">
      <c r="A2181" s="220" t="s">
        <v>1412</v>
      </c>
      <c r="B2181" s="221">
        <v>0</v>
      </c>
      <c r="C2181" s="221">
        <v>100</v>
      </c>
      <c r="D2181" s="221">
        <v>25.25</v>
      </c>
      <c r="E2181" s="221">
        <v>40.26136070197451</v>
      </c>
      <c r="F2181" s="221">
        <v>4.2227333682915926</v>
      </c>
      <c r="G2181" s="222" t="s">
        <v>2942</v>
      </c>
    </row>
    <row r="2182" spans="1:7">
      <c r="A2182" s="220" t="s">
        <v>1413</v>
      </c>
      <c r="B2182" s="221">
        <v>0</v>
      </c>
      <c r="C2182" s="221">
        <v>130</v>
      </c>
      <c r="D2182" s="221">
        <v>25.25</v>
      </c>
      <c r="E2182" s="221">
        <v>58.259560701974507</v>
      </c>
      <c r="F2182" s="221">
        <v>4.2227333682915926</v>
      </c>
      <c r="G2182" s="222" t="s">
        <v>2942</v>
      </c>
    </row>
    <row r="2183" spans="1:7">
      <c r="A2183" s="220" t="s">
        <v>1414</v>
      </c>
      <c r="B2183" s="221">
        <v>0</v>
      </c>
      <c r="C2183" s="221">
        <v>130</v>
      </c>
      <c r="D2183" s="221">
        <v>25.25</v>
      </c>
      <c r="E2183" s="221">
        <v>63.168160701974507</v>
      </c>
      <c r="F2183" s="221">
        <v>4.2227333682915926</v>
      </c>
      <c r="G2183" s="222" t="s">
        <v>2942</v>
      </c>
    </row>
    <row r="2184" spans="1:7">
      <c r="A2184" s="220" t="s">
        <v>1415</v>
      </c>
      <c r="B2184" s="221">
        <v>0</v>
      </c>
      <c r="C2184" s="221">
        <v>145</v>
      </c>
      <c r="D2184" s="221">
        <v>25.25</v>
      </c>
      <c r="E2184" s="221">
        <v>68.076760701974507</v>
      </c>
      <c r="F2184" s="221">
        <v>4.2227333682915926</v>
      </c>
      <c r="G2184" s="222" t="s">
        <v>2942</v>
      </c>
    </row>
    <row r="2185" spans="1:7">
      <c r="A2185" s="220" t="s">
        <v>1416</v>
      </c>
      <c r="B2185" s="221">
        <v>0</v>
      </c>
      <c r="C2185" s="221">
        <v>155</v>
      </c>
      <c r="D2185" s="221">
        <v>25.25</v>
      </c>
      <c r="E2185" s="221">
        <v>72.167260701974513</v>
      </c>
      <c r="F2185" s="221">
        <v>4.2227333682915926</v>
      </c>
      <c r="G2185" s="222" t="s">
        <v>2942</v>
      </c>
    </row>
    <row r="2186" spans="1:7">
      <c r="A2186" s="220" t="s">
        <v>1417</v>
      </c>
      <c r="B2186" s="221">
        <v>0</v>
      </c>
      <c r="C2186" s="221">
        <v>170</v>
      </c>
      <c r="D2186" s="221">
        <v>25.25</v>
      </c>
      <c r="E2186" s="221">
        <v>77.075860701974506</v>
      </c>
      <c r="F2186" s="221">
        <v>4.2227333682915926</v>
      </c>
      <c r="G2186" s="222" t="s">
        <v>2942</v>
      </c>
    </row>
    <row r="2187" spans="1:7">
      <c r="A2187" s="220" t="s">
        <v>1418</v>
      </c>
      <c r="B2187" s="221">
        <v>0</v>
      </c>
      <c r="C2187" s="221">
        <v>210</v>
      </c>
      <c r="D2187" s="221">
        <v>25.25</v>
      </c>
      <c r="E2187" s="221">
        <v>102.43696070197451</v>
      </c>
      <c r="F2187" s="221">
        <v>4.2227333682915926</v>
      </c>
      <c r="G2187" s="222" t="s">
        <v>2942</v>
      </c>
    </row>
    <row r="2188" spans="1:7">
      <c r="A2188" s="220" t="s">
        <v>1419</v>
      </c>
      <c r="B2188" s="221">
        <v>0</v>
      </c>
      <c r="C2188" s="221">
        <v>220</v>
      </c>
      <c r="D2188" s="221">
        <v>25.25</v>
      </c>
      <c r="E2188" s="221">
        <v>110.61796070197451</v>
      </c>
      <c r="F2188" s="221">
        <v>4.2227333682915926</v>
      </c>
      <c r="G2188" s="222" t="s">
        <v>2942</v>
      </c>
    </row>
    <row r="2189" spans="1:7">
      <c r="A2189" s="220" t="s">
        <v>1420</v>
      </c>
      <c r="B2189" s="221">
        <v>0</v>
      </c>
      <c r="C2189" s="221">
        <v>260</v>
      </c>
      <c r="D2189" s="221">
        <v>25.25</v>
      </c>
      <c r="E2189" s="221">
        <v>135.16096070197449</v>
      </c>
      <c r="F2189" s="221">
        <v>4.2227333682915926</v>
      </c>
      <c r="G2189" s="222" t="s">
        <v>2942</v>
      </c>
    </row>
    <row r="2190" spans="1:7">
      <c r="A2190" s="220" t="s">
        <v>1421</v>
      </c>
      <c r="B2190" s="221">
        <v>0</v>
      </c>
      <c r="C2190" s="221">
        <v>325</v>
      </c>
      <c r="D2190" s="221">
        <v>25.25</v>
      </c>
      <c r="E2190" s="221">
        <v>159.70396070197449</v>
      </c>
      <c r="F2190" s="221">
        <v>4.2227333682915926</v>
      </c>
      <c r="G2190" s="222" t="s">
        <v>2942</v>
      </c>
    </row>
    <row r="2191" spans="1:7">
      <c r="A2191" s="220" t="s">
        <v>1422</v>
      </c>
      <c r="B2191" s="221">
        <v>0</v>
      </c>
      <c r="C2191" s="221">
        <v>375</v>
      </c>
      <c r="D2191" s="221">
        <v>25.25</v>
      </c>
      <c r="E2191" s="221">
        <v>188.33746070197449</v>
      </c>
      <c r="F2191" s="221">
        <v>4.2227333682915926</v>
      </c>
      <c r="G2191" s="222" t="s">
        <v>2942</v>
      </c>
    </row>
    <row r="2192" spans="1:7">
      <c r="A2192" s="220" t="s">
        <v>1423</v>
      </c>
      <c r="B2192" s="221">
        <v>0</v>
      </c>
      <c r="C2192" s="221">
        <v>420</v>
      </c>
      <c r="D2192" s="221">
        <v>25.25</v>
      </c>
      <c r="E2192" s="221">
        <v>208.78996070197451</v>
      </c>
      <c r="F2192" s="221">
        <v>4.2227333682915926</v>
      </c>
      <c r="G2192" s="222" t="s">
        <v>2942</v>
      </c>
    </row>
    <row r="2193" spans="1:7">
      <c r="A2193" s="220" t="s">
        <v>1424</v>
      </c>
      <c r="B2193" s="221">
        <v>0</v>
      </c>
      <c r="C2193" s="221">
        <v>445</v>
      </c>
      <c r="D2193" s="221">
        <v>25.25</v>
      </c>
      <c r="E2193" s="221">
        <v>249.69496070197451</v>
      </c>
      <c r="F2193" s="221">
        <v>4.2227333682915926</v>
      </c>
      <c r="G2193" s="222" t="s">
        <v>2942</v>
      </c>
    </row>
    <row r="2194" spans="1:7">
      <c r="A2194" s="220" t="s">
        <v>1425</v>
      </c>
      <c r="B2194" s="221">
        <v>0</v>
      </c>
      <c r="C2194" s="221">
        <v>510</v>
      </c>
      <c r="D2194" s="221">
        <v>25.25</v>
      </c>
      <c r="E2194" s="221">
        <v>290.59996070197451</v>
      </c>
      <c r="F2194" s="221">
        <v>4.2227333682915926</v>
      </c>
      <c r="G2194" s="222" t="s">
        <v>2942</v>
      </c>
    </row>
    <row r="2195" spans="1:7">
      <c r="A2195" s="220" t="s">
        <v>1426</v>
      </c>
      <c r="B2195" s="221">
        <v>0</v>
      </c>
      <c r="C2195" s="221">
        <v>610</v>
      </c>
      <c r="D2195" s="221">
        <v>25.25</v>
      </c>
      <c r="E2195" s="221">
        <v>351.95746070197453</v>
      </c>
      <c r="F2195" s="221">
        <v>4.2227333682915926</v>
      </c>
      <c r="G2195" s="222" t="s">
        <v>2942</v>
      </c>
    </row>
    <row r="2196" spans="1:7">
      <c r="A2196" s="220" t="s">
        <v>1427</v>
      </c>
      <c r="B2196" s="221">
        <v>0</v>
      </c>
      <c r="C2196" s="221">
        <v>695</v>
      </c>
      <c r="D2196" s="221">
        <v>25.25</v>
      </c>
      <c r="E2196" s="221">
        <v>392.8624607019745</v>
      </c>
      <c r="F2196" s="221">
        <v>4.2227333682915926</v>
      </c>
      <c r="G2196" s="222" t="s">
        <v>2942</v>
      </c>
    </row>
    <row r="2197" spans="1:7">
      <c r="A2197" s="220" t="s">
        <v>1428</v>
      </c>
      <c r="B2197" s="221">
        <v>0</v>
      </c>
      <c r="C2197" s="221">
        <v>755</v>
      </c>
      <c r="D2197" s="221">
        <v>25.25</v>
      </c>
      <c r="E2197" s="221">
        <v>433.76746070197453</v>
      </c>
      <c r="F2197" s="221">
        <v>4.2227333682915926</v>
      </c>
      <c r="G2197" s="222" t="s">
        <v>2942</v>
      </c>
    </row>
    <row r="2198" spans="1:7">
      <c r="A2198" s="220" t="s">
        <v>1429</v>
      </c>
      <c r="B2198" s="221">
        <v>0</v>
      </c>
      <c r="C2198" s="221">
        <v>140</v>
      </c>
      <c r="D2198" s="221">
        <v>25.25</v>
      </c>
      <c r="E2198" s="221">
        <v>23.081260701974507</v>
      </c>
      <c r="F2198" s="221">
        <v>4.2227333682915926</v>
      </c>
      <c r="G2198" s="222" t="s">
        <v>2942</v>
      </c>
    </row>
    <row r="2199" spans="1:7">
      <c r="A2199" s="220" t="s">
        <v>1430</v>
      </c>
      <c r="B2199" s="221">
        <v>0</v>
      </c>
      <c r="C2199" s="221">
        <v>140</v>
      </c>
      <c r="D2199" s="221">
        <v>25.25</v>
      </c>
      <c r="E2199" s="221">
        <v>26.353660701974508</v>
      </c>
      <c r="F2199" s="221">
        <v>4.2227333682915926</v>
      </c>
      <c r="G2199" s="222" t="s">
        <v>2942</v>
      </c>
    </row>
    <row r="2200" spans="1:7">
      <c r="A2200" s="220" t="s">
        <v>1431</v>
      </c>
      <c r="B2200" s="221">
        <v>0</v>
      </c>
      <c r="C2200" s="221">
        <v>170</v>
      </c>
      <c r="D2200" s="221">
        <v>25.25</v>
      </c>
      <c r="E2200" s="221">
        <v>40.26136070197451</v>
      </c>
      <c r="F2200" s="221">
        <v>4.2227333682915926</v>
      </c>
      <c r="G2200" s="222" t="s">
        <v>2942</v>
      </c>
    </row>
    <row r="2201" spans="1:7">
      <c r="A2201" s="220" t="s">
        <v>1432</v>
      </c>
      <c r="B2201" s="221">
        <v>0</v>
      </c>
      <c r="C2201" s="221">
        <v>250</v>
      </c>
      <c r="D2201" s="221">
        <v>25.25</v>
      </c>
      <c r="E2201" s="221">
        <v>58.259560701974507</v>
      </c>
      <c r="F2201" s="221">
        <v>4.2227333682915926</v>
      </c>
      <c r="G2201" s="222" t="s">
        <v>2942</v>
      </c>
    </row>
    <row r="2202" spans="1:7">
      <c r="A2202" s="220" t="s">
        <v>1433</v>
      </c>
      <c r="B2202" s="221">
        <v>0</v>
      </c>
      <c r="C2202" s="221">
        <v>250</v>
      </c>
      <c r="D2202" s="221">
        <v>25.25</v>
      </c>
      <c r="E2202" s="221">
        <v>63.168160701974507</v>
      </c>
      <c r="F2202" s="221">
        <v>4.2227333682915926</v>
      </c>
      <c r="G2202" s="222" t="s">
        <v>2942</v>
      </c>
    </row>
    <row r="2203" spans="1:7">
      <c r="A2203" s="220" t="s">
        <v>1434</v>
      </c>
      <c r="B2203" s="221">
        <v>0</v>
      </c>
      <c r="C2203" s="221">
        <v>345</v>
      </c>
      <c r="D2203" s="221">
        <v>25.25</v>
      </c>
      <c r="E2203" s="221">
        <v>68.076760701974507</v>
      </c>
      <c r="F2203" s="221">
        <v>4.2227333682915926</v>
      </c>
      <c r="G2203" s="222" t="s">
        <v>2942</v>
      </c>
    </row>
    <row r="2204" spans="1:7">
      <c r="A2204" s="220" t="s">
        <v>1435</v>
      </c>
      <c r="B2204" s="221">
        <v>0</v>
      </c>
      <c r="C2204" s="221">
        <v>405</v>
      </c>
      <c r="D2204" s="221">
        <v>25.25</v>
      </c>
      <c r="E2204" s="221">
        <v>72.167260701974513</v>
      </c>
      <c r="F2204" s="221">
        <v>4.2227333682915926</v>
      </c>
      <c r="G2204" s="222" t="s">
        <v>2942</v>
      </c>
    </row>
    <row r="2205" spans="1:7">
      <c r="A2205" s="220" t="s">
        <v>1436</v>
      </c>
      <c r="B2205" s="221">
        <v>0</v>
      </c>
      <c r="C2205" s="221">
        <v>440</v>
      </c>
      <c r="D2205" s="221">
        <v>25.25</v>
      </c>
      <c r="E2205" s="221">
        <v>77.075860701974506</v>
      </c>
      <c r="F2205" s="221">
        <v>4.2227333682915926</v>
      </c>
      <c r="G2205" s="222" t="s">
        <v>2942</v>
      </c>
    </row>
    <row r="2206" spans="1:7">
      <c r="A2206" s="220" t="s">
        <v>1437</v>
      </c>
      <c r="B2206" s="221">
        <v>0</v>
      </c>
      <c r="C2206" s="221">
        <v>475</v>
      </c>
      <c r="D2206" s="221">
        <v>25.25</v>
      </c>
      <c r="E2206" s="221">
        <v>102.43696070197451</v>
      </c>
      <c r="F2206" s="221">
        <v>4.2227333682915926</v>
      </c>
      <c r="G2206" s="222" t="s">
        <v>2942</v>
      </c>
    </row>
    <row r="2207" spans="1:7">
      <c r="A2207" s="220" t="s">
        <v>1438</v>
      </c>
      <c r="B2207" s="221">
        <v>0</v>
      </c>
      <c r="C2207" s="221">
        <v>535</v>
      </c>
      <c r="D2207" s="221">
        <v>25.25</v>
      </c>
      <c r="E2207" s="221">
        <v>110.61796070197451</v>
      </c>
      <c r="F2207" s="221">
        <v>4.2227333682915926</v>
      </c>
      <c r="G2207" s="222" t="s">
        <v>2942</v>
      </c>
    </row>
    <row r="2208" spans="1:7">
      <c r="A2208" s="220" t="s">
        <v>1439</v>
      </c>
      <c r="B2208" s="221">
        <v>0</v>
      </c>
      <c r="C2208" s="221">
        <v>610</v>
      </c>
      <c r="D2208" s="221">
        <v>25.25</v>
      </c>
      <c r="E2208" s="221">
        <v>135.16096070197449</v>
      </c>
      <c r="F2208" s="221">
        <v>4.2227333682915926</v>
      </c>
      <c r="G2208" s="222" t="s">
        <v>2942</v>
      </c>
    </row>
    <row r="2209" spans="1:7">
      <c r="A2209" s="220" t="s">
        <v>1440</v>
      </c>
      <c r="B2209" s="221">
        <v>0</v>
      </c>
      <c r="C2209" s="221">
        <v>780</v>
      </c>
      <c r="D2209" s="221">
        <v>25.25</v>
      </c>
      <c r="E2209" s="221">
        <v>159.70396070197449</v>
      </c>
      <c r="F2209" s="221">
        <v>4.2227333682915926</v>
      </c>
      <c r="G2209" s="222" t="s">
        <v>2942</v>
      </c>
    </row>
    <row r="2210" spans="1:7">
      <c r="A2210" s="220" t="s">
        <v>1441</v>
      </c>
      <c r="B2210" s="221">
        <v>0</v>
      </c>
      <c r="C2210" s="221">
        <v>820</v>
      </c>
      <c r="D2210" s="221">
        <v>25.25</v>
      </c>
      <c r="E2210" s="221">
        <v>188.33746070197449</v>
      </c>
      <c r="F2210" s="221">
        <v>4.2227333682915926</v>
      </c>
      <c r="G2210" s="222" t="s">
        <v>2942</v>
      </c>
    </row>
    <row r="2211" spans="1:7">
      <c r="A2211" s="220" t="s">
        <v>1442</v>
      </c>
      <c r="B2211" s="221">
        <v>0</v>
      </c>
      <c r="C2211" s="221">
        <v>845</v>
      </c>
      <c r="D2211" s="221">
        <v>25.25</v>
      </c>
      <c r="E2211" s="221">
        <v>208.78996070197451</v>
      </c>
      <c r="F2211" s="221">
        <v>4.2227333682915926</v>
      </c>
      <c r="G2211" s="222" t="s">
        <v>2942</v>
      </c>
    </row>
    <row r="2212" spans="1:7">
      <c r="A2212" s="220" t="s">
        <v>1443</v>
      </c>
      <c r="B2212" s="221">
        <v>0</v>
      </c>
      <c r="C2212" s="221">
        <v>1040</v>
      </c>
      <c r="D2212" s="221">
        <v>25.25</v>
      </c>
      <c r="E2212" s="221">
        <v>249.69496070197451</v>
      </c>
      <c r="F2212" s="221">
        <v>4.2227333682915926</v>
      </c>
      <c r="G2212" s="222" t="s">
        <v>2942</v>
      </c>
    </row>
    <row r="2213" spans="1:7">
      <c r="A2213" s="220" t="s">
        <v>1444</v>
      </c>
      <c r="B2213" s="221">
        <v>0</v>
      </c>
      <c r="C2213" s="221">
        <v>1165</v>
      </c>
      <c r="D2213" s="221">
        <v>25.25</v>
      </c>
      <c r="E2213" s="221">
        <v>290.59996070197451</v>
      </c>
      <c r="F2213" s="221">
        <v>4.2227333682915926</v>
      </c>
      <c r="G2213" s="222" t="s">
        <v>2942</v>
      </c>
    </row>
    <row r="2214" spans="1:7">
      <c r="A2214" s="220" t="s">
        <v>1445</v>
      </c>
      <c r="B2214" s="221">
        <v>0</v>
      </c>
      <c r="C2214" s="221">
        <v>1250</v>
      </c>
      <c r="D2214" s="221">
        <v>25.25</v>
      </c>
      <c r="E2214" s="221">
        <v>351.95746070197453</v>
      </c>
      <c r="F2214" s="221">
        <v>4.2227333682915926</v>
      </c>
      <c r="G2214" s="222" t="s">
        <v>2942</v>
      </c>
    </row>
    <row r="2215" spans="1:7">
      <c r="A2215" s="220" t="s">
        <v>1446</v>
      </c>
      <c r="B2215" s="221">
        <v>0</v>
      </c>
      <c r="C2215" s="221">
        <v>1360</v>
      </c>
      <c r="D2215" s="221">
        <v>25.25</v>
      </c>
      <c r="E2215" s="221">
        <v>392.8624607019745</v>
      </c>
      <c r="F2215" s="221">
        <v>4.2227333682915926</v>
      </c>
      <c r="G2215" s="222" t="s">
        <v>2942</v>
      </c>
    </row>
    <row r="2216" spans="1:7">
      <c r="A2216" s="220" t="s">
        <v>1447</v>
      </c>
      <c r="B2216" s="221">
        <v>0</v>
      </c>
      <c r="C2216" s="221">
        <v>1405</v>
      </c>
      <c r="D2216" s="221">
        <v>25.25</v>
      </c>
      <c r="E2216" s="221">
        <v>433.76746070197453</v>
      </c>
      <c r="F2216" s="221">
        <v>4.2227333682915926</v>
      </c>
      <c r="G2216" s="222" t="s">
        <v>2942</v>
      </c>
    </row>
    <row r="2217" spans="1:7">
      <c r="A2217" s="220" t="s">
        <v>1448</v>
      </c>
      <c r="B2217" s="221">
        <v>0</v>
      </c>
      <c r="C2217" s="221">
        <v>179</v>
      </c>
      <c r="D2217" s="221">
        <v>25.25</v>
      </c>
      <c r="E2217" s="221">
        <v>25.744623209728214</v>
      </c>
      <c r="F2217" s="221">
        <v>6.8597259502259522</v>
      </c>
      <c r="G2217" s="222" t="s">
        <v>2942</v>
      </c>
    </row>
    <row r="2218" spans="1:7">
      <c r="A2218" s="220" t="s">
        <v>1449</v>
      </c>
      <c r="B2218" s="221">
        <v>0</v>
      </c>
      <c r="C2218" s="221">
        <v>179</v>
      </c>
      <c r="D2218" s="221">
        <v>25.25</v>
      </c>
      <c r="E2218" s="221">
        <v>29.017023209728215</v>
      </c>
      <c r="F2218" s="221">
        <v>6.8597259502259522</v>
      </c>
      <c r="G2218" s="222" t="s">
        <v>2942</v>
      </c>
    </row>
    <row r="2219" spans="1:7">
      <c r="A2219" s="220" t="s">
        <v>1450</v>
      </c>
      <c r="B2219" s="221">
        <v>0</v>
      </c>
      <c r="C2219" s="221">
        <v>189</v>
      </c>
      <c r="D2219" s="221">
        <v>25.25</v>
      </c>
      <c r="E2219" s="221">
        <v>42.924723209728214</v>
      </c>
      <c r="F2219" s="221">
        <v>6.8597259502259522</v>
      </c>
      <c r="G2219" s="222" t="s">
        <v>2942</v>
      </c>
    </row>
    <row r="2220" spans="1:7">
      <c r="A2220" s="220" t="s">
        <v>1451</v>
      </c>
      <c r="B2220" s="221">
        <v>0</v>
      </c>
      <c r="C2220" s="221">
        <v>385</v>
      </c>
      <c r="D2220" s="221">
        <v>25.25</v>
      </c>
      <c r="E2220" s="221">
        <v>60.922923209728211</v>
      </c>
      <c r="F2220" s="221">
        <v>6.8597259502259522</v>
      </c>
      <c r="G2220" s="222" t="s">
        <v>2942</v>
      </c>
    </row>
    <row r="2221" spans="1:7">
      <c r="A2221" s="220" t="s">
        <v>1452</v>
      </c>
      <c r="B2221" s="221">
        <v>0</v>
      </c>
      <c r="C2221" s="221">
        <v>385</v>
      </c>
      <c r="D2221" s="221">
        <v>25.25</v>
      </c>
      <c r="E2221" s="221">
        <v>65.831523209728218</v>
      </c>
      <c r="F2221" s="221">
        <v>6.8597259502259522</v>
      </c>
      <c r="G2221" s="222" t="s">
        <v>2942</v>
      </c>
    </row>
    <row r="2222" spans="1:7">
      <c r="A2222" s="220" t="s">
        <v>1453</v>
      </c>
      <c r="B2222" s="221">
        <v>0</v>
      </c>
      <c r="C2222" s="221">
        <v>545</v>
      </c>
      <c r="D2222" s="221">
        <v>25.25</v>
      </c>
      <c r="E2222" s="221">
        <v>70.74012320972821</v>
      </c>
      <c r="F2222" s="221">
        <v>6.8597259502259522</v>
      </c>
      <c r="G2222" s="222" t="s">
        <v>2942</v>
      </c>
    </row>
    <row r="2223" spans="1:7">
      <c r="A2223" s="220" t="s">
        <v>1454</v>
      </c>
      <c r="B2223" s="221">
        <v>0</v>
      </c>
      <c r="C2223" s="221">
        <v>655</v>
      </c>
      <c r="D2223" s="221">
        <v>25.25</v>
      </c>
      <c r="E2223" s="221">
        <v>74.830623209728216</v>
      </c>
      <c r="F2223" s="221">
        <v>6.8597259502259522</v>
      </c>
      <c r="G2223" s="222" t="s">
        <v>2942</v>
      </c>
    </row>
    <row r="2224" spans="1:7">
      <c r="A2224" s="220" t="s">
        <v>1455</v>
      </c>
      <c r="B2224" s="221">
        <v>0</v>
      </c>
      <c r="C2224" s="221">
        <v>715</v>
      </c>
      <c r="D2224" s="221">
        <v>25.25</v>
      </c>
      <c r="E2224" s="221">
        <v>79.739223209728209</v>
      </c>
      <c r="F2224" s="221">
        <v>6.8597259502259522</v>
      </c>
      <c r="G2224" s="222" t="s">
        <v>2942</v>
      </c>
    </row>
    <row r="2225" spans="1:7">
      <c r="A2225" s="220" t="s">
        <v>1456</v>
      </c>
      <c r="B2225" s="221">
        <v>0</v>
      </c>
      <c r="C2225" s="221">
        <v>790</v>
      </c>
      <c r="D2225" s="221">
        <v>25.25</v>
      </c>
      <c r="E2225" s="221">
        <v>105.10032320972822</v>
      </c>
      <c r="F2225" s="221">
        <v>6.8597259502259522</v>
      </c>
      <c r="G2225" s="222" t="s">
        <v>2942</v>
      </c>
    </row>
    <row r="2226" spans="1:7">
      <c r="A2226" s="220" t="s">
        <v>1457</v>
      </c>
      <c r="B2226" s="221">
        <v>0</v>
      </c>
      <c r="C2226" s="221">
        <v>865</v>
      </c>
      <c r="D2226" s="221">
        <v>25.25</v>
      </c>
      <c r="E2226" s="221">
        <v>113.28132320972821</v>
      </c>
      <c r="F2226" s="221">
        <v>6.8597259502259522</v>
      </c>
      <c r="G2226" s="222" t="s">
        <v>2942</v>
      </c>
    </row>
    <row r="2227" spans="1:7">
      <c r="A2227" s="220" t="s">
        <v>1458</v>
      </c>
      <c r="B2227" s="221">
        <v>0</v>
      </c>
      <c r="C2227" s="221">
        <v>970</v>
      </c>
      <c r="D2227" s="221">
        <v>25.25</v>
      </c>
      <c r="E2227" s="221">
        <v>137.82432320972822</v>
      </c>
      <c r="F2227" s="221">
        <v>6.8597259502259522</v>
      </c>
      <c r="G2227" s="222" t="s">
        <v>2942</v>
      </c>
    </row>
    <row r="2228" spans="1:7">
      <c r="A2228" s="220" t="s">
        <v>1459</v>
      </c>
      <c r="B2228" s="221">
        <v>0</v>
      </c>
      <c r="C2228" s="221">
        <v>1155</v>
      </c>
      <c r="D2228" s="221">
        <v>25.25</v>
      </c>
      <c r="E2228" s="221">
        <v>162.36732320972823</v>
      </c>
      <c r="F2228" s="221">
        <v>6.8597259502259522</v>
      </c>
      <c r="G2228" s="222" t="s">
        <v>2942</v>
      </c>
    </row>
    <row r="2229" spans="1:7">
      <c r="A2229" s="220" t="s">
        <v>1460</v>
      </c>
      <c r="B2229" s="221">
        <v>0</v>
      </c>
      <c r="C2229" s="221">
        <v>1230</v>
      </c>
      <c r="D2229" s="221">
        <v>25.25</v>
      </c>
      <c r="E2229" s="221">
        <v>191.00082320972822</v>
      </c>
      <c r="F2229" s="221">
        <v>6.8597259502259522</v>
      </c>
      <c r="G2229" s="222" t="s">
        <v>2942</v>
      </c>
    </row>
    <row r="2230" spans="1:7">
      <c r="A2230" s="220" t="s">
        <v>1461</v>
      </c>
      <c r="B2230" s="221">
        <v>0</v>
      </c>
      <c r="C2230" s="221">
        <v>1280</v>
      </c>
      <c r="D2230" s="221">
        <v>25.25</v>
      </c>
      <c r="E2230" s="221">
        <v>211.45332320972821</v>
      </c>
      <c r="F2230" s="221">
        <v>6.8597259502259522</v>
      </c>
      <c r="G2230" s="222" t="s">
        <v>2942</v>
      </c>
    </row>
    <row r="2231" spans="1:7">
      <c r="A2231" s="220" t="s">
        <v>1462</v>
      </c>
      <c r="B2231" s="221">
        <v>0</v>
      </c>
      <c r="C2231" s="221">
        <v>1560</v>
      </c>
      <c r="D2231" s="221">
        <v>25.25</v>
      </c>
      <c r="E2231" s="221">
        <v>252.35832320972821</v>
      </c>
      <c r="F2231" s="221">
        <v>6.8597259502259522</v>
      </c>
      <c r="G2231" s="222" t="s">
        <v>2942</v>
      </c>
    </row>
    <row r="2232" spans="1:7">
      <c r="A2232" s="220" t="s">
        <v>1463</v>
      </c>
      <c r="B2232" s="221">
        <v>0</v>
      </c>
      <c r="C2232" s="221">
        <v>1640</v>
      </c>
      <c r="D2232" s="221">
        <v>25.25</v>
      </c>
      <c r="E2232" s="221">
        <v>293.26332320972818</v>
      </c>
      <c r="F2232" s="221">
        <v>6.8597259502259522</v>
      </c>
      <c r="G2232" s="222" t="s">
        <v>2942</v>
      </c>
    </row>
    <row r="2233" spans="1:7">
      <c r="A2233" s="220" t="s">
        <v>1464</v>
      </c>
      <c r="B2233" s="221">
        <v>0</v>
      </c>
      <c r="C2233" s="221">
        <v>1880</v>
      </c>
      <c r="D2233" s="221">
        <v>25.25</v>
      </c>
      <c r="E2233" s="221">
        <v>354.6208232097282</v>
      </c>
      <c r="F2233" s="221">
        <v>6.8597259502259522</v>
      </c>
      <c r="G2233" s="222" t="s">
        <v>2942</v>
      </c>
    </row>
    <row r="2234" spans="1:7">
      <c r="A2234" s="220" t="s">
        <v>1465</v>
      </c>
      <c r="B2234" s="221">
        <v>0</v>
      </c>
      <c r="C2234" s="221">
        <v>2025</v>
      </c>
      <c r="D2234" s="221">
        <v>25.25</v>
      </c>
      <c r="E2234" s="221">
        <v>395.52582320972817</v>
      </c>
      <c r="F2234" s="221">
        <v>6.8597259502259522</v>
      </c>
      <c r="G2234" s="222" t="s">
        <v>2942</v>
      </c>
    </row>
    <row r="2235" spans="1:7">
      <c r="A2235" s="220" t="s">
        <v>1466</v>
      </c>
      <c r="B2235" s="221">
        <v>0</v>
      </c>
      <c r="C2235" s="221">
        <v>2145</v>
      </c>
      <c r="D2235" s="221">
        <v>25.25</v>
      </c>
      <c r="E2235" s="221">
        <v>436.4308232097282</v>
      </c>
      <c r="F2235" s="221">
        <v>6.8597259502259522</v>
      </c>
      <c r="G2235" s="222" t="s">
        <v>2942</v>
      </c>
    </row>
    <row r="2236" spans="1:7">
      <c r="A2236" s="220" t="s">
        <v>1695</v>
      </c>
      <c r="B2236" s="221">
        <v>0</v>
      </c>
      <c r="C2236" s="221">
        <v>70</v>
      </c>
      <c r="D2236" s="221">
        <v>25.250000000000004</v>
      </c>
      <c r="E2236" s="221">
        <v>27.989860701974511</v>
      </c>
      <c r="F2236" s="221">
        <v>4.2227333682915926</v>
      </c>
      <c r="G2236" s="222" t="s">
        <v>2942</v>
      </c>
    </row>
    <row r="2237" spans="1:7">
      <c r="A2237" s="220" t="s">
        <v>1696</v>
      </c>
      <c r="B2237" s="221">
        <v>0</v>
      </c>
      <c r="C2237" s="221">
        <v>70</v>
      </c>
      <c r="D2237" s="221">
        <v>25.250000000000004</v>
      </c>
      <c r="E2237" s="221">
        <v>31.262260701974505</v>
      </c>
      <c r="F2237" s="221">
        <v>4.2227333682915926</v>
      </c>
      <c r="G2237" s="222" t="s">
        <v>2942</v>
      </c>
    </row>
    <row r="2238" spans="1:7">
      <c r="A2238" s="220" t="s">
        <v>1697</v>
      </c>
      <c r="B2238" s="221">
        <v>0</v>
      </c>
      <c r="C2238" s="221">
        <v>80</v>
      </c>
      <c r="D2238" s="221">
        <v>25.250000000000004</v>
      </c>
      <c r="E2238" s="221">
        <v>35.35276070197451</v>
      </c>
      <c r="F2238" s="221">
        <v>4.2227333682915926</v>
      </c>
      <c r="G2238" s="222" t="s">
        <v>2942</v>
      </c>
    </row>
    <row r="2239" spans="1:7">
      <c r="A2239" s="220" t="s">
        <v>1698</v>
      </c>
      <c r="B2239" s="221">
        <v>0</v>
      </c>
      <c r="C2239" s="221">
        <v>90</v>
      </c>
      <c r="D2239" s="221">
        <v>25.250000000000004</v>
      </c>
      <c r="E2239" s="221">
        <v>35.35276070197451</v>
      </c>
      <c r="F2239" s="221">
        <v>4.2227333682915926</v>
      </c>
      <c r="G2239" s="222" t="s">
        <v>2942</v>
      </c>
    </row>
    <row r="2240" spans="1:7">
      <c r="A2240" s="220" t="s">
        <v>1699</v>
      </c>
      <c r="B2240" s="221">
        <v>0</v>
      </c>
      <c r="C2240" s="221">
        <v>90</v>
      </c>
      <c r="D2240" s="221">
        <v>25.250000000000004</v>
      </c>
      <c r="E2240" s="221">
        <v>35.35276070197451</v>
      </c>
      <c r="F2240" s="221">
        <v>4.2227333682915926</v>
      </c>
      <c r="G2240" s="222" t="s">
        <v>2942</v>
      </c>
    </row>
    <row r="2241" spans="1:7">
      <c r="A2241" s="220" t="s">
        <v>1700</v>
      </c>
      <c r="B2241" s="221">
        <v>0</v>
      </c>
      <c r="C2241" s="221">
        <v>95</v>
      </c>
      <c r="D2241" s="221">
        <v>25.250000000000004</v>
      </c>
      <c r="E2241" s="221">
        <v>35.35276070197451</v>
      </c>
      <c r="F2241" s="221">
        <v>4.2227333682915926</v>
      </c>
      <c r="G2241" s="222" t="s">
        <v>2942</v>
      </c>
    </row>
    <row r="2242" spans="1:7">
      <c r="A2242" s="220" t="s">
        <v>1701</v>
      </c>
      <c r="B2242" s="221">
        <v>0</v>
      </c>
      <c r="C2242" s="221">
        <v>100</v>
      </c>
      <c r="D2242" s="221">
        <v>25.250000000000004</v>
      </c>
      <c r="E2242" s="221">
        <v>35.35276070197451</v>
      </c>
      <c r="F2242" s="221">
        <v>4.2227333682915926</v>
      </c>
      <c r="G2242" s="222" t="s">
        <v>2942</v>
      </c>
    </row>
    <row r="2243" spans="1:7">
      <c r="A2243" s="220" t="s">
        <v>1702</v>
      </c>
      <c r="B2243" s="221">
        <v>0</v>
      </c>
      <c r="C2243" s="221">
        <v>115</v>
      </c>
      <c r="D2243" s="221">
        <v>25.250000000000004</v>
      </c>
      <c r="E2243" s="221">
        <v>35.35276070197451</v>
      </c>
      <c r="F2243" s="221">
        <v>4.2227333682915926</v>
      </c>
      <c r="G2243" s="222" t="s">
        <v>2942</v>
      </c>
    </row>
    <row r="2244" spans="1:7">
      <c r="A2244" s="220" t="s">
        <v>1703</v>
      </c>
      <c r="B2244" s="221">
        <v>0</v>
      </c>
      <c r="C2244" s="221">
        <v>120</v>
      </c>
      <c r="D2244" s="221">
        <v>25.250000000000004</v>
      </c>
      <c r="E2244" s="221">
        <v>40.26136070197451</v>
      </c>
      <c r="F2244" s="221">
        <v>4.2227333682915926</v>
      </c>
      <c r="G2244" s="222" t="s">
        <v>2942</v>
      </c>
    </row>
    <row r="2245" spans="1:7">
      <c r="A2245" s="220" t="s">
        <v>1704</v>
      </c>
      <c r="B2245" s="221">
        <v>0</v>
      </c>
      <c r="C2245" s="221">
        <v>130</v>
      </c>
      <c r="D2245" s="221">
        <v>25.250000000000004</v>
      </c>
      <c r="E2245" s="221">
        <v>49.260460701974516</v>
      </c>
      <c r="F2245" s="221">
        <v>4.2227333682915926</v>
      </c>
      <c r="G2245" s="222" t="s">
        <v>2942</v>
      </c>
    </row>
    <row r="2246" spans="1:7">
      <c r="A2246" s="220" t="s">
        <v>1705</v>
      </c>
      <c r="B2246" s="221">
        <v>0</v>
      </c>
      <c r="C2246" s="221">
        <v>145</v>
      </c>
      <c r="D2246" s="221">
        <v>25.250000000000004</v>
      </c>
      <c r="E2246" s="221">
        <v>53.350960701974508</v>
      </c>
      <c r="F2246" s="221">
        <v>4.2227333682915926</v>
      </c>
      <c r="G2246" s="222" t="s">
        <v>2942</v>
      </c>
    </row>
    <row r="2247" spans="1:7">
      <c r="A2247" s="220" t="s">
        <v>1706</v>
      </c>
      <c r="B2247" s="221">
        <v>0</v>
      </c>
      <c r="C2247" s="221">
        <v>175</v>
      </c>
      <c r="D2247" s="221">
        <v>25.250000000000004</v>
      </c>
      <c r="E2247" s="221">
        <v>69.712960701974509</v>
      </c>
      <c r="F2247" s="221">
        <v>4.2227333682915926</v>
      </c>
      <c r="G2247" s="222" t="s">
        <v>2942</v>
      </c>
    </row>
    <row r="2248" spans="1:7">
      <c r="A2248" s="220" t="s">
        <v>1707</v>
      </c>
      <c r="B2248" s="221">
        <v>0</v>
      </c>
      <c r="C2248" s="221">
        <v>210</v>
      </c>
      <c r="D2248" s="221">
        <v>25.250000000000004</v>
      </c>
      <c r="E2248" s="221">
        <v>86.074960701974504</v>
      </c>
      <c r="F2248" s="221">
        <v>4.2227333682915926</v>
      </c>
      <c r="G2248" s="222" t="s">
        <v>2942</v>
      </c>
    </row>
    <row r="2249" spans="1:7">
      <c r="A2249" s="220" t="s">
        <v>1708</v>
      </c>
      <c r="B2249" s="221">
        <v>0</v>
      </c>
      <c r="C2249" s="221">
        <v>230</v>
      </c>
      <c r="D2249" s="221">
        <v>25.250000000000004</v>
      </c>
      <c r="E2249" s="221">
        <v>94.255960701974502</v>
      </c>
      <c r="F2249" s="221">
        <v>4.2227333682915926</v>
      </c>
      <c r="G2249" s="222" t="s">
        <v>2942</v>
      </c>
    </row>
    <row r="2250" spans="1:7">
      <c r="A2250" s="220" t="s">
        <v>1709</v>
      </c>
      <c r="B2250" s="221">
        <v>0</v>
      </c>
      <c r="C2250" s="221">
        <v>285</v>
      </c>
      <c r="D2250" s="221">
        <v>25.250000000000004</v>
      </c>
      <c r="E2250" s="221">
        <v>135.16096070197449</v>
      </c>
      <c r="F2250" s="221">
        <v>4.2227333682915926</v>
      </c>
      <c r="G2250" s="222" t="s">
        <v>2942</v>
      </c>
    </row>
    <row r="2251" spans="1:7">
      <c r="A2251" s="220" t="s">
        <v>1710</v>
      </c>
      <c r="B2251" s="221">
        <v>0</v>
      </c>
      <c r="C2251" s="221">
        <v>300</v>
      </c>
      <c r="D2251" s="221">
        <v>25.250000000000004</v>
      </c>
      <c r="E2251" s="221">
        <v>155.6134607019745</v>
      </c>
      <c r="F2251" s="221">
        <v>4.2227333682915926</v>
      </c>
      <c r="G2251" s="222" t="s">
        <v>2942</v>
      </c>
    </row>
    <row r="2252" spans="1:7">
      <c r="A2252" s="220" t="s">
        <v>1711</v>
      </c>
      <c r="B2252" s="221">
        <v>0</v>
      </c>
      <c r="C2252" s="221">
        <v>350</v>
      </c>
      <c r="D2252" s="221">
        <v>25.250000000000004</v>
      </c>
      <c r="E2252" s="221">
        <v>192.42796070197448</v>
      </c>
      <c r="F2252" s="221">
        <v>4.2227333682915926</v>
      </c>
      <c r="G2252" s="222" t="s">
        <v>2942</v>
      </c>
    </row>
    <row r="2253" spans="1:7">
      <c r="A2253" s="220" t="s">
        <v>1712</v>
      </c>
      <c r="B2253" s="221">
        <v>0</v>
      </c>
      <c r="C2253" s="221">
        <v>405</v>
      </c>
      <c r="D2253" s="221">
        <v>25.250000000000004</v>
      </c>
      <c r="E2253" s="221">
        <v>216.97096070197449</v>
      </c>
      <c r="F2253" s="221">
        <v>4.2227333682915926</v>
      </c>
      <c r="G2253" s="222" t="s">
        <v>2942</v>
      </c>
    </row>
    <row r="2254" spans="1:7">
      <c r="A2254" s="220" t="s">
        <v>1713</v>
      </c>
      <c r="B2254" s="221">
        <v>0</v>
      </c>
      <c r="C2254" s="221">
        <v>450</v>
      </c>
      <c r="D2254" s="221">
        <v>25.250000000000004</v>
      </c>
      <c r="E2254" s="221">
        <v>237.42346070197451</v>
      </c>
      <c r="F2254" s="221">
        <v>4.2227333682915926</v>
      </c>
      <c r="G2254" s="222" t="s">
        <v>2942</v>
      </c>
    </row>
    <row r="2255" spans="1:7">
      <c r="A2255" s="220" t="s">
        <v>1714</v>
      </c>
      <c r="B2255" s="221">
        <v>0</v>
      </c>
      <c r="C2255" s="221">
        <v>75</v>
      </c>
      <c r="D2255" s="221">
        <v>25.250000000000004</v>
      </c>
      <c r="E2255" s="221">
        <v>27.989860701974511</v>
      </c>
      <c r="F2255" s="221">
        <v>4.2227333682915926</v>
      </c>
      <c r="G2255" s="222" t="s">
        <v>2942</v>
      </c>
    </row>
    <row r="2256" spans="1:7">
      <c r="A2256" s="220" t="s">
        <v>1715</v>
      </c>
      <c r="B2256" s="221">
        <v>0</v>
      </c>
      <c r="C2256" s="221">
        <v>75</v>
      </c>
      <c r="D2256" s="221">
        <v>25.250000000000004</v>
      </c>
      <c r="E2256" s="221">
        <v>31.262260701974505</v>
      </c>
      <c r="F2256" s="221">
        <v>4.2227333682915926</v>
      </c>
      <c r="G2256" s="222" t="s">
        <v>2942</v>
      </c>
    </row>
    <row r="2257" spans="1:7">
      <c r="A2257" s="220" t="s">
        <v>1716</v>
      </c>
      <c r="B2257" s="221">
        <v>0</v>
      </c>
      <c r="C2257" s="221">
        <v>85</v>
      </c>
      <c r="D2257" s="221">
        <v>25.250000000000004</v>
      </c>
      <c r="E2257" s="221">
        <v>35.35276070197451</v>
      </c>
      <c r="F2257" s="221">
        <v>4.2227333682915926</v>
      </c>
      <c r="G2257" s="222" t="s">
        <v>2942</v>
      </c>
    </row>
    <row r="2258" spans="1:7">
      <c r="A2258" s="220" t="s">
        <v>1717</v>
      </c>
      <c r="B2258" s="221">
        <v>0</v>
      </c>
      <c r="C2258" s="221">
        <v>120</v>
      </c>
      <c r="D2258" s="221">
        <v>25.250000000000004</v>
      </c>
      <c r="E2258" s="221">
        <v>35.35276070197451</v>
      </c>
      <c r="F2258" s="221">
        <v>4.2227333682915926</v>
      </c>
      <c r="G2258" s="222" t="s">
        <v>2942</v>
      </c>
    </row>
    <row r="2259" spans="1:7">
      <c r="A2259" s="220" t="s">
        <v>1718</v>
      </c>
      <c r="B2259" s="221">
        <v>0</v>
      </c>
      <c r="C2259" s="221">
        <v>120</v>
      </c>
      <c r="D2259" s="221">
        <v>25.250000000000004</v>
      </c>
      <c r="E2259" s="221">
        <v>35.35276070197451</v>
      </c>
      <c r="F2259" s="221">
        <v>4.2227333682915926</v>
      </c>
      <c r="G2259" s="222" t="s">
        <v>2942</v>
      </c>
    </row>
    <row r="2260" spans="1:7">
      <c r="A2260" s="220" t="s">
        <v>1719</v>
      </c>
      <c r="B2260" s="221">
        <v>0</v>
      </c>
      <c r="C2260" s="221">
        <v>125</v>
      </c>
      <c r="D2260" s="221">
        <v>25.250000000000004</v>
      </c>
      <c r="E2260" s="221">
        <v>35.35276070197451</v>
      </c>
      <c r="F2260" s="221">
        <v>4.2227333682915926</v>
      </c>
      <c r="G2260" s="222" t="s">
        <v>2942</v>
      </c>
    </row>
    <row r="2261" spans="1:7">
      <c r="A2261" s="220" t="s">
        <v>1720</v>
      </c>
      <c r="B2261" s="221">
        <v>0</v>
      </c>
      <c r="C2261" s="221">
        <v>145</v>
      </c>
      <c r="D2261" s="221">
        <v>25.250000000000004</v>
      </c>
      <c r="E2261" s="221">
        <v>35.35276070197451</v>
      </c>
      <c r="F2261" s="221">
        <v>4.2227333682915926</v>
      </c>
      <c r="G2261" s="222" t="s">
        <v>2942</v>
      </c>
    </row>
    <row r="2262" spans="1:7">
      <c r="A2262" s="220" t="s">
        <v>1721</v>
      </c>
      <c r="B2262" s="221">
        <v>0</v>
      </c>
      <c r="C2262" s="221">
        <v>150</v>
      </c>
      <c r="D2262" s="221">
        <v>25.250000000000004</v>
      </c>
      <c r="E2262" s="221">
        <v>35.35276070197451</v>
      </c>
      <c r="F2262" s="221">
        <v>4.2227333682915926</v>
      </c>
      <c r="G2262" s="222" t="s">
        <v>2942</v>
      </c>
    </row>
    <row r="2263" spans="1:7">
      <c r="A2263" s="220" t="s">
        <v>1722</v>
      </c>
      <c r="B2263" s="221">
        <v>0</v>
      </c>
      <c r="C2263" s="221">
        <v>225</v>
      </c>
      <c r="D2263" s="221">
        <v>25.250000000000004</v>
      </c>
      <c r="E2263" s="221">
        <v>40.26136070197451</v>
      </c>
      <c r="F2263" s="221">
        <v>4.2227333682915926</v>
      </c>
      <c r="G2263" s="222" t="s">
        <v>2942</v>
      </c>
    </row>
    <row r="2264" spans="1:7">
      <c r="A2264" s="220" t="s">
        <v>1723</v>
      </c>
      <c r="B2264" s="221">
        <v>0</v>
      </c>
      <c r="C2264" s="221">
        <v>260</v>
      </c>
      <c r="D2264" s="221">
        <v>25.250000000000004</v>
      </c>
      <c r="E2264" s="221">
        <v>49.260460701974516</v>
      </c>
      <c r="F2264" s="221">
        <v>4.2227333682915926</v>
      </c>
      <c r="G2264" s="222" t="s">
        <v>2942</v>
      </c>
    </row>
    <row r="2265" spans="1:7">
      <c r="A2265" s="220" t="s">
        <v>1724</v>
      </c>
      <c r="B2265" s="221">
        <v>0</v>
      </c>
      <c r="C2265" s="221">
        <v>345</v>
      </c>
      <c r="D2265" s="221">
        <v>25.250000000000004</v>
      </c>
      <c r="E2265" s="221">
        <v>53.350960701974508</v>
      </c>
      <c r="F2265" s="221">
        <v>4.2227333682915926</v>
      </c>
      <c r="G2265" s="222" t="s">
        <v>2942</v>
      </c>
    </row>
    <row r="2266" spans="1:7">
      <c r="A2266" s="220" t="s">
        <v>1725</v>
      </c>
      <c r="B2266" s="221">
        <v>0</v>
      </c>
      <c r="C2266" s="221">
        <v>520</v>
      </c>
      <c r="D2266" s="221">
        <v>25.250000000000004</v>
      </c>
      <c r="E2266" s="221">
        <v>69.712960701974509</v>
      </c>
      <c r="F2266" s="221">
        <v>4.2227333682915926</v>
      </c>
      <c r="G2266" s="222" t="s">
        <v>2942</v>
      </c>
    </row>
    <row r="2267" spans="1:7">
      <c r="A2267" s="220" t="s">
        <v>1726</v>
      </c>
      <c r="B2267" s="221">
        <v>0</v>
      </c>
      <c r="C2267" s="221">
        <v>610</v>
      </c>
      <c r="D2267" s="221">
        <v>25.250000000000004</v>
      </c>
      <c r="E2267" s="221">
        <v>86.074960701974504</v>
      </c>
      <c r="F2267" s="221">
        <v>4.2227333682915926</v>
      </c>
      <c r="G2267" s="222" t="s">
        <v>2942</v>
      </c>
    </row>
    <row r="2268" spans="1:7">
      <c r="A2268" s="220" t="s">
        <v>1727</v>
      </c>
      <c r="B2268" s="221">
        <v>0</v>
      </c>
      <c r="C2268" s="221">
        <v>670</v>
      </c>
      <c r="D2268" s="221">
        <v>25.250000000000004</v>
      </c>
      <c r="E2268" s="221">
        <v>94.255960701974502</v>
      </c>
      <c r="F2268" s="221">
        <v>4.2227333682915926</v>
      </c>
      <c r="G2268" s="222" t="s">
        <v>2942</v>
      </c>
    </row>
    <row r="2269" spans="1:7">
      <c r="A2269" s="220" t="s">
        <v>1728</v>
      </c>
      <c r="B2269" s="221">
        <v>0</v>
      </c>
      <c r="C2269" s="221">
        <v>820</v>
      </c>
      <c r="D2269" s="221">
        <v>25.250000000000004</v>
      </c>
      <c r="E2269" s="221">
        <v>135.16096070197449</v>
      </c>
      <c r="F2269" s="221">
        <v>4.2227333682915926</v>
      </c>
      <c r="G2269" s="222" t="s">
        <v>2942</v>
      </c>
    </row>
    <row r="2270" spans="1:7">
      <c r="A2270" s="220" t="s">
        <v>1729</v>
      </c>
      <c r="B2270" s="221">
        <v>0</v>
      </c>
      <c r="C2270" s="221">
        <v>890</v>
      </c>
      <c r="D2270" s="221">
        <v>25.250000000000004</v>
      </c>
      <c r="E2270" s="221">
        <v>155.6134607019745</v>
      </c>
      <c r="F2270" s="221">
        <v>4.2227333682915926</v>
      </c>
      <c r="G2270" s="222" t="s">
        <v>2942</v>
      </c>
    </row>
    <row r="2271" spans="1:7">
      <c r="A2271" s="220" t="s">
        <v>1730</v>
      </c>
      <c r="B2271" s="221">
        <v>0</v>
      </c>
      <c r="C2271" s="221">
        <v>1020</v>
      </c>
      <c r="D2271" s="221">
        <v>25.250000000000004</v>
      </c>
      <c r="E2271" s="221">
        <v>192.42796070197448</v>
      </c>
      <c r="F2271" s="221">
        <v>4.2227333682915926</v>
      </c>
      <c r="G2271" s="222" t="s">
        <v>2942</v>
      </c>
    </row>
    <row r="2272" spans="1:7">
      <c r="A2272" s="220" t="s">
        <v>1731</v>
      </c>
      <c r="B2272" s="221">
        <v>0</v>
      </c>
      <c r="C2272" s="221">
        <v>1120</v>
      </c>
      <c r="D2272" s="221">
        <v>25.250000000000004</v>
      </c>
      <c r="E2272" s="221">
        <v>216.97096070197449</v>
      </c>
      <c r="F2272" s="221">
        <v>4.2227333682915926</v>
      </c>
      <c r="G2272" s="222" t="s">
        <v>2942</v>
      </c>
    </row>
    <row r="2273" spans="1:7">
      <c r="A2273" s="220" t="s">
        <v>1732</v>
      </c>
      <c r="B2273" s="221">
        <v>0</v>
      </c>
      <c r="C2273" s="221">
        <v>1185</v>
      </c>
      <c r="D2273" s="221">
        <v>25.250000000000004</v>
      </c>
      <c r="E2273" s="221">
        <v>237.42346070197451</v>
      </c>
      <c r="F2273" s="221">
        <v>4.2227333682915926</v>
      </c>
      <c r="G2273" s="222" t="s">
        <v>2942</v>
      </c>
    </row>
    <row r="2274" spans="1:7">
      <c r="A2274" s="220" t="s">
        <v>1733</v>
      </c>
      <c r="B2274" s="221">
        <v>0</v>
      </c>
      <c r="C2274" s="221">
        <v>80</v>
      </c>
      <c r="D2274" s="221">
        <v>25.250000000000004</v>
      </c>
      <c r="E2274" s="221">
        <v>30.65322320972821</v>
      </c>
      <c r="F2274" s="221">
        <v>6.8597259502259522</v>
      </c>
      <c r="G2274" s="222" t="s">
        <v>2942</v>
      </c>
    </row>
    <row r="2275" spans="1:7">
      <c r="A2275" s="220" t="s">
        <v>1734</v>
      </c>
      <c r="B2275" s="221">
        <v>0</v>
      </c>
      <c r="C2275" s="221">
        <v>80</v>
      </c>
      <c r="D2275" s="221">
        <v>25.250000000000004</v>
      </c>
      <c r="E2275" s="221">
        <v>33.925623209728208</v>
      </c>
      <c r="F2275" s="221">
        <v>6.8597259502259522</v>
      </c>
      <c r="G2275" s="222" t="s">
        <v>2942</v>
      </c>
    </row>
    <row r="2276" spans="1:7">
      <c r="A2276" s="220" t="s">
        <v>1735</v>
      </c>
      <c r="B2276" s="221">
        <v>0</v>
      </c>
      <c r="C2276" s="221">
        <v>90</v>
      </c>
      <c r="D2276" s="221">
        <v>25.250000000000004</v>
      </c>
      <c r="E2276" s="221">
        <v>38.016123209728214</v>
      </c>
      <c r="F2276" s="221">
        <v>6.8597259502259522</v>
      </c>
      <c r="G2276" s="222" t="s">
        <v>2942</v>
      </c>
    </row>
    <row r="2277" spans="1:7">
      <c r="A2277" s="220" t="s">
        <v>1736</v>
      </c>
      <c r="B2277" s="221">
        <v>0</v>
      </c>
      <c r="C2277" s="221">
        <v>150</v>
      </c>
      <c r="D2277" s="221">
        <v>25.250000000000004</v>
      </c>
      <c r="E2277" s="221">
        <v>38.016123209728214</v>
      </c>
      <c r="F2277" s="221">
        <v>6.8597259502259522</v>
      </c>
      <c r="G2277" s="222" t="s">
        <v>2942</v>
      </c>
    </row>
    <row r="2278" spans="1:7">
      <c r="A2278" s="220" t="s">
        <v>1737</v>
      </c>
      <c r="B2278" s="221">
        <v>0</v>
      </c>
      <c r="C2278" s="221">
        <v>150</v>
      </c>
      <c r="D2278" s="221">
        <v>25.250000000000004</v>
      </c>
      <c r="E2278" s="221">
        <v>38.016123209728214</v>
      </c>
      <c r="F2278" s="221">
        <v>6.8597259502259522</v>
      </c>
      <c r="G2278" s="222" t="s">
        <v>2942</v>
      </c>
    </row>
    <row r="2279" spans="1:7">
      <c r="A2279" s="220" t="s">
        <v>1738</v>
      </c>
      <c r="B2279" s="221">
        <v>0</v>
      </c>
      <c r="C2279" s="221">
        <v>155</v>
      </c>
      <c r="D2279" s="221">
        <v>25.250000000000004</v>
      </c>
      <c r="E2279" s="221">
        <v>38.016123209728214</v>
      </c>
      <c r="F2279" s="221">
        <v>6.8597259502259522</v>
      </c>
      <c r="G2279" s="222" t="s">
        <v>2942</v>
      </c>
    </row>
    <row r="2280" spans="1:7">
      <c r="A2280" s="220" t="s">
        <v>1739</v>
      </c>
      <c r="B2280" s="221">
        <v>0</v>
      </c>
      <c r="C2280" s="221">
        <v>215</v>
      </c>
      <c r="D2280" s="221">
        <v>25.250000000000004</v>
      </c>
      <c r="E2280" s="221">
        <v>38.016123209728214</v>
      </c>
      <c r="F2280" s="221">
        <v>6.8597259502259522</v>
      </c>
      <c r="G2280" s="222" t="s">
        <v>2942</v>
      </c>
    </row>
    <row r="2281" spans="1:7">
      <c r="A2281" s="220" t="s">
        <v>1740</v>
      </c>
      <c r="B2281" s="221">
        <v>0</v>
      </c>
      <c r="C2281" s="221">
        <v>240</v>
      </c>
      <c r="D2281" s="221">
        <v>25.250000000000004</v>
      </c>
      <c r="E2281" s="221">
        <v>38.016123209728214</v>
      </c>
      <c r="F2281" s="221">
        <v>6.8597259502259522</v>
      </c>
      <c r="G2281" s="222" t="s">
        <v>2942</v>
      </c>
    </row>
    <row r="2282" spans="1:7">
      <c r="A2282" s="220" t="s">
        <v>1741</v>
      </c>
      <c r="B2282" s="221">
        <v>0</v>
      </c>
      <c r="C2282" s="221">
        <v>340</v>
      </c>
      <c r="D2282" s="221">
        <v>25.250000000000004</v>
      </c>
      <c r="E2282" s="221">
        <v>42.924723209728214</v>
      </c>
      <c r="F2282" s="221">
        <v>6.8597259502259522</v>
      </c>
      <c r="G2282" s="222" t="s">
        <v>2942</v>
      </c>
    </row>
    <row r="2283" spans="1:7">
      <c r="A2283" s="220" t="s">
        <v>1742</v>
      </c>
      <c r="B2283" s="221">
        <v>0</v>
      </c>
      <c r="C2283" s="221">
        <v>395</v>
      </c>
      <c r="D2283" s="221">
        <v>25.250000000000004</v>
      </c>
      <c r="E2283" s="221">
        <v>51.923823209728212</v>
      </c>
      <c r="F2283" s="221">
        <v>6.8597259502259522</v>
      </c>
      <c r="G2283" s="222" t="s">
        <v>2942</v>
      </c>
    </row>
    <row r="2284" spans="1:7">
      <c r="A2284" s="220" t="s">
        <v>1743</v>
      </c>
      <c r="B2284" s="221">
        <v>0</v>
      </c>
      <c r="C2284" s="221">
        <v>525</v>
      </c>
      <c r="D2284" s="221">
        <v>25.250000000000004</v>
      </c>
      <c r="E2284" s="221">
        <v>56.014323209728211</v>
      </c>
      <c r="F2284" s="221">
        <v>6.8597259502259522</v>
      </c>
      <c r="G2284" s="222" t="s">
        <v>2942</v>
      </c>
    </row>
    <row r="2285" spans="1:7">
      <c r="A2285" s="220" t="s">
        <v>1744</v>
      </c>
      <c r="B2285" s="221">
        <v>0</v>
      </c>
      <c r="C2285" s="221">
        <v>785</v>
      </c>
      <c r="D2285" s="221">
        <v>25.250000000000004</v>
      </c>
      <c r="E2285" s="221">
        <v>72.376323209728213</v>
      </c>
      <c r="F2285" s="221">
        <v>6.8597259502259522</v>
      </c>
      <c r="G2285" s="222" t="s">
        <v>2942</v>
      </c>
    </row>
    <row r="2286" spans="1:7">
      <c r="A2286" s="220" t="s">
        <v>1745</v>
      </c>
      <c r="B2286" s="221">
        <v>0</v>
      </c>
      <c r="C2286" s="221">
        <v>920</v>
      </c>
      <c r="D2286" s="221">
        <v>25.250000000000004</v>
      </c>
      <c r="E2286" s="221">
        <v>88.738323209728208</v>
      </c>
      <c r="F2286" s="221">
        <v>6.8597259502259522</v>
      </c>
      <c r="G2286" s="222" t="s">
        <v>2942</v>
      </c>
    </row>
    <row r="2287" spans="1:7">
      <c r="A2287" s="220" t="s">
        <v>1746</v>
      </c>
      <c r="B2287" s="221">
        <v>0</v>
      </c>
      <c r="C2287" s="221">
        <v>1005</v>
      </c>
      <c r="D2287" s="221">
        <v>25.250000000000004</v>
      </c>
      <c r="E2287" s="221">
        <v>96.919323209728205</v>
      </c>
      <c r="F2287" s="221">
        <v>6.8597259502259522</v>
      </c>
      <c r="G2287" s="222" t="s">
        <v>2942</v>
      </c>
    </row>
    <row r="2288" spans="1:7">
      <c r="A2288" s="220" t="s">
        <v>1747</v>
      </c>
      <c r="B2288" s="221">
        <v>0</v>
      </c>
      <c r="C2288" s="221">
        <v>1230</v>
      </c>
      <c r="D2288" s="221">
        <v>25.250000000000004</v>
      </c>
      <c r="E2288" s="221">
        <v>137.82432320972822</v>
      </c>
      <c r="F2288" s="221">
        <v>6.8597259502259522</v>
      </c>
      <c r="G2288" s="222" t="s">
        <v>2942</v>
      </c>
    </row>
    <row r="2289" spans="1:7">
      <c r="A2289" s="220" t="s">
        <v>1748</v>
      </c>
      <c r="B2289" s="221">
        <v>0</v>
      </c>
      <c r="C2289" s="221">
        <v>1330</v>
      </c>
      <c r="D2289" s="221">
        <v>25.250000000000004</v>
      </c>
      <c r="E2289" s="221">
        <v>158.27682320972821</v>
      </c>
      <c r="F2289" s="221">
        <v>6.8597259502259522</v>
      </c>
      <c r="G2289" s="222" t="s">
        <v>2942</v>
      </c>
    </row>
    <row r="2290" spans="1:7">
      <c r="A2290" s="220" t="s">
        <v>1749</v>
      </c>
      <c r="B2290" s="221">
        <v>0</v>
      </c>
      <c r="C2290" s="221">
        <v>1530</v>
      </c>
      <c r="D2290" s="221">
        <v>25.250000000000004</v>
      </c>
      <c r="E2290" s="221">
        <v>195.09132320972822</v>
      </c>
      <c r="F2290" s="221">
        <v>6.8597259502259522</v>
      </c>
      <c r="G2290" s="222" t="s">
        <v>2942</v>
      </c>
    </row>
    <row r="2291" spans="1:7">
      <c r="A2291" s="220" t="s">
        <v>1750</v>
      </c>
      <c r="B2291" s="221">
        <v>0</v>
      </c>
      <c r="C2291" s="221">
        <v>1680</v>
      </c>
      <c r="D2291" s="221">
        <v>25.250000000000004</v>
      </c>
      <c r="E2291" s="221">
        <v>219.63432320972822</v>
      </c>
      <c r="F2291" s="221">
        <v>6.8597259502259522</v>
      </c>
      <c r="G2291" s="222" t="s">
        <v>2942</v>
      </c>
    </row>
    <row r="2292" spans="1:7">
      <c r="A2292" s="220" t="s">
        <v>1751</v>
      </c>
      <c r="B2292" s="221">
        <v>0</v>
      </c>
      <c r="C2292" s="221">
        <v>1775</v>
      </c>
      <c r="D2292" s="221">
        <v>25.250000000000004</v>
      </c>
      <c r="E2292" s="221">
        <v>240.08682320972821</v>
      </c>
      <c r="F2292" s="221">
        <v>6.8597259502259522</v>
      </c>
      <c r="G2292" s="222" t="s">
        <v>2942</v>
      </c>
    </row>
    <row r="2293" spans="1:7">
      <c r="A2293" s="220" t="s">
        <v>1752</v>
      </c>
      <c r="B2293" s="221">
        <v>0</v>
      </c>
      <c r="C2293" s="221">
        <v>95</v>
      </c>
      <c r="D2293" s="221">
        <v>25.250000000000004</v>
      </c>
      <c r="E2293" s="221">
        <v>23.081260701974507</v>
      </c>
      <c r="F2293" s="221">
        <v>4.2227333682915926</v>
      </c>
      <c r="G2293" s="222" t="s">
        <v>2942</v>
      </c>
    </row>
    <row r="2294" spans="1:7">
      <c r="A2294" s="220" t="s">
        <v>1753</v>
      </c>
      <c r="B2294" s="221">
        <v>0</v>
      </c>
      <c r="C2294" s="221">
        <v>95</v>
      </c>
      <c r="D2294" s="221">
        <v>25.250000000000004</v>
      </c>
      <c r="E2294" s="221">
        <v>26.353660701974508</v>
      </c>
      <c r="F2294" s="221">
        <v>4.2227333682915926</v>
      </c>
      <c r="G2294" s="222" t="s">
        <v>2942</v>
      </c>
    </row>
    <row r="2295" spans="1:7">
      <c r="A2295" s="220" t="s">
        <v>1754</v>
      </c>
      <c r="B2295" s="221">
        <v>0</v>
      </c>
      <c r="C2295" s="221">
        <v>100</v>
      </c>
      <c r="D2295" s="221">
        <v>25.250000000000004</v>
      </c>
      <c r="E2295" s="221">
        <v>40.26136070197451</v>
      </c>
      <c r="F2295" s="221">
        <v>4.2227333682915926</v>
      </c>
      <c r="G2295" s="222" t="s">
        <v>2942</v>
      </c>
    </row>
    <row r="2296" spans="1:7">
      <c r="A2296" s="220" t="s">
        <v>1755</v>
      </c>
      <c r="B2296" s="221">
        <v>0</v>
      </c>
      <c r="C2296" s="221">
        <v>130</v>
      </c>
      <c r="D2296" s="221">
        <v>25.250000000000004</v>
      </c>
      <c r="E2296" s="221">
        <v>58.259560701974507</v>
      </c>
      <c r="F2296" s="221">
        <v>4.2227333682915926</v>
      </c>
      <c r="G2296" s="222" t="s">
        <v>2942</v>
      </c>
    </row>
    <row r="2297" spans="1:7">
      <c r="A2297" s="220" t="s">
        <v>1756</v>
      </c>
      <c r="B2297" s="221">
        <v>0</v>
      </c>
      <c r="C2297" s="221">
        <v>130</v>
      </c>
      <c r="D2297" s="221">
        <v>25.250000000000004</v>
      </c>
      <c r="E2297" s="221">
        <v>63.168160701974507</v>
      </c>
      <c r="F2297" s="221">
        <v>4.2227333682915926</v>
      </c>
      <c r="G2297" s="222" t="s">
        <v>2942</v>
      </c>
    </row>
    <row r="2298" spans="1:7">
      <c r="A2298" s="220" t="s">
        <v>1757</v>
      </c>
      <c r="B2298" s="221">
        <v>0</v>
      </c>
      <c r="C2298" s="221">
        <v>145</v>
      </c>
      <c r="D2298" s="221">
        <v>25.250000000000004</v>
      </c>
      <c r="E2298" s="221">
        <v>68.076760701974507</v>
      </c>
      <c r="F2298" s="221">
        <v>4.2227333682915926</v>
      </c>
      <c r="G2298" s="222" t="s">
        <v>2942</v>
      </c>
    </row>
    <row r="2299" spans="1:7">
      <c r="A2299" s="220" t="s">
        <v>1758</v>
      </c>
      <c r="B2299" s="221">
        <v>0</v>
      </c>
      <c r="C2299" s="221">
        <v>155</v>
      </c>
      <c r="D2299" s="221">
        <v>25.250000000000004</v>
      </c>
      <c r="E2299" s="221">
        <v>72.167260701974513</v>
      </c>
      <c r="F2299" s="221">
        <v>4.2227333682915926</v>
      </c>
      <c r="G2299" s="222" t="s">
        <v>2942</v>
      </c>
    </row>
    <row r="2300" spans="1:7">
      <c r="A2300" s="220" t="s">
        <v>1759</v>
      </c>
      <c r="B2300" s="221">
        <v>0</v>
      </c>
      <c r="C2300" s="221">
        <v>170</v>
      </c>
      <c r="D2300" s="221">
        <v>25.250000000000004</v>
      </c>
      <c r="E2300" s="221">
        <v>77.075860701974506</v>
      </c>
      <c r="F2300" s="221">
        <v>4.2227333682915926</v>
      </c>
      <c r="G2300" s="222" t="s">
        <v>2942</v>
      </c>
    </row>
    <row r="2301" spans="1:7">
      <c r="A2301" s="220" t="s">
        <v>1760</v>
      </c>
      <c r="B2301" s="221">
        <v>0</v>
      </c>
      <c r="C2301" s="221">
        <v>210</v>
      </c>
      <c r="D2301" s="221">
        <v>25.250000000000004</v>
      </c>
      <c r="E2301" s="221">
        <v>102.43696070197451</v>
      </c>
      <c r="F2301" s="221">
        <v>4.2227333682915926</v>
      </c>
      <c r="G2301" s="222" t="s">
        <v>2942</v>
      </c>
    </row>
    <row r="2302" spans="1:7">
      <c r="A2302" s="220" t="s">
        <v>1761</v>
      </c>
      <c r="B2302" s="221">
        <v>0</v>
      </c>
      <c r="C2302" s="221">
        <v>220</v>
      </c>
      <c r="D2302" s="221">
        <v>25.250000000000004</v>
      </c>
      <c r="E2302" s="221">
        <v>110.61796070197451</v>
      </c>
      <c r="F2302" s="221">
        <v>4.2227333682915926</v>
      </c>
      <c r="G2302" s="222" t="s">
        <v>2942</v>
      </c>
    </row>
    <row r="2303" spans="1:7">
      <c r="A2303" s="220" t="s">
        <v>1762</v>
      </c>
      <c r="B2303" s="221">
        <v>0</v>
      </c>
      <c r="C2303" s="221">
        <v>260</v>
      </c>
      <c r="D2303" s="221">
        <v>25.250000000000004</v>
      </c>
      <c r="E2303" s="221">
        <v>135.16096070197449</v>
      </c>
      <c r="F2303" s="221">
        <v>4.2227333682915926</v>
      </c>
      <c r="G2303" s="222" t="s">
        <v>2942</v>
      </c>
    </row>
    <row r="2304" spans="1:7">
      <c r="A2304" s="220" t="s">
        <v>1763</v>
      </c>
      <c r="B2304" s="221">
        <v>0</v>
      </c>
      <c r="C2304" s="221">
        <v>325</v>
      </c>
      <c r="D2304" s="221">
        <v>25.250000000000004</v>
      </c>
      <c r="E2304" s="221">
        <v>159.70396070197449</v>
      </c>
      <c r="F2304" s="221">
        <v>4.2227333682915926</v>
      </c>
      <c r="G2304" s="222" t="s">
        <v>2942</v>
      </c>
    </row>
    <row r="2305" spans="1:7">
      <c r="A2305" s="220" t="s">
        <v>1764</v>
      </c>
      <c r="B2305" s="221">
        <v>0</v>
      </c>
      <c r="C2305" s="221">
        <v>375</v>
      </c>
      <c r="D2305" s="221">
        <v>25.250000000000004</v>
      </c>
      <c r="E2305" s="221">
        <v>188.33746070197449</v>
      </c>
      <c r="F2305" s="221">
        <v>4.2227333682915926</v>
      </c>
      <c r="G2305" s="222" t="s">
        <v>2942</v>
      </c>
    </row>
    <row r="2306" spans="1:7">
      <c r="A2306" s="220" t="s">
        <v>1765</v>
      </c>
      <c r="B2306" s="221">
        <v>0</v>
      </c>
      <c r="C2306" s="221">
        <v>420</v>
      </c>
      <c r="D2306" s="221">
        <v>25.250000000000004</v>
      </c>
      <c r="E2306" s="221">
        <v>208.78996070197451</v>
      </c>
      <c r="F2306" s="221">
        <v>4.2227333682915926</v>
      </c>
      <c r="G2306" s="222" t="s">
        <v>2942</v>
      </c>
    </row>
    <row r="2307" spans="1:7">
      <c r="A2307" s="220" t="s">
        <v>1766</v>
      </c>
      <c r="B2307" s="221">
        <v>0</v>
      </c>
      <c r="C2307" s="221">
        <v>445</v>
      </c>
      <c r="D2307" s="221">
        <v>25.250000000000004</v>
      </c>
      <c r="E2307" s="221">
        <v>249.69496070197451</v>
      </c>
      <c r="F2307" s="221">
        <v>4.2227333682915926</v>
      </c>
      <c r="G2307" s="222" t="s">
        <v>2942</v>
      </c>
    </row>
    <row r="2308" spans="1:7">
      <c r="A2308" s="220" t="s">
        <v>1767</v>
      </c>
      <c r="B2308" s="221">
        <v>0</v>
      </c>
      <c r="C2308" s="221">
        <v>510</v>
      </c>
      <c r="D2308" s="221">
        <v>25.250000000000004</v>
      </c>
      <c r="E2308" s="221">
        <v>290.59996070197451</v>
      </c>
      <c r="F2308" s="221">
        <v>4.2227333682915926</v>
      </c>
      <c r="G2308" s="222" t="s">
        <v>2942</v>
      </c>
    </row>
    <row r="2309" spans="1:7">
      <c r="A2309" s="220" t="s">
        <v>1768</v>
      </c>
      <c r="B2309" s="221">
        <v>0</v>
      </c>
      <c r="C2309" s="221">
        <v>610</v>
      </c>
      <c r="D2309" s="221">
        <v>25.250000000000004</v>
      </c>
      <c r="E2309" s="221">
        <v>351.95746070197453</v>
      </c>
      <c r="F2309" s="221">
        <v>4.2227333682915926</v>
      </c>
      <c r="G2309" s="222" t="s">
        <v>2942</v>
      </c>
    </row>
    <row r="2310" spans="1:7">
      <c r="A2310" s="220" t="s">
        <v>1769</v>
      </c>
      <c r="B2310" s="221">
        <v>0</v>
      </c>
      <c r="C2310" s="221">
        <v>695</v>
      </c>
      <c r="D2310" s="221">
        <v>25.250000000000004</v>
      </c>
      <c r="E2310" s="221">
        <v>392.8624607019745</v>
      </c>
      <c r="F2310" s="221">
        <v>4.2227333682915926</v>
      </c>
      <c r="G2310" s="222" t="s">
        <v>2942</v>
      </c>
    </row>
    <row r="2311" spans="1:7">
      <c r="A2311" s="220" t="s">
        <v>1770</v>
      </c>
      <c r="B2311" s="221">
        <v>0</v>
      </c>
      <c r="C2311" s="221">
        <v>755</v>
      </c>
      <c r="D2311" s="221">
        <v>25.250000000000004</v>
      </c>
      <c r="E2311" s="221">
        <v>433.76746070197453</v>
      </c>
      <c r="F2311" s="221">
        <v>4.2227333682915926</v>
      </c>
      <c r="G2311" s="222" t="s">
        <v>2942</v>
      </c>
    </row>
    <row r="2312" spans="1:7">
      <c r="A2312" s="220" t="s">
        <v>1771</v>
      </c>
      <c r="B2312" s="221">
        <v>0</v>
      </c>
      <c r="C2312" s="221">
        <v>140</v>
      </c>
      <c r="D2312" s="221">
        <v>25.250000000000004</v>
      </c>
      <c r="E2312" s="221">
        <v>23.081260701974507</v>
      </c>
      <c r="F2312" s="221">
        <v>4.2227333682915926</v>
      </c>
      <c r="G2312" s="222" t="s">
        <v>2942</v>
      </c>
    </row>
    <row r="2313" spans="1:7">
      <c r="A2313" s="220" t="s">
        <v>1772</v>
      </c>
      <c r="B2313" s="221">
        <v>0</v>
      </c>
      <c r="C2313" s="221">
        <v>140</v>
      </c>
      <c r="D2313" s="221">
        <v>25.250000000000004</v>
      </c>
      <c r="E2313" s="221">
        <v>26.353660701974508</v>
      </c>
      <c r="F2313" s="221">
        <v>4.2227333682915926</v>
      </c>
      <c r="G2313" s="222" t="s">
        <v>2942</v>
      </c>
    </row>
    <row r="2314" spans="1:7">
      <c r="A2314" s="220" t="s">
        <v>1773</v>
      </c>
      <c r="B2314" s="221">
        <v>0</v>
      </c>
      <c r="C2314" s="221">
        <v>170</v>
      </c>
      <c r="D2314" s="221">
        <v>25.250000000000004</v>
      </c>
      <c r="E2314" s="221">
        <v>40.26136070197451</v>
      </c>
      <c r="F2314" s="221">
        <v>4.2227333682915926</v>
      </c>
      <c r="G2314" s="222" t="s">
        <v>2942</v>
      </c>
    </row>
    <row r="2315" spans="1:7">
      <c r="A2315" s="220" t="s">
        <v>1774</v>
      </c>
      <c r="B2315" s="221">
        <v>0</v>
      </c>
      <c r="C2315" s="221">
        <v>250</v>
      </c>
      <c r="D2315" s="221">
        <v>25.250000000000004</v>
      </c>
      <c r="E2315" s="221">
        <v>58.259560701974507</v>
      </c>
      <c r="F2315" s="221">
        <v>4.2227333682915926</v>
      </c>
      <c r="G2315" s="222" t="s">
        <v>2942</v>
      </c>
    </row>
    <row r="2316" spans="1:7">
      <c r="A2316" s="220" t="s">
        <v>1775</v>
      </c>
      <c r="B2316" s="221">
        <v>0</v>
      </c>
      <c r="C2316" s="221">
        <v>250</v>
      </c>
      <c r="D2316" s="221">
        <v>25.250000000000004</v>
      </c>
      <c r="E2316" s="221">
        <v>63.168160701974507</v>
      </c>
      <c r="F2316" s="221">
        <v>4.2227333682915926</v>
      </c>
      <c r="G2316" s="222" t="s">
        <v>2942</v>
      </c>
    </row>
    <row r="2317" spans="1:7">
      <c r="A2317" s="220" t="s">
        <v>1776</v>
      </c>
      <c r="B2317" s="221">
        <v>0</v>
      </c>
      <c r="C2317" s="221">
        <v>345</v>
      </c>
      <c r="D2317" s="221">
        <v>25.250000000000004</v>
      </c>
      <c r="E2317" s="221">
        <v>68.076760701974507</v>
      </c>
      <c r="F2317" s="221">
        <v>4.2227333682915926</v>
      </c>
      <c r="G2317" s="222" t="s">
        <v>2942</v>
      </c>
    </row>
    <row r="2318" spans="1:7">
      <c r="A2318" s="220" t="s">
        <v>1777</v>
      </c>
      <c r="B2318" s="221">
        <v>0</v>
      </c>
      <c r="C2318" s="221">
        <v>405</v>
      </c>
      <c r="D2318" s="221">
        <v>25.250000000000004</v>
      </c>
      <c r="E2318" s="221">
        <v>72.167260701974513</v>
      </c>
      <c r="F2318" s="221">
        <v>4.2227333682915926</v>
      </c>
      <c r="G2318" s="222" t="s">
        <v>2942</v>
      </c>
    </row>
    <row r="2319" spans="1:7">
      <c r="A2319" s="220" t="s">
        <v>1778</v>
      </c>
      <c r="B2319" s="221">
        <v>0</v>
      </c>
      <c r="C2319" s="221">
        <v>440</v>
      </c>
      <c r="D2319" s="221">
        <v>25.250000000000004</v>
      </c>
      <c r="E2319" s="221">
        <v>77.075860701974506</v>
      </c>
      <c r="F2319" s="221">
        <v>4.2227333682915926</v>
      </c>
      <c r="G2319" s="222" t="s">
        <v>2942</v>
      </c>
    </row>
    <row r="2320" spans="1:7">
      <c r="A2320" s="220" t="s">
        <v>1779</v>
      </c>
      <c r="B2320" s="221">
        <v>0</v>
      </c>
      <c r="C2320" s="221">
        <v>475</v>
      </c>
      <c r="D2320" s="221">
        <v>25.250000000000004</v>
      </c>
      <c r="E2320" s="221">
        <v>102.43696070197451</v>
      </c>
      <c r="F2320" s="221">
        <v>4.2227333682915926</v>
      </c>
      <c r="G2320" s="222" t="s">
        <v>2942</v>
      </c>
    </row>
    <row r="2321" spans="1:7">
      <c r="A2321" s="220" t="s">
        <v>1780</v>
      </c>
      <c r="B2321" s="221">
        <v>0</v>
      </c>
      <c r="C2321" s="221">
        <v>535</v>
      </c>
      <c r="D2321" s="221">
        <v>25.250000000000004</v>
      </c>
      <c r="E2321" s="221">
        <v>110.61796070197451</v>
      </c>
      <c r="F2321" s="221">
        <v>4.2227333682915926</v>
      </c>
      <c r="G2321" s="222" t="s">
        <v>2942</v>
      </c>
    </row>
    <row r="2322" spans="1:7">
      <c r="A2322" s="220" t="s">
        <v>1781</v>
      </c>
      <c r="B2322" s="221">
        <v>0</v>
      </c>
      <c r="C2322" s="221">
        <v>610</v>
      </c>
      <c r="D2322" s="221">
        <v>25.250000000000004</v>
      </c>
      <c r="E2322" s="221">
        <v>135.16096070197449</v>
      </c>
      <c r="F2322" s="221">
        <v>4.2227333682915926</v>
      </c>
      <c r="G2322" s="222" t="s">
        <v>2942</v>
      </c>
    </row>
    <row r="2323" spans="1:7">
      <c r="A2323" s="220" t="s">
        <v>1782</v>
      </c>
      <c r="B2323" s="221">
        <v>0</v>
      </c>
      <c r="C2323" s="221">
        <v>780</v>
      </c>
      <c r="D2323" s="221">
        <v>25.250000000000004</v>
      </c>
      <c r="E2323" s="221">
        <v>159.70396070197449</v>
      </c>
      <c r="F2323" s="221">
        <v>4.2227333682915926</v>
      </c>
      <c r="G2323" s="222" t="s">
        <v>2942</v>
      </c>
    </row>
    <row r="2324" spans="1:7">
      <c r="A2324" s="220" t="s">
        <v>1783</v>
      </c>
      <c r="B2324" s="221">
        <v>0</v>
      </c>
      <c r="C2324" s="221">
        <v>820</v>
      </c>
      <c r="D2324" s="221">
        <v>25.250000000000004</v>
      </c>
      <c r="E2324" s="221">
        <v>188.33746070197449</v>
      </c>
      <c r="F2324" s="221">
        <v>4.2227333682915926</v>
      </c>
      <c r="G2324" s="222" t="s">
        <v>2942</v>
      </c>
    </row>
    <row r="2325" spans="1:7">
      <c r="A2325" s="220" t="s">
        <v>1784</v>
      </c>
      <c r="B2325" s="221">
        <v>0</v>
      </c>
      <c r="C2325" s="221">
        <v>845</v>
      </c>
      <c r="D2325" s="221">
        <v>25.250000000000004</v>
      </c>
      <c r="E2325" s="221">
        <v>208.78996070197451</v>
      </c>
      <c r="F2325" s="221">
        <v>4.2227333682915926</v>
      </c>
      <c r="G2325" s="222" t="s">
        <v>2942</v>
      </c>
    </row>
    <row r="2326" spans="1:7">
      <c r="A2326" s="220" t="s">
        <v>1785</v>
      </c>
      <c r="B2326" s="221">
        <v>0</v>
      </c>
      <c r="C2326" s="221">
        <v>1040</v>
      </c>
      <c r="D2326" s="221">
        <v>25.250000000000004</v>
      </c>
      <c r="E2326" s="221">
        <v>249.69496070197451</v>
      </c>
      <c r="F2326" s="221">
        <v>4.2227333682915926</v>
      </c>
      <c r="G2326" s="222" t="s">
        <v>2942</v>
      </c>
    </row>
    <row r="2327" spans="1:7">
      <c r="A2327" s="220" t="s">
        <v>1786</v>
      </c>
      <c r="B2327" s="221">
        <v>0</v>
      </c>
      <c r="C2327" s="221">
        <v>1165</v>
      </c>
      <c r="D2327" s="221">
        <v>25.250000000000004</v>
      </c>
      <c r="E2327" s="221">
        <v>290.59996070197451</v>
      </c>
      <c r="F2327" s="221">
        <v>4.2227333682915926</v>
      </c>
      <c r="G2327" s="222" t="s">
        <v>2942</v>
      </c>
    </row>
    <row r="2328" spans="1:7">
      <c r="A2328" s="220" t="s">
        <v>1787</v>
      </c>
      <c r="B2328" s="221">
        <v>0</v>
      </c>
      <c r="C2328" s="221">
        <v>1250</v>
      </c>
      <c r="D2328" s="221">
        <v>25.250000000000004</v>
      </c>
      <c r="E2328" s="221">
        <v>351.95746070197453</v>
      </c>
      <c r="F2328" s="221">
        <v>4.2227333682915926</v>
      </c>
      <c r="G2328" s="222" t="s">
        <v>2942</v>
      </c>
    </row>
    <row r="2329" spans="1:7">
      <c r="A2329" s="220" t="s">
        <v>1788</v>
      </c>
      <c r="B2329" s="221">
        <v>0</v>
      </c>
      <c r="C2329" s="221">
        <v>1360</v>
      </c>
      <c r="D2329" s="221">
        <v>25.250000000000004</v>
      </c>
      <c r="E2329" s="221">
        <v>392.8624607019745</v>
      </c>
      <c r="F2329" s="221">
        <v>4.2227333682915926</v>
      </c>
      <c r="G2329" s="222" t="s">
        <v>2942</v>
      </c>
    </row>
    <row r="2330" spans="1:7">
      <c r="A2330" s="220" t="s">
        <v>1789</v>
      </c>
      <c r="B2330" s="221">
        <v>0</v>
      </c>
      <c r="C2330" s="221">
        <v>1405</v>
      </c>
      <c r="D2330" s="221">
        <v>25.250000000000004</v>
      </c>
      <c r="E2330" s="221">
        <v>433.76746070197453</v>
      </c>
      <c r="F2330" s="221">
        <v>4.2227333682915926</v>
      </c>
      <c r="G2330" s="222" t="s">
        <v>2942</v>
      </c>
    </row>
    <row r="2331" spans="1:7">
      <c r="A2331" s="220" t="s">
        <v>1790</v>
      </c>
      <c r="B2331" s="221">
        <v>0</v>
      </c>
      <c r="C2331" s="221">
        <v>179</v>
      </c>
      <c r="D2331" s="221">
        <v>25.250000000000004</v>
      </c>
      <c r="E2331" s="221">
        <v>25.744623209728214</v>
      </c>
      <c r="F2331" s="221">
        <v>6.8597259502259522</v>
      </c>
      <c r="G2331" s="222" t="s">
        <v>2942</v>
      </c>
    </row>
    <row r="2332" spans="1:7">
      <c r="A2332" s="220" t="s">
        <v>1791</v>
      </c>
      <c r="B2332" s="221">
        <v>0</v>
      </c>
      <c r="C2332" s="221">
        <v>179</v>
      </c>
      <c r="D2332" s="221">
        <v>25.250000000000004</v>
      </c>
      <c r="E2332" s="221">
        <v>29.017023209728215</v>
      </c>
      <c r="F2332" s="221">
        <v>6.8597259502259522</v>
      </c>
      <c r="G2332" s="222" t="s">
        <v>2942</v>
      </c>
    </row>
    <row r="2333" spans="1:7">
      <c r="A2333" s="220" t="s">
        <v>1792</v>
      </c>
      <c r="B2333" s="221">
        <v>0</v>
      </c>
      <c r="C2333" s="221">
        <v>189</v>
      </c>
      <c r="D2333" s="221">
        <v>25.250000000000004</v>
      </c>
      <c r="E2333" s="221">
        <v>42.924723209728214</v>
      </c>
      <c r="F2333" s="221">
        <v>6.8597259502259522</v>
      </c>
      <c r="G2333" s="222" t="s">
        <v>2942</v>
      </c>
    </row>
    <row r="2334" spans="1:7">
      <c r="A2334" s="220" t="s">
        <v>1793</v>
      </c>
      <c r="B2334" s="221">
        <v>0</v>
      </c>
      <c r="C2334" s="221">
        <v>385</v>
      </c>
      <c r="D2334" s="221">
        <v>25.250000000000004</v>
      </c>
      <c r="E2334" s="221">
        <v>60.922923209728211</v>
      </c>
      <c r="F2334" s="221">
        <v>6.8597259502259522</v>
      </c>
      <c r="G2334" s="222" t="s">
        <v>2942</v>
      </c>
    </row>
    <row r="2335" spans="1:7">
      <c r="A2335" s="220" t="s">
        <v>1794</v>
      </c>
      <c r="B2335" s="221">
        <v>0</v>
      </c>
      <c r="C2335" s="221">
        <v>385</v>
      </c>
      <c r="D2335" s="221">
        <v>25.250000000000004</v>
      </c>
      <c r="E2335" s="221">
        <v>65.831523209728218</v>
      </c>
      <c r="F2335" s="221">
        <v>6.8597259502259522</v>
      </c>
      <c r="G2335" s="222" t="s">
        <v>2942</v>
      </c>
    </row>
    <row r="2336" spans="1:7">
      <c r="A2336" s="220" t="s">
        <v>1795</v>
      </c>
      <c r="B2336" s="221">
        <v>0</v>
      </c>
      <c r="C2336" s="221">
        <v>545</v>
      </c>
      <c r="D2336" s="221">
        <v>25.250000000000004</v>
      </c>
      <c r="E2336" s="221">
        <v>70.74012320972821</v>
      </c>
      <c r="F2336" s="221">
        <v>6.8597259502259522</v>
      </c>
      <c r="G2336" s="222" t="s">
        <v>2942</v>
      </c>
    </row>
    <row r="2337" spans="1:7">
      <c r="A2337" s="220" t="s">
        <v>1796</v>
      </c>
      <c r="B2337" s="221">
        <v>0</v>
      </c>
      <c r="C2337" s="221">
        <v>655</v>
      </c>
      <c r="D2337" s="221">
        <v>25.250000000000004</v>
      </c>
      <c r="E2337" s="221">
        <v>74.830623209728216</v>
      </c>
      <c r="F2337" s="221">
        <v>6.8597259502259522</v>
      </c>
      <c r="G2337" s="222" t="s">
        <v>2942</v>
      </c>
    </row>
    <row r="2338" spans="1:7">
      <c r="A2338" s="220" t="s">
        <v>1797</v>
      </c>
      <c r="B2338" s="221">
        <v>0</v>
      </c>
      <c r="C2338" s="221">
        <v>715</v>
      </c>
      <c r="D2338" s="221">
        <v>25.250000000000004</v>
      </c>
      <c r="E2338" s="221">
        <v>79.739223209728209</v>
      </c>
      <c r="F2338" s="221">
        <v>6.8597259502259522</v>
      </c>
      <c r="G2338" s="222" t="s">
        <v>2942</v>
      </c>
    </row>
    <row r="2339" spans="1:7">
      <c r="A2339" s="220" t="s">
        <v>1798</v>
      </c>
      <c r="B2339" s="221">
        <v>0</v>
      </c>
      <c r="C2339" s="221">
        <v>790</v>
      </c>
      <c r="D2339" s="221">
        <v>25.250000000000004</v>
      </c>
      <c r="E2339" s="221">
        <v>105.10032320972822</v>
      </c>
      <c r="F2339" s="221">
        <v>6.8597259502259522</v>
      </c>
      <c r="G2339" s="222" t="s">
        <v>2942</v>
      </c>
    </row>
    <row r="2340" spans="1:7">
      <c r="A2340" s="220" t="s">
        <v>1799</v>
      </c>
      <c r="B2340" s="221">
        <v>0</v>
      </c>
      <c r="C2340" s="221">
        <v>865</v>
      </c>
      <c r="D2340" s="221">
        <v>25.250000000000004</v>
      </c>
      <c r="E2340" s="221">
        <v>113.28132320972821</v>
      </c>
      <c r="F2340" s="221">
        <v>6.8597259502259522</v>
      </c>
      <c r="G2340" s="222" t="s">
        <v>2942</v>
      </c>
    </row>
    <row r="2341" spans="1:7">
      <c r="A2341" s="220" t="s">
        <v>1800</v>
      </c>
      <c r="B2341" s="221">
        <v>0</v>
      </c>
      <c r="C2341" s="221">
        <v>970</v>
      </c>
      <c r="D2341" s="221">
        <v>25.250000000000004</v>
      </c>
      <c r="E2341" s="221">
        <v>137.82432320972822</v>
      </c>
      <c r="F2341" s="221">
        <v>6.8597259502259522</v>
      </c>
      <c r="G2341" s="222" t="s">
        <v>2942</v>
      </c>
    </row>
    <row r="2342" spans="1:7">
      <c r="A2342" s="220" t="s">
        <v>1801</v>
      </c>
      <c r="B2342" s="221">
        <v>0</v>
      </c>
      <c r="C2342" s="221">
        <v>1155</v>
      </c>
      <c r="D2342" s="221">
        <v>25.250000000000004</v>
      </c>
      <c r="E2342" s="221">
        <v>162.36732320972823</v>
      </c>
      <c r="F2342" s="221">
        <v>6.8597259502259522</v>
      </c>
      <c r="G2342" s="222" t="s">
        <v>2942</v>
      </c>
    </row>
    <row r="2343" spans="1:7">
      <c r="A2343" s="220" t="s">
        <v>1802</v>
      </c>
      <c r="B2343" s="221">
        <v>0</v>
      </c>
      <c r="C2343" s="221">
        <v>1230</v>
      </c>
      <c r="D2343" s="221">
        <v>25.250000000000004</v>
      </c>
      <c r="E2343" s="221">
        <v>191.00082320972822</v>
      </c>
      <c r="F2343" s="221">
        <v>6.8597259502259522</v>
      </c>
      <c r="G2343" s="222" t="s">
        <v>2942</v>
      </c>
    </row>
    <row r="2344" spans="1:7">
      <c r="A2344" s="220" t="s">
        <v>1803</v>
      </c>
      <c r="B2344" s="221">
        <v>0</v>
      </c>
      <c r="C2344" s="221">
        <v>1280</v>
      </c>
      <c r="D2344" s="221">
        <v>25.250000000000004</v>
      </c>
      <c r="E2344" s="221">
        <v>211.45332320972821</v>
      </c>
      <c r="F2344" s="221">
        <v>6.8597259502259522</v>
      </c>
      <c r="G2344" s="222" t="s">
        <v>2942</v>
      </c>
    </row>
    <row r="2345" spans="1:7">
      <c r="A2345" s="220" t="s">
        <v>1804</v>
      </c>
      <c r="B2345" s="221">
        <v>0</v>
      </c>
      <c r="C2345" s="221">
        <v>1560</v>
      </c>
      <c r="D2345" s="221">
        <v>25.250000000000004</v>
      </c>
      <c r="E2345" s="221">
        <v>252.35832320972821</v>
      </c>
      <c r="F2345" s="221">
        <v>6.8597259502259522</v>
      </c>
      <c r="G2345" s="222" t="s">
        <v>2942</v>
      </c>
    </row>
    <row r="2346" spans="1:7">
      <c r="A2346" s="220" t="s">
        <v>1805</v>
      </c>
      <c r="B2346" s="221">
        <v>0</v>
      </c>
      <c r="C2346" s="221">
        <v>1640</v>
      </c>
      <c r="D2346" s="221">
        <v>25.250000000000004</v>
      </c>
      <c r="E2346" s="221">
        <v>293.26332320972818</v>
      </c>
      <c r="F2346" s="221">
        <v>6.8597259502259522</v>
      </c>
      <c r="G2346" s="222" t="s">
        <v>2942</v>
      </c>
    </row>
    <row r="2347" spans="1:7">
      <c r="A2347" s="220" t="s">
        <v>1806</v>
      </c>
      <c r="B2347" s="221">
        <v>0</v>
      </c>
      <c r="C2347" s="221">
        <v>1880</v>
      </c>
      <c r="D2347" s="221">
        <v>25.250000000000004</v>
      </c>
      <c r="E2347" s="221">
        <v>354.6208232097282</v>
      </c>
      <c r="F2347" s="221">
        <v>6.8597259502259522</v>
      </c>
      <c r="G2347" s="222" t="s">
        <v>2942</v>
      </c>
    </row>
    <row r="2348" spans="1:7">
      <c r="A2348" s="220" t="s">
        <v>1807</v>
      </c>
      <c r="B2348" s="221">
        <v>0</v>
      </c>
      <c r="C2348" s="221">
        <v>2025</v>
      </c>
      <c r="D2348" s="221">
        <v>25.250000000000004</v>
      </c>
      <c r="E2348" s="221">
        <v>395.52582320972817</v>
      </c>
      <c r="F2348" s="221">
        <v>6.8597259502259522</v>
      </c>
      <c r="G2348" s="222" t="s">
        <v>2942</v>
      </c>
    </row>
    <row r="2349" spans="1:7">
      <c r="A2349" s="220" t="s">
        <v>1808</v>
      </c>
      <c r="B2349" s="221">
        <v>0</v>
      </c>
      <c r="C2349" s="221">
        <v>2145</v>
      </c>
      <c r="D2349" s="221">
        <v>25.250000000000004</v>
      </c>
      <c r="E2349" s="221">
        <v>436.4308232097282</v>
      </c>
      <c r="F2349" s="221">
        <v>6.8597259502259522</v>
      </c>
      <c r="G2349" s="222" t="s">
        <v>2942</v>
      </c>
    </row>
    <row r="2350" spans="1:7">
      <c r="A2350" s="220" t="s">
        <v>2037</v>
      </c>
      <c r="B2350" s="221">
        <v>0</v>
      </c>
      <c r="C2350" s="221">
        <v>70</v>
      </c>
      <c r="D2350" s="221">
        <v>25.25</v>
      </c>
      <c r="E2350" s="221">
        <v>27.989860701974511</v>
      </c>
      <c r="F2350" s="221">
        <v>4.2227333682915926</v>
      </c>
      <c r="G2350" s="222" t="s">
        <v>2942</v>
      </c>
    </row>
    <row r="2351" spans="1:7">
      <c r="A2351" s="220" t="s">
        <v>2038</v>
      </c>
      <c r="B2351" s="221">
        <v>0</v>
      </c>
      <c r="C2351" s="221">
        <v>70</v>
      </c>
      <c r="D2351" s="221">
        <v>25.25</v>
      </c>
      <c r="E2351" s="221">
        <v>31.262260701974505</v>
      </c>
      <c r="F2351" s="221">
        <v>4.2227333682915926</v>
      </c>
      <c r="G2351" s="222" t="s">
        <v>2942</v>
      </c>
    </row>
    <row r="2352" spans="1:7">
      <c r="A2352" s="220" t="s">
        <v>2039</v>
      </c>
      <c r="B2352" s="221">
        <v>0</v>
      </c>
      <c r="C2352" s="221">
        <v>80</v>
      </c>
      <c r="D2352" s="221">
        <v>25.25</v>
      </c>
      <c r="E2352" s="221">
        <v>35.35276070197451</v>
      </c>
      <c r="F2352" s="221">
        <v>4.2227333682915926</v>
      </c>
      <c r="G2352" s="222" t="s">
        <v>2942</v>
      </c>
    </row>
    <row r="2353" spans="1:7">
      <c r="A2353" s="220" t="s">
        <v>2040</v>
      </c>
      <c r="B2353" s="221">
        <v>0</v>
      </c>
      <c r="C2353" s="221">
        <v>90</v>
      </c>
      <c r="D2353" s="221">
        <v>25.25</v>
      </c>
      <c r="E2353" s="221">
        <v>35.35276070197451</v>
      </c>
      <c r="F2353" s="221">
        <v>4.2227333682915926</v>
      </c>
      <c r="G2353" s="222" t="s">
        <v>2942</v>
      </c>
    </row>
    <row r="2354" spans="1:7">
      <c r="A2354" s="220" t="s">
        <v>2041</v>
      </c>
      <c r="B2354" s="221">
        <v>0</v>
      </c>
      <c r="C2354" s="221">
        <v>90</v>
      </c>
      <c r="D2354" s="221">
        <v>25.25</v>
      </c>
      <c r="E2354" s="221">
        <v>35.35276070197451</v>
      </c>
      <c r="F2354" s="221">
        <v>4.2227333682915926</v>
      </c>
      <c r="G2354" s="222" t="s">
        <v>2942</v>
      </c>
    </row>
    <row r="2355" spans="1:7">
      <c r="A2355" s="220" t="s">
        <v>2042</v>
      </c>
      <c r="B2355" s="221">
        <v>0</v>
      </c>
      <c r="C2355" s="221">
        <v>95</v>
      </c>
      <c r="D2355" s="221">
        <v>25.25</v>
      </c>
      <c r="E2355" s="221">
        <v>35.35276070197451</v>
      </c>
      <c r="F2355" s="221">
        <v>4.2227333682915926</v>
      </c>
      <c r="G2355" s="222" t="s">
        <v>2942</v>
      </c>
    </row>
    <row r="2356" spans="1:7">
      <c r="A2356" s="220" t="s">
        <v>2043</v>
      </c>
      <c r="B2356" s="221">
        <v>0</v>
      </c>
      <c r="C2356" s="221">
        <v>100</v>
      </c>
      <c r="D2356" s="221">
        <v>25.25</v>
      </c>
      <c r="E2356" s="221">
        <v>35.35276070197451</v>
      </c>
      <c r="F2356" s="221">
        <v>4.2227333682915926</v>
      </c>
      <c r="G2356" s="222" t="s">
        <v>2942</v>
      </c>
    </row>
    <row r="2357" spans="1:7">
      <c r="A2357" s="220" t="s">
        <v>2044</v>
      </c>
      <c r="B2357" s="221">
        <v>0</v>
      </c>
      <c r="C2357" s="221">
        <v>115</v>
      </c>
      <c r="D2357" s="221">
        <v>25.25</v>
      </c>
      <c r="E2357" s="221">
        <v>35.35276070197451</v>
      </c>
      <c r="F2357" s="221">
        <v>4.2227333682915926</v>
      </c>
      <c r="G2357" s="222" t="s">
        <v>2942</v>
      </c>
    </row>
    <row r="2358" spans="1:7">
      <c r="A2358" s="220" t="s">
        <v>2045</v>
      </c>
      <c r="B2358" s="221">
        <v>0</v>
      </c>
      <c r="C2358" s="221">
        <v>120</v>
      </c>
      <c r="D2358" s="221">
        <v>25.25</v>
      </c>
      <c r="E2358" s="221">
        <v>40.26136070197451</v>
      </c>
      <c r="F2358" s="221">
        <v>4.2227333682915926</v>
      </c>
      <c r="G2358" s="222" t="s">
        <v>2942</v>
      </c>
    </row>
    <row r="2359" spans="1:7">
      <c r="A2359" s="220" t="s">
        <v>2046</v>
      </c>
      <c r="B2359" s="221">
        <v>0</v>
      </c>
      <c r="C2359" s="221">
        <v>130</v>
      </c>
      <c r="D2359" s="221">
        <v>25.25</v>
      </c>
      <c r="E2359" s="221">
        <v>49.260460701974516</v>
      </c>
      <c r="F2359" s="221">
        <v>4.2227333682915926</v>
      </c>
      <c r="G2359" s="222" t="s">
        <v>2942</v>
      </c>
    </row>
    <row r="2360" spans="1:7">
      <c r="A2360" s="220" t="s">
        <v>2047</v>
      </c>
      <c r="B2360" s="221">
        <v>0</v>
      </c>
      <c r="C2360" s="221">
        <v>145</v>
      </c>
      <c r="D2360" s="221">
        <v>25.25</v>
      </c>
      <c r="E2360" s="221">
        <v>53.350960701974508</v>
      </c>
      <c r="F2360" s="221">
        <v>4.2227333682915926</v>
      </c>
      <c r="G2360" s="222" t="s">
        <v>2942</v>
      </c>
    </row>
    <row r="2361" spans="1:7">
      <c r="A2361" s="220" t="s">
        <v>2048</v>
      </c>
      <c r="B2361" s="221">
        <v>0</v>
      </c>
      <c r="C2361" s="221">
        <v>175</v>
      </c>
      <c r="D2361" s="221">
        <v>25.25</v>
      </c>
      <c r="E2361" s="221">
        <v>69.712960701974509</v>
      </c>
      <c r="F2361" s="221">
        <v>4.2227333682915926</v>
      </c>
      <c r="G2361" s="222" t="s">
        <v>2942</v>
      </c>
    </row>
    <row r="2362" spans="1:7">
      <c r="A2362" s="220" t="s">
        <v>2049</v>
      </c>
      <c r="B2362" s="221">
        <v>0</v>
      </c>
      <c r="C2362" s="221">
        <v>210</v>
      </c>
      <c r="D2362" s="221">
        <v>25.25</v>
      </c>
      <c r="E2362" s="221">
        <v>86.074960701974504</v>
      </c>
      <c r="F2362" s="221">
        <v>4.2227333682915926</v>
      </c>
      <c r="G2362" s="222" t="s">
        <v>2942</v>
      </c>
    </row>
    <row r="2363" spans="1:7">
      <c r="A2363" s="220" t="s">
        <v>2050</v>
      </c>
      <c r="B2363" s="221">
        <v>0</v>
      </c>
      <c r="C2363" s="221">
        <v>230</v>
      </c>
      <c r="D2363" s="221">
        <v>25.25</v>
      </c>
      <c r="E2363" s="221">
        <v>94.255960701974502</v>
      </c>
      <c r="F2363" s="221">
        <v>4.2227333682915926</v>
      </c>
      <c r="G2363" s="222" t="s">
        <v>2942</v>
      </c>
    </row>
    <row r="2364" spans="1:7">
      <c r="A2364" s="220" t="s">
        <v>2051</v>
      </c>
      <c r="B2364" s="221">
        <v>0</v>
      </c>
      <c r="C2364" s="221">
        <v>285</v>
      </c>
      <c r="D2364" s="221">
        <v>25.25</v>
      </c>
      <c r="E2364" s="221">
        <v>135.16096070197449</v>
      </c>
      <c r="F2364" s="221">
        <v>4.2227333682915926</v>
      </c>
      <c r="G2364" s="222" t="s">
        <v>2942</v>
      </c>
    </row>
    <row r="2365" spans="1:7">
      <c r="A2365" s="220" t="s">
        <v>2052</v>
      </c>
      <c r="B2365" s="221">
        <v>0</v>
      </c>
      <c r="C2365" s="221">
        <v>300</v>
      </c>
      <c r="D2365" s="221">
        <v>25.25</v>
      </c>
      <c r="E2365" s="221">
        <v>155.6134607019745</v>
      </c>
      <c r="F2365" s="221">
        <v>4.2227333682915926</v>
      </c>
      <c r="G2365" s="222" t="s">
        <v>2942</v>
      </c>
    </row>
    <row r="2366" spans="1:7">
      <c r="A2366" s="220" t="s">
        <v>2053</v>
      </c>
      <c r="B2366" s="221">
        <v>0</v>
      </c>
      <c r="C2366" s="221">
        <v>350</v>
      </c>
      <c r="D2366" s="221">
        <v>25.25</v>
      </c>
      <c r="E2366" s="221">
        <v>192.42796070197448</v>
      </c>
      <c r="F2366" s="221">
        <v>4.2227333682915926</v>
      </c>
      <c r="G2366" s="222" t="s">
        <v>2942</v>
      </c>
    </row>
    <row r="2367" spans="1:7">
      <c r="A2367" s="220" t="s">
        <v>2054</v>
      </c>
      <c r="B2367" s="221">
        <v>0</v>
      </c>
      <c r="C2367" s="221">
        <v>405</v>
      </c>
      <c r="D2367" s="221">
        <v>25.25</v>
      </c>
      <c r="E2367" s="221">
        <v>216.97096070197449</v>
      </c>
      <c r="F2367" s="221">
        <v>4.2227333682915926</v>
      </c>
      <c r="G2367" s="222" t="s">
        <v>2942</v>
      </c>
    </row>
    <row r="2368" spans="1:7">
      <c r="A2368" s="220" t="s">
        <v>2055</v>
      </c>
      <c r="B2368" s="221">
        <v>0</v>
      </c>
      <c r="C2368" s="221">
        <v>450</v>
      </c>
      <c r="D2368" s="221">
        <v>25.25</v>
      </c>
      <c r="E2368" s="221">
        <v>237.42346070197451</v>
      </c>
      <c r="F2368" s="221">
        <v>4.2227333682915926</v>
      </c>
      <c r="G2368" s="222" t="s">
        <v>2942</v>
      </c>
    </row>
    <row r="2369" spans="1:7">
      <c r="A2369" s="220" t="s">
        <v>2056</v>
      </c>
      <c r="B2369" s="221">
        <v>0</v>
      </c>
      <c r="C2369" s="221">
        <v>75</v>
      </c>
      <c r="D2369" s="221">
        <v>25.25</v>
      </c>
      <c r="E2369" s="221">
        <v>27.989860701974511</v>
      </c>
      <c r="F2369" s="221">
        <v>4.2227333682915926</v>
      </c>
      <c r="G2369" s="222" t="s">
        <v>2942</v>
      </c>
    </row>
    <row r="2370" spans="1:7">
      <c r="A2370" s="220" t="s">
        <v>2057</v>
      </c>
      <c r="B2370" s="221">
        <v>0</v>
      </c>
      <c r="C2370" s="221">
        <v>75</v>
      </c>
      <c r="D2370" s="221">
        <v>25.25</v>
      </c>
      <c r="E2370" s="221">
        <v>31.262260701974505</v>
      </c>
      <c r="F2370" s="221">
        <v>4.2227333682915926</v>
      </c>
      <c r="G2370" s="222" t="s">
        <v>2942</v>
      </c>
    </row>
    <row r="2371" spans="1:7">
      <c r="A2371" s="220" t="s">
        <v>2058</v>
      </c>
      <c r="B2371" s="221">
        <v>0</v>
      </c>
      <c r="C2371" s="221">
        <v>85</v>
      </c>
      <c r="D2371" s="221">
        <v>25.25</v>
      </c>
      <c r="E2371" s="221">
        <v>35.35276070197451</v>
      </c>
      <c r="F2371" s="221">
        <v>4.2227333682915926</v>
      </c>
      <c r="G2371" s="222" t="s">
        <v>2942</v>
      </c>
    </row>
    <row r="2372" spans="1:7">
      <c r="A2372" s="220" t="s">
        <v>2059</v>
      </c>
      <c r="B2372" s="221">
        <v>0</v>
      </c>
      <c r="C2372" s="221">
        <v>120</v>
      </c>
      <c r="D2372" s="221">
        <v>25.25</v>
      </c>
      <c r="E2372" s="221">
        <v>35.35276070197451</v>
      </c>
      <c r="F2372" s="221">
        <v>4.2227333682915926</v>
      </c>
      <c r="G2372" s="222" t="s">
        <v>2942</v>
      </c>
    </row>
    <row r="2373" spans="1:7">
      <c r="A2373" s="220" t="s">
        <v>2060</v>
      </c>
      <c r="B2373" s="221">
        <v>0</v>
      </c>
      <c r="C2373" s="221">
        <v>120</v>
      </c>
      <c r="D2373" s="221">
        <v>25.25</v>
      </c>
      <c r="E2373" s="221">
        <v>35.35276070197451</v>
      </c>
      <c r="F2373" s="221">
        <v>4.2227333682915926</v>
      </c>
      <c r="G2373" s="222" t="s">
        <v>2942</v>
      </c>
    </row>
    <row r="2374" spans="1:7">
      <c r="A2374" s="220" t="s">
        <v>2061</v>
      </c>
      <c r="B2374" s="221">
        <v>0</v>
      </c>
      <c r="C2374" s="221">
        <v>125</v>
      </c>
      <c r="D2374" s="221">
        <v>25.25</v>
      </c>
      <c r="E2374" s="221">
        <v>35.35276070197451</v>
      </c>
      <c r="F2374" s="221">
        <v>4.2227333682915926</v>
      </c>
      <c r="G2374" s="222" t="s">
        <v>2942</v>
      </c>
    </row>
    <row r="2375" spans="1:7">
      <c r="A2375" s="220" t="s">
        <v>2062</v>
      </c>
      <c r="B2375" s="221">
        <v>0</v>
      </c>
      <c r="C2375" s="221">
        <v>145</v>
      </c>
      <c r="D2375" s="221">
        <v>25.25</v>
      </c>
      <c r="E2375" s="221">
        <v>35.35276070197451</v>
      </c>
      <c r="F2375" s="221">
        <v>4.2227333682915926</v>
      </c>
      <c r="G2375" s="222" t="s">
        <v>2942</v>
      </c>
    </row>
    <row r="2376" spans="1:7">
      <c r="A2376" s="220" t="s">
        <v>2063</v>
      </c>
      <c r="B2376" s="221">
        <v>0</v>
      </c>
      <c r="C2376" s="221">
        <v>150</v>
      </c>
      <c r="D2376" s="221">
        <v>25.25</v>
      </c>
      <c r="E2376" s="221">
        <v>35.35276070197451</v>
      </c>
      <c r="F2376" s="221">
        <v>4.2227333682915926</v>
      </c>
      <c r="G2376" s="222" t="s">
        <v>2942</v>
      </c>
    </row>
    <row r="2377" spans="1:7">
      <c r="A2377" s="220" t="s">
        <v>2064</v>
      </c>
      <c r="B2377" s="221">
        <v>0</v>
      </c>
      <c r="C2377" s="221">
        <v>225</v>
      </c>
      <c r="D2377" s="221">
        <v>25.25</v>
      </c>
      <c r="E2377" s="221">
        <v>40.26136070197451</v>
      </c>
      <c r="F2377" s="221">
        <v>4.2227333682915926</v>
      </c>
      <c r="G2377" s="222" t="s">
        <v>2942</v>
      </c>
    </row>
    <row r="2378" spans="1:7">
      <c r="A2378" s="220" t="s">
        <v>2065</v>
      </c>
      <c r="B2378" s="221">
        <v>0</v>
      </c>
      <c r="C2378" s="221">
        <v>260</v>
      </c>
      <c r="D2378" s="221">
        <v>25.25</v>
      </c>
      <c r="E2378" s="221">
        <v>49.260460701974516</v>
      </c>
      <c r="F2378" s="221">
        <v>4.2227333682915926</v>
      </c>
      <c r="G2378" s="222" t="s">
        <v>2942</v>
      </c>
    </row>
    <row r="2379" spans="1:7">
      <c r="A2379" s="220" t="s">
        <v>2066</v>
      </c>
      <c r="B2379" s="221">
        <v>0</v>
      </c>
      <c r="C2379" s="221">
        <v>345</v>
      </c>
      <c r="D2379" s="221">
        <v>25.25</v>
      </c>
      <c r="E2379" s="221">
        <v>53.350960701974508</v>
      </c>
      <c r="F2379" s="221">
        <v>4.2227333682915926</v>
      </c>
      <c r="G2379" s="222" t="s">
        <v>2942</v>
      </c>
    </row>
    <row r="2380" spans="1:7">
      <c r="A2380" s="220" t="s">
        <v>2067</v>
      </c>
      <c r="B2380" s="221">
        <v>0</v>
      </c>
      <c r="C2380" s="221">
        <v>520</v>
      </c>
      <c r="D2380" s="221">
        <v>25.25</v>
      </c>
      <c r="E2380" s="221">
        <v>69.712960701974509</v>
      </c>
      <c r="F2380" s="221">
        <v>4.2227333682915926</v>
      </c>
      <c r="G2380" s="222" t="s">
        <v>2942</v>
      </c>
    </row>
    <row r="2381" spans="1:7">
      <c r="A2381" s="220" t="s">
        <v>2068</v>
      </c>
      <c r="B2381" s="221">
        <v>0</v>
      </c>
      <c r="C2381" s="221">
        <v>610</v>
      </c>
      <c r="D2381" s="221">
        <v>25.25</v>
      </c>
      <c r="E2381" s="221">
        <v>86.074960701974504</v>
      </c>
      <c r="F2381" s="221">
        <v>4.2227333682915926</v>
      </c>
      <c r="G2381" s="222" t="s">
        <v>2942</v>
      </c>
    </row>
    <row r="2382" spans="1:7">
      <c r="A2382" s="220" t="s">
        <v>2069</v>
      </c>
      <c r="B2382" s="221">
        <v>0</v>
      </c>
      <c r="C2382" s="221">
        <v>670</v>
      </c>
      <c r="D2382" s="221">
        <v>25.25</v>
      </c>
      <c r="E2382" s="221">
        <v>94.255960701974502</v>
      </c>
      <c r="F2382" s="221">
        <v>4.2227333682915926</v>
      </c>
      <c r="G2382" s="222" t="s">
        <v>2942</v>
      </c>
    </row>
    <row r="2383" spans="1:7">
      <c r="A2383" s="220" t="s">
        <v>2070</v>
      </c>
      <c r="B2383" s="221">
        <v>0</v>
      </c>
      <c r="C2383" s="221">
        <v>820</v>
      </c>
      <c r="D2383" s="221">
        <v>25.25</v>
      </c>
      <c r="E2383" s="221">
        <v>135.16096070197449</v>
      </c>
      <c r="F2383" s="221">
        <v>4.2227333682915926</v>
      </c>
      <c r="G2383" s="222" t="s">
        <v>2942</v>
      </c>
    </row>
    <row r="2384" spans="1:7">
      <c r="A2384" s="220" t="s">
        <v>2071</v>
      </c>
      <c r="B2384" s="221">
        <v>0</v>
      </c>
      <c r="C2384" s="221">
        <v>890</v>
      </c>
      <c r="D2384" s="221">
        <v>25.25</v>
      </c>
      <c r="E2384" s="221">
        <v>155.6134607019745</v>
      </c>
      <c r="F2384" s="221">
        <v>4.2227333682915926</v>
      </c>
      <c r="G2384" s="222" t="s">
        <v>2942</v>
      </c>
    </row>
    <row r="2385" spans="1:7">
      <c r="A2385" s="220" t="s">
        <v>2072</v>
      </c>
      <c r="B2385" s="221">
        <v>0</v>
      </c>
      <c r="C2385" s="221">
        <v>1020</v>
      </c>
      <c r="D2385" s="221">
        <v>25.25</v>
      </c>
      <c r="E2385" s="221">
        <v>192.42796070197448</v>
      </c>
      <c r="F2385" s="221">
        <v>4.2227333682915926</v>
      </c>
      <c r="G2385" s="222" t="s">
        <v>2942</v>
      </c>
    </row>
    <row r="2386" spans="1:7">
      <c r="A2386" s="220" t="s">
        <v>2073</v>
      </c>
      <c r="B2386" s="221">
        <v>0</v>
      </c>
      <c r="C2386" s="221">
        <v>1120</v>
      </c>
      <c r="D2386" s="221">
        <v>25.25</v>
      </c>
      <c r="E2386" s="221">
        <v>216.97096070197449</v>
      </c>
      <c r="F2386" s="221">
        <v>4.2227333682915926</v>
      </c>
      <c r="G2386" s="222" t="s">
        <v>2942</v>
      </c>
    </row>
    <row r="2387" spans="1:7">
      <c r="A2387" s="220" t="s">
        <v>2074</v>
      </c>
      <c r="B2387" s="221">
        <v>0</v>
      </c>
      <c r="C2387" s="221">
        <v>1185</v>
      </c>
      <c r="D2387" s="221">
        <v>25.25</v>
      </c>
      <c r="E2387" s="221">
        <v>237.42346070197451</v>
      </c>
      <c r="F2387" s="221">
        <v>4.2227333682915926</v>
      </c>
      <c r="G2387" s="222" t="s">
        <v>2942</v>
      </c>
    </row>
    <row r="2388" spans="1:7">
      <c r="A2388" s="220" t="s">
        <v>2075</v>
      </c>
      <c r="B2388" s="221">
        <v>0</v>
      </c>
      <c r="C2388" s="221">
        <v>80</v>
      </c>
      <c r="D2388" s="221">
        <v>25.25</v>
      </c>
      <c r="E2388" s="221">
        <v>30.65322320972821</v>
      </c>
      <c r="F2388" s="221">
        <v>6.8597259502259522</v>
      </c>
      <c r="G2388" s="222" t="s">
        <v>2942</v>
      </c>
    </row>
    <row r="2389" spans="1:7">
      <c r="A2389" s="220" t="s">
        <v>2076</v>
      </c>
      <c r="B2389" s="221">
        <v>0</v>
      </c>
      <c r="C2389" s="221">
        <v>80</v>
      </c>
      <c r="D2389" s="221">
        <v>25.25</v>
      </c>
      <c r="E2389" s="221">
        <v>33.925623209728208</v>
      </c>
      <c r="F2389" s="221">
        <v>6.8597259502259522</v>
      </c>
      <c r="G2389" s="222" t="s">
        <v>2942</v>
      </c>
    </row>
    <row r="2390" spans="1:7">
      <c r="A2390" s="220" t="s">
        <v>2077</v>
      </c>
      <c r="B2390" s="221">
        <v>0</v>
      </c>
      <c r="C2390" s="221">
        <v>90</v>
      </c>
      <c r="D2390" s="221">
        <v>25.25</v>
      </c>
      <c r="E2390" s="221">
        <v>38.016123209728214</v>
      </c>
      <c r="F2390" s="221">
        <v>6.8597259502259522</v>
      </c>
      <c r="G2390" s="222" t="s">
        <v>2942</v>
      </c>
    </row>
    <row r="2391" spans="1:7">
      <c r="A2391" s="220" t="s">
        <v>2078</v>
      </c>
      <c r="B2391" s="221">
        <v>0</v>
      </c>
      <c r="C2391" s="221">
        <v>150</v>
      </c>
      <c r="D2391" s="221">
        <v>25.25</v>
      </c>
      <c r="E2391" s="221">
        <v>38.016123209728214</v>
      </c>
      <c r="F2391" s="221">
        <v>6.8597259502259522</v>
      </c>
      <c r="G2391" s="222" t="s">
        <v>2942</v>
      </c>
    </row>
    <row r="2392" spans="1:7">
      <c r="A2392" s="220" t="s">
        <v>2079</v>
      </c>
      <c r="B2392" s="221">
        <v>0</v>
      </c>
      <c r="C2392" s="221">
        <v>150</v>
      </c>
      <c r="D2392" s="221">
        <v>25.25</v>
      </c>
      <c r="E2392" s="221">
        <v>38.016123209728214</v>
      </c>
      <c r="F2392" s="221">
        <v>6.8597259502259522</v>
      </c>
      <c r="G2392" s="222" t="s">
        <v>2942</v>
      </c>
    </row>
    <row r="2393" spans="1:7">
      <c r="A2393" s="220" t="s">
        <v>2080</v>
      </c>
      <c r="B2393" s="221">
        <v>0</v>
      </c>
      <c r="C2393" s="221">
        <v>155</v>
      </c>
      <c r="D2393" s="221">
        <v>25.25</v>
      </c>
      <c r="E2393" s="221">
        <v>38.016123209728214</v>
      </c>
      <c r="F2393" s="221">
        <v>6.8597259502259522</v>
      </c>
      <c r="G2393" s="222" t="s">
        <v>2942</v>
      </c>
    </row>
    <row r="2394" spans="1:7">
      <c r="A2394" s="220" t="s">
        <v>2081</v>
      </c>
      <c r="B2394" s="221">
        <v>0</v>
      </c>
      <c r="C2394" s="221">
        <v>215</v>
      </c>
      <c r="D2394" s="221">
        <v>25.25</v>
      </c>
      <c r="E2394" s="221">
        <v>38.016123209728214</v>
      </c>
      <c r="F2394" s="221">
        <v>6.8597259502259522</v>
      </c>
      <c r="G2394" s="222" t="s">
        <v>2942</v>
      </c>
    </row>
    <row r="2395" spans="1:7">
      <c r="A2395" s="220" t="s">
        <v>2082</v>
      </c>
      <c r="B2395" s="221">
        <v>0</v>
      </c>
      <c r="C2395" s="221">
        <v>240</v>
      </c>
      <c r="D2395" s="221">
        <v>25.25</v>
      </c>
      <c r="E2395" s="221">
        <v>38.016123209728214</v>
      </c>
      <c r="F2395" s="221">
        <v>6.8597259502259522</v>
      </c>
      <c r="G2395" s="222" t="s">
        <v>2942</v>
      </c>
    </row>
    <row r="2396" spans="1:7">
      <c r="A2396" s="220" t="s">
        <v>2083</v>
      </c>
      <c r="B2396" s="221">
        <v>0</v>
      </c>
      <c r="C2396" s="221">
        <v>340</v>
      </c>
      <c r="D2396" s="221">
        <v>25.25</v>
      </c>
      <c r="E2396" s="221">
        <v>42.924723209728214</v>
      </c>
      <c r="F2396" s="221">
        <v>6.8597259502259522</v>
      </c>
      <c r="G2396" s="222" t="s">
        <v>2942</v>
      </c>
    </row>
    <row r="2397" spans="1:7">
      <c r="A2397" s="220" t="s">
        <v>2084</v>
      </c>
      <c r="B2397" s="221">
        <v>0</v>
      </c>
      <c r="C2397" s="221">
        <v>395</v>
      </c>
      <c r="D2397" s="221">
        <v>25.25</v>
      </c>
      <c r="E2397" s="221">
        <v>51.923823209728212</v>
      </c>
      <c r="F2397" s="221">
        <v>6.8597259502259522</v>
      </c>
      <c r="G2397" s="222" t="s">
        <v>2942</v>
      </c>
    </row>
    <row r="2398" spans="1:7">
      <c r="A2398" s="220" t="s">
        <v>2085</v>
      </c>
      <c r="B2398" s="221">
        <v>0</v>
      </c>
      <c r="C2398" s="221">
        <v>525</v>
      </c>
      <c r="D2398" s="221">
        <v>25.25</v>
      </c>
      <c r="E2398" s="221">
        <v>56.014323209728211</v>
      </c>
      <c r="F2398" s="221">
        <v>6.8597259502259522</v>
      </c>
      <c r="G2398" s="222" t="s">
        <v>2942</v>
      </c>
    </row>
    <row r="2399" spans="1:7">
      <c r="A2399" s="220" t="s">
        <v>2086</v>
      </c>
      <c r="B2399" s="221">
        <v>0</v>
      </c>
      <c r="C2399" s="221">
        <v>785</v>
      </c>
      <c r="D2399" s="221">
        <v>25.25</v>
      </c>
      <c r="E2399" s="221">
        <v>72.376323209728213</v>
      </c>
      <c r="F2399" s="221">
        <v>6.8597259502259522</v>
      </c>
      <c r="G2399" s="222" t="s">
        <v>2942</v>
      </c>
    </row>
    <row r="2400" spans="1:7">
      <c r="A2400" s="220" t="s">
        <v>2087</v>
      </c>
      <c r="B2400" s="221">
        <v>0</v>
      </c>
      <c r="C2400" s="221">
        <v>920</v>
      </c>
      <c r="D2400" s="221">
        <v>25.25</v>
      </c>
      <c r="E2400" s="221">
        <v>88.738323209728208</v>
      </c>
      <c r="F2400" s="221">
        <v>6.8597259502259522</v>
      </c>
      <c r="G2400" s="222" t="s">
        <v>2942</v>
      </c>
    </row>
    <row r="2401" spans="1:7">
      <c r="A2401" s="220" t="s">
        <v>2088</v>
      </c>
      <c r="B2401" s="221">
        <v>0</v>
      </c>
      <c r="C2401" s="221">
        <v>1005</v>
      </c>
      <c r="D2401" s="221">
        <v>25.25</v>
      </c>
      <c r="E2401" s="221">
        <v>96.919323209728205</v>
      </c>
      <c r="F2401" s="221">
        <v>6.8597259502259522</v>
      </c>
      <c r="G2401" s="222" t="s">
        <v>2942</v>
      </c>
    </row>
    <row r="2402" spans="1:7">
      <c r="A2402" s="220" t="s">
        <v>2089</v>
      </c>
      <c r="B2402" s="221">
        <v>0</v>
      </c>
      <c r="C2402" s="221">
        <v>1230</v>
      </c>
      <c r="D2402" s="221">
        <v>25.25</v>
      </c>
      <c r="E2402" s="221">
        <v>137.82432320972822</v>
      </c>
      <c r="F2402" s="221">
        <v>6.8597259502259522</v>
      </c>
      <c r="G2402" s="222" t="s">
        <v>2942</v>
      </c>
    </row>
    <row r="2403" spans="1:7">
      <c r="A2403" s="220" t="s">
        <v>2090</v>
      </c>
      <c r="B2403" s="221">
        <v>0</v>
      </c>
      <c r="C2403" s="221">
        <v>1330</v>
      </c>
      <c r="D2403" s="221">
        <v>25.25</v>
      </c>
      <c r="E2403" s="221">
        <v>158.27682320972821</v>
      </c>
      <c r="F2403" s="221">
        <v>6.8597259502259522</v>
      </c>
      <c r="G2403" s="222" t="s">
        <v>2942</v>
      </c>
    </row>
    <row r="2404" spans="1:7">
      <c r="A2404" s="220" t="s">
        <v>2091</v>
      </c>
      <c r="B2404" s="221">
        <v>0</v>
      </c>
      <c r="C2404" s="221">
        <v>1530</v>
      </c>
      <c r="D2404" s="221">
        <v>25.25</v>
      </c>
      <c r="E2404" s="221">
        <v>195.09132320972822</v>
      </c>
      <c r="F2404" s="221">
        <v>6.8597259502259522</v>
      </c>
      <c r="G2404" s="222" t="s">
        <v>2942</v>
      </c>
    </row>
    <row r="2405" spans="1:7">
      <c r="A2405" s="220" t="s">
        <v>2092</v>
      </c>
      <c r="B2405" s="221">
        <v>0</v>
      </c>
      <c r="C2405" s="221">
        <v>1680</v>
      </c>
      <c r="D2405" s="221">
        <v>25.25</v>
      </c>
      <c r="E2405" s="221">
        <v>219.63432320972822</v>
      </c>
      <c r="F2405" s="221">
        <v>6.8597259502259522</v>
      </c>
      <c r="G2405" s="222" t="s">
        <v>2942</v>
      </c>
    </row>
    <row r="2406" spans="1:7">
      <c r="A2406" s="220" t="s">
        <v>2093</v>
      </c>
      <c r="B2406" s="221">
        <v>0</v>
      </c>
      <c r="C2406" s="221">
        <v>1775</v>
      </c>
      <c r="D2406" s="221">
        <v>25.25</v>
      </c>
      <c r="E2406" s="221">
        <v>240.08682320972821</v>
      </c>
      <c r="F2406" s="221">
        <v>6.8597259502259522</v>
      </c>
      <c r="G2406" s="222" t="s">
        <v>2942</v>
      </c>
    </row>
    <row r="2407" spans="1:7">
      <c r="A2407" s="220" t="s">
        <v>2094</v>
      </c>
      <c r="B2407" s="221">
        <v>0</v>
      </c>
      <c r="C2407" s="221">
        <v>95</v>
      </c>
      <c r="D2407" s="221">
        <v>25.25</v>
      </c>
      <c r="E2407" s="221">
        <v>23.081260701974507</v>
      </c>
      <c r="F2407" s="221">
        <v>4.2227333682915926</v>
      </c>
      <c r="G2407" s="222" t="s">
        <v>2942</v>
      </c>
    </row>
    <row r="2408" spans="1:7">
      <c r="A2408" s="220" t="s">
        <v>2095</v>
      </c>
      <c r="B2408" s="221">
        <v>0</v>
      </c>
      <c r="C2408" s="221">
        <v>95</v>
      </c>
      <c r="D2408" s="221">
        <v>25.25</v>
      </c>
      <c r="E2408" s="221">
        <v>26.353660701974508</v>
      </c>
      <c r="F2408" s="221">
        <v>4.2227333682915926</v>
      </c>
      <c r="G2408" s="222" t="s">
        <v>2942</v>
      </c>
    </row>
    <row r="2409" spans="1:7">
      <c r="A2409" s="220" t="s">
        <v>2096</v>
      </c>
      <c r="B2409" s="221">
        <v>0</v>
      </c>
      <c r="C2409" s="221">
        <v>100</v>
      </c>
      <c r="D2409" s="221">
        <v>25.25</v>
      </c>
      <c r="E2409" s="221">
        <v>40.26136070197451</v>
      </c>
      <c r="F2409" s="221">
        <v>4.2227333682915926</v>
      </c>
      <c r="G2409" s="222" t="s">
        <v>2942</v>
      </c>
    </row>
    <row r="2410" spans="1:7">
      <c r="A2410" s="220" t="s">
        <v>2097</v>
      </c>
      <c r="B2410" s="221">
        <v>0</v>
      </c>
      <c r="C2410" s="221">
        <v>130</v>
      </c>
      <c r="D2410" s="221">
        <v>25.25</v>
      </c>
      <c r="E2410" s="221">
        <v>58.259560701974507</v>
      </c>
      <c r="F2410" s="221">
        <v>4.2227333682915926</v>
      </c>
      <c r="G2410" s="222" t="s">
        <v>2942</v>
      </c>
    </row>
    <row r="2411" spans="1:7">
      <c r="A2411" s="220" t="s">
        <v>2098</v>
      </c>
      <c r="B2411" s="221">
        <v>0</v>
      </c>
      <c r="C2411" s="221">
        <v>130</v>
      </c>
      <c r="D2411" s="221">
        <v>25.25</v>
      </c>
      <c r="E2411" s="221">
        <v>63.168160701974507</v>
      </c>
      <c r="F2411" s="221">
        <v>4.2227333682915926</v>
      </c>
      <c r="G2411" s="222" t="s">
        <v>2942</v>
      </c>
    </row>
    <row r="2412" spans="1:7">
      <c r="A2412" s="220" t="s">
        <v>2099</v>
      </c>
      <c r="B2412" s="221">
        <v>0</v>
      </c>
      <c r="C2412" s="221">
        <v>145</v>
      </c>
      <c r="D2412" s="221">
        <v>25.25</v>
      </c>
      <c r="E2412" s="221">
        <v>68.076760701974507</v>
      </c>
      <c r="F2412" s="221">
        <v>4.2227333682915926</v>
      </c>
      <c r="G2412" s="222" t="s">
        <v>2942</v>
      </c>
    </row>
    <row r="2413" spans="1:7">
      <c r="A2413" s="220" t="s">
        <v>2100</v>
      </c>
      <c r="B2413" s="221">
        <v>0</v>
      </c>
      <c r="C2413" s="221">
        <v>155</v>
      </c>
      <c r="D2413" s="221">
        <v>25.25</v>
      </c>
      <c r="E2413" s="221">
        <v>72.167260701974513</v>
      </c>
      <c r="F2413" s="221">
        <v>4.2227333682915926</v>
      </c>
      <c r="G2413" s="222" t="s">
        <v>2942</v>
      </c>
    </row>
    <row r="2414" spans="1:7">
      <c r="A2414" s="220" t="s">
        <v>2101</v>
      </c>
      <c r="B2414" s="221">
        <v>0</v>
      </c>
      <c r="C2414" s="221">
        <v>170</v>
      </c>
      <c r="D2414" s="221">
        <v>25.25</v>
      </c>
      <c r="E2414" s="221">
        <v>77.075860701974506</v>
      </c>
      <c r="F2414" s="221">
        <v>4.2227333682915926</v>
      </c>
      <c r="G2414" s="222" t="s">
        <v>2942</v>
      </c>
    </row>
    <row r="2415" spans="1:7">
      <c r="A2415" s="220" t="s">
        <v>2102</v>
      </c>
      <c r="B2415" s="221">
        <v>0</v>
      </c>
      <c r="C2415" s="221">
        <v>210</v>
      </c>
      <c r="D2415" s="221">
        <v>25.25</v>
      </c>
      <c r="E2415" s="221">
        <v>102.43696070197451</v>
      </c>
      <c r="F2415" s="221">
        <v>4.2227333682915926</v>
      </c>
      <c r="G2415" s="222" t="s">
        <v>2942</v>
      </c>
    </row>
    <row r="2416" spans="1:7">
      <c r="A2416" s="220" t="s">
        <v>2103</v>
      </c>
      <c r="B2416" s="221">
        <v>0</v>
      </c>
      <c r="C2416" s="221">
        <v>220</v>
      </c>
      <c r="D2416" s="221">
        <v>25.25</v>
      </c>
      <c r="E2416" s="221">
        <v>110.61796070197451</v>
      </c>
      <c r="F2416" s="221">
        <v>4.2227333682915926</v>
      </c>
      <c r="G2416" s="222" t="s">
        <v>2942</v>
      </c>
    </row>
    <row r="2417" spans="1:7">
      <c r="A2417" s="220" t="s">
        <v>2104</v>
      </c>
      <c r="B2417" s="221">
        <v>0</v>
      </c>
      <c r="C2417" s="221">
        <v>260</v>
      </c>
      <c r="D2417" s="221">
        <v>25.25</v>
      </c>
      <c r="E2417" s="221">
        <v>135.16096070197449</v>
      </c>
      <c r="F2417" s="221">
        <v>4.2227333682915926</v>
      </c>
      <c r="G2417" s="222" t="s">
        <v>2942</v>
      </c>
    </row>
    <row r="2418" spans="1:7">
      <c r="A2418" s="220" t="s">
        <v>2105</v>
      </c>
      <c r="B2418" s="221">
        <v>0</v>
      </c>
      <c r="C2418" s="221">
        <v>325</v>
      </c>
      <c r="D2418" s="221">
        <v>25.25</v>
      </c>
      <c r="E2418" s="221">
        <v>159.70396070197449</v>
      </c>
      <c r="F2418" s="221">
        <v>4.2227333682915926</v>
      </c>
      <c r="G2418" s="222" t="s">
        <v>2942</v>
      </c>
    </row>
    <row r="2419" spans="1:7">
      <c r="A2419" s="220" t="s">
        <v>2106</v>
      </c>
      <c r="B2419" s="221">
        <v>0</v>
      </c>
      <c r="C2419" s="221">
        <v>375</v>
      </c>
      <c r="D2419" s="221">
        <v>25.25</v>
      </c>
      <c r="E2419" s="221">
        <v>188.33746070197449</v>
      </c>
      <c r="F2419" s="221">
        <v>4.2227333682915926</v>
      </c>
      <c r="G2419" s="222" t="s">
        <v>2942</v>
      </c>
    </row>
    <row r="2420" spans="1:7">
      <c r="A2420" s="220" t="s">
        <v>2107</v>
      </c>
      <c r="B2420" s="221">
        <v>0</v>
      </c>
      <c r="C2420" s="221">
        <v>420</v>
      </c>
      <c r="D2420" s="221">
        <v>25.25</v>
      </c>
      <c r="E2420" s="221">
        <v>208.78996070197451</v>
      </c>
      <c r="F2420" s="221">
        <v>4.2227333682915926</v>
      </c>
      <c r="G2420" s="222" t="s">
        <v>2942</v>
      </c>
    </row>
    <row r="2421" spans="1:7">
      <c r="A2421" s="220" t="s">
        <v>2108</v>
      </c>
      <c r="B2421" s="221">
        <v>0</v>
      </c>
      <c r="C2421" s="221">
        <v>445</v>
      </c>
      <c r="D2421" s="221">
        <v>25.25</v>
      </c>
      <c r="E2421" s="221">
        <v>249.69496070197451</v>
      </c>
      <c r="F2421" s="221">
        <v>4.2227333682915926</v>
      </c>
      <c r="G2421" s="222" t="s">
        <v>2942</v>
      </c>
    </row>
    <row r="2422" spans="1:7">
      <c r="A2422" s="220" t="s">
        <v>2109</v>
      </c>
      <c r="B2422" s="221">
        <v>0</v>
      </c>
      <c r="C2422" s="221">
        <v>510</v>
      </c>
      <c r="D2422" s="221">
        <v>25.25</v>
      </c>
      <c r="E2422" s="221">
        <v>290.59996070197451</v>
      </c>
      <c r="F2422" s="221">
        <v>4.2227333682915926</v>
      </c>
      <c r="G2422" s="222" t="s">
        <v>2942</v>
      </c>
    </row>
    <row r="2423" spans="1:7">
      <c r="A2423" s="220" t="s">
        <v>2110</v>
      </c>
      <c r="B2423" s="221">
        <v>0</v>
      </c>
      <c r="C2423" s="221">
        <v>610</v>
      </c>
      <c r="D2423" s="221">
        <v>25.25</v>
      </c>
      <c r="E2423" s="221">
        <v>351.95746070197453</v>
      </c>
      <c r="F2423" s="221">
        <v>4.2227333682915926</v>
      </c>
      <c r="G2423" s="222" t="s">
        <v>2942</v>
      </c>
    </row>
    <row r="2424" spans="1:7">
      <c r="A2424" s="220" t="s">
        <v>2111</v>
      </c>
      <c r="B2424" s="221">
        <v>0</v>
      </c>
      <c r="C2424" s="221">
        <v>695</v>
      </c>
      <c r="D2424" s="221">
        <v>25.25</v>
      </c>
      <c r="E2424" s="221">
        <v>392.8624607019745</v>
      </c>
      <c r="F2424" s="221">
        <v>4.2227333682915926</v>
      </c>
      <c r="G2424" s="222" t="s">
        <v>2942</v>
      </c>
    </row>
    <row r="2425" spans="1:7">
      <c r="A2425" s="220" t="s">
        <v>2112</v>
      </c>
      <c r="B2425" s="221">
        <v>0</v>
      </c>
      <c r="C2425" s="221">
        <v>755</v>
      </c>
      <c r="D2425" s="221">
        <v>25.25</v>
      </c>
      <c r="E2425" s="221">
        <v>433.76746070197453</v>
      </c>
      <c r="F2425" s="221">
        <v>4.2227333682915926</v>
      </c>
      <c r="G2425" s="222" t="s">
        <v>2942</v>
      </c>
    </row>
    <row r="2426" spans="1:7">
      <c r="A2426" s="220" t="s">
        <v>2113</v>
      </c>
      <c r="B2426" s="221">
        <v>0</v>
      </c>
      <c r="C2426" s="221">
        <v>140</v>
      </c>
      <c r="D2426" s="221">
        <v>25.25</v>
      </c>
      <c r="E2426" s="221">
        <v>23.081260701974507</v>
      </c>
      <c r="F2426" s="221">
        <v>4.2227333682915926</v>
      </c>
      <c r="G2426" s="222" t="s">
        <v>2942</v>
      </c>
    </row>
    <row r="2427" spans="1:7">
      <c r="A2427" s="220" t="s">
        <v>2114</v>
      </c>
      <c r="B2427" s="221">
        <v>0</v>
      </c>
      <c r="C2427" s="221">
        <v>140</v>
      </c>
      <c r="D2427" s="221">
        <v>25.25</v>
      </c>
      <c r="E2427" s="221">
        <v>26.353660701974508</v>
      </c>
      <c r="F2427" s="221">
        <v>4.2227333682915926</v>
      </c>
      <c r="G2427" s="222" t="s">
        <v>2942</v>
      </c>
    </row>
    <row r="2428" spans="1:7">
      <c r="A2428" s="220" t="s">
        <v>2115</v>
      </c>
      <c r="B2428" s="221">
        <v>0</v>
      </c>
      <c r="C2428" s="221">
        <v>170</v>
      </c>
      <c r="D2428" s="221">
        <v>25.25</v>
      </c>
      <c r="E2428" s="221">
        <v>40.26136070197451</v>
      </c>
      <c r="F2428" s="221">
        <v>4.2227333682915926</v>
      </c>
      <c r="G2428" s="222" t="s">
        <v>2942</v>
      </c>
    </row>
    <row r="2429" spans="1:7">
      <c r="A2429" s="220" t="s">
        <v>2116</v>
      </c>
      <c r="B2429" s="221">
        <v>0</v>
      </c>
      <c r="C2429" s="221">
        <v>250</v>
      </c>
      <c r="D2429" s="221">
        <v>25.25</v>
      </c>
      <c r="E2429" s="221">
        <v>58.259560701974507</v>
      </c>
      <c r="F2429" s="221">
        <v>4.2227333682915926</v>
      </c>
      <c r="G2429" s="222" t="s">
        <v>2942</v>
      </c>
    </row>
    <row r="2430" spans="1:7">
      <c r="A2430" s="220" t="s">
        <v>2117</v>
      </c>
      <c r="B2430" s="221">
        <v>0</v>
      </c>
      <c r="C2430" s="221">
        <v>250</v>
      </c>
      <c r="D2430" s="221">
        <v>25.25</v>
      </c>
      <c r="E2430" s="221">
        <v>63.168160701974507</v>
      </c>
      <c r="F2430" s="221">
        <v>4.2227333682915926</v>
      </c>
      <c r="G2430" s="222" t="s">
        <v>2942</v>
      </c>
    </row>
    <row r="2431" spans="1:7">
      <c r="A2431" s="220" t="s">
        <v>2118</v>
      </c>
      <c r="B2431" s="221">
        <v>0</v>
      </c>
      <c r="C2431" s="221">
        <v>345</v>
      </c>
      <c r="D2431" s="221">
        <v>25.25</v>
      </c>
      <c r="E2431" s="221">
        <v>68.076760701974507</v>
      </c>
      <c r="F2431" s="221">
        <v>4.2227333682915926</v>
      </c>
      <c r="G2431" s="222" t="s">
        <v>2942</v>
      </c>
    </row>
    <row r="2432" spans="1:7">
      <c r="A2432" s="220" t="s">
        <v>2119</v>
      </c>
      <c r="B2432" s="221">
        <v>0</v>
      </c>
      <c r="C2432" s="221">
        <v>405</v>
      </c>
      <c r="D2432" s="221">
        <v>25.25</v>
      </c>
      <c r="E2432" s="221">
        <v>72.167260701974513</v>
      </c>
      <c r="F2432" s="221">
        <v>4.2227333682915926</v>
      </c>
      <c r="G2432" s="222" t="s">
        <v>2942</v>
      </c>
    </row>
    <row r="2433" spans="1:7">
      <c r="A2433" s="220" t="s">
        <v>2120</v>
      </c>
      <c r="B2433" s="221">
        <v>0</v>
      </c>
      <c r="C2433" s="221">
        <v>440</v>
      </c>
      <c r="D2433" s="221">
        <v>25.25</v>
      </c>
      <c r="E2433" s="221">
        <v>77.075860701974506</v>
      </c>
      <c r="F2433" s="221">
        <v>4.2227333682915926</v>
      </c>
      <c r="G2433" s="222" t="s">
        <v>2942</v>
      </c>
    </row>
    <row r="2434" spans="1:7">
      <c r="A2434" s="220" t="s">
        <v>2121</v>
      </c>
      <c r="B2434" s="221">
        <v>0</v>
      </c>
      <c r="C2434" s="221">
        <v>475</v>
      </c>
      <c r="D2434" s="221">
        <v>25.25</v>
      </c>
      <c r="E2434" s="221">
        <v>102.43696070197451</v>
      </c>
      <c r="F2434" s="221">
        <v>4.2227333682915926</v>
      </c>
      <c r="G2434" s="222" t="s">
        <v>2942</v>
      </c>
    </row>
    <row r="2435" spans="1:7">
      <c r="A2435" s="220" t="s">
        <v>2122</v>
      </c>
      <c r="B2435" s="221">
        <v>0</v>
      </c>
      <c r="C2435" s="221">
        <v>535</v>
      </c>
      <c r="D2435" s="221">
        <v>25.25</v>
      </c>
      <c r="E2435" s="221">
        <v>110.61796070197451</v>
      </c>
      <c r="F2435" s="221">
        <v>4.2227333682915926</v>
      </c>
      <c r="G2435" s="222" t="s">
        <v>2942</v>
      </c>
    </row>
    <row r="2436" spans="1:7">
      <c r="A2436" s="220" t="s">
        <v>2123</v>
      </c>
      <c r="B2436" s="221">
        <v>0</v>
      </c>
      <c r="C2436" s="221">
        <v>610</v>
      </c>
      <c r="D2436" s="221">
        <v>25.25</v>
      </c>
      <c r="E2436" s="221">
        <v>135.16096070197449</v>
      </c>
      <c r="F2436" s="221">
        <v>4.2227333682915926</v>
      </c>
      <c r="G2436" s="222" t="s">
        <v>2942</v>
      </c>
    </row>
    <row r="2437" spans="1:7">
      <c r="A2437" s="220" t="s">
        <v>2124</v>
      </c>
      <c r="B2437" s="221">
        <v>0</v>
      </c>
      <c r="C2437" s="221">
        <v>780</v>
      </c>
      <c r="D2437" s="221">
        <v>25.25</v>
      </c>
      <c r="E2437" s="221">
        <v>159.70396070197449</v>
      </c>
      <c r="F2437" s="221">
        <v>4.2227333682915926</v>
      </c>
      <c r="G2437" s="222" t="s">
        <v>2942</v>
      </c>
    </row>
    <row r="2438" spans="1:7">
      <c r="A2438" s="220" t="s">
        <v>2125</v>
      </c>
      <c r="B2438" s="221">
        <v>0</v>
      </c>
      <c r="C2438" s="221">
        <v>820</v>
      </c>
      <c r="D2438" s="221">
        <v>25.25</v>
      </c>
      <c r="E2438" s="221">
        <v>188.33746070197449</v>
      </c>
      <c r="F2438" s="221">
        <v>4.2227333682915926</v>
      </c>
      <c r="G2438" s="222" t="s">
        <v>2942</v>
      </c>
    </row>
    <row r="2439" spans="1:7">
      <c r="A2439" s="220" t="s">
        <v>2126</v>
      </c>
      <c r="B2439" s="221">
        <v>0</v>
      </c>
      <c r="C2439" s="221">
        <v>845</v>
      </c>
      <c r="D2439" s="221">
        <v>25.25</v>
      </c>
      <c r="E2439" s="221">
        <v>208.78996070197451</v>
      </c>
      <c r="F2439" s="221">
        <v>4.2227333682915926</v>
      </c>
      <c r="G2439" s="222" t="s">
        <v>2942</v>
      </c>
    </row>
    <row r="2440" spans="1:7">
      <c r="A2440" s="220" t="s">
        <v>2127</v>
      </c>
      <c r="B2440" s="221">
        <v>0</v>
      </c>
      <c r="C2440" s="221">
        <v>1040</v>
      </c>
      <c r="D2440" s="221">
        <v>25.25</v>
      </c>
      <c r="E2440" s="221">
        <v>249.69496070197451</v>
      </c>
      <c r="F2440" s="221">
        <v>4.2227333682915926</v>
      </c>
      <c r="G2440" s="222" t="s">
        <v>2942</v>
      </c>
    </row>
    <row r="2441" spans="1:7">
      <c r="A2441" s="220" t="s">
        <v>2128</v>
      </c>
      <c r="B2441" s="221">
        <v>0</v>
      </c>
      <c r="C2441" s="221">
        <v>1165</v>
      </c>
      <c r="D2441" s="221">
        <v>25.25</v>
      </c>
      <c r="E2441" s="221">
        <v>290.59996070197451</v>
      </c>
      <c r="F2441" s="221">
        <v>4.2227333682915926</v>
      </c>
      <c r="G2441" s="222" t="s">
        <v>2942</v>
      </c>
    </row>
    <row r="2442" spans="1:7">
      <c r="A2442" s="220" t="s">
        <v>2129</v>
      </c>
      <c r="B2442" s="221">
        <v>0</v>
      </c>
      <c r="C2442" s="221">
        <v>1250</v>
      </c>
      <c r="D2442" s="221">
        <v>25.25</v>
      </c>
      <c r="E2442" s="221">
        <v>351.95746070197453</v>
      </c>
      <c r="F2442" s="221">
        <v>4.2227333682915926</v>
      </c>
      <c r="G2442" s="222" t="s">
        <v>2942</v>
      </c>
    </row>
    <row r="2443" spans="1:7">
      <c r="A2443" s="220" t="s">
        <v>2130</v>
      </c>
      <c r="B2443" s="221">
        <v>0</v>
      </c>
      <c r="C2443" s="221">
        <v>1360</v>
      </c>
      <c r="D2443" s="221">
        <v>25.25</v>
      </c>
      <c r="E2443" s="221">
        <v>392.8624607019745</v>
      </c>
      <c r="F2443" s="221">
        <v>4.2227333682915926</v>
      </c>
      <c r="G2443" s="222" t="s">
        <v>2942</v>
      </c>
    </row>
    <row r="2444" spans="1:7">
      <c r="A2444" s="220" t="s">
        <v>2131</v>
      </c>
      <c r="B2444" s="221">
        <v>0</v>
      </c>
      <c r="C2444" s="221">
        <v>1405</v>
      </c>
      <c r="D2444" s="221">
        <v>25.25</v>
      </c>
      <c r="E2444" s="221">
        <v>433.76746070197453</v>
      </c>
      <c r="F2444" s="221">
        <v>4.2227333682915926</v>
      </c>
      <c r="G2444" s="222" t="s">
        <v>2942</v>
      </c>
    </row>
    <row r="2445" spans="1:7">
      <c r="A2445" s="220" t="s">
        <v>2132</v>
      </c>
      <c r="B2445" s="221">
        <v>0</v>
      </c>
      <c r="C2445" s="221">
        <v>179</v>
      </c>
      <c r="D2445" s="221">
        <v>25.25</v>
      </c>
      <c r="E2445" s="221">
        <v>25.744623209728214</v>
      </c>
      <c r="F2445" s="221">
        <v>6.8597259502259522</v>
      </c>
      <c r="G2445" s="222" t="s">
        <v>2942</v>
      </c>
    </row>
    <row r="2446" spans="1:7">
      <c r="A2446" s="220" t="s">
        <v>2133</v>
      </c>
      <c r="B2446" s="221">
        <v>0</v>
      </c>
      <c r="C2446" s="221">
        <v>179</v>
      </c>
      <c r="D2446" s="221">
        <v>25.25</v>
      </c>
      <c r="E2446" s="221">
        <v>29.017023209728215</v>
      </c>
      <c r="F2446" s="221">
        <v>6.8597259502259522</v>
      </c>
      <c r="G2446" s="222" t="s">
        <v>2942</v>
      </c>
    </row>
    <row r="2447" spans="1:7">
      <c r="A2447" s="220" t="s">
        <v>2134</v>
      </c>
      <c r="B2447" s="221">
        <v>0</v>
      </c>
      <c r="C2447" s="221">
        <v>189</v>
      </c>
      <c r="D2447" s="221">
        <v>25.25</v>
      </c>
      <c r="E2447" s="221">
        <v>42.924723209728214</v>
      </c>
      <c r="F2447" s="221">
        <v>6.8597259502259522</v>
      </c>
      <c r="G2447" s="222" t="s">
        <v>2942</v>
      </c>
    </row>
    <row r="2448" spans="1:7">
      <c r="A2448" s="220" t="s">
        <v>2135</v>
      </c>
      <c r="B2448" s="221">
        <v>0</v>
      </c>
      <c r="C2448" s="221">
        <v>385</v>
      </c>
      <c r="D2448" s="221">
        <v>25.25</v>
      </c>
      <c r="E2448" s="221">
        <v>60.922923209728211</v>
      </c>
      <c r="F2448" s="221">
        <v>6.8597259502259522</v>
      </c>
      <c r="G2448" s="222" t="s">
        <v>2942</v>
      </c>
    </row>
    <row r="2449" spans="1:15">
      <c r="A2449" s="220" t="s">
        <v>2136</v>
      </c>
      <c r="B2449" s="221">
        <v>0</v>
      </c>
      <c r="C2449" s="221">
        <v>385</v>
      </c>
      <c r="D2449" s="221">
        <v>25.25</v>
      </c>
      <c r="E2449" s="221">
        <v>65.831523209728218</v>
      </c>
      <c r="F2449" s="221">
        <v>6.8597259502259522</v>
      </c>
      <c r="G2449" s="222" t="s">
        <v>2942</v>
      </c>
    </row>
    <row r="2450" spans="1:15">
      <c r="A2450" s="220" t="s">
        <v>2137</v>
      </c>
      <c r="B2450" s="221">
        <v>0</v>
      </c>
      <c r="C2450" s="221">
        <v>545</v>
      </c>
      <c r="D2450" s="221">
        <v>25.25</v>
      </c>
      <c r="E2450" s="221">
        <v>70.74012320972821</v>
      </c>
      <c r="F2450" s="221">
        <v>6.8597259502259522</v>
      </c>
      <c r="G2450" s="222" t="s">
        <v>2942</v>
      </c>
    </row>
    <row r="2451" spans="1:15">
      <c r="A2451" s="220" t="s">
        <v>2138</v>
      </c>
      <c r="B2451" s="221">
        <v>0</v>
      </c>
      <c r="C2451" s="221">
        <v>655</v>
      </c>
      <c r="D2451" s="221">
        <v>25.25</v>
      </c>
      <c r="E2451" s="221">
        <v>74.830623209728216</v>
      </c>
      <c r="F2451" s="221">
        <v>6.8597259502259522</v>
      </c>
      <c r="G2451" s="222" t="s">
        <v>2942</v>
      </c>
    </row>
    <row r="2452" spans="1:15">
      <c r="A2452" s="220" t="s">
        <v>2139</v>
      </c>
      <c r="B2452" s="221">
        <v>0</v>
      </c>
      <c r="C2452" s="221">
        <v>715</v>
      </c>
      <c r="D2452" s="221">
        <v>25.25</v>
      </c>
      <c r="E2452" s="221">
        <v>79.739223209728209</v>
      </c>
      <c r="F2452" s="221">
        <v>6.8597259502259522</v>
      </c>
      <c r="G2452" s="222" t="s">
        <v>2942</v>
      </c>
    </row>
    <row r="2453" spans="1:15">
      <c r="A2453" s="220" t="s">
        <v>2140</v>
      </c>
      <c r="B2453" s="221">
        <v>0</v>
      </c>
      <c r="C2453" s="221">
        <v>790</v>
      </c>
      <c r="D2453" s="221">
        <v>25.25</v>
      </c>
      <c r="E2453" s="221">
        <v>105.10032320972822</v>
      </c>
      <c r="F2453" s="221">
        <v>6.8597259502259522</v>
      </c>
      <c r="G2453" s="222" t="s">
        <v>2942</v>
      </c>
    </row>
    <row r="2454" spans="1:15">
      <c r="A2454" s="220" t="s">
        <v>2141</v>
      </c>
      <c r="B2454" s="221">
        <v>0</v>
      </c>
      <c r="C2454" s="221">
        <v>865</v>
      </c>
      <c r="D2454" s="221">
        <v>25.25</v>
      </c>
      <c r="E2454" s="221">
        <v>113.28132320972821</v>
      </c>
      <c r="F2454" s="221">
        <v>6.8597259502259522</v>
      </c>
      <c r="G2454" s="222" t="s">
        <v>2942</v>
      </c>
    </row>
    <row r="2455" spans="1:15">
      <c r="A2455" s="220" t="s">
        <v>2142</v>
      </c>
      <c r="B2455" s="221">
        <v>0</v>
      </c>
      <c r="C2455" s="221">
        <v>970</v>
      </c>
      <c r="D2455" s="221">
        <v>25.25</v>
      </c>
      <c r="E2455" s="221">
        <v>137.82432320972822</v>
      </c>
      <c r="F2455" s="221">
        <v>6.8597259502259522</v>
      </c>
      <c r="G2455" s="222" t="s">
        <v>2942</v>
      </c>
    </row>
    <row r="2456" spans="1:15">
      <c r="A2456" s="220" t="s">
        <v>2143</v>
      </c>
      <c r="B2456" s="221">
        <v>0</v>
      </c>
      <c r="C2456" s="221">
        <v>1155</v>
      </c>
      <c r="D2456" s="221">
        <v>25.25</v>
      </c>
      <c r="E2456" s="221">
        <v>162.36732320972823</v>
      </c>
      <c r="F2456" s="221">
        <v>6.8597259502259522</v>
      </c>
      <c r="G2456" s="222" t="s">
        <v>2942</v>
      </c>
    </row>
    <row r="2457" spans="1:15">
      <c r="A2457" s="220" t="s">
        <v>2144</v>
      </c>
      <c r="B2457" s="221">
        <v>0</v>
      </c>
      <c r="C2457" s="221">
        <v>1230</v>
      </c>
      <c r="D2457" s="221">
        <v>25.25</v>
      </c>
      <c r="E2457" s="221">
        <v>191.00082320972822</v>
      </c>
      <c r="F2457" s="221">
        <v>6.8597259502259522</v>
      </c>
      <c r="G2457" s="222" t="s">
        <v>2942</v>
      </c>
    </row>
    <row r="2458" spans="1:15">
      <c r="A2458" s="220" t="s">
        <v>2145</v>
      </c>
      <c r="B2458" s="221">
        <v>0</v>
      </c>
      <c r="C2458" s="221">
        <v>1280</v>
      </c>
      <c r="D2458" s="221">
        <v>25.25</v>
      </c>
      <c r="E2458" s="221">
        <v>211.45332320972821</v>
      </c>
      <c r="F2458" s="221">
        <v>6.8597259502259522</v>
      </c>
      <c r="G2458" s="222" t="s">
        <v>2942</v>
      </c>
    </row>
    <row r="2459" spans="1:15">
      <c r="A2459" s="220" t="s">
        <v>2146</v>
      </c>
      <c r="B2459" s="221">
        <v>0</v>
      </c>
      <c r="C2459" s="221">
        <v>1560</v>
      </c>
      <c r="D2459" s="221">
        <v>25.25</v>
      </c>
      <c r="E2459" s="221">
        <v>252.35832320972821</v>
      </c>
      <c r="F2459" s="221">
        <v>6.8597259502259522</v>
      </c>
      <c r="G2459" s="222" t="s">
        <v>2942</v>
      </c>
    </row>
    <row r="2460" spans="1:15">
      <c r="A2460" s="220" t="s">
        <v>2147</v>
      </c>
      <c r="B2460" s="221">
        <v>0</v>
      </c>
      <c r="C2460" s="221">
        <v>1640</v>
      </c>
      <c r="D2460" s="221">
        <v>25.25</v>
      </c>
      <c r="E2460" s="221">
        <v>293.26332320972818</v>
      </c>
      <c r="F2460" s="221">
        <v>6.8597259502259522</v>
      </c>
      <c r="G2460" s="222" t="s">
        <v>2942</v>
      </c>
    </row>
    <row r="2461" spans="1:15">
      <c r="A2461" s="220" t="s">
        <v>2148</v>
      </c>
      <c r="B2461" s="221">
        <v>0</v>
      </c>
      <c r="C2461" s="221">
        <v>1880</v>
      </c>
      <c r="D2461" s="221">
        <v>25.25</v>
      </c>
      <c r="E2461" s="221">
        <v>354.6208232097282</v>
      </c>
      <c r="F2461" s="221">
        <v>6.8597259502259522</v>
      </c>
      <c r="G2461" s="222" t="s">
        <v>2942</v>
      </c>
    </row>
    <row r="2462" spans="1:15">
      <c r="A2462" s="220" t="s">
        <v>2149</v>
      </c>
      <c r="B2462" s="221">
        <v>0</v>
      </c>
      <c r="C2462" s="221">
        <v>2025</v>
      </c>
      <c r="D2462" s="221">
        <v>25.25</v>
      </c>
      <c r="E2462" s="221">
        <v>395.52582320972817</v>
      </c>
      <c r="F2462" s="221">
        <v>6.8597259502259522</v>
      </c>
      <c r="G2462" s="222" t="s">
        <v>2942</v>
      </c>
    </row>
    <row r="2463" spans="1:15">
      <c r="A2463" s="220" t="s">
        <v>2150</v>
      </c>
      <c r="B2463" s="221">
        <v>0</v>
      </c>
      <c r="C2463" s="221">
        <v>2145</v>
      </c>
      <c r="D2463" s="221">
        <v>25.25</v>
      </c>
      <c r="E2463" s="221">
        <v>436.4308232097282</v>
      </c>
      <c r="F2463" s="221">
        <v>6.8597259502259522</v>
      </c>
      <c r="G2463" s="222" t="s">
        <v>2942</v>
      </c>
    </row>
    <row r="2464" spans="1:15">
      <c r="A2464" s="220" t="s">
        <v>2943</v>
      </c>
      <c r="B2464" s="221">
        <v>0</v>
      </c>
      <c r="C2464" s="221">
        <v>60</v>
      </c>
      <c r="D2464" s="221">
        <v>25.25</v>
      </c>
      <c r="E2464" s="221">
        <v>19.201813280285009</v>
      </c>
      <c r="F2464" s="221"/>
      <c r="G2464" s="222" t="s">
        <v>2944</v>
      </c>
      <c r="J2464" s="219" t="s">
        <v>2945</v>
      </c>
      <c r="K2464" s="219" t="s">
        <v>302</v>
      </c>
      <c r="L2464" s="219" t="s">
        <v>2946</v>
      </c>
      <c r="O2464" s="219" t="s">
        <v>2943</v>
      </c>
    </row>
    <row r="2465" spans="1:15">
      <c r="A2465" s="220" t="s">
        <v>2947</v>
      </c>
      <c r="B2465" s="230">
        <v>0</v>
      </c>
      <c r="C2465" s="230">
        <v>80</v>
      </c>
      <c r="D2465" s="230">
        <v>25.25</v>
      </c>
      <c r="E2465" s="230">
        <v>32.291413280285006</v>
      </c>
      <c r="F2465" s="231"/>
      <c r="G2465" s="222" t="s">
        <v>2944</v>
      </c>
      <c r="J2465" s="220" t="s">
        <v>2945</v>
      </c>
      <c r="K2465" s="232" t="s">
        <v>302</v>
      </c>
      <c r="L2465" s="219" t="s">
        <v>2948</v>
      </c>
      <c r="O2465" s="219" t="s">
        <v>2947</v>
      </c>
    </row>
    <row r="2466" spans="1:15">
      <c r="A2466" s="220" t="s">
        <v>2949</v>
      </c>
      <c r="B2466" s="230">
        <v>0</v>
      </c>
      <c r="C2466" s="230">
        <v>105</v>
      </c>
      <c r="D2466" s="230">
        <v>25.25</v>
      </c>
      <c r="E2466" s="230">
        <v>56.834413280285005</v>
      </c>
      <c r="F2466" s="231"/>
      <c r="G2466" s="222" t="s">
        <v>2944</v>
      </c>
      <c r="J2466" s="220" t="s">
        <v>2945</v>
      </c>
      <c r="K2466" s="232" t="s">
        <v>302</v>
      </c>
      <c r="L2466" s="219" t="s">
        <v>2950</v>
      </c>
      <c r="O2466" s="219" t="s">
        <v>2949</v>
      </c>
    </row>
    <row r="2467" spans="1:15">
      <c r="A2467" s="220" t="s">
        <v>2951</v>
      </c>
      <c r="B2467" s="230">
        <v>0</v>
      </c>
      <c r="C2467" s="230">
        <v>75</v>
      </c>
      <c r="D2467" s="230">
        <v>25.25</v>
      </c>
      <c r="E2467" s="230">
        <v>19.201813280285009</v>
      </c>
      <c r="F2467" s="231"/>
      <c r="G2467" s="222" t="s">
        <v>2944</v>
      </c>
      <c r="J2467" s="220" t="s">
        <v>2945</v>
      </c>
      <c r="K2467" s="232" t="s">
        <v>302</v>
      </c>
      <c r="L2467" s="219" t="s">
        <v>2952</v>
      </c>
      <c r="O2467" s="219" t="s">
        <v>2951</v>
      </c>
    </row>
    <row r="2468" spans="1:15">
      <c r="A2468" s="220" t="s">
        <v>2953</v>
      </c>
      <c r="B2468" s="230">
        <v>0</v>
      </c>
      <c r="C2468" s="230">
        <v>115</v>
      </c>
      <c r="D2468" s="230">
        <v>25.25</v>
      </c>
      <c r="E2468" s="230">
        <v>32.291413280285006</v>
      </c>
      <c r="F2468" s="231"/>
      <c r="G2468" s="222" t="s">
        <v>2944</v>
      </c>
      <c r="J2468" s="220" t="s">
        <v>2945</v>
      </c>
      <c r="K2468" s="232" t="s">
        <v>302</v>
      </c>
      <c r="L2468" s="219" t="s">
        <v>2954</v>
      </c>
      <c r="O2468" s="219" t="s">
        <v>2953</v>
      </c>
    </row>
    <row r="2469" spans="1:15">
      <c r="A2469" s="220" t="s">
        <v>2955</v>
      </c>
      <c r="B2469" s="230">
        <v>0</v>
      </c>
      <c r="C2469" s="230">
        <v>185</v>
      </c>
      <c r="D2469" s="230">
        <v>25.25</v>
      </c>
      <c r="E2469" s="230">
        <v>56.834413280285005</v>
      </c>
      <c r="F2469" s="231"/>
      <c r="G2469" s="222" t="s">
        <v>2944</v>
      </c>
      <c r="J2469" s="220" t="s">
        <v>2945</v>
      </c>
      <c r="K2469" s="232" t="s">
        <v>302</v>
      </c>
      <c r="L2469" s="219" t="s">
        <v>2956</v>
      </c>
      <c r="O2469" s="219" t="s">
        <v>2955</v>
      </c>
    </row>
    <row r="2470" spans="1:15">
      <c r="A2470" s="220" t="s">
        <v>2957</v>
      </c>
      <c r="B2470" s="230">
        <v>0</v>
      </c>
      <c r="C2470" s="230">
        <v>95</v>
      </c>
      <c r="D2470" s="230">
        <v>25.25</v>
      </c>
      <c r="E2470" s="230">
        <v>23.377806776855735</v>
      </c>
      <c r="F2470" s="231"/>
      <c r="G2470" s="222" t="s">
        <v>2944</v>
      </c>
      <c r="J2470" s="220" t="s">
        <v>2945</v>
      </c>
      <c r="K2470" s="232" t="s">
        <v>302</v>
      </c>
      <c r="L2470" s="219" t="s">
        <v>2958</v>
      </c>
      <c r="O2470" s="219" t="s">
        <v>2957</v>
      </c>
    </row>
    <row r="2471" spans="1:15">
      <c r="A2471" s="220" t="s">
        <v>2959</v>
      </c>
      <c r="B2471" s="230">
        <v>0</v>
      </c>
      <c r="C2471" s="230">
        <v>145</v>
      </c>
      <c r="D2471" s="230">
        <v>25.25</v>
      </c>
      <c r="E2471" s="230">
        <v>36.467406776855732</v>
      </c>
      <c r="F2471" s="231"/>
      <c r="G2471" s="222" t="s">
        <v>2944</v>
      </c>
      <c r="J2471" s="220" t="s">
        <v>2945</v>
      </c>
      <c r="K2471" s="232" t="s">
        <v>302</v>
      </c>
      <c r="L2471" s="219" t="s">
        <v>2960</v>
      </c>
      <c r="O2471" s="219" t="s">
        <v>2959</v>
      </c>
    </row>
    <row r="2472" spans="1:15">
      <c r="A2472" s="220" t="s">
        <v>2961</v>
      </c>
      <c r="B2472" s="230">
        <v>0</v>
      </c>
      <c r="C2472" s="230">
        <v>225</v>
      </c>
      <c r="D2472" s="230">
        <v>25.25</v>
      </c>
      <c r="E2472" s="230">
        <v>61.010406776855724</v>
      </c>
      <c r="F2472" s="231"/>
      <c r="G2472" s="222" t="s">
        <v>2944</v>
      </c>
      <c r="J2472" s="220" t="s">
        <v>2945</v>
      </c>
      <c r="K2472" s="232" t="s">
        <v>302</v>
      </c>
      <c r="L2472" s="219" t="s">
        <v>2962</v>
      </c>
      <c r="O2472" s="219" t="s">
        <v>2961</v>
      </c>
    </row>
    <row r="2473" spans="1:15">
      <c r="A2473" s="220" t="s">
        <v>2963</v>
      </c>
      <c r="B2473" s="230">
        <v>0</v>
      </c>
      <c r="C2473" s="230" t="s">
        <v>270</v>
      </c>
      <c r="D2473" s="230" t="e">
        <v>#N/A</v>
      </c>
      <c r="E2473" s="230" t="e">
        <v>#N/A</v>
      </c>
      <c r="F2473" s="231"/>
      <c r="G2473" s="222" t="s">
        <v>2944</v>
      </c>
      <c r="J2473" s="220" t="s">
        <v>2945</v>
      </c>
      <c r="K2473" s="232" t="s">
        <v>302</v>
      </c>
      <c r="L2473" s="219" t="s">
        <v>2964</v>
      </c>
      <c r="O2473" s="219" t="s">
        <v>2963</v>
      </c>
    </row>
    <row r="2474" spans="1:15">
      <c r="A2474" s="220" t="s">
        <v>2965</v>
      </c>
      <c r="B2474" s="230">
        <v>0</v>
      </c>
      <c r="C2474" s="230" t="s">
        <v>270</v>
      </c>
      <c r="D2474" s="230" t="e">
        <v>#N/A</v>
      </c>
      <c r="E2474" s="230" t="e">
        <v>#N/A</v>
      </c>
      <c r="F2474" s="231"/>
      <c r="G2474" s="222" t="s">
        <v>2944</v>
      </c>
      <c r="J2474" s="220" t="s">
        <v>2945</v>
      </c>
      <c r="K2474" s="232" t="s">
        <v>302</v>
      </c>
      <c r="L2474" s="219" t="s">
        <v>2966</v>
      </c>
      <c r="O2474" s="219" t="s">
        <v>2965</v>
      </c>
    </row>
    <row r="2475" spans="1:15">
      <c r="A2475" s="220" t="s">
        <v>2967</v>
      </c>
      <c r="B2475" s="230">
        <v>0</v>
      </c>
      <c r="C2475" s="230" t="s">
        <v>270</v>
      </c>
      <c r="D2475" s="230" t="e">
        <v>#N/A</v>
      </c>
      <c r="E2475" s="230" t="e">
        <v>#N/A</v>
      </c>
      <c r="F2475" s="231"/>
      <c r="G2475" s="222" t="s">
        <v>2944</v>
      </c>
      <c r="J2475" s="220" t="s">
        <v>2945</v>
      </c>
      <c r="K2475" s="232" t="s">
        <v>302</v>
      </c>
      <c r="L2475" s="219" t="s">
        <v>2968</v>
      </c>
      <c r="O2475" s="219" t="s">
        <v>2967</v>
      </c>
    </row>
    <row r="2476" spans="1:15">
      <c r="A2476" s="220" t="s">
        <v>2969</v>
      </c>
      <c r="B2476" s="230">
        <v>0</v>
      </c>
      <c r="C2476" s="230">
        <v>60</v>
      </c>
      <c r="D2476" s="230">
        <v>25.25</v>
      </c>
      <c r="E2476" s="230">
        <v>19.201813280285009</v>
      </c>
      <c r="F2476" s="231"/>
      <c r="G2476" s="222" t="s">
        <v>2944</v>
      </c>
      <c r="J2476" s="220" t="s">
        <v>2970</v>
      </c>
      <c r="K2476" s="232" t="s">
        <v>302</v>
      </c>
      <c r="L2476" s="219" t="s">
        <v>2946</v>
      </c>
      <c r="O2476" s="219" t="s">
        <v>2969</v>
      </c>
    </row>
    <row r="2477" spans="1:15">
      <c r="A2477" s="220" t="s">
        <v>2971</v>
      </c>
      <c r="B2477" s="230">
        <v>0</v>
      </c>
      <c r="C2477" s="230">
        <v>80</v>
      </c>
      <c r="D2477" s="230">
        <v>25.25</v>
      </c>
      <c r="E2477" s="230">
        <v>32.291413280285006</v>
      </c>
      <c r="F2477" s="231"/>
      <c r="G2477" s="222" t="s">
        <v>2944</v>
      </c>
      <c r="J2477" s="220" t="s">
        <v>2970</v>
      </c>
      <c r="K2477" s="232" t="s">
        <v>302</v>
      </c>
      <c r="L2477" s="219" t="s">
        <v>2948</v>
      </c>
      <c r="O2477" s="219" t="s">
        <v>2971</v>
      </c>
    </row>
    <row r="2478" spans="1:15">
      <c r="A2478" s="220" t="s">
        <v>2972</v>
      </c>
      <c r="B2478" s="230">
        <v>0</v>
      </c>
      <c r="C2478" s="230">
        <v>105</v>
      </c>
      <c r="D2478" s="230">
        <v>25.25</v>
      </c>
      <c r="E2478" s="230">
        <v>56.834413280285005</v>
      </c>
      <c r="F2478" s="231"/>
      <c r="G2478" s="222" t="s">
        <v>2944</v>
      </c>
      <c r="J2478" s="220" t="s">
        <v>2970</v>
      </c>
      <c r="K2478" s="232" t="s">
        <v>302</v>
      </c>
      <c r="L2478" s="219" t="s">
        <v>2950</v>
      </c>
      <c r="O2478" s="219" t="s">
        <v>2972</v>
      </c>
    </row>
    <row r="2479" spans="1:15">
      <c r="A2479" s="220" t="s">
        <v>2973</v>
      </c>
      <c r="B2479" s="230">
        <v>0</v>
      </c>
      <c r="C2479" s="230">
        <v>75</v>
      </c>
      <c r="D2479" s="230">
        <v>25.25</v>
      </c>
      <c r="E2479" s="230">
        <v>19.201813280285009</v>
      </c>
      <c r="F2479" s="231"/>
      <c r="G2479" s="222" t="s">
        <v>2944</v>
      </c>
      <c r="J2479" s="220" t="s">
        <v>2970</v>
      </c>
      <c r="K2479" s="232" t="s">
        <v>302</v>
      </c>
      <c r="L2479" s="219" t="s">
        <v>2952</v>
      </c>
      <c r="O2479" s="219" t="s">
        <v>2973</v>
      </c>
    </row>
    <row r="2480" spans="1:15">
      <c r="A2480" s="220" t="s">
        <v>2974</v>
      </c>
      <c r="B2480" s="230">
        <v>0</v>
      </c>
      <c r="C2480" s="230">
        <v>115</v>
      </c>
      <c r="D2480" s="230">
        <v>25.25</v>
      </c>
      <c r="E2480" s="230">
        <v>32.291413280285006</v>
      </c>
      <c r="F2480" s="231"/>
      <c r="G2480" s="222" t="s">
        <v>2944</v>
      </c>
      <c r="J2480" s="220" t="s">
        <v>2970</v>
      </c>
      <c r="K2480" s="232" t="s">
        <v>302</v>
      </c>
      <c r="L2480" s="219" t="s">
        <v>2954</v>
      </c>
      <c r="O2480" s="219" t="s">
        <v>2974</v>
      </c>
    </row>
    <row r="2481" spans="1:15">
      <c r="A2481" s="220" t="s">
        <v>2975</v>
      </c>
      <c r="B2481" s="230">
        <v>0</v>
      </c>
      <c r="C2481" s="230">
        <v>185</v>
      </c>
      <c r="D2481" s="230">
        <v>25.25</v>
      </c>
      <c r="E2481" s="230">
        <v>56.834413280285005</v>
      </c>
      <c r="F2481" s="231"/>
      <c r="G2481" s="222" t="s">
        <v>2944</v>
      </c>
      <c r="J2481" s="220" t="s">
        <v>2970</v>
      </c>
      <c r="K2481" s="232" t="s">
        <v>302</v>
      </c>
      <c r="L2481" s="219" t="s">
        <v>2956</v>
      </c>
      <c r="O2481" s="219" t="s">
        <v>2975</v>
      </c>
    </row>
    <row r="2482" spans="1:15">
      <c r="A2482" s="220" t="s">
        <v>2976</v>
      </c>
      <c r="B2482" s="230">
        <v>0</v>
      </c>
      <c r="C2482" s="230">
        <v>95</v>
      </c>
      <c r="D2482" s="230">
        <v>25.25</v>
      </c>
      <c r="E2482" s="230">
        <v>23.377806776855735</v>
      </c>
      <c r="F2482" s="231"/>
      <c r="G2482" s="222" t="s">
        <v>2944</v>
      </c>
      <c r="J2482" s="220" t="s">
        <v>2970</v>
      </c>
      <c r="K2482" s="232" t="s">
        <v>302</v>
      </c>
      <c r="L2482" s="219" t="s">
        <v>2958</v>
      </c>
      <c r="O2482" s="219" t="s">
        <v>2976</v>
      </c>
    </row>
    <row r="2483" spans="1:15">
      <c r="A2483" s="220" t="s">
        <v>2977</v>
      </c>
      <c r="B2483" s="230">
        <v>0</v>
      </c>
      <c r="C2483" s="230">
        <v>145</v>
      </c>
      <c r="D2483" s="230">
        <v>25.25</v>
      </c>
      <c r="E2483" s="230">
        <v>36.467406776855732</v>
      </c>
      <c r="F2483" s="231"/>
      <c r="G2483" s="222" t="s">
        <v>2944</v>
      </c>
      <c r="J2483" s="220" t="s">
        <v>2970</v>
      </c>
      <c r="K2483" s="232" t="s">
        <v>302</v>
      </c>
      <c r="L2483" s="219" t="s">
        <v>2960</v>
      </c>
      <c r="O2483" s="219" t="s">
        <v>2977</v>
      </c>
    </row>
    <row r="2484" spans="1:15">
      <c r="A2484" s="220" t="s">
        <v>2978</v>
      </c>
      <c r="B2484" s="230">
        <v>0</v>
      </c>
      <c r="C2484" s="230">
        <v>225</v>
      </c>
      <c r="D2484" s="230">
        <v>25.25</v>
      </c>
      <c r="E2484" s="230">
        <v>61.010406776855724</v>
      </c>
      <c r="F2484" s="231"/>
      <c r="G2484" s="222" t="s">
        <v>2944</v>
      </c>
      <c r="J2484" s="220" t="s">
        <v>2970</v>
      </c>
      <c r="K2484" s="232" t="s">
        <v>302</v>
      </c>
      <c r="L2484" s="219" t="s">
        <v>2962</v>
      </c>
      <c r="O2484" s="219" t="s">
        <v>2978</v>
      </c>
    </row>
    <row r="2485" spans="1:15">
      <c r="A2485" s="220" t="s">
        <v>2979</v>
      </c>
      <c r="B2485" s="230">
        <v>0</v>
      </c>
      <c r="C2485" s="230" t="s">
        <v>270</v>
      </c>
      <c r="D2485" s="230" t="e">
        <v>#N/A</v>
      </c>
      <c r="E2485" s="230" t="e">
        <v>#N/A</v>
      </c>
      <c r="F2485" s="231"/>
      <c r="G2485" s="222" t="s">
        <v>2944</v>
      </c>
      <c r="J2485" s="220" t="s">
        <v>2970</v>
      </c>
      <c r="K2485" s="232" t="s">
        <v>302</v>
      </c>
      <c r="L2485" s="219" t="s">
        <v>2964</v>
      </c>
      <c r="O2485" s="219" t="s">
        <v>2979</v>
      </c>
    </row>
    <row r="2486" spans="1:15">
      <c r="A2486" s="220" t="s">
        <v>2980</v>
      </c>
      <c r="B2486" s="230">
        <v>0</v>
      </c>
      <c r="C2486" s="230" t="s">
        <v>270</v>
      </c>
      <c r="D2486" s="230" t="e">
        <v>#N/A</v>
      </c>
      <c r="E2486" s="230" t="e">
        <v>#N/A</v>
      </c>
      <c r="F2486" s="231"/>
      <c r="G2486" s="222" t="s">
        <v>2944</v>
      </c>
      <c r="J2486" s="220" t="s">
        <v>2970</v>
      </c>
      <c r="K2486" s="232" t="s">
        <v>302</v>
      </c>
      <c r="L2486" s="219" t="s">
        <v>2966</v>
      </c>
      <c r="O2486" s="219" t="s">
        <v>2980</v>
      </c>
    </row>
    <row r="2487" spans="1:15">
      <c r="A2487" s="220" t="s">
        <v>2981</v>
      </c>
      <c r="B2487" s="230">
        <v>0</v>
      </c>
      <c r="C2487" s="230" t="s">
        <v>270</v>
      </c>
      <c r="D2487" s="230" t="e">
        <v>#N/A</v>
      </c>
      <c r="E2487" s="230" t="e">
        <v>#N/A</v>
      </c>
      <c r="F2487" s="231"/>
      <c r="G2487" s="222" t="s">
        <v>2944</v>
      </c>
      <c r="J2487" s="220" t="s">
        <v>2970</v>
      </c>
      <c r="K2487" s="232" t="s">
        <v>302</v>
      </c>
      <c r="L2487" s="219" t="s">
        <v>2968</v>
      </c>
      <c r="O2487" s="219" t="s">
        <v>2981</v>
      </c>
    </row>
    <row r="2488" spans="1:15">
      <c r="A2488" s="220" t="s">
        <v>2982</v>
      </c>
      <c r="B2488" s="230">
        <v>0</v>
      </c>
      <c r="C2488" s="230">
        <v>60</v>
      </c>
      <c r="D2488" s="230">
        <v>25.25</v>
      </c>
      <c r="E2488" s="230">
        <v>19.201813280285009</v>
      </c>
      <c r="F2488" s="231"/>
      <c r="G2488" s="222" t="s">
        <v>2944</v>
      </c>
      <c r="J2488" s="220" t="s">
        <v>2983</v>
      </c>
      <c r="K2488" s="232" t="s">
        <v>302</v>
      </c>
      <c r="L2488" s="219" t="s">
        <v>2946</v>
      </c>
      <c r="O2488" s="219" t="s">
        <v>2982</v>
      </c>
    </row>
    <row r="2489" spans="1:15">
      <c r="A2489" s="220" t="s">
        <v>2984</v>
      </c>
      <c r="B2489" s="230">
        <v>0</v>
      </c>
      <c r="C2489" s="230">
        <v>80</v>
      </c>
      <c r="D2489" s="230">
        <v>25.25</v>
      </c>
      <c r="E2489" s="230">
        <v>32.291413280285006</v>
      </c>
      <c r="F2489" s="231"/>
      <c r="G2489" s="222" t="s">
        <v>2944</v>
      </c>
      <c r="J2489" s="220" t="s">
        <v>2983</v>
      </c>
      <c r="K2489" s="232" t="s">
        <v>302</v>
      </c>
      <c r="L2489" s="219" t="s">
        <v>2948</v>
      </c>
      <c r="O2489" s="219" t="s">
        <v>2984</v>
      </c>
    </row>
    <row r="2490" spans="1:15">
      <c r="A2490" s="220" t="s">
        <v>2985</v>
      </c>
      <c r="B2490" s="230">
        <v>0</v>
      </c>
      <c r="C2490" s="230">
        <v>105</v>
      </c>
      <c r="D2490" s="230">
        <v>25.25</v>
      </c>
      <c r="E2490" s="230">
        <v>56.834413280285005</v>
      </c>
      <c r="F2490" s="231"/>
      <c r="G2490" s="222" t="s">
        <v>2944</v>
      </c>
      <c r="J2490" s="220" t="s">
        <v>2983</v>
      </c>
      <c r="K2490" s="232" t="s">
        <v>302</v>
      </c>
      <c r="L2490" s="219" t="s">
        <v>2950</v>
      </c>
      <c r="O2490" s="219" t="s">
        <v>2985</v>
      </c>
    </row>
    <row r="2491" spans="1:15">
      <c r="A2491" s="220" t="s">
        <v>2986</v>
      </c>
      <c r="B2491" s="230">
        <v>0</v>
      </c>
      <c r="C2491" s="230">
        <v>75</v>
      </c>
      <c r="D2491" s="230">
        <v>25.25</v>
      </c>
      <c r="E2491" s="230">
        <v>19.201813280285009</v>
      </c>
      <c r="F2491" s="231"/>
      <c r="G2491" s="222" t="s">
        <v>2944</v>
      </c>
      <c r="J2491" s="220" t="s">
        <v>2983</v>
      </c>
      <c r="K2491" s="232" t="s">
        <v>302</v>
      </c>
      <c r="L2491" s="219" t="s">
        <v>2952</v>
      </c>
      <c r="O2491" s="219" t="s">
        <v>2986</v>
      </c>
    </row>
    <row r="2492" spans="1:15">
      <c r="A2492" s="220" t="s">
        <v>2987</v>
      </c>
      <c r="B2492" s="230">
        <v>0</v>
      </c>
      <c r="C2492" s="230">
        <v>115</v>
      </c>
      <c r="D2492" s="230">
        <v>25.25</v>
      </c>
      <c r="E2492" s="230">
        <v>32.291413280285006</v>
      </c>
      <c r="F2492" s="231"/>
      <c r="G2492" s="222" t="s">
        <v>2944</v>
      </c>
      <c r="J2492" s="220" t="s">
        <v>2983</v>
      </c>
      <c r="K2492" s="232" t="s">
        <v>302</v>
      </c>
      <c r="L2492" s="219" t="s">
        <v>2954</v>
      </c>
      <c r="O2492" s="219" t="s">
        <v>2987</v>
      </c>
    </row>
    <row r="2493" spans="1:15">
      <c r="A2493" s="220" t="s">
        <v>2988</v>
      </c>
      <c r="B2493" s="230">
        <v>0</v>
      </c>
      <c r="C2493" s="230">
        <v>185</v>
      </c>
      <c r="D2493" s="230">
        <v>25.25</v>
      </c>
      <c r="E2493" s="230">
        <v>56.834413280285005</v>
      </c>
      <c r="F2493" s="231"/>
      <c r="G2493" s="222" t="s">
        <v>2944</v>
      </c>
      <c r="J2493" s="220" t="s">
        <v>2983</v>
      </c>
      <c r="K2493" s="232" t="s">
        <v>302</v>
      </c>
      <c r="L2493" s="219" t="s">
        <v>2956</v>
      </c>
      <c r="O2493" s="219" t="s">
        <v>2988</v>
      </c>
    </row>
    <row r="2494" spans="1:15">
      <c r="A2494" s="220" t="s">
        <v>2989</v>
      </c>
      <c r="B2494" s="230">
        <v>0</v>
      </c>
      <c r="C2494" s="230">
        <v>95</v>
      </c>
      <c r="D2494" s="230">
        <v>25.25</v>
      </c>
      <c r="E2494" s="230">
        <v>23.377806776855735</v>
      </c>
      <c r="F2494" s="231"/>
      <c r="G2494" s="222" t="s">
        <v>2944</v>
      </c>
      <c r="J2494" s="220" t="s">
        <v>2983</v>
      </c>
      <c r="K2494" s="232" t="s">
        <v>302</v>
      </c>
      <c r="L2494" s="219" t="s">
        <v>2958</v>
      </c>
      <c r="O2494" s="219" t="s">
        <v>2989</v>
      </c>
    </row>
    <row r="2495" spans="1:15">
      <c r="A2495" s="220" t="s">
        <v>2990</v>
      </c>
      <c r="B2495" s="230">
        <v>0</v>
      </c>
      <c r="C2495" s="230">
        <v>145</v>
      </c>
      <c r="D2495" s="230">
        <v>25.25</v>
      </c>
      <c r="E2495" s="230">
        <v>36.467406776855732</v>
      </c>
      <c r="F2495" s="231"/>
      <c r="G2495" s="222" t="s">
        <v>2944</v>
      </c>
      <c r="J2495" s="220" t="s">
        <v>2983</v>
      </c>
      <c r="K2495" s="232" t="s">
        <v>302</v>
      </c>
      <c r="L2495" s="219" t="s">
        <v>2960</v>
      </c>
      <c r="O2495" s="219" t="s">
        <v>2990</v>
      </c>
    </row>
    <row r="2496" spans="1:15">
      <c r="A2496" s="220" t="s">
        <v>2991</v>
      </c>
      <c r="B2496" s="230">
        <v>0</v>
      </c>
      <c r="C2496" s="230">
        <v>225</v>
      </c>
      <c r="D2496" s="230">
        <v>25.25</v>
      </c>
      <c r="E2496" s="230">
        <v>61.010406776855724</v>
      </c>
      <c r="F2496" s="231"/>
      <c r="G2496" s="222" t="s">
        <v>2944</v>
      </c>
      <c r="J2496" s="220" t="s">
        <v>2983</v>
      </c>
      <c r="K2496" s="232" t="s">
        <v>302</v>
      </c>
      <c r="L2496" s="219" t="s">
        <v>2962</v>
      </c>
      <c r="O2496" s="219" t="s">
        <v>2991</v>
      </c>
    </row>
    <row r="2497" spans="1:15">
      <c r="A2497" s="220" t="s">
        <v>2992</v>
      </c>
      <c r="B2497" s="230">
        <v>0</v>
      </c>
      <c r="C2497" s="230" t="s">
        <v>270</v>
      </c>
      <c r="D2497" s="230" t="e">
        <v>#N/A</v>
      </c>
      <c r="E2497" s="230" t="e">
        <v>#N/A</v>
      </c>
      <c r="F2497" s="231"/>
      <c r="G2497" s="222" t="s">
        <v>2944</v>
      </c>
      <c r="J2497" s="220" t="s">
        <v>2983</v>
      </c>
      <c r="K2497" s="232" t="s">
        <v>302</v>
      </c>
      <c r="L2497" s="219" t="s">
        <v>2964</v>
      </c>
      <c r="O2497" s="219" t="s">
        <v>2992</v>
      </c>
    </row>
    <row r="2498" spans="1:15">
      <c r="A2498" s="220" t="s">
        <v>2993</v>
      </c>
      <c r="B2498" s="230">
        <v>0</v>
      </c>
      <c r="C2498" s="230" t="s">
        <v>270</v>
      </c>
      <c r="D2498" s="230" t="e">
        <v>#N/A</v>
      </c>
      <c r="E2498" s="230" t="e">
        <v>#N/A</v>
      </c>
      <c r="F2498" s="231"/>
      <c r="G2498" s="222" t="s">
        <v>2944</v>
      </c>
      <c r="J2498" s="220" t="s">
        <v>2983</v>
      </c>
      <c r="K2498" s="232" t="s">
        <v>302</v>
      </c>
      <c r="L2498" s="219" t="s">
        <v>2966</v>
      </c>
      <c r="O2498" s="219" t="s">
        <v>2993</v>
      </c>
    </row>
    <row r="2499" spans="1:15">
      <c r="A2499" s="220" t="s">
        <v>2994</v>
      </c>
      <c r="B2499" s="230">
        <v>0</v>
      </c>
      <c r="C2499" s="230" t="s">
        <v>270</v>
      </c>
      <c r="D2499" s="230" t="e">
        <v>#N/A</v>
      </c>
      <c r="E2499" s="230" t="e">
        <v>#N/A</v>
      </c>
      <c r="F2499" s="231"/>
      <c r="G2499" s="222" t="s">
        <v>2944</v>
      </c>
      <c r="J2499" s="220" t="s">
        <v>2983</v>
      </c>
      <c r="K2499" s="232" t="s">
        <v>302</v>
      </c>
      <c r="L2499" s="219" t="s">
        <v>2968</v>
      </c>
      <c r="O2499" s="219" t="s">
        <v>2994</v>
      </c>
    </row>
    <row r="2500" spans="1:15">
      <c r="A2500" s="220" t="s">
        <v>2995</v>
      </c>
      <c r="B2500" s="230">
        <v>0</v>
      </c>
      <c r="C2500" s="230">
        <v>60</v>
      </c>
      <c r="D2500" s="230">
        <v>18.937500000000004</v>
      </c>
      <c r="E2500" s="230">
        <v>19.201813280285009</v>
      </c>
      <c r="F2500" s="231"/>
      <c r="G2500" s="222" t="s">
        <v>2944</v>
      </c>
      <c r="J2500" s="220" t="s">
        <v>2996</v>
      </c>
      <c r="K2500" s="232" t="s">
        <v>302</v>
      </c>
      <c r="L2500" s="219" t="s">
        <v>2946</v>
      </c>
      <c r="O2500" s="219" t="s">
        <v>2995</v>
      </c>
    </row>
    <row r="2501" spans="1:15">
      <c r="A2501" s="220" t="s">
        <v>2997</v>
      </c>
      <c r="B2501" s="230">
        <v>0</v>
      </c>
      <c r="C2501" s="230">
        <v>80</v>
      </c>
      <c r="D2501" s="230">
        <v>18.937500000000004</v>
      </c>
      <c r="E2501" s="230">
        <v>32.291413280285006</v>
      </c>
      <c r="F2501" s="231"/>
      <c r="G2501" s="222" t="s">
        <v>2944</v>
      </c>
      <c r="J2501" s="220" t="s">
        <v>2996</v>
      </c>
      <c r="K2501" s="232" t="s">
        <v>302</v>
      </c>
      <c r="L2501" s="219" t="s">
        <v>2948</v>
      </c>
      <c r="O2501" s="219" t="s">
        <v>2997</v>
      </c>
    </row>
    <row r="2502" spans="1:15">
      <c r="A2502" s="220" t="s">
        <v>2998</v>
      </c>
      <c r="B2502" s="230">
        <v>0</v>
      </c>
      <c r="C2502" s="230">
        <v>105</v>
      </c>
      <c r="D2502" s="230">
        <v>18.937500000000004</v>
      </c>
      <c r="E2502" s="230">
        <v>56.834413280285005</v>
      </c>
      <c r="F2502" s="231"/>
      <c r="G2502" s="222" t="s">
        <v>2944</v>
      </c>
      <c r="J2502" s="220" t="s">
        <v>2996</v>
      </c>
      <c r="K2502" s="232" t="s">
        <v>302</v>
      </c>
      <c r="L2502" s="219" t="s">
        <v>2950</v>
      </c>
      <c r="O2502" s="219" t="s">
        <v>2998</v>
      </c>
    </row>
    <row r="2503" spans="1:15">
      <c r="A2503" s="220" t="s">
        <v>2999</v>
      </c>
      <c r="B2503" s="230">
        <v>0</v>
      </c>
      <c r="C2503" s="230">
        <v>75</v>
      </c>
      <c r="D2503" s="230">
        <v>18.937500000000004</v>
      </c>
      <c r="E2503" s="230">
        <v>19.201813280285009</v>
      </c>
      <c r="F2503" s="231"/>
      <c r="G2503" s="222" t="s">
        <v>2944</v>
      </c>
      <c r="J2503" s="220" t="s">
        <v>2996</v>
      </c>
      <c r="K2503" s="232" t="s">
        <v>302</v>
      </c>
      <c r="L2503" s="219" t="s">
        <v>2952</v>
      </c>
      <c r="O2503" s="219" t="s">
        <v>2999</v>
      </c>
    </row>
    <row r="2504" spans="1:15">
      <c r="A2504" s="220" t="s">
        <v>3000</v>
      </c>
      <c r="B2504" s="230">
        <v>0</v>
      </c>
      <c r="C2504" s="230">
        <v>115</v>
      </c>
      <c r="D2504" s="230">
        <v>18.937500000000004</v>
      </c>
      <c r="E2504" s="230">
        <v>32.291413280285006</v>
      </c>
      <c r="F2504" s="231"/>
      <c r="G2504" s="222" t="s">
        <v>2944</v>
      </c>
      <c r="J2504" s="220" t="s">
        <v>2996</v>
      </c>
      <c r="K2504" s="232" t="s">
        <v>302</v>
      </c>
      <c r="L2504" s="219" t="s">
        <v>2954</v>
      </c>
      <c r="O2504" s="219" t="s">
        <v>3000</v>
      </c>
    </row>
    <row r="2505" spans="1:15">
      <c r="A2505" s="220" t="s">
        <v>3001</v>
      </c>
      <c r="B2505" s="230">
        <v>0</v>
      </c>
      <c r="C2505" s="230">
        <v>185</v>
      </c>
      <c r="D2505" s="230">
        <v>18.937500000000004</v>
      </c>
      <c r="E2505" s="230">
        <v>56.834413280285005</v>
      </c>
      <c r="F2505" s="231"/>
      <c r="G2505" s="222" t="s">
        <v>2944</v>
      </c>
      <c r="J2505" s="220" t="s">
        <v>2996</v>
      </c>
      <c r="K2505" s="232" t="s">
        <v>302</v>
      </c>
      <c r="L2505" s="219" t="s">
        <v>2956</v>
      </c>
      <c r="O2505" s="219" t="s">
        <v>3001</v>
      </c>
    </row>
    <row r="2506" spans="1:15">
      <c r="A2506" s="220" t="s">
        <v>3002</v>
      </c>
      <c r="B2506" s="230">
        <v>0</v>
      </c>
      <c r="C2506" s="230">
        <v>95</v>
      </c>
      <c r="D2506" s="230">
        <v>18.937500000000004</v>
      </c>
      <c r="E2506" s="230">
        <v>23.377806776855735</v>
      </c>
      <c r="F2506" s="231"/>
      <c r="G2506" s="222" t="s">
        <v>2944</v>
      </c>
      <c r="J2506" s="220" t="s">
        <v>2996</v>
      </c>
      <c r="K2506" s="232" t="s">
        <v>302</v>
      </c>
      <c r="L2506" s="219" t="s">
        <v>2958</v>
      </c>
      <c r="O2506" s="219" t="s">
        <v>3002</v>
      </c>
    </row>
    <row r="2507" spans="1:15">
      <c r="A2507" s="220" t="s">
        <v>3003</v>
      </c>
      <c r="B2507" s="230">
        <v>0</v>
      </c>
      <c r="C2507" s="230">
        <v>145</v>
      </c>
      <c r="D2507" s="230">
        <v>18.937500000000004</v>
      </c>
      <c r="E2507" s="230">
        <v>36.467406776855732</v>
      </c>
      <c r="F2507" s="231"/>
      <c r="G2507" s="222" t="s">
        <v>2944</v>
      </c>
      <c r="J2507" s="220" t="s">
        <v>2996</v>
      </c>
      <c r="K2507" s="232" t="s">
        <v>302</v>
      </c>
      <c r="L2507" s="219" t="s">
        <v>2960</v>
      </c>
      <c r="O2507" s="219" t="s">
        <v>3003</v>
      </c>
    </row>
    <row r="2508" spans="1:15">
      <c r="A2508" s="220" t="s">
        <v>3004</v>
      </c>
      <c r="B2508" s="230">
        <v>0</v>
      </c>
      <c r="C2508" s="230">
        <v>225</v>
      </c>
      <c r="D2508" s="230">
        <v>18.937500000000004</v>
      </c>
      <c r="E2508" s="230">
        <v>61.010406776855724</v>
      </c>
      <c r="F2508" s="231"/>
      <c r="G2508" s="222" t="s">
        <v>2944</v>
      </c>
      <c r="J2508" s="220" t="s">
        <v>2996</v>
      </c>
      <c r="K2508" s="232" t="s">
        <v>302</v>
      </c>
      <c r="L2508" s="219" t="s">
        <v>2962</v>
      </c>
      <c r="O2508" s="219" t="s">
        <v>3004</v>
      </c>
    </row>
    <row r="2509" spans="1:15">
      <c r="A2509" s="220" t="s">
        <v>3005</v>
      </c>
      <c r="B2509" s="230">
        <v>0</v>
      </c>
      <c r="C2509" s="230" t="s">
        <v>270</v>
      </c>
      <c r="D2509" s="230" t="e">
        <v>#N/A</v>
      </c>
      <c r="E2509" s="230" t="e">
        <v>#N/A</v>
      </c>
      <c r="F2509" s="231"/>
      <c r="G2509" s="222" t="s">
        <v>2944</v>
      </c>
      <c r="J2509" s="220" t="s">
        <v>2996</v>
      </c>
      <c r="K2509" s="232" t="s">
        <v>302</v>
      </c>
      <c r="L2509" s="219" t="s">
        <v>2964</v>
      </c>
      <c r="O2509" s="219" t="s">
        <v>3005</v>
      </c>
    </row>
    <row r="2510" spans="1:15">
      <c r="A2510" s="220" t="s">
        <v>3006</v>
      </c>
      <c r="B2510" s="230">
        <v>0</v>
      </c>
      <c r="C2510" s="230" t="s">
        <v>270</v>
      </c>
      <c r="D2510" s="230" t="e">
        <v>#N/A</v>
      </c>
      <c r="E2510" s="230" t="e">
        <v>#N/A</v>
      </c>
      <c r="F2510" s="231"/>
      <c r="G2510" s="222" t="s">
        <v>2944</v>
      </c>
      <c r="J2510" s="220" t="s">
        <v>2996</v>
      </c>
      <c r="K2510" s="232" t="s">
        <v>302</v>
      </c>
      <c r="L2510" s="219" t="s">
        <v>2966</v>
      </c>
      <c r="O2510" s="219" t="s">
        <v>3006</v>
      </c>
    </row>
    <row r="2511" spans="1:15">
      <c r="A2511" s="220" t="s">
        <v>3007</v>
      </c>
      <c r="B2511" s="230">
        <v>0</v>
      </c>
      <c r="C2511" s="230" t="s">
        <v>270</v>
      </c>
      <c r="D2511" s="230" t="e">
        <v>#N/A</v>
      </c>
      <c r="E2511" s="230" t="e">
        <v>#N/A</v>
      </c>
      <c r="F2511" s="231"/>
      <c r="G2511" s="222" t="s">
        <v>2944</v>
      </c>
      <c r="J2511" s="220" t="s">
        <v>2996</v>
      </c>
      <c r="K2511" s="232" t="s">
        <v>302</v>
      </c>
      <c r="L2511" s="219" t="s">
        <v>2968</v>
      </c>
      <c r="O2511" s="219" t="s">
        <v>3007</v>
      </c>
    </row>
    <row r="2512" spans="1:15">
      <c r="A2512" s="220" t="s">
        <v>3008</v>
      </c>
      <c r="B2512" s="230">
        <v>0</v>
      </c>
      <c r="C2512" s="230">
        <v>60</v>
      </c>
      <c r="D2512" s="230">
        <v>15.15</v>
      </c>
      <c r="E2512" s="230">
        <v>19.201813280285009</v>
      </c>
      <c r="F2512" s="231"/>
      <c r="G2512" s="222" t="s">
        <v>2944</v>
      </c>
      <c r="J2512" s="220" t="s">
        <v>3009</v>
      </c>
      <c r="K2512" s="232" t="s">
        <v>302</v>
      </c>
      <c r="L2512" s="219" t="s">
        <v>2946</v>
      </c>
      <c r="O2512" s="219" t="s">
        <v>3008</v>
      </c>
    </row>
    <row r="2513" spans="1:15">
      <c r="A2513" s="220" t="s">
        <v>3010</v>
      </c>
      <c r="B2513" s="230">
        <v>0</v>
      </c>
      <c r="C2513" s="230">
        <v>80</v>
      </c>
      <c r="D2513" s="230">
        <v>15.15</v>
      </c>
      <c r="E2513" s="230">
        <v>32.291413280285006</v>
      </c>
      <c r="F2513" s="231"/>
      <c r="G2513" s="222" t="s">
        <v>2944</v>
      </c>
      <c r="J2513" s="220" t="s">
        <v>3009</v>
      </c>
      <c r="K2513" s="232" t="s">
        <v>302</v>
      </c>
      <c r="L2513" s="219" t="s">
        <v>2948</v>
      </c>
      <c r="O2513" s="219" t="s">
        <v>3010</v>
      </c>
    </row>
    <row r="2514" spans="1:15">
      <c r="A2514" s="220" t="s">
        <v>3011</v>
      </c>
      <c r="B2514" s="230">
        <v>0</v>
      </c>
      <c r="C2514" s="230">
        <v>105</v>
      </c>
      <c r="D2514" s="230">
        <v>15.15</v>
      </c>
      <c r="E2514" s="230">
        <v>56.834413280285005</v>
      </c>
      <c r="F2514" s="231"/>
      <c r="G2514" s="222" t="s">
        <v>2944</v>
      </c>
      <c r="J2514" s="220" t="s">
        <v>3009</v>
      </c>
      <c r="K2514" s="232" t="s">
        <v>302</v>
      </c>
      <c r="L2514" s="219" t="s">
        <v>2950</v>
      </c>
      <c r="O2514" s="219" t="s">
        <v>3011</v>
      </c>
    </row>
    <row r="2515" spans="1:15">
      <c r="A2515" s="220" t="s">
        <v>3012</v>
      </c>
      <c r="B2515" s="230">
        <v>0</v>
      </c>
      <c r="C2515" s="230">
        <v>75</v>
      </c>
      <c r="D2515" s="230">
        <v>15.15</v>
      </c>
      <c r="E2515" s="230">
        <v>19.201813280285009</v>
      </c>
      <c r="F2515" s="231"/>
      <c r="G2515" s="222" t="s">
        <v>2944</v>
      </c>
      <c r="J2515" s="220" t="s">
        <v>3009</v>
      </c>
      <c r="K2515" s="232" t="s">
        <v>302</v>
      </c>
      <c r="L2515" s="219" t="s">
        <v>2952</v>
      </c>
      <c r="O2515" s="219" t="s">
        <v>3012</v>
      </c>
    </row>
    <row r="2516" spans="1:15">
      <c r="A2516" s="220" t="s">
        <v>3013</v>
      </c>
      <c r="B2516" s="230">
        <v>0</v>
      </c>
      <c r="C2516" s="230">
        <v>115</v>
      </c>
      <c r="D2516" s="230">
        <v>15.15</v>
      </c>
      <c r="E2516" s="230">
        <v>32.291413280285006</v>
      </c>
      <c r="F2516" s="231"/>
      <c r="G2516" s="222" t="s">
        <v>2944</v>
      </c>
      <c r="J2516" s="220" t="s">
        <v>3009</v>
      </c>
      <c r="K2516" s="232" t="s">
        <v>302</v>
      </c>
      <c r="L2516" s="219" t="s">
        <v>2954</v>
      </c>
      <c r="O2516" s="219" t="s">
        <v>3013</v>
      </c>
    </row>
    <row r="2517" spans="1:15">
      <c r="A2517" s="220" t="s">
        <v>3014</v>
      </c>
      <c r="B2517" s="230">
        <v>0</v>
      </c>
      <c r="C2517" s="230">
        <v>185</v>
      </c>
      <c r="D2517" s="230">
        <v>15.15</v>
      </c>
      <c r="E2517" s="230">
        <v>56.834413280285005</v>
      </c>
      <c r="F2517" s="231"/>
      <c r="G2517" s="222" t="s">
        <v>2944</v>
      </c>
      <c r="J2517" s="220" t="s">
        <v>3009</v>
      </c>
      <c r="K2517" s="232" t="s">
        <v>302</v>
      </c>
      <c r="L2517" s="219" t="s">
        <v>2956</v>
      </c>
      <c r="O2517" s="219" t="s">
        <v>3014</v>
      </c>
    </row>
    <row r="2518" spans="1:15">
      <c r="A2518" s="220" t="s">
        <v>3015</v>
      </c>
      <c r="B2518" s="230">
        <v>0</v>
      </c>
      <c r="C2518" s="230">
        <v>95</v>
      </c>
      <c r="D2518" s="230">
        <v>15.15</v>
      </c>
      <c r="E2518" s="230">
        <v>23.377806776855735</v>
      </c>
      <c r="F2518" s="231"/>
      <c r="G2518" s="222" t="s">
        <v>2944</v>
      </c>
      <c r="J2518" s="220" t="s">
        <v>3009</v>
      </c>
      <c r="K2518" s="232" t="s">
        <v>302</v>
      </c>
      <c r="L2518" s="219" t="s">
        <v>2958</v>
      </c>
      <c r="O2518" s="219" t="s">
        <v>3015</v>
      </c>
    </row>
    <row r="2519" spans="1:15">
      <c r="A2519" s="220" t="s">
        <v>3016</v>
      </c>
      <c r="B2519" s="230">
        <v>0</v>
      </c>
      <c r="C2519" s="230">
        <v>145</v>
      </c>
      <c r="D2519" s="230">
        <v>15.15</v>
      </c>
      <c r="E2519" s="230">
        <v>36.467406776855732</v>
      </c>
      <c r="F2519" s="231"/>
      <c r="G2519" s="222" t="s">
        <v>2944</v>
      </c>
      <c r="J2519" s="220" t="s">
        <v>3009</v>
      </c>
      <c r="K2519" s="232" t="s">
        <v>302</v>
      </c>
      <c r="L2519" s="219" t="s">
        <v>2960</v>
      </c>
      <c r="O2519" s="219" t="s">
        <v>3016</v>
      </c>
    </row>
    <row r="2520" spans="1:15">
      <c r="A2520" s="220" t="s">
        <v>3017</v>
      </c>
      <c r="B2520" s="230">
        <v>0</v>
      </c>
      <c r="C2520" s="230">
        <v>225</v>
      </c>
      <c r="D2520" s="230">
        <v>15.15</v>
      </c>
      <c r="E2520" s="230">
        <v>61.010406776855724</v>
      </c>
      <c r="F2520" s="231"/>
      <c r="G2520" s="222" t="s">
        <v>2944</v>
      </c>
      <c r="J2520" s="220" t="s">
        <v>3009</v>
      </c>
      <c r="K2520" s="232" t="s">
        <v>302</v>
      </c>
      <c r="L2520" s="219" t="s">
        <v>2962</v>
      </c>
      <c r="O2520" s="219" t="s">
        <v>3017</v>
      </c>
    </row>
    <row r="2521" spans="1:15">
      <c r="A2521" s="220" t="s">
        <v>3018</v>
      </c>
      <c r="B2521" s="230">
        <v>0</v>
      </c>
      <c r="C2521" s="230" t="s">
        <v>270</v>
      </c>
      <c r="D2521" s="230" t="e">
        <v>#N/A</v>
      </c>
      <c r="E2521" s="230" t="e">
        <v>#N/A</v>
      </c>
      <c r="F2521" s="231"/>
      <c r="G2521" s="222" t="s">
        <v>2944</v>
      </c>
      <c r="J2521" s="220" t="s">
        <v>3009</v>
      </c>
      <c r="K2521" s="232" t="s">
        <v>302</v>
      </c>
      <c r="L2521" s="219" t="s">
        <v>2964</v>
      </c>
      <c r="O2521" s="219" t="s">
        <v>3018</v>
      </c>
    </row>
    <row r="2522" spans="1:15">
      <c r="A2522" s="220" t="s">
        <v>3019</v>
      </c>
      <c r="B2522" s="230">
        <v>0</v>
      </c>
      <c r="C2522" s="230" t="s">
        <v>270</v>
      </c>
      <c r="D2522" s="230" t="e">
        <v>#N/A</v>
      </c>
      <c r="E2522" s="230" t="e">
        <v>#N/A</v>
      </c>
      <c r="F2522" s="231"/>
      <c r="G2522" s="222" t="s">
        <v>2944</v>
      </c>
      <c r="J2522" s="220" t="s">
        <v>3009</v>
      </c>
      <c r="K2522" s="232" t="s">
        <v>302</v>
      </c>
      <c r="L2522" s="219" t="s">
        <v>2966</v>
      </c>
      <c r="O2522" s="219" t="s">
        <v>3019</v>
      </c>
    </row>
    <row r="2523" spans="1:15">
      <c r="A2523" s="220" t="s">
        <v>3020</v>
      </c>
      <c r="B2523" s="230">
        <v>0</v>
      </c>
      <c r="C2523" s="230" t="s">
        <v>270</v>
      </c>
      <c r="D2523" s="230" t="e">
        <v>#N/A</v>
      </c>
      <c r="E2523" s="230" t="e">
        <v>#N/A</v>
      </c>
      <c r="F2523" s="231"/>
      <c r="G2523" s="222" t="s">
        <v>2944</v>
      </c>
      <c r="J2523" s="220" t="s">
        <v>3009</v>
      </c>
      <c r="K2523" s="232" t="s">
        <v>302</v>
      </c>
      <c r="L2523" s="219" t="s">
        <v>2968</v>
      </c>
      <c r="O2523" s="219" t="s">
        <v>3020</v>
      </c>
    </row>
    <row r="2524" spans="1:15">
      <c r="A2524" s="220" t="s">
        <v>3021</v>
      </c>
      <c r="B2524" s="230">
        <v>0</v>
      </c>
      <c r="C2524" s="230">
        <v>60</v>
      </c>
      <c r="D2524" s="230">
        <v>25.25</v>
      </c>
      <c r="E2524" s="230">
        <v>16.536460701974509</v>
      </c>
      <c r="F2524" s="231"/>
      <c r="G2524" s="222" t="s">
        <v>2944</v>
      </c>
      <c r="J2524" s="220" t="s">
        <v>2945</v>
      </c>
      <c r="K2524" s="232" t="s">
        <v>304</v>
      </c>
      <c r="L2524" s="219" t="s">
        <v>2946</v>
      </c>
      <c r="O2524" s="219" t="s">
        <v>3021</v>
      </c>
    </row>
    <row r="2525" spans="1:15">
      <c r="A2525" s="220" t="s">
        <v>3022</v>
      </c>
      <c r="B2525" s="230">
        <v>0</v>
      </c>
      <c r="C2525" s="230">
        <v>80</v>
      </c>
      <c r="D2525" s="230">
        <v>25.25</v>
      </c>
      <c r="E2525" s="230">
        <v>29.626060701974509</v>
      </c>
      <c r="F2525" s="231"/>
      <c r="G2525" s="222" t="s">
        <v>2944</v>
      </c>
      <c r="J2525" s="220" t="s">
        <v>2945</v>
      </c>
      <c r="K2525" s="232" t="s">
        <v>304</v>
      </c>
      <c r="L2525" s="219" t="s">
        <v>2948</v>
      </c>
      <c r="O2525" s="219" t="s">
        <v>3022</v>
      </c>
    </row>
    <row r="2526" spans="1:15">
      <c r="A2526" s="220" t="s">
        <v>3023</v>
      </c>
      <c r="B2526" s="230">
        <v>0</v>
      </c>
      <c r="C2526" s="230">
        <v>105</v>
      </c>
      <c r="D2526" s="230">
        <v>25.25</v>
      </c>
      <c r="E2526" s="230">
        <v>54.169060701974502</v>
      </c>
      <c r="F2526" s="231"/>
      <c r="G2526" s="222" t="s">
        <v>2944</v>
      </c>
      <c r="J2526" s="220" t="s">
        <v>2945</v>
      </c>
      <c r="K2526" s="232" t="s">
        <v>304</v>
      </c>
      <c r="L2526" s="219" t="s">
        <v>2950</v>
      </c>
      <c r="O2526" s="219" t="s">
        <v>3023</v>
      </c>
    </row>
    <row r="2527" spans="1:15">
      <c r="A2527" s="220" t="s">
        <v>3024</v>
      </c>
      <c r="B2527" s="230">
        <v>0</v>
      </c>
      <c r="C2527" s="230">
        <v>75</v>
      </c>
      <c r="D2527" s="230">
        <v>25.25</v>
      </c>
      <c r="E2527" s="230">
        <v>16.536460701974509</v>
      </c>
      <c r="F2527" s="231"/>
      <c r="G2527" s="222" t="s">
        <v>2944</v>
      </c>
      <c r="J2527" s="220" t="s">
        <v>2945</v>
      </c>
      <c r="K2527" s="232" t="s">
        <v>304</v>
      </c>
      <c r="L2527" s="219" t="s">
        <v>2952</v>
      </c>
      <c r="O2527" s="219" t="s">
        <v>3024</v>
      </c>
    </row>
    <row r="2528" spans="1:15">
      <c r="A2528" s="220" t="s">
        <v>3025</v>
      </c>
      <c r="B2528" s="230">
        <v>0</v>
      </c>
      <c r="C2528" s="230">
        <v>115</v>
      </c>
      <c r="D2528" s="230">
        <v>25.25</v>
      </c>
      <c r="E2528" s="230">
        <v>29.626060701974509</v>
      </c>
      <c r="F2528" s="231"/>
      <c r="G2528" s="222" t="s">
        <v>2944</v>
      </c>
      <c r="J2528" s="220" t="s">
        <v>2945</v>
      </c>
      <c r="K2528" s="232" t="s">
        <v>304</v>
      </c>
      <c r="L2528" s="219" t="s">
        <v>2954</v>
      </c>
      <c r="O2528" s="219" t="s">
        <v>3025</v>
      </c>
    </row>
    <row r="2529" spans="1:15">
      <c r="A2529" s="220" t="s">
        <v>3026</v>
      </c>
      <c r="B2529" s="230">
        <v>0</v>
      </c>
      <c r="C2529" s="230">
        <v>185</v>
      </c>
      <c r="D2529" s="230">
        <v>25.25</v>
      </c>
      <c r="E2529" s="230">
        <v>54.169060701974502</v>
      </c>
      <c r="F2529" s="231"/>
      <c r="G2529" s="222" t="s">
        <v>2944</v>
      </c>
      <c r="J2529" s="220" t="s">
        <v>2945</v>
      </c>
      <c r="K2529" s="232" t="s">
        <v>304</v>
      </c>
      <c r="L2529" s="219" t="s">
        <v>2956</v>
      </c>
      <c r="O2529" s="219" t="s">
        <v>3026</v>
      </c>
    </row>
    <row r="2530" spans="1:15">
      <c r="A2530" s="220" t="s">
        <v>3027</v>
      </c>
      <c r="B2530" s="230">
        <v>0</v>
      </c>
      <c r="C2530" s="230">
        <v>95</v>
      </c>
      <c r="D2530" s="230">
        <v>25.25</v>
      </c>
      <c r="E2530" s="230">
        <v>19.199823209728212</v>
      </c>
      <c r="F2530" s="231"/>
      <c r="G2530" s="222" t="s">
        <v>2944</v>
      </c>
      <c r="J2530" s="220" t="s">
        <v>2945</v>
      </c>
      <c r="K2530" s="232" t="s">
        <v>304</v>
      </c>
      <c r="L2530" s="219" t="s">
        <v>2958</v>
      </c>
      <c r="O2530" s="219" t="s">
        <v>3027</v>
      </c>
    </row>
    <row r="2531" spans="1:15">
      <c r="A2531" s="220" t="s">
        <v>3028</v>
      </c>
      <c r="B2531" s="230">
        <v>0</v>
      </c>
      <c r="C2531" s="230">
        <v>145</v>
      </c>
      <c r="D2531" s="230">
        <v>25.25</v>
      </c>
      <c r="E2531" s="230">
        <v>32.289423209728213</v>
      </c>
      <c r="F2531" s="231"/>
      <c r="G2531" s="222" t="s">
        <v>2944</v>
      </c>
      <c r="J2531" s="220" t="s">
        <v>2945</v>
      </c>
      <c r="K2531" s="232" t="s">
        <v>304</v>
      </c>
      <c r="L2531" s="219" t="s">
        <v>2960</v>
      </c>
      <c r="O2531" s="219" t="s">
        <v>3028</v>
      </c>
    </row>
    <row r="2532" spans="1:15">
      <c r="A2532" s="220" t="s">
        <v>3029</v>
      </c>
      <c r="B2532" s="230">
        <v>0</v>
      </c>
      <c r="C2532" s="230">
        <v>225</v>
      </c>
      <c r="D2532" s="230">
        <v>25.25</v>
      </c>
      <c r="E2532" s="230">
        <v>56.832423209728205</v>
      </c>
      <c r="F2532" s="231"/>
      <c r="G2532" s="222" t="s">
        <v>2944</v>
      </c>
      <c r="J2532" s="220" t="s">
        <v>2945</v>
      </c>
      <c r="K2532" s="232" t="s">
        <v>304</v>
      </c>
      <c r="L2532" s="219" t="s">
        <v>2962</v>
      </c>
      <c r="O2532" s="219" t="s">
        <v>3029</v>
      </c>
    </row>
    <row r="2533" spans="1:15">
      <c r="A2533" s="220" t="s">
        <v>3030</v>
      </c>
      <c r="B2533" s="230">
        <v>0</v>
      </c>
      <c r="C2533" s="230" t="s">
        <v>270</v>
      </c>
      <c r="D2533" s="230" t="e">
        <v>#N/A</v>
      </c>
      <c r="E2533" s="230" t="e">
        <v>#N/A</v>
      </c>
      <c r="F2533" s="231"/>
      <c r="G2533" s="222" t="s">
        <v>2944</v>
      </c>
      <c r="J2533" s="220" t="s">
        <v>2945</v>
      </c>
      <c r="K2533" s="232" t="s">
        <v>304</v>
      </c>
      <c r="L2533" s="219" t="s">
        <v>2964</v>
      </c>
      <c r="O2533" s="219" t="s">
        <v>3030</v>
      </c>
    </row>
    <row r="2534" spans="1:15">
      <c r="A2534" s="220" t="s">
        <v>3031</v>
      </c>
      <c r="B2534" s="230">
        <v>0</v>
      </c>
      <c r="C2534" s="230" t="s">
        <v>270</v>
      </c>
      <c r="D2534" s="230" t="e">
        <v>#N/A</v>
      </c>
      <c r="E2534" s="230" t="e">
        <v>#N/A</v>
      </c>
      <c r="F2534" s="231"/>
      <c r="G2534" s="222" t="s">
        <v>2944</v>
      </c>
      <c r="J2534" s="220" t="s">
        <v>2945</v>
      </c>
      <c r="K2534" s="232" t="s">
        <v>304</v>
      </c>
      <c r="L2534" s="219" t="s">
        <v>2966</v>
      </c>
      <c r="O2534" s="219" t="s">
        <v>3031</v>
      </c>
    </row>
    <row r="2535" spans="1:15">
      <c r="A2535" s="220" t="s">
        <v>3032</v>
      </c>
      <c r="B2535" s="230">
        <v>0</v>
      </c>
      <c r="C2535" s="230" t="s">
        <v>270</v>
      </c>
      <c r="D2535" s="230" t="e">
        <v>#N/A</v>
      </c>
      <c r="E2535" s="230" t="e">
        <v>#N/A</v>
      </c>
      <c r="F2535" s="231"/>
      <c r="G2535" s="222" t="s">
        <v>2944</v>
      </c>
      <c r="J2535" s="220" t="s">
        <v>2945</v>
      </c>
      <c r="K2535" s="232" t="s">
        <v>304</v>
      </c>
      <c r="L2535" s="219" t="s">
        <v>2968</v>
      </c>
      <c r="O2535" s="219" t="s">
        <v>3032</v>
      </c>
    </row>
    <row r="2536" spans="1:15">
      <c r="A2536" s="220" t="s">
        <v>3033</v>
      </c>
      <c r="B2536" s="230">
        <v>0</v>
      </c>
      <c r="C2536" s="230">
        <v>60</v>
      </c>
      <c r="D2536" s="230">
        <v>25.25</v>
      </c>
      <c r="E2536" s="230">
        <v>16.536460701974509</v>
      </c>
      <c r="F2536" s="231"/>
      <c r="G2536" s="222" t="s">
        <v>2944</v>
      </c>
      <c r="J2536" s="220" t="s">
        <v>2970</v>
      </c>
      <c r="K2536" s="232" t="s">
        <v>304</v>
      </c>
      <c r="L2536" s="219" t="s">
        <v>2946</v>
      </c>
      <c r="O2536" s="219" t="s">
        <v>3033</v>
      </c>
    </row>
    <row r="2537" spans="1:15">
      <c r="A2537" s="220" t="s">
        <v>3034</v>
      </c>
      <c r="B2537" s="230">
        <v>0</v>
      </c>
      <c r="C2537" s="230">
        <v>80</v>
      </c>
      <c r="D2537" s="230">
        <v>25.25</v>
      </c>
      <c r="E2537" s="230">
        <v>29.626060701974509</v>
      </c>
      <c r="F2537" s="231"/>
      <c r="G2537" s="222" t="s">
        <v>2944</v>
      </c>
      <c r="J2537" s="220" t="s">
        <v>2970</v>
      </c>
      <c r="K2537" s="232" t="s">
        <v>304</v>
      </c>
      <c r="L2537" s="219" t="s">
        <v>2948</v>
      </c>
      <c r="O2537" s="219" t="s">
        <v>3034</v>
      </c>
    </row>
    <row r="2538" spans="1:15">
      <c r="A2538" s="220" t="s">
        <v>3035</v>
      </c>
      <c r="B2538" s="230">
        <v>0</v>
      </c>
      <c r="C2538" s="230">
        <v>105</v>
      </c>
      <c r="D2538" s="230">
        <v>25.25</v>
      </c>
      <c r="E2538" s="230">
        <v>54.169060701974502</v>
      </c>
      <c r="F2538" s="231"/>
      <c r="G2538" s="222" t="s">
        <v>2944</v>
      </c>
      <c r="J2538" s="220" t="s">
        <v>2970</v>
      </c>
      <c r="K2538" s="232" t="s">
        <v>304</v>
      </c>
      <c r="L2538" s="219" t="s">
        <v>2950</v>
      </c>
      <c r="O2538" s="219" t="s">
        <v>3035</v>
      </c>
    </row>
    <row r="2539" spans="1:15">
      <c r="A2539" s="220" t="s">
        <v>3036</v>
      </c>
      <c r="B2539" s="230">
        <v>0</v>
      </c>
      <c r="C2539" s="230">
        <v>75</v>
      </c>
      <c r="D2539" s="230">
        <v>25.25</v>
      </c>
      <c r="E2539" s="230">
        <v>16.536460701974509</v>
      </c>
      <c r="F2539" s="231"/>
      <c r="G2539" s="222" t="s">
        <v>2944</v>
      </c>
      <c r="J2539" s="220" t="s">
        <v>2970</v>
      </c>
      <c r="K2539" s="232" t="s">
        <v>304</v>
      </c>
      <c r="L2539" s="219" t="s">
        <v>2952</v>
      </c>
      <c r="O2539" s="219" t="s">
        <v>3036</v>
      </c>
    </row>
    <row r="2540" spans="1:15">
      <c r="A2540" s="220" t="s">
        <v>3037</v>
      </c>
      <c r="B2540" s="230">
        <v>0</v>
      </c>
      <c r="C2540" s="230">
        <v>115</v>
      </c>
      <c r="D2540" s="230">
        <v>25.25</v>
      </c>
      <c r="E2540" s="230">
        <v>29.626060701974509</v>
      </c>
      <c r="F2540" s="231"/>
      <c r="G2540" s="222" t="s">
        <v>2944</v>
      </c>
      <c r="J2540" s="220" t="s">
        <v>2970</v>
      </c>
      <c r="K2540" s="232" t="s">
        <v>304</v>
      </c>
      <c r="L2540" s="219" t="s">
        <v>2954</v>
      </c>
      <c r="O2540" s="219" t="s">
        <v>3037</v>
      </c>
    </row>
    <row r="2541" spans="1:15">
      <c r="A2541" s="220" t="s">
        <v>3038</v>
      </c>
      <c r="B2541" s="230">
        <v>0</v>
      </c>
      <c r="C2541" s="230">
        <v>185</v>
      </c>
      <c r="D2541" s="230">
        <v>25.25</v>
      </c>
      <c r="E2541" s="230">
        <v>54.169060701974502</v>
      </c>
      <c r="F2541" s="231"/>
      <c r="G2541" s="222" t="s">
        <v>2944</v>
      </c>
      <c r="J2541" s="220" t="s">
        <v>2970</v>
      </c>
      <c r="K2541" s="232" t="s">
        <v>304</v>
      </c>
      <c r="L2541" s="219" t="s">
        <v>2956</v>
      </c>
      <c r="O2541" s="219" t="s">
        <v>3038</v>
      </c>
    </row>
    <row r="2542" spans="1:15">
      <c r="A2542" s="220" t="s">
        <v>3039</v>
      </c>
      <c r="B2542" s="230">
        <v>0</v>
      </c>
      <c r="C2542" s="230">
        <v>95</v>
      </c>
      <c r="D2542" s="230">
        <v>25.25</v>
      </c>
      <c r="E2542" s="230">
        <v>19.199823209728212</v>
      </c>
      <c r="F2542" s="231"/>
      <c r="G2542" s="222" t="s">
        <v>2944</v>
      </c>
      <c r="J2542" s="220" t="s">
        <v>2970</v>
      </c>
      <c r="K2542" s="232" t="s">
        <v>304</v>
      </c>
      <c r="L2542" s="219" t="s">
        <v>2958</v>
      </c>
      <c r="O2542" s="219" t="s">
        <v>3039</v>
      </c>
    </row>
    <row r="2543" spans="1:15">
      <c r="A2543" s="220" t="s">
        <v>3040</v>
      </c>
      <c r="B2543" s="230">
        <v>0</v>
      </c>
      <c r="C2543" s="230">
        <v>145</v>
      </c>
      <c r="D2543" s="230">
        <v>25.25</v>
      </c>
      <c r="E2543" s="230">
        <v>32.289423209728213</v>
      </c>
      <c r="F2543" s="231"/>
      <c r="G2543" s="222" t="s">
        <v>2944</v>
      </c>
      <c r="J2543" s="220" t="s">
        <v>2970</v>
      </c>
      <c r="K2543" s="232" t="s">
        <v>304</v>
      </c>
      <c r="L2543" s="219" t="s">
        <v>2960</v>
      </c>
      <c r="O2543" s="219" t="s">
        <v>3040</v>
      </c>
    </row>
    <row r="2544" spans="1:15">
      <c r="A2544" s="220" t="s">
        <v>3041</v>
      </c>
      <c r="B2544" s="230">
        <v>0</v>
      </c>
      <c r="C2544" s="230">
        <v>225</v>
      </c>
      <c r="D2544" s="230">
        <v>25.25</v>
      </c>
      <c r="E2544" s="230">
        <v>56.832423209728205</v>
      </c>
      <c r="F2544" s="231"/>
      <c r="G2544" s="222" t="s">
        <v>2944</v>
      </c>
      <c r="J2544" s="220" t="s">
        <v>2970</v>
      </c>
      <c r="K2544" s="232" t="s">
        <v>304</v>
      </c>
      <c r="L2544" s="219" t="s">
        <v>2962</v>
      </c>
      <c r="O2544" s="219" t="s">
        <v>3041</v>
      </c>
    </row>
    <row r="2545" spans="1:15">
      <c r="A2545" s="220" t="s">
        <v>3042</v>
      </c>
      <c r="B2545" s="230">
        <v>0</v>
      </c>
      <c r="C2545" s="230" t="s">
        <v>270</v>
      </c>
      <c r="D2545" s="230" t="e">
        <v>#N/A</v>
      </c>
      <c r="E2545" s="230" t="e">
        <v>#N/A</v>
      </c>
      <c r="F2545" s="231"/>
      <c r="G2545" s="222" t="s">
        <v>2944</v>
      </c>
      <c r="J2545" s="220" t="s">
        <v>2970</v>
      </c>
      <c r="K2545" s="232" t="s">
        <v>304</v>
      </c>
      <c r="L2545" s="219" t="s">
        <v>2964</v>
      </c>
      <c r="O2545" s="219" t="s">
        <v>3042</v>
      </c>
    </row>
    <row r="2546" spans="1:15">
      <c r="A2546" s="220" t="s">
        <v>3043</v>
      </c>
      <c r="B2546" s="230">
        <v>0</v>
      </c>
      <c r="C2546" s="230" t="s">
        <v>270</v>
      </c>
      <c r="D2546" s="230" t="e">
        <v>#N/A</v>
      </c>
      <c r="E2546" s="230" t="e">
        <v>#N/A</v>
      </c>
      <c r="F2546" s="231"/>
      <c r="G2546" s="222" t="s">
        <v>2944</v>
      </c>
      <c r="J2546" s="220" t="s">
        <v>2970</v>
      </c>
      <c r="K2546" s="232" t="s">
        <v>304</v>
      </c>
      <c r="L2546" s="219" t="s">
        <v>2966</v>
      </c>
      <c r="O2546" s="219" t="s">
        <v>3043</v>
      </c>
    </row>
    <row r="2547" spans="1:15">
      <c r="A2547" s="220" t="s">
        <v>3044</v>
      </c>
      <c r="B2547" s="230">
        <v>0</v>
      </c>
      <c r="C2547" s="230" t="s">
        <v>270</v>
      </c>
      <c r="D2547" s="230" t="e">
        <v>#N/A</v>
      </c>
      <c r="E2547" s="230" t="e">
        <v>#N/A</v>
      </c>
      <c r="F2547" s="231"/>
      <c r="G2547" s="222" t="s">
        <v>2944</v>
      </c>
      <c r="J2547" s="220" t="s">
        <v>2970</v>
      </c>
      <c r="K2547" s="232" t="s">
        <v>304</v>
      </c>
      <c r="L2547" s="219" t="s">
        <v>2968</v>
      </c>
      <c r="O2547" s="219" t="s">
        <v>3044</v>
      </c>
    </row>
    <row r="2548" spans="1:15">
      <c r="A2548" s="220" t="s">
        <v>3045</v>
      </c>
      <c r="B2548" s="230">
        <v>0</v>
      </c>
      <c r="C2548" s="230">
        <v>60</v>
      </c>
      <c r="D2548" s="230">
        <v>25.25</v>
      </c>
      <c r="E2548" s="230">
        <v>16.536460701974509</v>
      </c>
      <c r="F2548" s="231"/>
      <c r="G2548" s="222" t="s">
        <v>2944</v>
      </c>
      <c r="J2548" s="220" t="s">
        <v>2983</v>
      </c>
      <c r="K2548" s="232" t="s">
        <v>304</v>
      </c>
      <c r="L2548" s="219" t="s">
        <v>2946</v>
      </c>
      <c r="O2548" s="219" t="s">
        <v>3045</v>
      </c>
    </row>
    <row r="2549" spans="1:15">
      <c r="A2549" s="220" t="s">
        <v>3046</v>
      </c>
      <c r="B2549" s="230">
        <v>0</v>
      </c>
      <c r="C2549" s="230">
        <v>80</v>
      </c>
      <c r="D2549" s="230">
        <v>25.25</v>
      </c>
      <c r="E2549" s="230">
        <v>29.626060701974509</v>
      </c>
      <c r="F2549" s="231"/>
      <c r="G2549" s="222" t="s">
        <v>2944</v>
      </c>
      <c r="J2549" s="220" t="s">
        <v>2983</v>
      </c>
      <c r="K2549" s="232" t="s">
        <v>304</v>
      </c>
      <c r="L2549" s="219" t="s">
        <v>2948</v>
      </c>
      <c r="O2549" s="219" t="s">
        <v>3046</v>
      </c>
    </row>
    <row r="2550" spans="1:15">
      <c r="A2550" s="220" t="s">
        <v>3047</v>
      </c>
      <c r="B2550" s="230">
        <v>0</v>
      </c>
      <c r="C2550" s="230">
        <v>105</v>
      </c>
      <c r="D2550" s="230">
        <v>25.25</v>
      </c>
      <c r="E2550" s="230">
        <v>54.169060701974502</v>
      </c>
      <c r="F2550" s="231"/>
      <c r="G2550" s="222" t="s">
        <v>2944</v>
      </c>
      <c r="J2550" s="220" t="s">
        <v>2983</v>
      </c>
      <c r="K2550" s="232" t="s">
        <v>304</v>
      </c>
      <c r="L2550" s="219" t="s">
        <v>2950</v>
      </c>
      <c r="O2550" s="219" t="s">
        <v>3047</v>
      </c>
    </row>
    <row r="2551" spans="1:15">
      <c r="A2551" s="220" t="s">
        <v>3048</v>
      </c>
      <c r="B2551" s="230">
        <v>0</v>
      </c>
      <c r="C2551" s="230">
        <v>75</v>
      </c>
      <c r="D2551" s="230">
        <v>25.25</v>
      </c>
      <c r="E2551" s="230">
        <v>16.536460701974509</v>
      </c>
      <c r="F2551" s="231"/>
      <c r="G2551" s="222" t="s">
        <v>2944</v>
      </c>
      <c r="J2551" s="220" t="s">
        <v>2983</v>
      </c>
      <c r="K2551" s="232" t="s">
        <v>304</v>
      </c>
      <c r="L2551" s="219" t="s">
        <v>2952</v>
      </c>
      <c r="O2551" s="219" t="s">
        <v>3048</v>
      </c>
    </row>
    <row r="2552" spans="1:15">
      <c r="A2552" s="220" t="s">
        <v>3049</v>
      </c>
      <c r="B2552" s="230">
        <v>0</v>
      </c>
      <c r="C2552" s="230">
        <v>115</v>
      </c>
      <c r="D2552" s="230">
        <v>25.25</v>
      </c>
      <c r="E2552" s="230">
        <v>29.626060701974509</v>
      </c>
      <c r="F2552" s="231"/>
      <c r="G2552" s="222" t="s">
        <v>2944</v>
      </c>
      <c r="J2552" s="220" t="s">
        <v>2983</v>
      </c>
      <c r="K2552" s="232" t="s">
        <v>304</v>
      </c>
      <c r="L2552" s="219" t="s">
        <v>2954</v>
      </c>
      <c r="O2552" s="219" t="s">
        <v>3049</v>
      </c>
    </row>
    <row r="2553" spans="1:15">
      <c r="A2553" s="220" t="s">
        <v>3050</v>
      </c>
      <c r="B2553" s="230">
        <v>0</v>
      </c>
      <c r="C2553" s="230">
        <v>185</v>
      </c>
      <c r="D2553" s="230">
        <v>25.25</v>
      </c>
      <c r="E2553" s="230">
        <v>54.169060701974502</v>
      </c>
      <c r="F2553" s="231"/>
      <c r="G2553" s="222" t="s">
        <v>2944</v>
      </c>
      <c r="J2553" s="220" t="s">
        <v>2983</v>
      </c>
      <c r="K2553" s="232" t="s">
        <v>304</v>
      </c>
      <c r="L2553" s="219" t="s">
        <v>2956</v>
      </c>
      <c r="O2553" s="219" t="s">
        <v>3050</v>
      </c>
    </row>
    <row r="2554" spans="1:15">
      <c r="A2554" s="220" t="s">
        <v>3051</v>
      </c>
      <c r="B2554" s="230">
        <v>0</v>
      </c>
      <c r="C2554" s="230">
        <v>95</v>
      </c>
      <c r="D2554" s="230">
        <v>25.25</v>
      </c>
      <c r="E2554" s="230">
        <v>19.199823209728212</v>
      </c>
      <c r="F2554" s="231"/>
      <c r="G2554" s="222" t="s">
        <v>2944</v>
      </c>
      <c r="J2554" s="220" t="s">
        <v>2983</v>
      </c>
      <c r="K2554" s="232" t="s">
        <v>304</v>
      </c>
      <c r="L2554" s="219" t="s">
        <v>2958</v>
      </c>
      <c r="O2554" s="219" t="s">
        <v>3051</v>
      </c>
    </row>
    <row r="2555" spans="1:15">
      <c r="A2555" s="220" t="s">
        <v>3052</v>
      </c>
      <c r="B2555" s="230">
        <v>0</v>
      </c>
      <c r="C2555" s="230">
        <v>145</v>
      </c>
      <c r="D2555" s="230">
        <v>25.25</v>
      </c>
      <c r="E2555" s="230">
        <v>32.289423209728213</v>
      </c>
      <c r="F2555" s="231"/>
      <c r="G2555" s="222" t="s">
        <v>2944</v>
      </c>
      <c r="J2555" s="220" t="s">
        <v>2983</v>
      </c>
      <c r="K2555" s="232" t="s">
        <v>304</v>
      </c>
      <c r="L2555" s="219" t="s">
        <v>2960</v>
      </c>
      <c r="O2555" s="219" t="s">
        <v>3052</v>
      </c>
    </row>
    <row r="2556" spans="1:15">
      <c r="A2556" s="220" t="s">
        <v>3053</v>
      </c>
      <c r="B2556" s="230">
        <v>0</v>
      </c>
      <c r="C2556" s="230">
        <v>225</v>
      </c>
      <c r="D2556" s="230">
        <v>25.25</v>
      </c>
      <c r="E2556" s="230">
        <v>56.832423209728205</v>
      </c>
      <c r="F2556" s="231"/>
      <c r="G2556" s="222" t="s">
        <v>2944</v>
      </c>
      <c r="J2556" s="220" t="s">
        <v>2983</v>
      </c>
      <c r="K2556" s="232" t="s">
        <v>304</v>
      </c>
      <c r="L2556" s="219" t="s">
        <v>2962</v>
      </c>
      <c r="O2556" s="219" t="s">
        <v>3053</v>
      </c>
    </row>
    <row r="2557" spans="1:15">
      <c r="A2557" s="220" t="s">
        <v>3054</v>
      </c>
      <c r="B2557" s="230">
        <v>0</v>
      </c>
      <c r="C2557" s="230" t="s">
        <v>270</v>
      </c>
      <c r="D2557" s="230" t="e">
        <v>#N/A</v>
      </c>
      <c r="E2557" s="230" t="e">
        <v>#N/A</v>
      </c>
      <c r="F2557" s="231"/>
      <c r="G2557" s="222" t="s">
        <v>2944</v>
      </c>
      <c r="J2557" s="220" t="s">
        <v>2983</v>
      </c>
      <c r="K2557" s="232" t="s">
        <v>304</v>
      </c>
      <c r="L2557" s="219" t="s">
        <v>2964</v>
      </c>
      <c r="O2557" s="219" t="s">
        <v>3054</v>
      </c>
    </row>
    <row r="2558" spans="1:15">
      <c r="A2558" s="220" t="s">
        <v>3055</v>
      </c>
      <c r="B2558" s="230">
        <v>0</v>
      </c>
      <c r="C2558" s="230" t="s">
        <v>270</v>
      </c>
      <c r="D2558" s="230" t="e">
        <v>#N/A</v>
      </c>
      <c r="E2558" s="230" t="e">
        <v>#N/A</v>
      </c>
      <c r="F2558" s="231"/>
      <c r="G2558" s="222" t="s">
        <v>2944</v>
      </c>
      <c r="J2558" s="220" t="s">
        <v>2983</v>
      </c>
      <c r="K2558" s="232" t="s">
        <v>304</v>
      </c>
      <c r="L2558" s="219" t="s">
        <v>2966</v>
      </c>
      <c r="O2558" s="219" t="s">
        <v>3055</v>
      </c>
    </row>
    <row r="2559" spans="1:15">
      <c r="A2559" s="220" t="s">
        <v>3056</v>
      </c>
      <c r="B2559" s="230">
        <v>0</v>
      </c>
      <c r="C2559" s="230" t="s">
        <v>270</v>
      </c>
      <c r="D2559" s="230" t="e">
        <v>#N/A</v>
      </c>
      <c r="E2559" s="230" t="e">
        <v>#N/A</v>
      </c>
      <c r="F2559" s="231"/>
      <c r="G2559" s="222" t="s">
        <v>2944</v>
      </c>
      <c r="J2559" s="220" t="s">
        <v>2983</v>
      </c>
      <c r="K2559" s="232" t="s">
        <v>304</v>
      </c>
      <c r="L2559" s="219" t="s">
        <v>2968</v>
      </c>
      <c r="O2559" s="219" t="s">
        <v>3056</v>
      </c>
    </row>
    <row r="2560" spans="1:15">
      <c r="A2560" s="220" t="s">
        <v>3057</v>
      </c>
      <c r="B2560" s="230">
        <v>0</v>
      </c>
      <c r="C2560" s="230">
        <v>60</v>
      </c>
      <c r="D2560" s="230">
        <v>18.937500000000004</v>
      </c>
      <c r="E2560" s="230">
        <v>16.536460701974509</v>
      </c>
      <c r="F2560" s="231"/>
      <c r="G2560" s="222" t="s">
        <v>2944</v>
      </c>
      <c r="J2560" s="220" t="s">
        <v>2996</v>
      </c>
      <c r="K2560" s="232" t="s">
        <v>304</v>
      </c>
      <c r="L2560" s="219" t="s">
        <v>2946</v>
      </c>
      <c r="O2560" s="219" t="s">
        <v>3057</v>
      </c>
    </row>
    <row r="2561" spans="1:15">
      <c r="A2561" s="220" t="s">
        <v>3058</v>
      </c>
      <c r="B2561" s="230">
        <v>0</v>
      </c>
      <c r="C2561" s="230">
        <v>80</v>
      </c>
      <c r="D2561" s="230">
        <v>18.937500000000004</v>
      </c>
      <c r="E2561" s="230">
        <v>29.626060701974509</v>
      </c>
      <c r="F2561" s="231"/>
      <c r="G2561" s="222" t="s">
        <v>2944</v>
      </c>
      <c r="J2561" s="220" t="s">
        <v>2996</v>
      </c>
      <c r="K2561" s="232" t="s">
        <v>304</v>
      </c>
      <c r="L2561" s="219" t="s">
        <v>2948</v>
      </c>
      <c r="O2561" s="219" t="s">
        <v>3058</v>
      </c>
    </row>
    <row r="2562" spans="1:15">
      <c r="A2562" s="220" t="s">
        <v>3059</v>
      </c>
      <c r="B2562" s="230">
        <v>0</v>
      </c>
      <c r="C2562" s="230">
        <v>105</v>
      </c>
      <c r="D2562" s="230">
        <v>18.937500000000004</v>
      </c>
      <c r="E2562" s="230">
        <v>54.169060701974502</v>
      </c>
      <c r="F2562" s="231"/>
      <c r="G2562" s="222" t="s">
        <v>2944</v>
      </c>
      <c r="J2562" s="220" t="s">
        <v>2996</v>
      </c>
      <c r="K2562" s="232" t="s">
        <v>304</v>
      </c>
      <c r="L2562" s="219" t="s">
        <v>2950</v>
      </c>
      <c r="O2562" s="219" t="s">
        <v>3059</v>
      </c>
    </row>
    <row r="2563" spans="1:15">
      <c r="A2563" s="220" t="s">
        <v>3060</v>
      </c>
      <c r="B2563" s="230">
        <v>0</v>
      </c>
      <c r="C2563" s="230">
        <v>75</v>
      </c>
      <c r="D2563" s="230">
        <v>18.937500000000004</v>
      </c>
      <c r="E2563" s="230">
        <v>16.536460701974509</v>
      </c>
      <c r="F2563" s="231"/>
      <c r="G2563" s="222" t="s">
        <v>2944</v>
      </c>
      <c r="J2563" s="220" t="s">
        <v>2996</v>
      </c>
      <c r="K2563" s="232" t="s">
        <v>304</v>
      </c>
      <c r="L2563" s="219" t="s">
        <v>2952</v>
      </c>
      <c r="O2563" s="219" t="s">
        <v>3060</v>
      </c>
    </row>
    <row r="2564" spans="1:15">
      <c r="A2564" s="220" t="s">
        <v>3061</v>
      </c>
      <c r="B2564" s="230">
        <v>0</v>
      </c>
      <c r="C2564" s="230">
        <v>115</v>
      </c>
      <c r="D2564" s="230">
        <v>18.937500000000004</v>
      </c>
      <c r="E2564" s="230">
        <v>29.626060701974509</v>
      </c>
      <c r="F2564" s="231"/>
      <c r="G2564" s="222" t="s">
        <v>2944</v>
      </c>
      <c r="J2564" s="220" t="s">
        <v>2996</v>
      </c>
      <c r="K2564" s="232" t="s">
        <v>304</v>
      </c>
      <c r="L2564" s="219" t="s">
        <v>2954</v>
      </c>
      <c r="O2564" s="219" t="s">
        <v>3061</v>
      </c>
    </row>
    <row r="2565" spans="1:15">
      <c r="A2565" s="220" t="s">
        <v>3062</v>
      </c>
      <c r="B2565" s="230">
        <v>0</v>
      </c>
      <c r="C2565" s="230">
        <v>185</v>
      </c>
      <c r="D2565" s="230">
        <v>18.937500000000004</v>
      </c>
      <c r="E2565" s="230">
        <v>54.169060701974502</v>
      </c>
      <c r="F2565" s="231"/>
      <c r="G2565" s="222" t="s">
        <v>2944</v>
      </c>
      <c r="J2565" s="220" t="s">
        <v>2996</v>
      </c>
      <c r="K2565" s="232" t="s">
        <v>304</v>
      </c>
      <c r="L2565" s="219" t="s">
        <v>2956</v>
      </c>
      <c r="O2565" s="219" t="s">
        <v>3062</v>
      </c>
    </row>
    <row r="2566" spans="1:15">
      <c r="A2566" s="220" t="s">
        <v>3063</v>
      </c>
      <c r="B2566" s="230">
        <v>0</v>
      </c>
      <c r="C2566" s="230">
        <v>95</v>
      </c>
      <c r="D2566" s="230">
        <v>18.937500000000004</v>
      </c>
      <c r="E2566" s="230">
        <v>19.199823209728212</v>
      </c>
      <c r="F2566" s="231"/>
      <c r="G2566" s="222" t="s">
        <v>2944</v>
      </c>
      <c r="J2566" s="220" t="s">
        <v>2996</v>
      </c>
      <c r="K2566" s="232" t="s">
        <v>304</v>
      </c>
      <c r="L2566" s="219" t="s">
        <v>2958</v>
      </c>
      <c r="O2566" s="219" t="s">
        <v>3063</v>
      </c>
    </row>
    <row r="2567" spans="1:15">
      <c r="A2567" s="220" t="s">
        <v>3064</v>
      </c>
      <c r="B2567" s="230">
        <v>0</v>
      </c>
      <c r="C2567" s="230">
        <v>145</v>
      </c>
      <c r="D2567" s="230">
        <v>18.937500000000004</v>
      </c>
      <c r="E2567" s="230">
        <v>32.289423209728213</v>
      </c>
      <c r="F2567" s="231"/>
      <c r="G2567" s="222" t="s">
        <v>2944</v>
      </c>
      <c r="J2567" s="220" t="s">
        <v>2996</v>
      </c>
      <c r="K2567" s="232" t="s">
        <v>304</v>
      </c>
      <c r="L2567" s="219" t="s">
        <v>2960</v>
      </c>
      <c r="O2567" s="219" t="s">
        <v>3064</v>
      </c>
    </row>
    <row r="2568" spans="1:15">
      <c r="A2568" s="220" t="s">
        <v>3065</v>
      </c>
      <c r="B2568" s="230">
        <v>0</v>
      </c>
      <c r="C2568" s="230">
        <v>225</v>
      </c>
      <c r="D2568" s="230">
        <v>18.937500000000004</v>
      </c>
      <c r="E2568" s="230">
        <v>56.832423209728205</v>
      </c>
      <c r="F2568" s="231"/>
      <c r="G2568" s="222" t="s">
        <v>2944</v>
      </c>
      <c r="J2568" s="220" t="s">
        <v>2996</v>
      </c>
      <c r="K2568" s="232" t="s">
        <v>304</v>
      </c>
      <c r="L2568" s="219" t="s">
        <v>2962</v>
      </c>
      <c r="O2568" s="219" t="s">
        <v>3065</v>
      </c>
    </row>
    <row r="2569" spans="1:15">
      <c r="A2569" s="220" t="s">
        <v>3066</v>
      </c>
      <c r="B2569" s="230">
        <v>0</v>
      </c>
      <c r="C2569" s="230" t="s">
        <v>270</v>
      </c>
      <c r="D2569" s="230" t="e">
        <v>#N/A</v>
      </c>
      <c r="E2569" s="230" t="e">
        <v>#N/A</v>
      </c>
      <c r="F2569" s="231"/>
      <c r="G2569" s="222" t="s">
        <v>2944</v>
      </c>
      <c r="J2569" s="220" t="s">
        <v>2996</v>
      </c>
      <c r="K2569" s="232" t="s">
        <v>304</v>
      </c>
      <c r="L2569" s="219" t="s">
        <v>2964</v>
      </c>
      <c r="O2569" s="219" t="s">
        <v>3066</v>
      </c>
    </row>
    <row r="2570" spans="1:15">
      <c r="A2570" s="220" t="s">
        <v>3067</v>
      </c>
      <c r="B2570" s="230">
        <v>0</v>
      </c>
      <c r="C2570" s="230" t="s">
        <v>270</v>
      </c>
      <c r="D2570" s="230" t="e">
        <v>#N/A</v>
      </c>
      <c r="E2570" s="230" t="e">
        <v>#N/A</v>
      </c>
      <c r="F2570" s="231"/>
      <c r="G2570" s="222" t="s">
        <v>2944</v>
      </c>
      <c r="J2570" s="220" t="s">
        <v>2996</v>
      </c>
      <c r="K2570" s="232" t="s">
        <v>304</v>
      </c>
      <c r="L2570" s="219" t="s">
        <v>2966</v>
      </c>
      <c r="O2570" s="219" t="s">
        <v>3067</v>
      </c>
    </row>
    <row r="2571" spans="1:15">
      <c r="A2571" s="220" t="s">
        <v>3068</v>
      </c>
      <c r="B2571" s="230">
        <v>0</v>
      </c>
      <c r="C2571" s="230" t="s">
        <v>270</v>
      </c>
      <c r="D2571" s="230" t="e">
        <v>#N/A</v>
      </c>
      <c r="E2571" s="230" t="e">
        <v>#N/A</v>
      </c>
      <c r="F2571" s="231"/>
      <c r="G2571" s="222" t="s">
        <v>2944</v>
      </c>
      <c r="J2571" s="220" t="s">
        <v>2996</v>
      </c>
      <c r="K2571" s="232" t="s">
        <v>304</v>
      </c>
      <c r="L2571" s="219" t="s">
        <v>2968</v>
      </c>
      <c r="O2571" s="219" t="s">
        <v>3068</v>
      </c>
    </row>
    <row r="2572" spans="1:15">
      <c r="A2572" s="220" t="s">
        <v>3069</v>
      </c>
      <c r="B2572" s="230">
        <v>0</v>
      </c>
      <c r="C2572" s="230">
        <v>60</v>
      </c>
      <c r="D2572" s="230">
        <v>15.15</v>
      </c>
      <c r="E2572" s="230">
        <v>16.536460701974509</v>
      </c>
      <c r="F2572" s="231"/>
      <c r="G2572" s="222" t="s">
        <v>2944</v>
      </c>
      <c r="J2572" s="220" t="s">
        <v>3009</v>
      </c>
      <c r="K2572" s="232" t="s">
        <v>304</v>
      </c>
      <c r="L2572" s="219" t="s">
        <v>2946</v>
      </c>
      <c r="O2572" s="219" t="s">
        <v>3069</v>
      </c>
    </row>
    <row r="2573" spans="1:15">
      <c r="A2573" s="220" t="s">
        <v>3070</v>
      </c>
      <c r="B2573" s="230">
        <v>0</v>
      </c>
      <c r="C2573" s="230">
        <v>80</v>
      </c>
      <c r="D2573" s="230">
        <v>15.15</v>
      </c>
      <c r="E2573" s="230">
        <v>29.626060701974509</v>
      </c>
      <c r="F2573" s="231"/>
      <c r="G2573" s="222" t="s">
        <v>2944</v>
      </c>
      <c r="J2573" s="220" t="s">
        <v>3009</v>
      </c>
      <c r="K2573" s="232" t="s">
        <v>304</v>
      </c>
      <c r="L2573" s="219" t="s">
        <v>2948</v>
      </c>
      <c r="O2573" s="219" t="s">
        <v>3070</v>
      </c>
    </row>
    <row r="2574" spans="1:15">
      <c r="A2574" s="220" t="s">
        <v>3071</v>
      </c>
      <c r="B2574" s="230">
        <v>0</v>
      </c>
      <c r="C2574" s="230">
        <v>105</v>
      </c>
      <c r="D2574" s="230">
        <v>15.15</v>
      </c>
      <c r="E2574" s="230">
        <v>54.169060701974502</v>
      </c>
      <c r="F2574" s="231"/>
      <c r="G2574" s="222" t="s">
        <v>2944</v>
      </c>
      <c r="J2574" s="220" t="s">
        <v>3009</v>
      </c>
      <c r="K2574" s="232" t="s">
        <v>304</v>
      </c>
      <c r="L2574" s="219" t="s">
        <v>2950</v>
      </c>
      <c r="O2574" s="219" t="s">
        <v>3071</v>
      </c>
    </row>
    <row r="2575" spans="1:15">
      <c r="A2575" s="220" t="s">
        <v>3072</v>
      </c>
      <c r="B2575" s="230">
        <v>0</v>
      </c>
      <c r="C2575" s="230">
        <v>75</v>
      </c>
      <c r="D2575" s="230">
        <v>15.15</v>
      </c>
      <c r="E2575" s="230">
        <v>16.536460701974509</v>
      </c>
      <c r="F2575" s="231"/>
      <c r="G2575" s="222" t="s">
        <v>2944</v>
      </c>
      <c r="J2575" s="220" t="s">
        <v>3009</v>
      </c>
      <c r="K2575" s="232" t="s">
        <v>304</v>
      </c>
      <c r="L2575" s="219" t="s">
        <v>2952</v>
      </c>
      <c r="O2575" s="219" t="s">
        <v>3072</v>
      </c>
    </row>
    <row r="2576" spans="1:15">
      <c r="A2576" s="220" t="s">
        <v>3073</v>
      </c>
      <c r="B2576" s="230">
        <v>0</v>
      </c>
      <c r="C2576" s="230">
        <v>115</v>
      </c>
      <c r="D2576" s="230">
        <v>15.15</v>
      </c>
      <c r="E2576" s="230">
        <v>29.626060701974509</v>
      </c>
      <c r="F2576" s="231"/>
      <c r="G2576" s="222" t="s">
        <v>2944</v>
      </c>
      <c r="J2576" s="220" t="s">
        <v>3009</v>
      </c>
      <c r="K2576" s="232" t="s">
        <v>304</v>
      </c>
      <c r="L2576" s="219" t="s">
        <v>2954</v>
      </c>
      <c r="O2576" s="219" t="s">
        <v>3073</v>
      </c>
    </row>
    <row r="2577" spans="1:15">
      <c r="A2577" s="220" t="s">
        <v>3074</v>
      </c>
      <c r="B2577" s="230">
        <v>0</v>
      </c>
      <c r="C2577" s="230">
        <v>185</v>
      </c>
      <c r="D2577" s="230">
        <v>15.15</v>
      </c>
      <c r="E2577" s="230">
        <v>54.169060701974502</v>
      </c>
      <c r="F2577" s="231"/>
      <c r="G2577" s="222" t="s">
        <v>2944</v>
      </c>
      <c r="J2577" s="220" t="s">
        <v>3009</v>
      </c>
      <c r="K2577" s="232" t="s">
        <v>304</v>
      </c>
      <c r="L2577" s="219" t="s">
        <v>2956</v>
      </c>
      <c r="O2577" s="219" t="s">
        <v>3074</v>
      </c>
    </row>
    <row r="2578" spans="1:15">
      <c r="A2578" s="220" t="s">
        <v>3075</v>
      </c>
      <c r="B2578" s="230">
        <v>0</v>
      </c>
      <c r="C2578" s="230">
        <v>95</v>
      </c>
      <c r="D2578" s="230">
        <v>15.15</v>
      </c>
      <c r="E2578" s="230">
        <v>19.199823209728212</v>
      </c>
      <c r="F2578" s="231"/>
      <c r="G2578" s="222" t="s">
        <v>2944</v>
      </c>
      <c r="J2578" s="220" t="s">
        <v>3009</v>
      </c>
      <c r="K2578" s="232" t="s">
        <v>304</v>
      </c>
      <c r="L2578" s="219" t="s">
        <v>2958</v>
      </c>
      <c r="O2578" s="219" t="s">
        <v>3075</v>
      </c>
    </row>
    <row r="2579" spans="1:15">
      <c r="A2579" s="220" t="s">
        <v>3076</v>
      </c>
      <c r="B2579" s="230">
        <v>0</v>
      </c>
      <c r="C2579" s="230">
        <v>145</v>
      </c>
      <c r="D2579" s="230">
        <v>15.15</v>
      </c>
      <c r="E2579" s="230">
        <v>32.289423209728213</v>
      </c>
      <c r="F2579" s="231"/>
      <c r="G2579" s="222" t="s">
        <v>2944</v>
      </c>
      <c r="J2579" s="220" t="s">
        <v>3009</v>
      </c>
      <c r="K2579" s="232" t="s">
        <v>304</v>
      </c>
      <c r="L2579" s="219" t="s">
        <v>2960</v>
      </c>
      <c r="O2579" s="219" t="s">
        <v>3076</v>
      </c>
    </row>
    <row r="2580" spans="1:15">
      <c r="A2580" s="220" t="s">
        <v>3077</v>
      </c>
      <c r="B2580" s="230">
        <v>0</v>
      </c>
      <c r="C2580" s="230">
        <v>225</v>
      </c>
      <c r="D2580" s="230">
        <v>15.15</v>
      </c>
      <c r="E2580" s="230">
        <v>56.832423209728205</v>
      </c>
      <c r="F2580" s="231"/>
      <c r="G2580" s="222" t="s">
        <v>2944</v>
      </c>
      <c r="J2580" s="220" t="s">
        <v>3009</v>
      </c>
      <c r="K2580" s="232" t="s">
        <v>304</v>
      </c>
      <c r="L2580" s="219" t="s">
        <v>2962</v>
      </c>
      <c r="O2580" s="219" t="s">
        <v>3077</v>
      </c>
    </row>
    <row r="2581" spans="1:15">
      <c r="A2581" s="220" t="s">
        <v>3078</v>
      </c>
      <c r="B2581" s="230">
        <v>0</v>
      </c>
      <c r="C2581" s="230" t="s">
        <v>270</v>
      </c>
      <c r="D2581" s="230" t="e">
        <v>#N/A</v>
      </c>
      <c r="E2581" s="230" t="e">
        <v>#N/A</v>
      </c>
      <c r="F2581" s="231"/>
      <c r="G2581" s="222" t="s">
        <v>2944</v>
      </c>
      <c r="J2581" s="220" t="s">
        <v>3009</v>
      </c>
      <c r="K2581" s="232" t="s">
        <v>304</v>
      </c>
      <c r="L2581" s="219" t="s">
        <v>2964</v>
      </c>
      <c r="O2581" s="219" t="s">
        <v>3078</v>
      </c>
    </row>
    <row r="2582" spans="1:15">
      <c r="A2582" s="220" t="s">
        <v>3079</v>
      </c>
      <c r="B2582" s="230">
        <v>0</v>
      </c>
      <c r="C2582" s="230" t="s">
        <v>270</v>
      </c>
      <c r="D2582" s="230" t="e">
        <v>#N/A</v>
      </c>
      <c r="E2582" s="230" t="e">
        <v>#N/A</v>
      </c>
      <c r="F2582" s="231"/>
      <c r="G2582" s="222" t="s">
        <v>2944</v>
      </c>
      <c r="J2582" s="220" t="s">
        <v>3009</v>
      </c>
      <c r="K2582" s="232" t="s">
        <v>304</v>
      </c>
      <c r="L2582" s="219" t="s">
        <v>2966</v>
      </c>
      <c r="O2582" s="219" t="s">
        <v>3079</v>
      </c>
    </row>
    <row r="2583" spans="1:15" ht="15.75" thickBot="1">
      <c r="A2583" s="233" t="s">
        <v>3080</v>
      </c>
      <c r="B2583" s="234">
        <v>0</v>
      </c>
      <c r="C2583" s="234" t="s">
        <v>270</v>
      </c>
      <c r="D2583" s="234" t="e">
        <v>#N/A</v>
      </c>
      <c r="E2583" s="234" t="e">
        <v>#N/A</v>
      </c>
      <c r="F2583" s="235"/>
      <c r="G2583" s="236" t="s">
        <v>2944</v>
      </c>
      <c r="J2583" s="233" t="s">
        <v>3009</v>
      </c>
      <c r="K2583" s="232" t="s">
        <v>304</v>
      </c>
      <c r="L2583" s="219" t="s">
        <v>2968</v>
      </c>
      <c r="O2583" s="219" t="s">
        <v>3080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8EA265FEE7AF8A4A85BA987F87A668A3" ma:contentTypeVersion="3" ma:contentTypeDescription="Een nieuw document maken." ma:contentTypeScope="" ma:versionID="2389522682df8598d8cc17e026077c1c">
  <xsd:schema xmlns:xsd="http://www.w3.org/2001/XMLSchema" xmlns:xs="http://www.w3.org/2001/XMLSchema" xmlns:p="http://schemas.microsoft.com/office/2006/metadata/properties" xmlns:ns2="a4debd42-5631-4e86-8b39-4703e1e52874" targetNamespace="http://schemas.microsoft.com/office/2006/metadata/properties" ma:root="true" ma:fieldsID="3956e250912dbc8cd356e02703428c88" ns2:_="">
    <xsd:import namespace="a4debd42-5631-4e86-8b39-4703e1e52874"/>
    <xsd:element name="properties">
      <xsd:complexType>
        <xsd:sequence>
          <xsd:element name="documentManagement">
            <xsd:complexType>
              <xsd:all>
                <xsd:element ref="ns2:BusinessLine" minOccurs="0"/>
                <xsd:element ref="ns2:Versie_x0020_van_x0020_Release" minOccurs="0"/>
                <xsd:element ref="ns2:Status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4debd42-5631-4e86-8b39-4703e1e52874" elementFormDefault="qualified">
    <xsd:import namespace="http://schemas.microsoft.com/office/2006/documentManagement/types"/>
    <xsd:import namespace="http://schemas.microsoft.com/office/infopath/2007/PartnerControls"/>
    <xsd:element name="BusinessLine" ma:index="8" nillable="true" ma:displayName="BusinessLine" ma:default="KPN ÉÉN GZ" ma:description="Binnen welke BusinessLine valt het document" ma:format="Dropdown" ma:internalName="BusinessLine">
      <xsd:simpleType>
        <xsd:restriction base="dms:Choice">
          <xsd:enumeration value="KPN ÉÉN GZ"/>
          <xsd:enumeration value="Data"/>
          <xsd:enumeration value="Spraak"/>
          <xsd:enumeration value="SWOL"/>
          <xsd:enumeration value="Combined Usage"/>
          <xsd:enumeration value="VoiP"/>
          <xsd:enumeration value="Mobiel"/>
          <xsd:enumeration value="KPN ÉÉN MKB"/>
        </xsd:restriction>
      </xsd:simpleType>
    </xsd:element>
    <xsd:element name="Versie_x0020_van_x0020_Release" ma:index="9" nillable="true" ma:displayName="Versie van Release" ma:description="Hier geef je de beoogde release versie op." ma:internalName="Versie_x0020_van_x0020_Release">
      <xsd:simpleType>
        <xsd:restriction base="dms:Text">
          <xsd:maxLength value="255"/>
        </xsd:restriction>
      </xsd:simpleType>
    </xsd:element>
    <xsd:element name="Status" ma:index="10" ma:displayName="Status" ma:default="Ontwikkeling" ma:description="Hier kun je de status aangeven van het document." ma:format="Dropdown" ma:internalName="Status">
      <xsd:simpleType>
        <xsd:restriction base="dms:Choice">
          <xsd:enumeration value="Ontwikkeling"/>
          <xsd:enumeration value="Gereed voor 2e Man"/>
          <xsd:enumeration value="2e Man Akkoord"/>
          <xsd:enumeration value="Release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oudstype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BusinessLine xmlns="a4debd42-5631-4e86-8b39-4703e1e52874">Data</BusinessLine>
    <Versie_x0020_van_x0020_Release xmlns="a4debd42-5631-4e86-8b39-4703e1e52874" xsi:nil="true"/>
    <Status xmlns="a4debd42-5631-4e86-8b39-4703e1e52874">2e Man Akkoord</Status>
  </documentManagement>
</p:properties>
</file>

<file path=customXml/itemProps1.xml><?xml version="1.0" encoding="utf-8"?>
<ds:datastoreItem xmlns:ds="http://schemas.openxmlformats.org/officeDocument/2006/customXml" ds:itemID="{241AC3E8-65BB-4D12-AECE-BC8E3C59261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4debd42-5631-4e86-8b39-4703e1e5287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899E64A8-A16E-4D5F-97E7-13371DC47DDA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950B77BB-5F84-40FD-B942-A2C909448274}">
  <ds:schemaRefs>
    <ds:schemaRef ds:uri="http://schemas.microsoft.com/office/2006/documentManagement/types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www.w3.org/XML/1998/namespace"/>
    <ds:schemaRef ds:uri="http://schemas.microsoft.com/office/infopath/2007/PartnerControls"/>
    <ds:schemaRef ds:uri="a4debd42-5631-4e86-8b39-4703e1e52874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18</vt:i4>
      </vt:variant>
    </vt:vector>
  </HeadingPairs>
  <TitlesOfParts>
    <vt:vector size="18" baseType="lpstr">
      <vt:lpstr>Voorblad</vt:lpstr>
      <vt:lpstr>Parameters ULL</vt:lpstr>
      <vt:lpstr>collocatie</vt:lpstr>
      <vt:lpstr>Inkoop tarief elementen</vt:lpstr>
      <vt:lpstr>EDC minus lijst ULL</vt:lpstr>
      <vt:lpstr>inkoop ULL tbv EVPN</vt:lpstr>
      <vt:lpstr>inkoop EoK</vt:lpstr>
      <vt:lpstr>Parameters</vt:lpstr>
      <vt:lpstr>Distributievergoedingen</vt:lpstr>
      <vt:lpstr>Mapping</vt:lpstr>
      <vt:lpstr>hulpblad</vt:lpstr>
      <vt:lpstr>Tarieven ZM</vt:lpstr>
      <vt:lpstr>Tarieven W&amp;O</vt:lpstr>
      <vt:lpstr>EDC Minus</vt:lpstr>
      <vt:lpstr>Rekenblad access</vt:lpstr>
      <vt:lpstr>Rekenblad transport</vt:lpstr>
      <vt:lpstr>Rekenblad 2e PVC</vt:lpstr>
      <vt:lpstr>KWTtransfersheetOud</vt:lpstr>
    </vt:vector>
  </TitlesOfParts>
  <Company>Koninklijke KPN NV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Aanen, E. (Eimert) (ZM SH Data Pricing ZM)</dc:creator>
  <cp:lastModifiedBy>Burgwal, Joey van de</cp:lastModifiedBy>
  <dcterms:created xsi:type="dcterms:W3CDTF">2015-02-27T05:56:14Z</dcterms:created>
  <dcterms:modified xsi:type="dcterms:W3CDTF">2017-03-15T15:13:13Z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0x0101008EA265FEE7AF8A4A85BA987F87A668A3</vt:lpwstr>
  </property>
</Properties>
</file>